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 Summary (Current Year)" sheetId="1" r:id="rId3"/>
    <sheet state="visible" name="Department Summary (Current Yea" sheetId="2" r:id="rId4"/>
    <sheet state="visible" name="Parameters and Distribution Sum" sheetId="3" r:id="rId5"/>
    <sheet state="visible" name="Distribution Detail" sheetId="4" r:id="rId6"/>
    <sheet state="visible" name="Fund Data" sheetId="5" r:id="rId7"/>
    <sheet state="visible" name="Fund Errors" sheetId="6" r:id="rId8"/>
    <sheet state="visible" name="Endowed Funds" sheetId="7" r:id="rId9"/>
    <sheet state="visible" name="Inflation Data" sheetId="8" r:id="rId10"/>
    <sheet state="visible" name="Fund YTD Contributions" sheetId="9" r:id="rId11"/>
    <sheet state="visible" name="Fund YTD Target Values" sheetId="10" r:id="rId12"/>
    <sheet state="visible" name="Closed Funds" sheetId="11" r:id="rId13"/>
  </sheets>
  <definedNames/>
  <calcPr/>
  <pivotCaches>
    <pivotCache cacheId="0" r:id="rId14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Red if &gt;10% of current market value
	-R. Kyle Bocinsky</t>
      </text>
    </comment>
    <comment authorId="0" ref="N2">
      <text>
        <t xml:space="preserve">Red if &gt;10% of current market value
	-R. Kyle Bocinsky</t>
      </text>
    </comment>
    <comment authorId="0" ref="J2">
      <text>
        <t xml:space="preserve">Updated monthly as distributions from  new contributions become available
	-R. Kyle Bocinsky</t>
      </text>
    </comment>
    <comment authorId="0" ref="H2">
      <text>
        <t xml:space="preserve">Red indicates negative value
	-R. Kyle Bocinsky</t>
      </text>
    </comment>
    <comment authorId="0" ref="F2">
      <text>
        <t xml:space="preserve">Red indicates negative value
	-R. Kyle Bocinsky</t>
      </text>
    </comment>
    <comment authorId="0" ref="I2">
      <text>
        <t xml:space="preserve">Red indicates &lt; 90% of target value; Yellow indicates 90–100%
	-R. Kyle Bocinsky</t>
      </text>
    </comment>
    <comment authorId="0" ref="G2">
      <text>
        <t xml:space="preserve">Red indicates &lt; 90% of contributed value; Yellow indicates 90–100%
	-R. Kyle Bocinsky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Less rollover from previous distribution
	-R. Kyle Bocinsky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89">
      <text>
        <t xml:space="preserve">Initialized at 1996 Market Value
	-R. Kyle Bocinsky</t>
      </text>
    </comment>
    <comment authorId="0" ref="S401">
      <text>
        <t xml:space="preserve">Initialized at 1996 market value
	-R. Kyle Bocinsky</t>
      </text>
    </comment>
    <comment authorId="0" ref="T444">
      <text>
        <t xml:space="preserve">This got off to a bad start, and has never fully recovered.
	-R. Kyle Bocinsky</t>
      </text>
    </comment>
    <comment authorId="0" ref="S495">
      <text>
        <t xml:space="preserve">Should have been initialized at 10000
	-R. Kyle Bocinsky</t>
      </text>
    </comment>
    <comment authorId="0" ref="U536">
      <text>
        <t xml:space="preserve">$755 less than expected
	-R. Kyle Bocinsky</t>
      </text>
    </comment>
    <comment authorId="0" ref="S546">
      <text>
        <t xml:space="preserve">Probably initialized at the wrong amount
	-R. Kyle Bocinsky</t>
      </text>
    </comment>
    <comment authorId="0" ref="U624">
      <text>
        <t xml:space="preserve">Things start getting screwy here
	-R. Kyle Bocinsky</t>
      </text>
    </comment>
    <comment authorId="0" ref="T1390">
      <text>
        <t xml:space="preserve">Missing $15,000 since here
	-R. Kyle Bocinsky</t>
      </text>
    </comment>
    <comment authorId="0" ref="T1249">
      <text>
        <t xml:space="preserve">Whoa. This number actually appeared in the board packet. This is too weird.
	-R. Kyle Bocinsky</t>
      </text>
    </comment>
    <comment authorId="0" ref="U1263">
      <text>
        <t xml:space="preserve">Appears in the "discounts" category in the audit
	-R. Kyle Bocinsky</t>
      </text>
    </comment>
    <comment authorId="0" ref="T1215">
      <text>
        <t xml:space="preserve">This gets all wacky
	-R. Kyle Bocinsky</t>
      </text>
    </comment>
    <comment authorId="0" ref="V1157">
      <text>
        <t xml:space="preserve">Same as endowments workbook
	-R. Kyle Bocinsky</t>
      </text>
    </comment>
    <comment authorId="0" ref="S1158">
      <text>
        <t xml:space="preserve">Same as endowments workbook
	-R. Kyle Bocinsky</t>
      </text>
    </comment>
    <comment authorId="0" ref="T1156">
      <text>
        <t xml:space="preserve">$161 missing prior to 2002
	-R. Kyle Bocinsky</t>
      </text>
    </comment>
    <comment authorId="0" ref="T1096">
      <text>
        <t xml:space="preserve">Things get really erratic here
	-R. Kyle Bocinsky</t>
      </text>
    </comment>
    <comment authorId="0" ref="T988">
      <text>
        <t xml:space="preserve">$10,000 booked in 2003, but not received until 2004
	-R. Kyle Bocinsky</t>
      </text>
    </comment>
    <comment authorId="0" ref="S992">
      <text>
        <t xml:space="preserve">This is the same number as in the endowments workbook
	-R. Kyle Bocinsky
Something must have happened during the first three years.
	-R. Kyle Bocinsky</t>
      </text>
    </comment>
    <comment authorId="0" ref="S898">
      <text>
        <t xml:space="preserve">Initialized incorrectly as the 1996 Market Value
	-R. Kyle Bocinsky</t>
      </text>
    </comment>
    <comment authorId="0" ref="T813">
      <text>
        <t xml:space="preserve">$19 of interest eared during first year was added to the contributed value.
	-R. Kyle Bocinsky</t>
      </text>
    </comment>
    <comment authorId="0" ref="T712">
      <text>
        <t xml:space="preserve">$20,000 booked in 2013 that doesn't hit account until 2014
	-R. Kyle Bocinsky</t>
      </text>
    </comment>
    <comment authorId="0" ref="T711">
      <text>
        <t xml:space="preserve">$5000 supposedly added, but never hits account
	-R. Kyle Bocinsky</t>
      </text>
    </comment>
    <comment authorId="0" ref="G811">
      <text>
        <t xml:space="preserve">Kyle adjusted
	-R. Kyle Bocinsky</t>
      </text>
    </comment>
    <comment authorId="0" ref="G1195">
      <text>
        <t xml:space="preserve">Kyle adjusted
	-R. Kyle Bocinsky</t>
      </text>
    </comment>
    <comment authorId="0" ref="G625">
      <text>
        <t xml:space="preserve">Kyle adjusted
	-R. Kyle Bocinsky</t>
      </text>
    </comment>
    <comment authorId="0" ref="G626">
      <text>
        <t xml:space="preserve">Kyle adjusted
	-R. Kyle Bocinsky</t>
      </text>
    </comment>
    <comment authorId="0" ref="G628">
      <text>
        <t xml:space="preserve">Kyle adjusted
	-R. Kyle Bocinsky</t>
      </text>
    </comment>
    <comment authorId="0" ref="G629">
      <text>
        <t xml:space="preserve">Kyle adjusted
	-R. Kyle Bocinsky</t>
      </text>
    </comment>
    <comment authorId="0" ref="G631">
      <text>
        <t xml:space="preserve">Kyle adjusted
	-R. Kyle Bocinsky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Series CUUR0000SA0
	-R. Kyle Bocinsky</t>
      </text>
    </comment>
  </commentList>
</comments>
</file>

<file path=xl/sharedStrings.xml><?xml version="1.0" encoding="utf-8"?>
<sst xmlns="http://schemas.openxmlformats.org/spreadsheetml/2006/main" count="1989" uniqueCount="204">
  <si>
    <r>
      <t xml:space="preserve">TOBIN PARAMETERS AND INTERNAL CCAC INDIRECT COST RATE
</t>
    </r>
    <r>
      <rPr>
        <color rgb="FFCC0000"/>
      </rPr>
      <t xml:space="preserve">ADJUST THESE TO SEE THE EFFECT OF DIFFERENT PARAMETERS!
</t>
    </r>
    <r>
      <t>Board-approved parameters are P=0.7, R=0.045</t>
    </r>
  </si>
  <si>
    <t xml:space="preserve">CURRENT AS OF: </t>
  </si>
  <si>
    <t>TOBIN PARAMETERS</t>
  </si>
  <si>
    <t>CURRENT VALUES</t>
  </si>
  <si>
    <t>P</t>
  </si>
  <si>
    <t>BENCHMARKS</t>
  </si>
  <si>
    <t>R</t>
  </si>
  <si>
    <t>Year</t>
  </si>
  <si>
    <t>CURRENT SPENDING</t>
  </si>
  <si>
    <t>Fund</t>
  </si>
  <si>
    <t>Department</t>
  </si>
  <si>
    <t>Contributed</t>
  </si>
  <si>
    <t>Target</t>
  </si>
  <si>
    <t>Market</t>
  </si>
  <si>
    <t>Market – 
Contributed</t>
  </si>
  <si>
    <t>Market / 
Contributed</t>
  </si>
  <si>
    <t>Market – 
Target</t>
  </si>
  <si>
    <t>Market / 
Target</t>
  </si>
  <si>
    <t>Approved 
Distribution</t>
  </si>
  <si>
    <t>Amount 
Distributed</t>
  </si>
  <si>
    <t>Distribution
Remaining</t>
  </si>
  <si>
    <t>% Distribution Remaining</t>
  </si>
  <si>
    <t>Distribution /
Market</t>
  </si>
  <si>
    <t>Spent /
Market</t>
  </si>
  <si>
    <t xml:space="preserve"> </t>
  </si>
  <si>
    <t>American Indian Initiatives Fund</t>
  </si>
  <si>
    <t>Albert G. Boyce, Jr. Family Fund</t>
  </si>
  <si>
    <t>Alden C. Hayes Research Fund</t>
  </si>
  <si>
    <t>C. Paul Johnson Family Fund</t>
  </si>
  <si>
    <t>Flora W. Minium Memorial Fund</t>
  </si>
  <si>
    <t>Fred G. Myers Research Fellowship</t>
  </si>
  <si>
    <t>Gomer W. Walters Research Fund</t>
  </si>
  <si>
    <t>Katherine Carhart Fellowship</t>
  </si>
  <si>
    <t xml:space="preserve">Approved 
Distribution </t>
  </si>
  <si>
    <t xml:space="preserve">Amount 
Distributed </t>
  </si>
  <si>
    <t xml:space="preserve">Distribution
Remaining </t>
  </si>
  <si>
    <t>% Distributed</t>
  </si>
  <si>
    <t>American Indian Initiatives</t>
  </si>
  <si>
    <t>Richard G. and Mary Lyn Ballantine Fund</t>
  </si>
  <si>
    <t>Archaeology</t>
  </si>
  <si>
    <t>Board Designated</t>
  </si>
  <si>
    <t>Education</t>
  </si>
  <si>
    <t>General Operations</t>
  </si>
  <si>
    <t>Research Institute</t>
  </si>
  <si>
    <t>Grand Total</t>
  </si>
  <si>
    <t>Robert &amp; Doris Haugen Research Fund</t>
  </si>
  <si>
    <t>Stuart Struever Chair in Research</t>
  </si>
  <si>
    <t>Board Designated Fund</t>
  </si>
  <si>
    <t>Eleanor &amp; Robert A. McClevey Jr., Chair in Education</t>
  </si>
  <si>
    <t>Four Corners Children's Education Fund</t>
  </si>
  <si>
    <t>General Education Fund</t>
  </si>
  <si>
    <t>Grace M. and Thor E. Larsen Education Fund</t>
  </si>
  <si>
    <t>Tobin
Distribution</t>
  </si>
  <si>
    <t>Y1-Q1</t>
  </si>
  <si>
    <t>Lewis Matis Education Fund</t>
  </si>
  <si>
    <t>Y1-Q2</t>
  </si>
  <si>
    <t>Y1-Q3</t>
  </si>
  <si>
    <t>Y1-Q4</t>
  </si>
  <si>
    <t>Y2</t>
  </si>
  <si>
    <t>Rollover
Distribution</t>
  </si>
  <si>
    <t>Total
Distribution</t>
  </si>
  <si>
    <t>National Youth Education Scholarship</t>
  </si>
  <si>
    <t>Navajo Education Fund</t>
  </si>
  <si>
    <t>Pamela &amp; Michael Reese Education Fund</t>
  </si>
  <si>
    <t>Shirley &amp; Reinhardt Jahn Education Fund</t>
  </si>
  <si>
    <t>Sidney &amp; Iris Taylor Education Fund</t>
  </si>
  <si>
    <t>Dorothy Warner McEachren Memorial Trust</t>
  </si>
  <si>
    <t>General Endowment</t>
  </si>
  <si>
    <t>National Endowment for the Humanities I</t>
  </si>
  <si>
    <t>National Endowment for the Humanities II</t>
  </si>
  <si>
    <t>Florence C. and Robert H. Lister Fellowship</t>
  </si>
  <si>
    <t>Jan and Frank Cicero Research Fund</t>
  </si>
  <si>
    <t>Mark D. Varien Research Fund</t>
  </si>
  <si>
    <t>Ricky R. Lightfoot Chair for Research</t>
  </si>
  <si>
    <t>Market
Value</t>
  </si>
  <si>
    <t>Contributed
Value</t>
  </si>
  <si>
    <t>Target
Value</t>
  </si>
  <si>
    <t xml:space="preserve">Y2 </t>
  </si>
  <si>
    <t>Segal Family Foundation</t>
  </si>
  <si>
    <t>Sue Anschutz-Rodgers Research Fund</t>
  </si>
  <si>
    <t>William D. Lipe Advances in Research</t>
  </si>
  <si>
    <t>William D. Lipe Chair in Research</t>
  </si>
  <si>
    <t>TOTALS</t>
  </si>
  <si>
    <t>END OF YEAR VALUES FROM TWO YEARS PRIOR</t>
  </si>
  <si>
    <t>PRIOR YEAR DISTRIBUTION</t>
  </si>
  <si>
    <t>TOBIN DISTRIBUTIONS</t>
  </si>
  <si>
    <t>ADDITIONAL DISTRIBUTIONS FROM NEW CONTRIBUTIONS</t>
  </si>
  <si>
    <t>ROLLOVER
DISTRIBUTION</t>
  </si>
  <si>
    <t>TOTAL DISTRIBUTION</t>
  </si>
  <si>
    <t>Contributed Value</t>
  </si>
  <si>
    <t>Target Value</t>
  </si>
  <si>
    <t>Market Value</t>
  </si>
  <si>
    <t>Market – Target</t>
  </si>
  <si>
    <t>Tobin Stability</t>
  </si>
  <si>
    <t>Tobin Market</t>
  </si>
  <si>
    <t>Tobin Total</t>
  </si>
  <si>
    <t>Month</t>
  </si>
  <si>
    <t>Deposits (YTD)</t>
  </si>
  <si>
    <t>Interest Earned (YTD)</t>
  </si>
  <si>
    <t>Transfers (YTD)</t>
  </si>
  <si>
    <t>Adjustments (YTD)</t>
  </si>
  <si>
    <t>Fees Paid (YTD)</t>
  </si>
  <si>
    <t>Other Fees (YTD)</t>
  </si>
  <si>
    <t>Realized Gains (YTD)</t>
  </si>
  <si>
    <t>Realized Losses (YTD)</t>
  </si>
  <si>
    <t>Unrealized
Gains/Losses (YTD)</t>
  </si>
  <si>
    <t>Accrued Interest (YTD)</t>
  </si>
  <si>
    <t>Capital Gains (YTD)</t>
  </si>
  <si>
    <t>Market Value (reported)</t>
  </si>
  <si>
    <t>Market Value (calculated)</t>
  </si>
  <si>
    <t>Market Value (difference)</t>
  </si>
  <si>
    <t>Contributed Value
(calculated)</t>
  </si>
  <si>
    <t>Contributed Value
(audit)</t>
  </si>
  <si>
    <t>Contributed Value
(difference)</t>
  </si>
  <si>
    <t>Contributions (monthly)</t>
  </si>
  <si>
    <t>Approved Distribution (Tobin Stability)</t>
  </si>
  <si>
    <t>Approved Distribution (Tobin Market)</t>
  </si>
  <si>
    <t>Approved Distribution (Tobin)</t>
  </si>
  <si>
    <t>Approved Distribution (New Y1)</t>
  </si>
  <si>
    <t>Approved Distribution (New Y2)</t>
  </si>
  <si>
    <t>Approved Distribution (Rollover)</t>
  </si>
  <si>
    <t>Approved Distribution (Total)</t>
  </si>
  <si>
    <t>Distribution Difference</t>
  </si>
  <si>
    <t>Rollover</t>
  </si>
  <si>
    <t>Comments on calculated contributed value</t>
  </si>
  <si>
    <t>Possible Solution</t>
  </si>
  <si>
    <t>All good</t>
  </si>
  <si>
    <t>~ $4000 too high; initialized at 1996 market value</t>
  </si>
  <si>
    <t>Adjust down $4,000 to match audit</t>
  </si>
  <si>
    <t>~ $50,000 lower deposit than audited in 2002; still $49,725 low</t>
  </si>
  <si>
    <t>Audit likely wrong since 2002</t>
  </si>
  <si>
    <t>$15,272 more contributed than audited at origin (2011)</t>
  </si>
  <si>
    <t>~ $3,916 too high; initialized at 1996 market value</t>
  </si>
  <si>
    <t>Adjust down ~$3,916 to match audit</t>
  </si>
  <si>
    <t>Initialized with $15,020 more audited than deposited; now steady at $2,054 less than audited</t>
  </si>
  <si>
    <t>$1,541 too high; should be $10,000; initialized at 1996 market value</t>
  </si>
  <si>
    <t>Adjust down to $10,000 to match audit</t>
  </si>
  <si>
    <t>~ $15,108 too high; initialized at 1996 market value</t>
  </si>
  <si>
    <t>Adjust down ~$15,108 to match audit</t>
  </si>
  <si>
    <t xml:space="preserve">~ $100,000 extra deposited in 2005; steady at $97,412 above audit </t>
  </si>
  <si>
    <t>Audit likely wrong since at least 2005</t>
  </si>
  <si>
    <t>Got screwy starting in 2017; $1,250 above audit</t>
  </si>
  <si>
    <t>Steady at $5,051 below audit; things got weird in 2014–2015</t>
  </si>
  <si>
    <t>$10,181 too high; initialized at 1996 market value</t>
  </si>
  <si>
    <t>Adjust down $10,181 to match audit</t>
  </si>
  <si>
    <t>$19 below audit from origin in 2006; likely first years interest included in audited CV</t>
  </si>
  <si>
    <t>Audit likely wrong since origin</t>
  </si>
  <si>
    <t>Things just go from bad to worse; now $5,072 below audit</t>
  </si>
  <si>
    <t>~ $43,889 too high; initialized at 1996 market value</t>
  </si>
  <si>
    <t>Adjust down $43,889 to match audit</t>
  </si>
  <si>
    <t>$535 below audit since 2004</t>
  </si>
  <si>
    <t>Audit likely wrong</t>
  </si>
  <si>
    <t>Got screwy starting in 2017; $1,045 above audit</t>
  </si>
  <si>
    <t>Consistently $160 below audit since before 2002</t>
  </si>
  <si>
    <t>Got screwy starting in 2017, but seems to have resolved itself?</t>
  </si>
  <si>
    <t>Screwy since origin in 2015, and only gets worse starting in 2017</t>
  </si>
  <si>
    <t>$15,000 over audit since 2004</t>
  </si>
  <si>
    <t>US Bank Account Number</t>
  </si>
  <si>
    <t>Category</t>
  </si>
  <si>
    <t>Type</t>
  </si>
  <si>
    <t>Project Number</t>
  </si>
  <si>
    <t>Gift Project Number</t>
  </si>
  <si>
    <t>Distribution Account</t>
  </si>
  <si>
    <t>000043975125</t>
  </si>
  <si>
    <t>Endowment</t>
  </si>
  <si>
    <t>000043975111</t>
  </si>
  <si>
    <t>000043975119</t>
  </si>
  <si>
    <t>000043975136</t>
  </si>
  <si>
    <t>Quasi-endowment</t>
  </si>
  <si>
    <t>000043975118</t>
  </si>
  <si>
    <t>000043975131</t>
  </si>
  <si>
    <t>000043975134</t>
  </si>
  <si>
    <t>000043975113</t>
  </si>
  <si>
    <t>000043975102</t>
  </si>
  <si>
    <t>000043975124</t>
  </si>
  <si>
    <t>000043975106</t>
  </si>
  <si>
    <t>000043975104</t>
  </si>
  <si>
    <t>000043975116</t>
  </si>
  <si>
    <t>000043975121</t>
  </si>
  <si>
    <t>000043975132</t>
  </si>
  <si>
    <t>000043975123</t>
  </si>
  <si>
    <t>000043975103</t>
  </si>
  <si>
    <t>000043975129</t>
  </si>
  <si>
    <t>000043975137</t>
  </si>
  <si>
    <t>000043975107</t>
  </si>
  <si>
    <t>000043975120</t>
  </si>
  <si>
    <t>000043975115</t>
  </si>
  <si>
    <t>000043975128</t>
  </si>
  <si>
    <t>000043975122</t>
  </si>
  <si>
    <t>000043975138</t>
  </si>
  <si>
    <t>000043975117</t>
  </si>
  <si>
    <t>000043975133</t>
  </si>
  <si>
    <t>000043975135</t>
  </si>
  <si>
    <t>000043975142</t>
  </si>
  <si>
    <t>000043975126</t>
  </si>
  <si>
    <t>000043975127</t>
  </si>
  <si>
    <t>000043975108</t>
  </si>
  <si>
    <t>000043975139</t>
  </si>
  <si>
    <t>000043975144</t>
  </si>
  <si>
    <t>000043975145</t>
  </si>
  <si>
    <t>12</t>
  </si>
  <si>
    <t>Johnson Research</t>
  </si>
  <si>
    <t>McEachren Education Fund</t>
  </si>
  <si>
    <t>McEachren Research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</si>
</sst>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&quot;$&quot;* #,##0_);_(&quot;$&quot;* \(#,##0\);_(&quot;$&quot;* &quot;-&quot;??_);_(@_)"/>
    <numFmt numFmtId="165" formatCode="###0"/>
    <numFmt numFmtId="166" formatCode="&quot;$&quot;#,##0.00"/>
    <numFmt numFmtId="167" formatCode="0.0%"/>
    <numFmt numFmtId="168" formatCode="_(&quot;$&quot;* #,##0.00_);_(&quot;$&quot;* \(#,##0.00\);_(&quot;$&quot;* &quot;-&quot;??_);_(@_)"/>
    <numFmt numFmtId="169" formatCode="&quot;$&quot;#,##0"/>
  </numFmts>
  <fonts count="13">
    <font>
      <sz val="10.0"/>
      <color rgb="FF000000"/>
      <name val="Arial"/>
    </font>
    <font>
      <b/>
      <sz val="10.0"/>
      <name val="Roboto"/>
    </font>
    <font>
      <b/>
      <sz val="10.0"/>
      <color rgb="FF000000"/>
      <name val="Roboto"/>
    </font>
    <font>
      <sz val="10.0"/>
      <name val="Roboto"/>
    </font>
    <font/>
    <font>
      <sz val="10.0"/>
      <color rgb="FF000000"/>
      <name val="Roboto"/>
    </font>
    <font>
      <color rgb="FF000000"/>
      <name val="Roboto"/>
    </font>
    <font>
      <b/>
      <name val="Roboto"/>
    </font>
    <font>
      <name val="Roboto"/>
    </font>
    <font>
      <b/>
    </font>
    <font>
      <b/>
      <u/>
      <color rgb="FF0000FF"/>
    </font>
    <font>
      <sz val="12.0"/>
      <color rgb="FF000000"/>
      <name val="Calibri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top style="thick">
        <color rgb="FF000000"/>
      </top>
    </border>
    <border>
      <right style="dotted">
        <color rgb="FF000000"/>
      </right>
      <top style="thick">
        <color rgb="FF000000"/>
      </top>
    </border>
    <border>
      <left style="dotted">
        <color rgb="FF000000"/>
      </left>
      <top style="thick">
        <color rgb="FF000000"/>
      </top>
    </border>
    <border>
      <top style="double">
        <color rgb="FF000000"/>
      </top>
      <bottom style="thin">
        <color rgb="FF000000"/>
      </bottom>
    </border>
    <border>
      <top style="thick">
        <color rgb="FF000000"/>
      </top>
      <bottom style="double">
        <color rgb="FF000000"/>
      </bottom>
    </border>
    <border>
      <bottom style="thick">
        <color rgb="FF000000"/>
      </bottom>
    </border>
    <border>
      <right style="dotted">
        <color rgb="FF000000"/>
      </right>
      <top style="thick">
        <color rgb="FF000000"/>
      </top>
      <bottom style="double">
        <color rgb="FF000000"/>
      </bottom>
    </border>
    <border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</border>
    <border>
      <top style="thick">
        <color rgb="FF000000"/>
      </top>
      <bottom style="medium">
        <color rgb="FF000000"/>
      </bottom>
    </border>
    <border>
      <top style="double">
        <color rgb="FF000000"/>
      </top>
      <bottom style="thick">
        <color rgb="FF000000"/>
      </bottom>
    </border>
    <border>
      <right style="dotted">
        <color rgb="FF000000"/>
      </right>
      <bottom style="thick">
        <color rgb="FF000000"/>
      </bottom>
    </border>
    <border>
      <right style="dotted">
        <color rgb="FF000000"/>
      </right>
      <top style="double">
        <color rgb="FF000000"/>
      </top>
      <bottom style="thick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2" numFmtId="49" xfId="0" applyAlignment="1" applyBorder="1" applyFont="1" applyNumberFormat="1">
      <alignment horizontal="right" readingOrder="0" shrinkToFit="0" vertical="center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2" fillId="0" fontId="2" numFmtId="165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vertical="bottom"/>
    </xf>
    <xf borderId="3" fillId="0" fontId="2" numFmtId="166" xfId="0" applyAlignment="1" applyBorder="1" applyFont="1" applyNumberFormat="1">
      <alignment horizontal="center" readingOrder="0" shrinkToFit="0" vertical="center" wrapText="1"/>
    </xf>
    <xf borderId="1" fillId="0" fontId="4" numFmtId="0" xfId="0" applyBorder="1" applyFont="1"/>
    <xf borderId="2" fillId="0" fontId="4" numFmtId="0" xfId="0" applyBorder="1" applyFont="1"/>
    <xf borderId="4" fillId="0" fontId="1" numFmtId="0" xfId="0" applyAlignment="1" applyBorder="1" applyFont="1">
      <alignment horizontal="right" readingOrder="0" vertical="bottom"/>
    </xf>
    <xf borderId="5" fillId="0" fontId="2" numFmtId="166" xfId="0" applyAlignment="1" applyBorder="1" applyFont="1" applyNumberFormat="1">
      <alignment horizontal="center" readingOrder="0" shrinkToFit="0" vertical="center" wrapText="1"/>
    </xf>
    <xf borderId="6" fillId="0" fontId="3" numFmtId="0" xfId="0" applyAlignment="1" applyBorder="1" applyFont="1">
      <alignment horizontal="right" readingOrder="0" vertical="bottom"/>
    </xf>
    <xf borderId="5" fillId="0" fontId="4" numFmtId="0" xfId="0" applyBorder="1" applyFont="1"/>
    <xf borderId="7" fillId="0" fontId="4" numFmtId="0" xfId="0" applyBorder="1" applyFont="1"/>
    <xf borderId="5" fillId="0" fontId="1" numFmtId="164" xfId="0" applyAlignment="1" applyBorder="1" applyFont="1" applyNumberFormat="1">
      <alignment horizontal="center" readingOrder="0"/>
    </xf>
    <xf borderId="0" fillId="0" fontId="3" numFmtId="0" xfId="0" applyFont="1"/>
    <xf borderId="0" fillId="2" fontId="2" numFmtId="0" xfId="0" applyAlignment="1" applyFill="1" applyFont="1">
      <alignment readingOrder="0" vertical="bottom"/>
    </xf>
    <xf borderId="8" fillId="0" fontId="2" numFmtId="49" xfId="0" applyAlignment="1" applyBorder="1" applyFont="1" applyNumberFormat="1">
      <alignment readingOrder="0" shrinkToFit="0" vertical="center" wrapText="1"/>
    </xf>
    <xf borderId="9" fillId="0" fontId="2" numFmtId="166" xfId="0" applyAlignment="1" applyBorder="1" applyFont="1" applyNumberFormat="1">
      <alignment horizontal="left" readingOrder="0" shrinkToFit="0" vertical="center" wrapText="1"/>
    </xf>
    <xf borderId="0" fillId="2" fontId="5" numFmtId="0" xfId="0" applyAlignment="1" applyFont="1">
      <alignment vertical="bottom"/>
    </xf>
    <xf borderId="10" fillId="0" fontId="2" numFmtId="166" xfId="0" applyAlignment="1" applyBorder="1" applyFont="1" applyNumberFormat="1">
      <alignment horizontal="right" readingOrder="0" vertical="center"/>
    </xf>
    <xf borderId="0" fillId="2" fontId="5" numFmtId="49" xfId="0" applyAlignment="1" applyFont="1" applyNumberFormat="1">
      <alignment vertical="bottom"/>
    </xf>
    <xf borderId="11" fillId="0" fontId="2" numFmtId="166" xfId="0" applyAlignment="1" applyBorder="1" applyFont="1" applyNumberFormat="1">
      <alignment horizontal="right" readingOrder="0" vertical="center"/>
    </xf>
    <xf borderId="2" fillId="2" fontId="2" numFmtId="0" xfId="0" applyAlignment="1" applyBorder="1" applyFont="1">
      <alignment vertical="bottom"/>
    </xf>
    <xf borderId="8" fillId="0" fontId="2" numFmtId="166" xfId="0" applyAlignment="1" applyBorder="1" applyFont="1" applyNumberFormat="1">
      <alignment horizontal="right" readingOrder="0" vertical="center"/>
    </xf>
    <xf borderId="2" fillId="2" fontId="2" numFmtId="0" xfId="0" applyAlignment="1" applyBorder="1" applyFont="1">
      <alignment horizontal="center"/>
    </xf>
    <xf borderId="8" fillId="0" fontId="2" numFmtId="167" xfId="0" applyAlignment="1" applyBorder="1" applyFont="1" applyNumberFormat="1">
      <alignment horizontal="right" readingOrder="0" vertical="center"/>
    </xf>
    <xf borderId="9" fillId="0" fontId="2" numFmtId="167" xfId="0" applyAlignment="1" applyBorder="1" applyFont="1" applyNumberFormat="1">
      <alignment horizontal="right" readingOrder="0" vertical="center"/>
    </xf>
    <xf borderId="5" fillId="2" fontId="2" numFmtId="164" xfId="0" applyAlignment="1" applyBorder="1" applyFont="1" applyNumberFormat="1">
      <alignment horizontal="center" readingOrder="0" shrinkToFit="0" vertical="bottom" wrapText="1"/>
    </xf>
    <xf borderId="8" fillId="0" fontId="1" numFmtId="164" xfId="0" applyAlignment="1" applyBorder="1" applyFont="1" applyNumberFormat="1">
      <alignment horizontal="right" readingOrder="0"/>
    </xf>
    <xf borderId="2" fillId="2" fontId="1" numFmtId="0" xfId="0" applyAlignment="1" applyBorder="1" applyFont="1">
      <alignment horizontal="center" readingOrder="0"/>
    </xf>
    <xf borderId="8" fillId="0" fontId="1" numFmtId="9" xfId="0" applyAlignment="1" applyBorder="1" applyFont="1" applyNumberFormat="1">
      <alignment horizontal="right" readingOrder="0" shrinkToFit="0" wrapText="1"/>
    </xf>
    <xf borderId="1" fillId="2" fontId="2" numFmtId="0" xfId="0" applyAlignment="1" applyBorder="1" applyFont="1">
      <alignment horizontal="center"/>
    </xf>
    <xf borderId="8" fillId="0" fontId="1" numFmtId="167" xfId="0" applyAlignment="1" applyBorder="1" applyFont="1" applyNumberFormat="1">
      <alignment horizontal="right" readingOrder="0"/>
    </xf>
    <xf borderId="0" fillId="2" fontId="2" numFmtId="0" xfId="0" applyAlignment="1" applyFont="1">
      <alignment vertical="bottom"/>
    </xf>
    <xf borderId="0" fillId="0" fontId="5" numFmtId="49" xfId="0" applyAlignment="1" applyFont="1" applyNumberFormat="1">
      <alignment readingOrder="0" vertical="center"/>
    </xf>
    <xf borderId="0" fillId="2" fontId="2" numFmtId="49" xfId="0" applyAlignment="1" applyFont="1" applyNumberFormat="1">
      <alignment vertical="bottom"/>
    </xf>
    <xf borderId="12" fillId="0" fontId="5" numFmtId="164" xfId="0" applyAlignment="1" applyBorder="1" applyFont="1" applyNumberFormat="1">
      <alignment readingOrder="0" vertical="center"/>
    </xf>
    <xf borderId="0" fillId="2" fontId="5" numFmtId="164" xfId="0" applyAlignment="1" applyFont="1" applyNumberFormat="1">
      <alignment readingOrder="0"/>
    </xf>
    <xf borderId="12" fillId="2" fontId="5" numFmtId="164" xfId="0" applyAlignment="1" applyBorder="1" applyFont="1" applyNumberFormat="1">
      <alignment readingOrder="0"/>
    </xf>
    <xf borderId="0" fillId="0" fontId="5" numFmtId="164" xfId="0" applyAlignment="1" applyFont="1" applyNumberFormat="1">
      <alignment readingOrder="0" vertical="center"/>
    </xf>
    <xf borderId="0" fillId="0" fontId="3" numFmtId="167" xfId="0" applyFont="1" applyNumberFormat="1"/>
    <xf borderId="12" fillId="0" fontId="3" numFmtId="167" xfId="0" applyBorder="1" applyFont="1" applyNumberFormat="1"/>
    <xf borderId="0" fillId="0" fontId="3" numFmtId="164" xfId="0" applyFont="1" applyNumberFormat="1"/>
    <xf borderId="0" fillId="0" fontId="3" numFmtId="168" xfId="0" applyFont="1" applyNumberFormat="1"/>
    <xf borderId="0" fillId="0" fontId="3" numFmtId="9" xfId="0" applyFont="1" applyNumberFormat="1"/>
    <xf borderId="13" fillId="2" fontId="2" numFmtId="166" xfId="0" applyBorder="1" applyFont="1" applyNumberFormat="1"/>
    <xf borderId="13" fillId="2" fontId="2" numFmtId="0" xfId="0" applyBorder="1" applyFont="1"/>
    <xf borderId="13" fillId="2" fontId="2" numFmtId="9" xfId="0" applyAlignment="1" applyBorder="1" applyFont="1" applyNumberFormat="1">
      <alignment readingOrder="0"/>
    </xf>
    <xf borderId="13" fillId="2" fontId="2" numFmtId="9" xfId="0" applyAlignment="1" applyBorder="1" applyFont="1" applyNumberFormat="1">
      <alignment readingOrder="0" shrinkToFit="0" wrapText="1"/>
    </xf>
    <xf borderId="0" fillId="2" fontId="2" numFmtId="0" xfId="0" applyFont="1"/>
    <xf borderId="0" fillId="2" fontId="5" numFmtId="164" xfId="0" applyFont="1" applyNumberFormat="1"/>
    <xf borderId="0" fillId="2" fontId="5" numFmtId="168" xfId="0" applyFont="1" applyNumberFormat="1"/>
    <xf borderId="0" fillId="2" fontId="5" numFmtId="9" xfId="0" applyFont="1" applyNumberFormat="1"/>
    <xf borderId="0" fillId="2" fontId="5" numFmtId="0" xfId="0" applyFont="1"/>
    <xf borderId="6" fillId="2" fontId="5" numFmtId="0" xfId="0" applyBorder="1" applyFont="1"/>
    <xf borderId="6" fillId="2" fontId="5" numFmtId="164" xfId="0" applyBorder="1" applyFont="1" applyNumberFormat="1"/>
    <xf borderId="6" fillId="2" fontId="5" numFmtId="168" xfId="0" applyBorder="1" applyFont="1" applyNumberFormat="1"/>
    <xf borderId="14" fillId="2" fontId="2" numFmtId="9" xfId="0" applyBorder="1" applyFont="1" applyNumberFormat="1"/>
    <xf borderId="9" fillId="2" fontId="2" numFmtId="166" xfId="0" applyAlignment="1" applyBorder="1" applyFont="1" applyNumberFormat="1">
      <alignment vertical="bottom"/>
    </xf>
    <xf borderId="9" fillId="2" fontId="2" numFmtId="0" xfId="0" applyAlignment="1" applyBorder="1" applyFont="1">
      <alignment horizontal="center" vertical="bottom"/>
    </xf>
    <xf borderId="10" fillId="2" fontId="2" numFmtId="0" xfId="0" applyAlignment="1" applyBorder="1" applyFont="1">
      <alignment horizontal="center" vertical="bottom"/>
    </xf>
    <xf borderId="9" fillId="2" fontId="2" numFmtId="0" xfId="0" applyAlignment="1" applyBorder="1" applyFont="1">
      <alignment horizontal="center" readingOrder="0" vertical="bottom"/>
    </xf>
    <xf borderId="9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 readingOrder="0" vertical="bottom"/>
    </xf>
    <xf borderId="12" fillId="2" fontId="5" numFmtId="164" xfId="0" applyAlignment="1" applyBorder="1" applyFont="1" applyNumberFormat="1">
      <alignment vertical="bottom"/>
    </xf>
    <xf borderId="0" fillId="2" fontId="5" numFmtId="164" xfId="0" applyAlignment="1" applyFont="1" applyNumberFormat="1">
      <alignment vertical="bottom"/>
    </xf>
    <xf borderId="12" fillId="2" fontId="3" numFmtId="164" xfId="0" applyBorder="1" applyFont="1" applyNumberFormat="1"/>
    <xf borderId="0" fillId="2" fontId="2" numFmtId="164" xfId="0" applyAlignment="1" applyFont="1" applyNumberFormat="1">
      <alignment vertical="bottom"/>
    </xf>
    <xf borderId="15" fillId="2" fontId="5" numFmtId="0" xfId="0" applyAlignment="1" applyBorder="1" applyFont="1">
      <alignment vertical="bottom"/>
    </xf>
    <xf borderId="15" fillId="2" fontId="5" numFmtId="164" xfId="0" applyAlignment="1" applyBorder="1" applyFont="1" applyNumberFormat="1">
      <alignment vertical="bottom"/>
    </xf>
    <xf borderId="6" fillId="2" fontId="5" numFmtId="164" xfId="0" applyAlignment="1" applyBorder="1" applyFont="1" applyNumberFormat="1">
      <alignment vertical="bottom"/>
    </xf>
    <xf borderId="15" fillId="2" fontId="2" numFmtId="164" xfId="0" applyAlignment="1" applyBorder="1" applyFont="1" applyNumberFormat="1">
      <alignment vertical="bottom"/>
    </xf>
    <xf borderId="15" fillId="2" fontId="3" numFmtId="164" xfId="0" applyBorder="1" applyFont="1" applyNumberFormat="1"/>
    <xf borderId="14" fillId="2" fontId="2" numFmtId="164" xfId="0" applyAlignment="1" applyBorder="1" applyFont="1" applyNumberFormat="1">
      <alignment vertical="bottom"/>
    </xf>
    <xf borderId="0" fillId="0" fontId="1" numFmtId="0" xfId="0" applyAlignment="1" applyFont="1">
      <alignment readingOrder="0" vertical="bottom"/>
    </xf>
    <xf borderId="2" fillId="2" fontId="5" numFmtId="0" xfId="0" applyAlignment="1" applyBorder="1" applyFont="1">
      <alignment vertical="bottom"/>
    </xf>
    <xf borderId="5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readingOrder="0" vertical="bottom"/>
    </xf>
    <xf borderId="5" fillId="2" fontId="1" numFmtId="164" xfId="0" applyAlignment="1" applyBorder="1" applyFont="1" applyNumberForma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9" fillId="2" fontId="2" numFmtId="49" xfId="0" applyAlignment="1" applyBorder="1" applyFont="1" applyNumberFormat="1">
      <alignment vertical="bottom"/>
    </xf>
    <xf borderId="8" fillId="2" fontId="2" numFmtId="0" xfId="0" applyAlignment="1" applyBorder="1" applyFont="1">
      <alignment horizontal="center" vertical="bottom"/>
    </xf>
    <xf borderId="12" fillId="2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12" fillId="2" fontId="5" numFmtId="164" xfId="0" applyBorder="1" applyFont="1" applyNumberFormat="1"/>
    <xf borderId="14" fillId="0" fontId="1" numFmtId="0" xfId="0" applyAlignment="1" applyBorder="1" applyFont="1">
      <alignment readingOrder="0"/>
    </xf>
    <xf borderId="14" fillId="0" fontId="1" numFmtId="0" xfId="0" applyBorder="1" applyFont="1"/>
    <xf borderId="14" fillId="0" fontId="1" numFmtId="164" xfId="0" applyBorder="1" applyFont="1" applyNumberFormat="1"/>
    <xf borderId="14" fillId="0" fontId="1" numFmtId="167" xfId="0" applyBorder="1" applyFont="1" applyNumberFormat="1"/>
    <xf borderId="16" fillId="0" fontId="1" numFmtId="167" xfId="0" applyBorder="1" applyFont="1" applyNumberFormat="1"/>
    <xf borderId="12" fillId="2" fontId="5" numFmtId="0" xfId="0" applyAlignment="1" applyBorder="1" applyFont="1">
      <alignment vertical="bottom"/>
    </xf>
    <xf borderId="14" fillId="0" fontId="1" numFmtId="168" xfId="0" applyBorder="1" applyFont="1" applyNumberFormat="1"/>
    <xf borderId="12" fillId="2" fontId="2" numFmtId="164" xfId="0" applyAlignment="1" applyBorder="1" applyFont="1" applyNumberFormat="1">
      <alignment vertical="bottom"/>
    </xf>
    <xf borderId="14" fillId="2" fontId="1" numFmtId="9" xfId="0" applyBorder="1" applyFont="1" applyNumberFormat="1"/>
    <xf borderId="17" fillId="2" fontId="2" numFmtId="164" xfId="0" applyAlignment="1" applyBorder="1" applyFont="1" applyNumberFormat="1">
      <alignment vertical="bottom"/>
    </xf>
    <xf borderId="0" fillId="0" fontId="1" numFmtId="0" xfId="0" applyFont="1"/>
    <xf borderId="1" fillId="2" fontId="5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readingOrder="0" shrinkToFit="0" vertical="center" wrapText="1"/>
    </xf>
    <xf borderId="2" fillId="0" fontId="2" numFmtId="165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9" fillId="0" fontId="4" numFmtId="0" xfId="0" applyBorder="1" applyFont="1"/>
    <xf borderId="10" fillId="0" fontId="2" numFmtId="0" xfId="0" applyAlignment="1" applyBorder="1" applyFont="1">
      <alignment horizontal="right" readingOrder="0" vertical="center"/>
    </xf>
    <xf borderId="11" fillId="0" fontId="2" numFmtId="0" xfId="0" applyAlignment="1" applyBorder="1" applyFont="1">
      <alignment horizontal="right" readingOrder="0" vertical="center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9" fillId="2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3" numFmtId="165" xfId="0" applyAlignment="1" applyFont="1" applyNumberFormat="1">
      <alignment readingOrder="0" shrinkToFit="0" wrapText="1"/>
    </xf>
    <xf borderId="0" fillId="0" fontId="3" numFmtId="3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2" fontId="6" numFmtId="164" xfId="0" applyAlignment="1" applyFont="1" applyNumberForma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165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shrinkToFit="0" wrapText="1"/>
    </xf>
    <xf borderId="12" fillId="2" fontId="2" numFmtId="164" xfId="0" applyAlignment="1" applyBorder="1" applyFont="1" applyNumberFormat="1">
      <alignment vertical="center"/>
    </xf>
    <xf borderId="0" fillId="0" fontId="5" numFmtId="164" xfId="0" applyAlignment="1" applyFont="1" applyNumberFormat="1">
      <alignment vertical="center"/>
    </xf>
    <xf borderId="12" fillId="0" fontId="5" numFmtId="164" xfId="0" applyAlignment="1" applyBorder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3" numFmtId="49" xfId="0" applyAlignment="1" applyFont="1" applyNumberFormat="1">
      <alignment readingOrder="0" vertical="center"/>
    </xf>
    <xf borderId="0" fillId="0" fontId="8" numFmtId="0" xfId="0" applyAlignment="1" applyFont="1">
      <alignment readingOrder="0"/>
    </xf>
    <xf borderId="0" fillId="0" fontId="8" numFmtId="169" xfId="0" applyAlignment="1" applyFont="1" applyNumberFormat="1">
      <alignment readingOrder="0"/>
    </xf>
    <xf borderId="0" fillId="0" fontId="5" numFmtId="49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3" xfId="0" applyAlignment="1" applyFont="1" applyNumberFormat="1">
      <alignment readingOrder="0" vertical="bottom"/>
    </xf>
    <xf borderId="0" fillId="0" fontId="3" numFmtId="49" xfId="0" applyFont="1" applyNumberFormat="1"/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horizontal="right" readingOrder="0"/>
    </xf>
    <xf borderId="0" fillId="0" fontId="9" numFmtId="0" xfId="0" applyAlignment="1" applyFont="1">
      <alignment horizontal="right"/>
    </xf>
    <xf borderId="0" fillId="0" fontId="11" numFmtId="0" xfId="0" applyAlignment="1" applyFont="1">
      <alignment horizontal="right" readingOrder="0" shrinkToFit="0" vertical="bottom" wrapText="0"/>
    </xf>
    <xf borderId="0" fillId="0" fontId="4" numFmtId="11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6" fillId="0" fontId="5" numFmtId="49" xfId="0" applyAlignment="1" applyBorder="1" applyFont="1" applyNumberFormat="1">
      <alignment vertical="bottom"/>
    </xf>
    <xf borderId="15" fillId="0" fontId="5" numFmtId="164" xfId="0" applyAlignment="1" applyBorder="1" applyFont="1" applyNumberFormat="1">
      <alignment readingOrder="0" vertical="center"/>
    </xf>
    <xf borderId="6" fillId="2" fontId="5" numFmtId="164" xfId="0" applyAlignment="1" applyBorder="1" applyFont="1" applyNumberFormat="1">
      <alignment readingOrder="0"/>
    </xf>
    <xf borderId="15" fillId="2" fontId="5" numFmtId="164" xfId="0" applyAlignment="1" applyBorder="1" applyFont="1" applyNumberFormat="1">
      <alignment readingOrder="0"/>
    </xf>
    <xf borderId="6" fillId="0" fontId="5" numFmtId="164" xfId="0" applyAlignment="1" applyBorder="1" applyFont="1" applyNumberFormat="1">
      <alignment readingOrder="0" vertical="center"/>
    </xf>
    <xf borderId="15" fillId="2" fontId="2" numFmtId="164" xfId="0" applyAlignment="1" applyBorder="1" applyFont="1" applyNumberFormat="1">
      <alignment vertical="center"/>
    </xf>
    <xf borderId="6" fillId="0" fontId="5" numFmtId="164" xfId="0" applyAlignment="1" applyBorder="1" applyFont="1" applyNumberFormat="1">
      <alignment vertical="center"/>
    </xf>
    <xf borderId="15" fillId="0" fontId="5" numFmtId="164" xfId="0" applyAlignment="1" applyBorder="1" applyFont="1" applyNumberFormat="1">
      <alignment vertical="center"/>
    </xf>
    <xf borderId="6" fillId="0" fontId="2" numFmtId="164" xfId="0" applyAlignment="1" applyBorder="1" applyFont="1" applyNumberFormat="1">
      <alignment vertical="center"/>
    </xf>
    <xf borderId="12" fillId="0" fontId="5" numFmtId="167" xfId="0" applyAlignment="1" applyBorder="1" applyFont="1" applyNumberFormat="1">
      <alignment readingOrder="0" vertical="center"/>
    </xf>
    <xf borderId="12" fillId="0" fontId="5" numFmtId="0" xfId="0" applyAlignment="1" applyBorder="1" applyFont="1">
      <alignment vertical="center"/>
    </xf>
    <xf borderId="12" fillId="2" fontId="5" numFmtId="10" xfId="0" applyAlignment="1" applyBorder="1" applyFont="1" applyNumberFormat="1">
      <alignment readingOrder="0" vertical="center"/>
    </xf>
    <xf borderId="0" fillId="0" fontId="5" numFmtId="49" xfId="0" applyAlignment="1" applyFont="1" applyNumberFormat="1">
      <alignment vertical="center"/>
    </xf>
    <xf borderId="12" fillId="0" fontId="5" numFmtId="166" xfId="0" applyAlignment="1" applyBorder="1" applyFont="1" applyNumberFormat="1">
      <alignment vertical="center"/>
    </xf>
    <xf borderId="0" fillId="0" fontId="3" numFmtId="165" xfId="0" applyAlignment="1" applyFont="1" applyNumberFormat="1">
      <alignment horizontal="right" vertical="bottom"/>
    </xf>
    <xf borderId="0" fillId="0" fontId="3" numFmtId="3" xfId="0" applyAlignment="1" applyFont="1" applyNumberFormat="1">
      <alignment vertical="bottom"/>
    </xf>
    <xf borderId="0" fillId="2" fontId="12" numFmtId="168" xfId="0" applyFont="1" applyNumberFormat="1"/>
    <xf borderId="0" fillId="0" fontId="3" numFmtId="168" xfId="0" applyAlignment="1" applyFont="1" applyNumberFormat="1">
      <alignment readingOrder="0"/>
    </xf>
    <xf borderId="0" fillId="2" fontId="5" numFmtId="168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168" xfId="0" applyFont="1" applyNumberFormat="1"/>
    <xf borderId="0" fillId="0" fontId="5" numFmtId="164" xfId="0" applyFont="1" applyNumberFormat="1"/>
    <xf borderId="0" fillId="0" fontId="5" numFmtId="164" xfId="0" applyAlignment="1" applyFont="1" applyNumberFormat="1">
      <alignment horizontal="right" vertical="bottom"/>
    </xf>
    <xf borderId="0" fillId="0" fontId="3" numFmtId="165" xfId="0" applyFont="1" applyNumberFormat="1"/>
    <xf borderId="0" fillId="0" fontId="3" numFmtId="3" xfId="0" applyFont="1" applyNumberFormat="1"/>
  </cellXfs>
  <cellStyles count="1">
    <cellStyle xfId="0" name="Normal" builtinId="0"/>
  </cellStyles>
  <dxfs count="9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C53929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09300"/>
      </font>
      <fill>
        <patternFill patternType="none"/>
      </fill>
      <border/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Q37" sheet="Fund Summary (Current Year)"/>
  </cacheSource>
  <cacheFields>
    <cacheField name="Fund" numFmtId="49">
      <sharedItems>
        <s v="American Indian Initiatives Fund"/>
        <s v="Albert G. Boyce, Jr. Family Fund"/>
        <s v="Alden C. Hayes Research Fund"/>
        <s v="C. Paul Johnson Family Fund"/>
        <s v="Flora W. Minium Memorial Fund"/>
        <s v="Fred G. Myers Research Fellowship"/>
        <s v="Gomer W. Walters Research Fund"/>
        <s v="Katherine Carhart Fellowship"/>
        <s v="Richard G. and Mary Lyn Ballantine Fund"/>
        <s v="Robert &amp; Doris Haugen Research Fund"/>
        <s v="Stuart Struever Chair in Research"/>
        <s v="Board Designated Fund"/>
        <s v="Eleanor &amp; Robert A. McClevey Jr., Chair in Education"/>
        <s v="Four Corners Children's Education Fund"/>
        <s v="General Education Fund"/>
        <s v="Grace M. and Thor E. Larsen Education Fund"/>
        <s v="Lewis Matis Education Fund"/>
        <s v="National Youth Education Scholarship"/>
        <s v="Navajo Education Fund"/>
        <s v="Pamela &amp; Michael Reese Education Fund"/>
        <s v="Shirley &amp; Reinhardt Jahn Education Fund"/>
        <s v="Sidney &amp; Iris Taylor Education Fund"/>
        <s v="Dorothy Warner McEachren Memorial Trust"/>
        <s v="General Endowment"/>
        <s v="National Endowment for the Humanities I"/>
        <s v="National Endowment for the Humanities II"/>
        <s v="Florence C. and Robert H. Lister Fellowship"/>
        <s v="Jan and Frank Cicero Research Fund"/>
        <s v="Mark D. Varien Research Fund"/>
        <s v="Research Institute"/>
        <s v="Ricky R. Lightfoot Chair for Research"/>
        <s v="Segal Family Foundation"/>
        <s v="Sue Anschutz-Rodgers Research Fund"/>
        <s v="William D. Lipe Advances in Research"/>
        <s v="William D. Lipe Chair in Research"/>
      </sharedItems>
    </cacheField>
    <cacheField name="Department" numFmtId="164">
      <sharedItems>
        <s v=" American Indian Initiatives "/>
        <s v=" Archaeology "/>
        <s v=" Board Designated "/>
        <s v=" Education "/>
        <s v=" General Operations "/>
        <s v=" Research Institute "/>
      </sharedItems>
    </cacheField>
    <cacheField name="Contributed" numFmtId="164">
      <sharedItems containsSemiMixedTypes="0" containsString="0" containsNumber="1">
        <n v="81000.0"/>
        <n v="317377.0"/>
        <n v="276213.7"/>
        <n v="2960091.2499999995"/>
        <n v="50000.0"/>
        <n v="11540.75"/>
        <n v="158200.0"/>
        <n v="49449.04"/>
        <n v="325871.64"/>
        <n v="125000.0"/>
        <n v="1086625.0"/>
        <n v="1371168.0"/>
        <n v="758137.86"/>
        <n v="556601.64"/>
        <n v="429067.24"/>
        <n v="170000.0"/>
        <n v="129703.74"/>
        <n v="433755.86000000004"/>
        <n v="194469.0"/>
        <n v="100000.0"/>
        <n v="250000.0"/>
        <n v="366400.0"/>
        <n v="1456367.46"/>
        <n v="1183929.39"/>
        <n v="500000.0"/>
        <n v="112623.11"/>
        <n v="185189.56"/>
        <n v="420073.55"/>
        <n v="1081136.0"/>
        <n v="2005500.0"/>
        <n v="280000.0"/>
        <n v="1000000.0"/>
        <n v="2000000.0"/>
      </sharedItems>
    </cacheField>
    <cacheField name="Target" numFmtId="164">
      <sharedItems containsSemiMixedTypes="0" containsString="0" containsNumber="1">
        <n v="111079.38582385809"/>
        <n v="384705.60054391646"/>
        <n v="400157.1334417433"/>
        <n v="3907469.9277984765"/>
        <n v="78399.88274404753"/>
        <n v="18806.962690972276"/>
        <n v="214227.48362838163"/>
        <n v="80560.0873159117"/>
        <n v="521874.6169029091"/>
        <n v="137687.9257047644"/>
        <n v="1606791.21626816"/>
        <n v="1511057.8766079252"/>
        <n v="860369.9495391604"/>
        <n v="714767.6303555806"/>
        <n v="646570.2438376223"/>
        <n v="188108.09428745977"/>
        <n v="164177.32129392383"/>
        <n v="598223.1554145142"/>
        <n v="244374.8270557478"/>
        <n v="132976.59948622677"/>
        <n v="327195.39230068104"/>
        <n v="123356.73296928966"/>
        <n v="464509.6572734537"/>
        <n v="2033589.293937655"/>
        <n v="1929347.387862622"/>
        <n v="713616.1845300763"/>
        <n v="157883.73644256534"/>
        <n v="221459.97373532288"/>
        <n v="459049.4512480315"/>
        <n v="1169018.8686209258"/>
        <n v="2263556.988698928"/>
        <n v="294153.3691251027"/>
        <n v="1079225.8407559467"/>
        <n v="2084588.000332685"/>
      </sharedItems>
    </cacheField>
    <cacheField name="Market" numFmtId="164">
      <sharedItems containsSemiMixedTypes="0" containsString="0" containsNumber="1">
        <n v="83440.19"/>
        <n v="335453.92999999993"/>
        <n v="287889.24000000005"/>
        <n v="3112576.87"/>
        <n v="57206.45"/>
        <n v="17858.22"/>
        <n v="175944.2"/>
        <n v="52904.36"/>
        <n v="345429.9"/>
        <n v="140090.65"/>
        <n v="1426837.9000000001"/>
        <n v="1472539.1700000002"/>
        <n v="768732.7000000001"/>
        <n v="803382.8500000003"/>
        <n v="418966.17999999993"/>
        <n v="181791.45000000004"/>
        <n v="145128.97999999998"/>
        <n v="645874.0899999995"/>
        <n v="301896.79000000004"/>
        <n v="117976.27000000002"/>
        <n v="266538.01"/>
        <n v="144029.88"/>
        <n v="358115.12"/>
        <n v="1438994.28"/>
        <n v="1195926.9100000001"/>
        <n v="518748.18"/>
        <n v="170384.76999999993"/>
        <n v="210850.19000000006"/>
        <n v="492132.86999999994"/>
        <n v="1190377.92"/>
        <n v="2209087.37"/>
        <n v="301506.6"/>
        <n v="1114332.63"/>
        <n v="2075477.5200000003"/>
        <n v="2048912.2700000003"/>
      </sharedItems>
    </cacheField>
    <cacheField name="Market – &#10;Contributed" numFmtId="164">
      <sharedItems containsSemiMixedTypes="0" containsString="0" containsNumber="1">
        <n v="2440.1900000000023"/>
        <n v="18076.929999999935"/>
        <n v="11675.540000000037"/>
        <n v="152485.62000000058"/>
        <n v="7206.449999999997"/>
        <n v="6317.470000000001"/>
        <n v="17744.20000000001"/>
        <n v="3455.3199999999997"/>
        <n v="19558.26000000001"/>
        <n v="15090.649999999994"/>
        <n v="340212.90000000014"/>
        <n v="101371.17000000016"/>
        <n v="10594.840000000084"/>
        <n v="246781.2100000003"/>
        <n v="-10101.060000000056"/>
        <n v="11791.45000000004"/>
        <n v="15425.239999999976"/>
        <n v="212118.22999999946"/>
        <n v="107427.79000000004"/>
        <n v="17976.27000000002"/>
        <n v="16538.01000000001"/>
        <n v="44029.880000000005"/>
        <n v="-8284.880000000005"/>
        <n v="-17373.179999999935"/>
        <n v="11997.520000000251"/>
        <n v="18748.179999999993"/>
        <n v="57761.65999999993"/>
        <n v="25660.630000000063"/>
        <n v="72059.31999999995"/>
        <n v="109241.91999999993"/>
        <n v="203587.3700000001"/>
        <n v="21506.599999999977"/>
        <n v="114332.62999999989"/>
        <n v="75477.52000000025"/>
        <n v="48912.27000000025"/>
      </sharedItems>
    </cacheField>
    <cacheField name="Market / &#10;Contributed" numFmtId="167">
      <sharedItems containsSemiMixedTypes="0" containsString="0" containsNumber="1">
        <n v="1.0301258024691358"/>
        <n v="1.0569572779375944"/>
        <n v="1.042269952576574"/>
        <n v="1.0515138241093076"/>
        <n v="1.144129"/>
        <n v="1.5474054979095813"/>
        <n v="1.1121630847029078"/>
        <n v="1.069876381826624"/>
        <n v="1.0600182943198126"/>
        <n v="1.1207251999999999"/>
        <n v="1.313091360865064"/>
        <n v="1.0739305249247357"/>
        <n v="1.0139748198302616"/>
        <n v="1.4433713310654281"/>
        <n v="0.9764580954724018"/>
        <n v="1.0693614705882355"/>
        <n v="1.1189267171478632"/>
        <n v="1.489026776491272"/>
        <n v="1.5524160148918338"/>
        <n v="1.1797627000000002"/>
        <n v="1.06615204"/>
        <n v="1.4402988"/>
        <n v="0.9773884279475983"/>
        <n v="0.9880708815067868"/>
        <n v="1.0101336448789402"/>
        <n v="1.03749636"/>
        <n v="1.5128757321654493"/>
        <n v="1.1385641285610273"/>
        <n v="1.1715397696427208"/>
        <n v="1.1010436429829364"/>
        <n v="1.101514520069808"/>
        <n v="1.0768092857142857"/>
        <n v="1.1143326299999998"/>
        <n v="1.03773876"/>
        <n v="1.024456135"/>
      </sharedItems>
    </cacheField>
    <cacheField name="Market – &#10;Target" numFmtId="164">
      <sharedItems containsSemiMixedTypes="0" containsString="0" containsNumber="1">
        <n v="-27639.195823858085"/>
        <n v="-49251.67054391652"/>
        <n v="-112267.89344174328"/>
        <n v="-794893.0577984764"/>
        <n v="-21193.43274404753"/>
        <n v="-948.7426909722744"/>
        <n v="-38283.283628381614"/>
        <n v="-27655.727315911703"/>
        <n v="-176444.7169029091"/>
        <n v="2402.724295235588"/>
        <n v="-179953.31626815978"/>
        <n v="-38518.70660792501"/>
        <n v="-91637.24953916029"/>
        <n v="88615.21964441973"/>
        <n v="-227604.0638376224"/>
        <n v="-6316.644287459727"/>
        <n v="-19048.341293923848"/>
        <n v="47650.93458548526"/>
        <n v="57521.96294425224"/>
        <n v="-15000.32948622675"/>
        <n v="-60657.38230068103"/>
        <n v="20673.147030710345"/>
        <n v="-106394.53727345372"/>
        <n v="-594595.0139376549"/>
        <n v="-733420.4778626219"/>
        <n v="-194868.00453007634"/>
        <n v="12501.033557434595"/>
        <n v="-10609.783735322824"/>
        <n v="33083.41875196842"/>
        <n v="21359.05137907411"/>
        <n v="-54469.61869892804"/>
        <n v="7353.230874897272"/>
        <n v="35106.78924405319"/>
        <n v="-9110.480332684703"/>
        <n v="-35675.7303326847"/>
      </sharedItems>
    </cacheField>
    <cacheField name="Market / &#10;Target" numFmtId="167">
      <sharedItems containsSemiMixedTypes="0" containsString="0" containsNumber="1">
        <n v="0.7511761915240837"/>
        <n v="0.8719756861499235"/>
        <n v="0.7194404796032763"/>
        <n v="0.7965709084173732"/>
        <n v="0.7296751984535763"/>
        <n v="0.9495536463510033"/>
        <n v="0.821296114858954"/>
        <n v="0.6567068353903172"/>
        <n v="0.6619020906783529"/>
        <n v="1.0174505083356953"/>
        <n v="0.8880045431875655"/>
        <n v="0.974508781427755"/>
        <n v="0.8934908761187628"/>
        <n v="1.1239776619435546"/>
        <n v="0.6479824643851346"/>
        <n v="0.9664201356598358"/>
        <n v="0.8839770246962312"/>
        <n v="1.079654112606971"/>
        <n v="1.235384158169164"/>
        <n v="0.8871957205690131"/>
        <n v="0.8146141916175303"/>
        <n v="1.1675883150687612"/>
        <n v="0.7709530133389241"/>
        <n v="0.7076130289876105"/>
        <n v="0.6198608490743998"/>
        <n v="0.726928832677192"/>
        <n v="1.0791787288488843"/>
        <n v="0.952091641860289"/>
        <n v="1.072069400501457"/>
        <n v="1.0182709209854508"/>
        <n v="0.9759362724371977"/>
        <n v="1.0249979488481398"/>
        <n v="1.0325296040163963"/>
        <n v="0.99562960146982"/>
        <n v="0.9828859562047795"/>
      </sharedItems>
    </cacheField>
    <cacheField name=" Approved &#10;Distribution " numFmtId="164">
      <sharedItems containsSemiMixedTypes="0" containsString="0" containsNumber="1">
        <n v="4615.8467166945375"/>
        <n v="16650.10569602673"/>
        <n v="14088.97820607715"/>
        <n v="151137.1817895185"/>
        <n v="2656.3118676828663"/>
        <n v="793.1949485648468"/>
        <n v="8740.264963478203"/>
        <n v="2440.2634890106024"/>
        <n v="16308.248010867293"/>
        <n v="6418.7101117110415"/>
        <n v="66960.82370790953"/>
        <n v="67375.07553001506"/>
        <n v="37602.64738229447"/>
        <n v="33070.03586097785"/>
        <n v="20586.613704350588"/>
        <n v="8402.595388121052"/>
        <n v="7070.522291212943"/>
        <n v="27281.874080348687"/>
        <n v="11585.421007032937"/>
        <n v="5732.341243829265"/>
        <n v="13091.105701912915"/>
        <n v="5810.961265961141"/>
        <n v="17972.068842364715"/>
        <n v="69151.27530981819"/>
        <n v="57027.286464220895"/>
        <n v="25014.858053710414"/>
        <n v="7649.875739924851"/>
        <n v="10387.780777624062"/>
        <n v="35449.45554977661"/>
        <n v="52852.602857028425"/>
        <n v="144083.72445398266"/>
        <n v="17965.911099036868"/>
        <n v="48606.59802648084"/>
        <n v="135474.914205"/>
        <n v="115474.91420500001"/>
      </sharedItems>
    </cacheField>
    <cacheField name=" Amount &#10;Distributed " numFmtId="168">
      <sharedItems containsString="0" containsBlank="1" containsNumber="1">
        <m/>
        <n v="-16000.0"/>
        <n v="-14000.0"/>
        <n v="-122500.0"/>
        <n v="-2600.0"/>
        <n v="-8700.0"/>
        <n v="-3500.0"/>
        <n v="-6400.0"/>
        <n v="-15600.0"/>
        <n v="-66999.66999999993"/>
        <n v="-37000.0"/>
        <n v="-1625.0"/>
        <n v="-20000.0"/>
        <n v="-7000.0"/>
        <n v="-4475.0"/>
        <n v="-5000.0"/>
        <n v="-13000.0"/>
        <n v="-15000.0"/>
        <n v="-45000.0"/>
        <n v="-23000.0"/>
        <n v="-10000.0"/>
        <n v="-2500.0"/>
        <n v="-500.0"/>
        <n v="-27600.0"/>
        <n v="-68000.0"/>
        <n v="-17000.0"/>
        <n v="-23400.0"/>
      </sharedItems>
    </cacheField>
    <cacheField name=" Distribution&#10;Remaining " numFmtId="164">
      <sharedItems containsSemiMixedTypes="0" containsString="0" containsNumber="1">
        <n v="4615.8467166945375"/>
        <n v="650.1056960267306"/>
        <n v="88.97820607715039"/>
        <n v="28637.18178951851"/>
        <n v="56.31186768286625"/>
        <n v="793.1949485648468"/>
        <n v="40.264963478202844"/>
        <n v="2440.2634890106024"/>
        <n v="12808.248010867293"/>
        <n v="18.710111711041463"/>
        <n v="51360.82370790953"/>
        <n v="375.40553001513763"/>
        <n v="602.6473822944681"/>
        <n v="31445.03586097785"/>
        <n v="586.6137043505878"/>
        <n v="-297.40461187894834"/>
        <n v="70.52229121294295"/>
        <n v="22806.874080348687"/>
        <n v="11585.421007032937"/>
        <n v="732.3412438292653"/>
        <n v="91.10570191291481"/>
        <n v="2310.961265961141"/>
        <n v="2972.0688423647152"/>
        <n v="24151.275309818186"/>
        <n v="34027.286464220895"/>
        <n v="15014.858053710414"/>
        <n v="5149.875739924851"/>
        <n v="9887.780777624062"/>
        <n v="35449.45554977661"/>
        <n v="25252.602857028425"/>
        <n v="76083.72445398266"/>
        <n v="17965.911099036868"/>
        <n v="48606.59802648084"/>
        <n v="118474.91420500001"/>
        <n v="92074.91420500001"/>
      </sharedItems>
    </cacheField>
    <cacheField name="% Distribution Remaining" numFmtId="9">
      <sharedItems containsSemiMixedTypes="0" containsString="0" containsNumber="1">
        <n v="1.0"/>
        <n v="0.03904513928592462"/>
        <n v="0.006315447775962239"/>
        <n v="0.18947807184469098"/>
        <n v="0.021199268191346744"/>
        <n v="0.004606835564648527"/>
        <n v="0.7853846717521273"/>
        <n v="0.002914933278713516"/>
        <n v="0.7670279555094944"/>
        <n v="0.005571875460798518"/>
        <n v="0.016026727484571467"/>
        <n v="0.950861861570659"/>
        <n v="0.028494909982529966"/>
        <n v="-0.0353943749688812"/>
        <n v="0.009974127554987864"/>
        <n v="0.8359716789682212"/>
        <n v="0.1277560446384126"/>
        <n v="0.006959358818682684"/>
        <n v="0.3976900137844758"/>
        <n v="0.16537154784088054"/>
        <n v="0.3492527824196057"/>
        <n v="0.5966842992883719"/>
        <n v="0.6002375876557606"/>
        <n v="0.673197306074862"/>
        <n v="0.951866523687424"/>
        <n v="0.47779298448818575"/>
        <n v="0.5280521775954107"/>
        <n v="0.8745155138147888"/>
        <n v="0.7973585850996303"/>
      </sharedItems>
    </cacheField>
    <cacheField name="Distribution /&#10;Market" numFmtId="167">
      <sharedItems containsSemiMixedTypes="0" containsString="0" containsNumber="1">
        <n v="0.055319225863394335"/>
        <n v="0.04963455248840499"/>
        <n v="0.04893888429479736"/>
        <n v="0.04855693147572561"/>
        <n v="0.046433782688540655"/>
        <n v="0.04441623793215935"/>
        <n v="0.04967634604311027"/>
        <n v="0.04612594290925365"/>
        <n v="0.047211454511804835"/>
        <n v="0.045818262044690646"/>
        <n v="0.04692952416522544"/>
        <n v="0.04575435200818125"/>
        <n v="0.048915113643916104"/>
        <n v="0.04116348246788917"/>
        <n v="0.04913669572171814"/>
        <n v="0.0462210702875248"/>
        <n v="0.04871888640857907"/>
        <n v="0.042240236143160206"/>
        <n v="0.03837543621127252"/>
        <n v="0.04858893440036089"/>
        <n v="0.04911534269319755"/>
        <n v="0.0403455259836441"/>
        <n v="0.05018517185860434"/>
        <n v="0.04805528157472466"/>
        <n v="0.04768459174835433"/>
        <n v="0.048221582297812426"/>
        <n v="0.04489764983058553"/>
        <n v="0.04926616749846922"/>
        <n v="0.07203228581292816"/>
        <n v="0.044399851483324246"/>
        <n v="0.06522318963508567"/>
        <n v="0.05958712379442729"/>
        <n v="0.04361946937377293"/>
        <n v="0.0652740937444603"/>
        <n v="0.056359130596157735"/>
      </sharedItems>
    </cacheField>
    <cacheField name="Spent /&#10;Market" numFmtId="167">
      <sharedItems containsSemiMixedTypes="0" containsString="0" containsNumber="1">
        <n v="0.0"/>
        <n v="0.04769656447310068"/>
        <n v="0.04862981332681971"/>
        <n v="0.039356457725010334"/>
        <n v="0.045449420476187566"/>
        <n v="0.049447495285437085"/>
        <n v="0.010132301807110502"/>
        <n v="0.045684704867883764"/>
        <n v="0.01093326719173916"/>
        <n v="0.04549941445700213"/>
        <n v="0.04813116444766822"/>
        <n v="0.0020226968997408886"/>
        <n v="0.04773655000028881"/>
        <n v="0.04785703618074447"/>
        <n v="0.04823295802120294"/>
        <n v="0.006928595014548429"/>
        <n v="0.042381404328175484"/>
        <n v="0.048773531399893016"/>
        <n v="0.02430051319906675"/>
        <n v="0.04188597230968634"/>
        <n v="0.03127184077479446"/>
        <n v="0.01923194453413545"/>
        <n v="0.019277176066429765"/>
        <n v="0.014672672915542868"/>
        <n v="0.0023713519062989693"/>
        <n v="0.02318591393227455"/>
        <n v="0.030781942318560265"/>
        <n v="0.008190886114728912"/>
        <n v="0.01142069396656012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epartment Summary (Current Yea" cacheId="0" dataCaption="" compact="0" compactData="0">
  <location ref="A1:D8" firstHeaderRow="0" firstDataRow="2" firstDataCol="0"/>
  <pivotFields>
    <pivotField name="Fun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Department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Contribu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Targe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Marke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arket – &#10;Contribu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arket / &#10;Contributed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arket – &#10;Targe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arket / &#10;Targe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 Approved &#10;Distribution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 Amount &#10;Distributed " dataField="1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 Distribution&#10;Remaining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% Distribution Remaining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Distribution /&#10;Marke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Spent /&#10;Marke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</pivotFields>
  <rowFields>
    <field x="1"/>
  </rowFields>
  <colFields>
    <field x="-2"/>
  </colFields>
  <dataFields>
    <dataField name="Approved &#10;Distribution " fld="9" baseField="0"/>
    <dataField name="Amount &#10;Distributed " fld="10" baseField="0"/>
    <dataField name="Distribution&#10;Remaining " fld="11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3.71"/>
    <col customWidth="1" min="2" max="2" width="23.86"/>
    <col customWidth="1" min="3" max="15" width="14.14"/>
  </cols>
  <sheetData>
    <row r="1">
      <c r="A1" s="2" t="s">
        <v>1</v>
      </c>
      <c r="B1" s="5" t="str">
        <f>IFERROR(__xludf.DUMMYFUNCTION("CONCATENATE(MAX(FILTER('Fund Data'!$B:$B,'Fund Data'!$A:$A = MAX('Fund Data'!$A:$A))) + 1,""/1/"",MAX('Fund Data'!$A:$A))"),"7/1/2019")</f>
        <v>7/1/2019</v>
      </c>
      <c r="C1" s="7" t="s">
        <v>3</v>
      </c>
      <c r="D1" s="8"/>
      <c r="E1" s="9"/>
      <c r="F1" s="11" t="s">
        <v>5</v>
      </c>
      <c r="G1" s="13"/>
      <c r="H1" s="13"/>
      <c r="I1" s="14"/>
      <c r="J1" s="15" t="s">
        <v>8</v>
      </c>
      <c r="K1" s="13"/>
      <c r="L1" s="13"/>
      <c r="M1" s="13"/>
      <c r="N1" s="13"/>
      <c r="O1" s="13"/>
      <c r="P1" s="16"/>
      <c r="Q1" s="16"/>
    </row>
    <row r="2">
      <c r="A2" s="18" t="s">
        <v>9</v>
      </c>
      <c r="B2" s="19" t="s">
        <v>10</v>
      </c>
      <c r="C2" s="21" t="s">
        <v>11</v>
      </c>
      <c r="D2" s="21" t="s">
        <v>12</v>
      </c>
      <c r="E2" s="23" t="s">
        <v>13</v>
      </c>
      <c r="F2" s="25" t="s">
        <v>14</v>
      </c>
      <c r="G2" s="27" t="s">
        <v>15</v>
      </c>
      <c r="H2" s="25" t="s">
        <v>16</v>
      </c>
      <c r="I2" s="28" t="s">
        <v>17</v>
      </c>
      <c r="J2" s="30" t="s">
        <v>18</v>
      </c>
      <c r="K2" s="30" t="s">
        <v>19</v>
      </c>
      <c r="L2" s="30" t="s">
        <v>20</v>
      </c>
      <c r="M2" s="32" t="s">
        <v>21</v>
      </c>
      <c r="N2" s="34" t="s">
        <v>22</v>
      </c>
      <c r="O2" s="34" t="s">
        <v>23</v>
      </c>
      <c r="P2" s="16" t="s">
        <v>24</v>
      </c>
      <c r="Q2" s="16" t="s">
        <v>24</v>
      </c>
    </row>
    <row r="3">
      <c r="A3" s="36" t="s">
        <v>25</v>
      </c>
      <c r="B3" s="38" t="str">
        <f>IFERROR(__xludf.DUMMYFUNCTION("FILTER('Endowed Funds'!$C:$C,'Endowed Funds'!$B:$B = $A3)")," American Indian Initiatives ")</f>
        <v>American Indian Initiatives</v>
      </c>
      <c r="C3" s="39">
        <f>IFERROR(__xludf.DUMMYFUNCTION("IFERROR(sum(FILTER('Fund Data'!$V:$V, 'Fund Data'!$C:$C = $A3)),0)"),81000.0)</f>
        <v>81000</v>
      </c>
      <c r="D3" s="40">
        <f>IFERROR(__xludf.DUMMYFUNCTION("IFERROR(FILTER('Fund Data'!$R:$R,'Fund Data'!$C:$C = $A3,'Fund Data'!$A:$A = MAX('Fund Data'!$A:$A), 'Fund Data'!$B:$B = MAX(FILTER('Fund Data'!$B:$B,'Fund Data'!$C:$C = $A3,'Fund Data'!$A:$A = MAX('Fund Data'!$A:$A)))),0)"),111079.38582385809)</f>
        <v>111079.3858</v>
      </c>
      <c r="E3" s="40">
        <f>IFERROR(__xludf.DUMMYFUNCTION("IFERROR(FILTER('Fund Data'!$P:$P,'Fund Data'!$C:$C = $A3,'Fund Data'!$A:$A = MAX('Fund Data'!$A:$A), 'Fund Data'!$B:$B = MAX(FILTER('Fund Data'!$B:$B,'Fund Data'!$C:$C = $A3,'Fund Data'!$A:$A = MAX('Fund Data'!$A:$A)))),0)"),83440.19)</f>
        <v>83440.19</v>
      </c>
      <c r="F3" s="41">
        <f t="shared" ref="F3:F37" si="1">$E3-$C3</f>
        <v>2440.19</v>
      </c>
      <c r="G3" s="42">
        <f t="shared" ref="G3:G38" si="2">$E3/$C3</f>
        <v>1.030125802</v>
      </c>
      <c r="H3" s="41">
        <f t="shared" ref="H3:H37" si="3">$E3-$D3</f>
        <v>-27639.19582</v>
      </c>
      <c r="I3" s="43">
        <f t="shared" ref="I3:I38" si="4">$E3/$D3</f>
        <v>0.7511761915</v>
      </c>
      <c r="J3" s="44">
        <f>IFERROR(__xludf.DUMMYFUNCTION("IFERROR(FILTER('Fund Data'!$AC:$AC,'Fund Data'!$C:$C = $A3,'Fund Data'!$A:$A = MAX('Fund Data'!$A:$A), 'Fund Data'!$B:$B = MAX(FILTER('Fund Data'!$B:$B,'Fund Data'!$C:$C = $A3,'Fund Data'!$A:$A = MAX('Fund Data'!$A:$A)))),0)"),4615.8467166945375)</f>
        <v>4615.846717</v>
      </c>
      <c r="K3" s="45" t="str">
        <f>IFERROR(__xludf.DUMMYFUNCTION("IFERROR(FILTER('Fund Data'!$F:$F,'Fund Data'!$C:$C = $A3,'Fund Data'!$A:$A = MAX('Fund Data'!$A:$A), 'Fund Data'!$B:$B = MAX(FILTER('Fund Data'!$B:$B,'Fund Data'!$C:$C = $A3,'Fund Data'!$A:$A = MAX('Fund Data'!$A:$A)))),0)"),"")</f>
        <v/>
      </c>
      <c r="L3" s="44">
        <f t="shared" ref="L3:L37" si="5">J3+K3</f>
        <v>4615.846717</v>
      </c>
      <c r="M3" s="46">
        <f t="shared" ref="M3:M38" si="6">L3/J3</f>
        <v>1</v>
      </c>
      <c r="N3" s="42">
        <f t="shared" ref="N3:N38" si="7">$J3/$E3</f>
        <v>0.05531922586</v>
      </c>
      <c r="O3" s="42">
        <f t="shared" ref="O3:O38" si="8">$K3/$E3*(-1)</f>
        <v>0</v>
      </c>
      <c r="P3" s="16"/>
      <c r="Q3" s="16"/>
    </row>
    <row r="4">
      <c r="A4" s="36" t="s">
        <v>26</v>
      </c>
      <c r="B4" s="38" t="str">
        <f>IFERROR(__xludf.DUMMYFUNCTION("FILTER('Endowed Funds'!$C:$C,'Endowed Funds'!$B:$B = $A4)")," Archaeology ")</f>
        <v>Archaeology</v>
      </c>
      <c r="C4" s="39">
        <f>IFERROR(__xludf.DUMMYFUNCTION("IFERROR(sum(FILTER('Fund Data'!$V:$V, 'Fund Data'!$C:$C = $A4)),0)"),317377.0)</f>
        <v>317377</v>
      </c>
      <c r="D4" s="40">
        <f>IFERROR(__xludf.DUMMYFUNCTION("IFERROR(FILTER('Fund Data'!$R:$R,'Fund Data'!$C:$C = $A4,'Fund Data'!$A:$A = MAX('Fund Data'!$A:$A), 'Fund Data'!$B:$B = MAX(FILTER('Fund Data'!$B:$B,'Fund Data'!$C:$C = $A4,'Fund Data'!$A:$A = MAX('Fund Data'!$A:$A)))),0)"),384705.60054391646)</f>
        <v>384705.6005</v>
      </c>
      <c r="E4" s="40">
        <f>IFERROR(__xludf.DUMMYFUNCTION("IFERROR(FILTER('Fund Data'!$P:$P,'Fund Data'!$C:$C = $A4,'Fund Data'!$A:$A = MAX('Fund Data'!$A:$A), 'Fund Data'!$B:$B = MAX(FILTER('Fund Data'!$B:$B,'Fund Data'!$C:$C = $A4,'Fund Data'!$A:$A = MAX('Fund Data'!$A:$A)))),0)"),335453.92999999993)</f>
        <v>335453.93</v>
      </c>
      <c r="F4" s="41">
        <f t="shared" si="1"/>
        <v>18076.93</v>
      </c>
      <c r="G4" s="42">
        <f t="shared" si="2"/>
        <v>1.056957278</v>
      </c>
      <c r="H4" s="41">
        <f t="shared" si="3"/>
        <v>-49251.67054</v>
      </c>
      <c r="I4" s="43">
        <f t="shared" si="4"/>
        <v>0.8719756861</v>
      </c>
      <c r="J4" s="44">
        <f>IFERROR(__xludf.DUMMYFUNCTION("IFERROR(FILTER('Fund Data'!$AC:$AC,'Fund Data'!$C:$C = $A4,'Fund Data'!$A:$A = MAX('Fund Data'!$A:$A), 'Fund Data'!$B:$B = MAX(FILTER('Fund Data'!$B:$B,'Fund Data'!$C:$C = $A4,'Fund Data'!$A:$A = MAX('Fund Data'!$A:$A)))),0)"),16650.10569602673)</f>
        <v>16650.1057</v>
      </c>
      <c r="K4" s="44">
        <f>IFERROR(__xludf.DUMMYFUNCTION("IFERROR(FILTER('Fund Data'!$F:$F,'Fund Data'!$C:$C = $A4,'Fund Data'!$A:$A = MAX('Fund Data'!$A:$A), 'Fund Data'!$B:$B = MAX(FILTER('Fund Data'!$B:$B,'Fund Data'!$C:$C = $A4,'Fund Data'!$A:$A = MAX('Fund Data'!$A:$A)))),0)"),-16000.0)</f>
        <v>-16000</v>
      </c>
      <c r="L4" s="44">
        <f t="shared" si="5"/>
        <v>650.105696</v>
      </c>
      <c r="M4" s="46">
        <f t="shared" si="6"/>
        <v>0.03904513929</v>
      </c>
      <c r="N4" s="42">
        <f t="shared" si="7"/>
        <v>0.04963455249</v>
      </c>
      <c r="O4" s="42">
        <f t="shared" si="8"/>
        <v>0.04769656447</v>
      </c>
      <c r="P4" s="16"/>
      <c r="Q4" s="16"/>
    </row>
    <row r="5">
      <c r="A5" s="36" t="s">
        <v>27</v>
      </c>
      <c r="B5" s="38" t="str">
        <f>IFERROR(__xludf.DUMMYFUNCTION("FILTER('Endowed Funds'!$C:$C,'Endowed Funds'!$B:$B = $A5)")," Archaeology ")</f>
        <v>Archaeology</v>
      </c>
      <c r="C5" s="39">
        <f>IFERROR(__xludf.DUMMYFUNCTION("IFERROR(sum(FILTER('Fund Data'!$V:$V, 'Fund Data'!$C:$C = $A5)),0)"),276213.7)</f>
        <v>276213.7</v>
      </c>
      <c r="D5" s="40">
        <f>IFERROR(__xludf.DUMMYFUNCTION("IFERROR(FILTER('Fund Data'!$R:$R,'Fund Data'!$C:$C = $A5,'Fund Data'!$A:$A = MAX('Fund Data'!$A:$A), 'Fund Data'!$B:$B = MAX(FILTER('Fund Data'!$B:$B,'Fund Data'!$C:$C = $A5,'Fund Data'!$A:$A = MAX('Fund Data'!$A:$A)))),0)"),400157.1334417433)</f>
        <v>400157.1334</v>
      </c>
      <c r="E5" s="40">
        <f>IFERROR(__xludf.DUMMYFUNCTION("IFERROR(FILTER('Fund Data'!$P:$P,'Fund Data'!$C:$C = $A5,'Fund Data'!$A:$A = MAX('Fund Data'!$A:$A), 'Fund Data'!$B:$B = MAX(FILTER('Fund Data'!$B:$B,'Fund Data'!$C:$C = $A5,'Fund Data'!$A:$A = MAX('Fund Data'!$A:$A)))),0)"),287889.24000000005)</f>
        <v>287889.24</v>
      </c>
      <c r="F5" s="41">
        <f t="shared" si="1"/>
        <v>11675.54</v>
      </c>
      <c r="G5" s="42">
        <f t="shared" si="2"/>
        <v>1.042269953</v>
      </c>
      <c r="H5" s="41">
        <f t="shared" si="3"/>
        <v>-112267.8934</v>
      </c>
      <c r="I5" s="43">
        <f t="shared" si="4"/>
        <v>0.7194404796</v>
      </c>
      <c r="J5" s="44">
        <f>IFERROR(__xludf.DUMMYFUNCTION("IFERROR(FILTER('Fund Data'!$AC:$AC,'Fund Data'!$C:$C = $A5,'Fund Data'!$A:$A = MAX('Fund Data'!$A:$A), 'Fund Data'!$B:$B = MAX(FILTER('Fund Data'!$B:$B,'Fund Data'!$C:$C = $A5,'Fund Data'!$A:$A = MAX('Fund Data'!$A:$A)))),0)"),14088.97820607715)</f>
        <v>14088.97821</v>
      </c>
      <c r="K5" s="44">
        <f>IFERROR(__xludf.DUMMYFUNCTION("IFERROR(FILTER('Fund Data'!$F:$F,'Fund Data'!$C:$C = $A5,'Fund Data'!$A:$A = MAX('Fund Data'!$A:$A), 'Fund Data'!$B:$B = MAX(FILTER('Fund Data'!$B:$B,'Fund Data'!$C:$C = $A5,'Fund Data'!$A:$A = MAX('Fund Data'!$A:$A)))),0)"),-14000.0)</f>
        <v>-14000</v>
      </c>
      <c r="L5" s="44">
        <f t="shared" si="5"/>
        <v>88.97820608</v>
      </c>
      <c r="M5" s="46">
        <f t="shared" si="6"/>
        <v>0.006315447776</v>
      </c>
      <c r="N5" s="42">
        <f t="shared" si="7"/>
        <v>0.04893888429</v>
      </c>
      <c r="O5" s="42">
        <f t="shared" si="8"/>
        <v>0.04862981333</v>
      </c>
      <c r="P5" s="16"/>
      <c r="Q5" s="16"/>
    </row>
    <row r="6">
      <c r="A6" s="36" t="s">
        <v>28</v>
      </c>
      <c r="B6" s="38" t="str">
        <f>IFERROR(__xludf.DUMMYFUNCTION("FILTER('Endowed Funds'!$C:$C,'Endowed Funds'!$B:$B = $A6)")," Archaeology ")</f>
        <v>Archaeology</v>
      </c>
      <c r="C6" s="39">
        <f>IFERROR(__xludf.DUMMYFUNCTION("IFERROR(sum(FILTER('Fund Data'!$V:$V, 'Fund Data'!$C:$C = $A6)),0)"),2960091.2499999995)</f>
        <v>2960091.25</v>
      </c>
      <c r="D6" s="40">
        <f>IFERROR(__xludf.DUMMYFUNCTION("IFERROR(FILTER('Fund Data'!$R:$R,'Fund Data'!$C:$C = $A6,'Fund Data'!$A:$A = MAX('Fund Data'!$A:$A), 'Fund Data'!$B:$B = MAX(FILTER('Fund Data'!$B:$B,'Fund Data'!$C:$C = $A6,'Fund Data'!$A:$A = MAX('Fund Data'!$A:$A)))),0)"),3907469.9277984765)</f>
        <v>3907469.928</v>
      </c>
      <c r="E6" s="40">
        <f>IFERROR(__xludf.DUMMYFUNCTION("IFERROR(FILTER('Fund Data'!$P:$P,'Fund Data'!$C:$C = $A6,'Fund Data'!$A:$A = MAX('Fund Data'!$A:$A), 'Fund Data'!$B:$B = MAX(FILTER('Fund Data'!$B:$B,'Fund Data'!$C:$C = $A6,'Fund Data'!$A:$A = MAX('Fund Data'!$A:$A)))),0)"),3112576.87)</f>
        <v>3112576.87</v>
      </c>
      <c r="F6" s="41">
        <f t="shared" si="1"/>
        <v>152485.62</v>
      </c>
      <c r="G6" s="42">
        <f t="shared" si="2"/>
        <v>1.051513824</v>
      </c>
      <c r="H6" s="41">
        <f t="shared" si="3"/>
        <v>-794893.0578</v>
      </c>
      <c r="I6" s="43">
        <f t="shared" si="4"/>
        <v>0.7965709084</v>
      </c>
      <c r="J6" s="44">
        <f>IFERROR(__xludf.DUMMYFUNCTION("IFERROR(FILTER('Fund Data'!$AC:$AC,'Fund Data'!$C:$C = $A6,'Fund Data'!$A:$A = MAX('Fund Data'!$A:$A), 'Fund Data'!$B:$B = MAX(FILTER('Fund Data'!$B:$B,'Fund Data'!$C:$C = $A6,'Fund Data'!$A:$A = MAX('Fund Data'!$A:$A)))),0)"),151137.1817895185)</f>
        <v>151137.1818</v>
      </c>
      <c r="K6" s="44">
        <f>IFERROR(__xludf.DUMMYFUNCTION("IFERROR(FILTER('Fund Data'!$F:$F,'Fund Data'!$C:$C = $A6,'Fund Data'!$A:$A = MAX('Fund Data'!$A:$A), 'Fund Data'!$B:$B = MAX(FILTER('Fund Data'!$B:$B,'Fund Data'!$C:$C = $A6,'Fund Data'!$A:$A = MAX('Fund Data'!$A:$A)))),0)"),-122500.0)</f>
        <v>-122500</v>
      </c>
      <c r="L6" s="44">
        <f t="shared" si="5"/>
        <v>28637.18179</v>
      </c>
      <c r="M6" s="46">
        <f t="shared" si="6"/>
        <v>0.1894780718</v>
      </c>
      <c r="N6" s="42">
        <f t="shared" si="7"/>
        <v>0.04855693148</v>
      </c>
      <c r="O6" s="42">
        <f t="shared" si="8"/>
        <v>0.03935645773</v>
      </c>
      <c r="P6" s="16"/>
      <c r="Q6" s="16"/>
    </row>
    <row r="7">
      <c r="A7" s="36" t="s">
        <v>29</v>
      </c>
      <c r="B7" s="38" t="str">
        <f>IFERROR(__xludf.DUMMYFUNCTION("FILTER('Endowed Funds'!$C:$C,'Endowed Funds'!$B:$B = $A7)")," Archaeology ")</f>
        <v>Archaeology</v>
      </c>
      <c r="C7" s="39">
        <f>IFERROR(__xludf.DUMMYFUNCTION("IFERROR(sum(FILTER('Fund Data'!$V:$V, 'Fund Data'!$C:$C = $A7)),0)"),50000.0)</f>
        <v>50000</v>
      </c>
      <c r="D7" s="40">
        <f>IFERROR(__xludf.DUMMYFUNCTION("IFERROR(FILTER('Fund Data'!$R:$R,'Fund Data'!$C:$C = $A7,'Fund Data'!$A:$A = MAX('Fund Data'!$A:$A), 'Fund Data'!$B:$B = MAX(FILTER('Fund Data'!$B:$B,'Fund Data'!$C:$C = $A7,'Fund Data'!$A:$A = MAX('Fund Data'!$A:$A)))),0)"),78399.88274404753)</f>
        <v>78399.88274</v>
      </c>
      <c r="E7" s="40">
        <f>IFERROR(__xludf.DUMMYFUNCTION("IFERROR(FILTER('Fund Data'!$P:$P,'Fund Data'!$C:$C = $A7,'Fund Data'!$A:$A = MAX('Fund Data'!$A:$A), 'Fund Data'!$B:$B = MAX(FILTER('Fund Data'!$B:$B,'Fund Data'!$C:$C = $A7,'Fund Data'!$A:$A = MAX('Fund Data'!$A:$A)))),0)"),57206.45)</f>
        <v>57206.45</v>
      </c>
      <c r="F7" s="41">
        <f t="shared" si="1"/>
        <v>7206.45</v>
      </c>
      <c r="G7" s="42">
        <f t="shared" si="2"/>
        <v>1.144129</v>
      </c>
      <c r="H7" s="41">
        <f t="shared" si="3"/>
        <v>-21193.43274</v>
      </c>
      <c r="I7" s="43">
        <f t="shared" si="4"/>
        <v>0.7296751985</v>
      </c>
      <c r="J7" s="44">
        <f>IFERROR(__xludf.DUMMYFUNCTION("IFERROR(FILTER('Fund Data'!$AC:$AC,'Fund Data'!$C:$C = $A7,'Fund Data'!$A:$A = MAX('Fund Data'!$A:$A), 'Fund Data'!$B:$B = MAX(FILTER('Fund Data'!$B:$B,'Fund Data'!$C:$C = $A7,'Fund Data'!$A:$A = MAX('Fund Data'!$A:$A)))),0)"),2656.3118676828663)</f>
        <v>2656.311868</v>
      </c>
      <c r="K7" s="44">
        <f>IFERROR(__xludf.DUMMYFUNCTION("IFERROR(FILTER('Fund Data'!$F:$F,'Fund Data'!$C:$C = $A7,'Fund Data'!$A:$A = MAX('Fund Data'!$A:$A), 'Fund Data'!$B:$B = MAX(FILTER('Fund Data'!$B:$B,'Fund Data'!$C:$C = $A7,'Fund Data'!$A:$A = MAX('Fund Data'!$A:$A)))),0)"),-2600.0)</f>
        <v>-2600</v>
      </c>
      <c r="L7" s="44">
        <f t="shared" si="5"/>
        <v>56.31186768</v>
      </c>
      <c r="M7" s="46">
        <f t="shared" si="6"/>
        <v>0.02119926819</v>
      </c>
      <c r="N7" s="42">
        <f t="shared" si="7"/>
        <v>0.04643378269</v>
      </c>
      <c r="O7" s="42">
        <f t="shared" si="8"/>
        <v>0.04544942048</v>
      </c>
      <c r="P7" s="16"/>
      <c r="Q7" s="16"/>
    </row>
    <row r="8">
      <c r="A8" s="36" t="s">
        <v>30</v>
      </c>
      <c r="B8" s="38" t="str">
        <f>IFERROR(__xludf.DUMMYFUNCTION("FILTER('Endowed Funds'!$C:$C,'Endowed Funds'!$B:$B = $A8)")," Archaeology ")</f>
        <v>Archaeology</v>
      </c>
      <c r="C8" s="39">
        <f>IFERROR(__xludf.DUMMYFUNCTION("IFERROR(sum(FILTER('Fund Data'!$V:$V, 'Fund Data'!$C:$C = $A8)),0)"),11540.75)</f>
        <v>11540.75</v>
      </c>
      <c r="D8" s="40">
        <f>IFERROR(__xludf.DUMMYFUNCTION("IFERROR(FILTER('Fund Data'!$R:$R,'Fund Data'!$C:$C = $A8,'Fund Data'!$A:$A = MAX('Fund Data'!$A:$A), 'Fund Data'!$B:$B = MAX(FILTER('Fund Data'!$B:$B,'Fund Data'!$C:$C = $A8,'Fund Data'!$A:$A = MAX('Fund Data'!$A:$A)))),0)"),18806.962690972276)</f>
        <v>18806.96269</v>
      </c>
      <c r="E8" s="40">
        <f>IFERROR(__xludf.DUMMYFUNCTION("IFERROR(FILTER('Fund Data'!$P:$P,'Fund Data'!$C:$C = $A8,'Fund Data'!$A:$A = MAX('Fund Data'!$A:$A), 'Fund Data'!$B:$B = MAX(FILTER('Fund Data'!$B:$B,'Fund Data'!$C:$C = $A8,'Fund Data'!$A:$A = MAX('Fund Data'!$A:$A)))),0)"),17858.22)</f>
        <v>17858.22</v>
      </c>
      <c r="F8" s="41">
        <f t="shared" si="1"/>
        <v>6317.47</v>
      </c>
      <c r="G8" s="42">
        <f t="shared" si="2"/>
        <v>1.547405498</v>
      </c>
      <c r="H8" s="41">
        <f t="shared" si="3"/>
        <v>-948.742691</v>
      </c>
      <c r="I8" s="43">
        <f t="shared" si="4"/>
        <v>0.9495536464</v>
      </c>
      <c r="J8" s="44">
        <f>IFERROR(__xludf.DUMMYFUNCTION("IFERROR(FILTER('Fund Data'!$AC:$AC,'Fund Data'!$C:$C = $A8,'Fund Data'!$A:$A = MAX('Fund Data'!$A:$A), 'Fund Data'!$B:$B = MAX(FILTER('Fund Data'!$B:$B,'Fund Data'!$C:$C = $A8,'Fund Data'!$A:$A = MAX('Fund Data'!$A:$A)))),0)"),793.1949485648468)</f>
        <v>793.1949486</v>
      </c>
      <c r="K8" s="44" t="str">
        <f>IFERROR(__xludf.DUMMYFUNCTION("IFERROR(FILTER('Fund Data'!$F:$F,'Fund Data'!$C:$C = $A8,'Fund Data'!$A:$A = MAX('Fund Data'!$A:$A), 'Fund Data'!$B:$B = MAX(FILTER('Fund Data'!$B:$B,'Fund Data'!$C:$C = $A8,'Fund Data'!$A:$A = MAX('Fund Data'!$A:$A)))),0)"),"")</f>
        <v/>
      </c>
      <c r="L8" s="44">
        <f t="shared" si="5"/>
        <v>793.1949486</v>
      </c>
      <c r="M8" s="46">
        <f t="shared" si="6"/>
        <v>1</v>
      </c>
      <c r="N8" s="42">
        <f t="shared" si="7"/>
        <v>0.04441623793</v>
      </c>
      <c r="O8" s="42">
        <f t="shared" si="8"/>
        <v>0</v>
      </c>
      <c r="P8" s="16"/>
      <c r="Q8" s="16"/>
    </row>
    <row r="9">
      <c r="A9" s="36" t="s">
        <v>31</v>
      </c>
      <c r="B9" s="38" t="str">
        <f>IFERROR(__xludf.DUMMYFUNCTION("FILTER('Endowed Funds'!$C:$C,'Endowed Funds'!$B:$B = $A9)")," Archaeology ")</f>
        <v>Archaeology</v>
      </c>
      <c r="C9" s="39">
        <f>IFERROR(__xludf.DUMMYFUNCTION("IFERROR(sum(FILTER('Fund Data'!$V:$V, 'Fund Data'!$C:$C = $A9)),0)"),158200.0)</f>
        <v>158200</v>
      </c>
      <c r="D9" s="40">
        <f>IFERROR(__xludf.DUMMYFUNCTION("IFERROR(FILTER('Fund Data'!$R:$R,'Fund Data'!$C:$C = $A9,'Fund Data'!$A:$A = MAX('Fund Data'!$A:$A), 'Fund Data'!$B:$B = MAX(FILTER('Fund Data'!$B:$B,'Fund Data'!$C:$C = $A9,'Fund Data'!$A:$A = MAX('Fund Data'!$A:$A)))),0)"),214227.48362838163)</f>
        <v>214227.4836</v>
      </c>
      <c r="E9" s="40">
        <f>IFERROR(__xludf.DUMMYFUNCTION("IFERROR(FILTER('Fund Data'!$P:$P,'Fund Data'!$C:$C = $A9,'Fund Data'!$A:$A = MAX('Fund Data'!$A:$A), 'Fund Data'!$B:$B = MAX(FILTER('Fund Data'!$B:$B,'Fund Data'!$C:$C = $A9,'Fund Data'!$A:$A = MAX('Fund Data'!$A:$A)))),0)"),175944.2)</f>
        <v>175944.2</v>
      </c>
      <c r="F9" s="41">
        <f t="shared" si="1"/>
        <v>17744.2</v>
      </c>
      <c r="G9" s="42">
        <f t="shared" si="2"/>
        <v>1.112163085</v>
      </c>
      <c r="H9" s="41">
        <f t="shared" si="3"/>
        <v>-38283.28363</v>
      </c>
      <c r="I9" s="43">
        <f t="shared" si="4"/>
        <v>0.8212961149</v>
      </c>
      <c r="J9" s="44">
        <f>IFERROR(__xludf.DUMMYFUNCTION("IFERROR(FILTER('Fund Data'!$AC:$AC,'Fund Data'!$C:$C = $A9,'Fund Data'!$A:$A = MAX('Fund Data'!$A:$A), 'Fund Data'!$B:$B = MAX(FILTER('Fund Data'!$B:$B,'Fund Data'!$C:$C = $A9,'Fund Data'!$A:$A = MAX('Fund Data'!$A:$A)))),0)"),8740.264963478203)</f>
        <v>8740.264963</v>
      </c>
      <c r="K9" s="44">
        <f>IFERROR(__xludf.DUMMYFUNCTION("IFERROR(FILTER('Fund Data'!$F:$F,'Fund Data'!$C:$C = $A9,'Fund Data'!$A:$A = MAX('Fund Data'!$A:$A), 'Fund Data'!$B:$B = MAX(FILTER('Fund Data'!$B:$B,'Fund Data'!$C:$C = $A9,'Fund Data'!$A:$A = MAX('Fund Data'!$A:$A)))),0)"),-8700.0)</f>
        <v>-8700</v>
      </c>
      <c r="L9" s="44">
        <f t="shared" si="5"/>
        <v>40.26496348</v>
      </c>
      <c r="M9" s="46">
        <f t="shared" si="6"/>
        <v>0.004606835565</v>
      </c>
      <c r="N9" s="42">
        <f t="shared" si="7"/>
        <v>0.04967634604</v>
      </c>
      <c r="O9" s="42">
        <f t="shared" si="8"/>
        <v>0.04944749529</v>
      </c>
      <c r="P9" s="16"/>
      <c r="Q9" s="16"/>
    </row>
    <row r="10">
      <c r="A10" s="36" t="s">
        <v>32</v>
      </c>
      <c r="B10" s="38" t="str">
        <f>IFERROR(__xludf.DUMMYFUNCTION("FILTER('Endowed Funds'!$C:$C,'Endowed Funds'!$B:$B = $A10)")," Archaeology ")</f>
        <v>Archaeology</v>
      </c>
      <c r="C10" s="39">
        <f>IFERROR(__xludf.DUMMYFUNCTION("IFERROR(sum(FILTER('Fund Data'!$V:$V, 'Fund Data'!$C:$C = $A10)),0)"),49449.04)</f>
        <v>49449.04</v>
      </c>
      <c r="D10" s="40">
        <f>IFERROR(__xludf.DUMMYFUNCTION("IFERROR(FILTER('Fund Data'!$R:$R,'Fund Data'!$C:$C = $A10,'Fund Data'!$A:$A = MAX('Fund Data'!$A:$A), 'Fund Data'!$B:$B = MAX(FILTER('Fund Data'!$B:$B,'Fund Data'!$C:$C = $A10,'Fund Data'!$A:$A = MAX('Fund Data'!$A:$A)))),0)"),80560.0873159117)</f>
        <v>80560.08732</v>
      </c>
      <c r="E10" s="40">
        <f>IFERROR(__xludf.DUMMYFUNCTION("IFERROR(FILTER('Fund Data'!$P:$P,'Fund Data'!$C:$C = $A10,'Fund Data'!$A:$A = MAX('Fund Data'!$A:$A), 'Fund Data'!$B:$B = MAX(FILTER('Fund Data'!$B:$B,'Fund Data'!$C:$C = $A10,'Fund Data'!$A:$A = MAX('Fund Data'!$A:$A)))),0)"),52904.36)</f>
        <v>52904.36</v>
      </c>
      <c r="F10" s="41">
        <f t="shared" si="1"/>
        <v>3455.32</v>
      </c>
      <c r="G10" s="42">
        <f t="shared" si="2"/>
        <v>1.069876382</v>
      </c>
      <c r="H10" s="41">
        <f t="shared" si="3"/>
        <v>-27655.72732</v>
      </c>
      <c r="I10" s="43">
        <f t="shared" si="4"/>
        <v>0.6567068354</v>
      </c>
      <c r="J10" s="44">
        <f>IFERROR(__xludf.DUMMYFUNCTION("IFERROR(FILTER('Fund Data'!$AC:$AC,'Fund Data'!$C:$C = $A10,'Fund Data'!$A:$A = MAX('Fund Data'!$A:$A), 'Fund Data'!$B:$B = MAX(FILTER('Fund Data'!$B:$B,'Fund Data'!$C:$C = $A10,'Fund Data'!$A:$A = MAX('Fund Data'!$A:$A)))),0)"),2440.2634890106024)</f>
        <v>2440.263489</v>
      </c>
      <c r="K10" s="44" t="str">
        <f>IFERROR(__xludf.DUMMYFUNCTION("IFERROR(FILTER('Fund Data'!$F:$F,'Fund Data'!$C:$C = $A10,'Fund Data'!$A:$A = MAX('Fund Data'!$A:$A), 'Fund Data'!$B:$B = MAX(FILTER('Fund Data'!$B:$B,'Fund Data'!$C:$C = $A10,'Fund Data'!$A:$A = MAX('Fund Data'!$A:$A)))),0)"),"")</f>
        <v/>
      </c>
      <c r="L10" s="44">
        <f t="shared" si="5"/>
        <v>2440.263489</v>
      </c>
      <c r="M10" s="46">
        <f t="shared" si="6"/>
        <v>1</v>
      </c>
      <c r="N10" s="42">
        <f t="shared" si="7"/>
        <v>0.04612594291</v>
      </c>
      <c r="O10" s="42">
        <f t="shared" si="8"/>
        <v>0</v>
      </c>
      <c r="P10" s="16"/>
      <c r="Q10" s="16"/>
    </row>
    <row r="11">
      <c r="A11" s="36" t="s">
        <v>38</v>
      </c>
      <c r="B11" s="38" t="str">
        <f>IFERROR(__xludf.DUMMYFUNCTION("FILTER('Endowed Funds'!$C:$C,'Endowed Funds'!$B:$B = $A11)")," Archaeology ")</f>
        <v>Archaeology</v>
      </c>
      <c r="C11" s="39">
        <f>IFERROR(__xludf.DUMMYFUNCTION("IFERROR(sum(FILTER('Fund Data'!$V:$V, 'Fund Data'!$C:$C = $A11)),0)"),325871.64)</f>
        <v>325871.64</v>
      </c>
      <c r="D11" s="40">
        <f>IFERROR(__xludf.DUMMYFUNCTION("IFERROR(FILTER('Fund Data'!$R:$R,'Fund Data'!$C:$C = $A11,'Fund Data'!$A:$A = MAX('Fund Data'!$A:$A), 'Fund Data'!$B:$B = MAX(FILTER('Fund Data'!$B:$B,'Fund Data'!$C:$C = $A11,'Fund Data'!$A:$A = MAX('Fund Data'!$A:$A)))),0)"),521874.6169029091)</f>
        <v>521874.6169</v>
      </c>
      <c r="E11" s="40">
        <f>IFERROR(__xludf.DUMMYFUNCTION("IFERROR(FILTER('Fund Data'!$P:$P,'Fund Data'!$C:$C = $A11,'Fund Data'!$A:$A = MAX('Fund Data'!$A:$A), 'Fund Data'!$B:$B = MAX(FILTER('Fund Data'!$B:$B,'Fund Data'!$C:$C = $A11,'Fund Data'!$A:$A = MAX('Fund Data'!$A:$A)))),0)"),345429.9)</f>
        <v>345429.9</v>
      </c>
      <c r="F11" s="41">
        <f t="shared" si="1"/>
        <v>19558.26</v>
      </c>
      <c r="G11" s="42">
        <f t="shared" si="2"/>
        <v>1.060018294</v>
      </c>
      <c r="H11" s="41">
        <f t="shared" si="3"/>
        <v>-176444.7169</v>
      </c>
      <c r="I11" s="43">
        <f t="shared" si="4"/>
        <v>0.6619020907</v>
      </c>
      <c r="J11" s="44">
        <f>IFERROR(__xludf.DUMMYFUNCTION("IFERROR(FILTER('Fund Data'!$AC:$AC,'Fund Data'!$C:$C = $A11,'Fund Data'!$A:$A = MAX('Fund Data'!$A:$A), 'Fund Data'!$B:$B = MAX(FILTER('Fund Data'!$B:$B,'Fund Data'!$C:$C = $A11,'Fund Data'!$A:$A = MAX('Fund Data'!$A:$A)))),0)"),16308.248010867293)</f>
        <v>16308.24801</v>
      </c>
      <c r="K11" s="44">
        <f>IFERROR(__xludf.DUMMYFUNCTION("IFERROR(FILTER('Fund Data'!$F:$F,'Fund Data'!$C:$C = $A11,'Fund Data'!$A:$A = MAX('Fund Data'!$A:$A), 'Fund Data'!$B:$B = MAX(FILTER('Fund Data'!$B:$B,'Fund Data'!$C:$C = $A11,'Fund Data'!$A:$A = MAX('Fund Data'!$A:$A)))),0)"),-3500.0)</f>
        <v>-3500</v>
      </c>
      <c r="L11" s="44">
        <f t="shared" si="5"/>
        <v>12808.24801</v>
      </c>
      <c r="M11" s="46">
        <f t="shared" si="6"/>
        <v>0.7853846718</v>
      </c>
      <c r="N11" s="42">
        <f t="shared" si="7"/>
        <v>0.04721145451</v>
      </c>
      <c r="O11" s="42">
        <f t="shared" si="8"/>
        <v>0.01013230181</v>
      </c>
      <c r="P11" s="16"/>
      <c r="Q11" s="16"/>
    </row>
    <row r="12">
      <c r="A12" s="36" t="s">
        <v>45</v>
      </c>
      <c r="B12" s="38" t="str">
        <f>IFERROR(__xludf.DUMMYFUNCTION("FILTER('Endowed Funds'!$C:$C,'Endowed Funds'!$B:$B = $A12)")," Archaeology ")</f>
        <v>Archaeology</v>
      </c>
      <c r="C12" s="39">
        <f>IFERROR(__xludf.DUMMYFUNCTION("IFERROR(sum(FILTER('Fund Data'!$V:$V, 'Fund Data'!$C:$C = $A12)),0)"),125000.0)</f>
        <v>125000</v>
      </c>
      <c r="D12" s="40">
        <f>IFERROR(__xludf.DUMMYFUNCTION("IFERROR(FILTER('Fund Data'!$R:$R,'Fund Data'!$C:$C = $A12,'Fund Data'!$A:$A = MAX('Fund Data'!$A:$A), 'Fund Data'!$B:$B = MAX(FILTER('Fund Data'!$B:$B,'Fund Data'!$C:$C = $A12,'Fund Data'!$A:$A = MAX('Fund Data'!$A:$A)))),0)"),137687.9257047644)</f>
        <v>137687.9257</v>
      </c>
      <c r="E12" s="40">
        <f>IFERROR(__xludf.DUMMYFUNCTION("IFERROR(FILTER('Fund Data'!$P:$P,'Fund Data'!$C:$C = $A12,'Fund Data'!$A:$A = MAX('Fund Data'!$A:$A), 'Fund Data'!$B:$B = MAX(FILTER('Fund Data'!$B:$B,'Fund Data'!$C:$C = $A12,'Fund Data'!$A:$A = MAX('Fund Data'!$A:$A)))),0)"),140090.65)</f>
        <v>140090.65</v>
      </c>
      <c r="F12" s="41">
        <f t="shared" si="1"/>
        <v>15090.65</v>
      </c>
      <c r="G12" s="42">
        <f t="shared" si="2"/>
        <v>1.1207252</v>
      </c>
      <c r="H12" s="41">
        <f t="shared" si="3"/>
        <v>2402.724295</v>
      </c>
      <c r="I12" s="43">
        <f t="shared" si="4"/>
        <v>1.017450508</v>
      </c>
      <c r="J12" s="44">
        <f>IFERROR(__xludf.DUMMYFUNCTION("IFERROR(FILTER('Fund Data'!$AC:$AC,'Fund Data'!$C:$C = $A12,'Fund Data'!$A:$A = MAX('Fund Data'!$A:$A), 'Fund Data'!$B:$B = MAX(FILTER('Fund Data'!$B:$B,'Fund Data'!$C:$C = $A12,'Fund Data'!$A:$A = MAX('Fund Data'!$A:$A)))),0)"),6418.7101117110415)</f>
        <v>6418.710112</v>
      </c>
      <c r="K12" s="44">
        <f>IFERROR(__xludf.DUMMYFUNCTION("IFERROR(FILTER('Fund Data'!$F:$F,'Fund Data'!$C:$C = $A12,'Fund Data'!$A:$A = MAX('Fund Data'!$A:$A), 'Fund Data'!$B:$B = MAX(FILTER('Fund Data'!$B:$B,'Fund Data'!$C:$C = $A12,'Fund Data'!$A:$A = MAX('Fund Data'!$A:$A)))),0)"),-6400.0)</f>
        <v>-6400</v>
      </c>
      <c r="L12" s="44">
        <f t="shared" si="5"/>
        <v>18.71011171</v>
      </c>
      <c r="M12" s="46">
        <f t="shared" si="6"/>
        <v>0.002914933279</v>
      </c>
      <c r="N12" s="42">
        <f t="shared" si="7"/>
        <v>0.04581826204</v>
      </c>
      <c r="O12" s="42">
        <f t="shared" si="8"/>
        <v>0.04568470487</v>
      </c>
      <c r="P12" s="16"/>
      <c r="Q12" s="16"/>
    </row>
    <row r="13">
      <c r="A13" s="36" t="s">
        <v>46</v>
      </c>
      <c r="B13" s="38" t="str">
        <f>IFERROR(__xludf.DUMMYFUNCTION("FILTER('Endowed Funds'!$C:$C,'Endowed Funds'!$B:$B = $A13)")," Archaeology ")</f>
        <v>Archaeology</v>
      </c>
      <c r="C13" s="39">
        <f>IFERROR(__xludf.DUMMYFUNCTION("IFERROR(sum(FILTER('Fund Data'!$V:$V, 'Fund Data'!$C:$C = $A13)),0)"),1086625.0)</f>
        <v>1086625</v>
      </c>
      <c r="D13" s="40">
        <f>IFERROR(__xludf.DUMMYFUNCTION("IFERROR(FILTER('Fund Data'!$R:$R,'Fund Data'!$C:$C = $A13,'Fund Data'!$A:$A = MAX('Fund Data'!$A:$A), 'Fund Data'!$B:$B = MAX(FILTER('Fund Data'!$B:$B,'Fund Data'!$C:$C = $A13,'Fund Data'!$A:$A = MAX('Fund Data'!$A:$A)))),0)"),1606791.21626816)</f>
        <v>1606791.216</v>
      </c>
      <c r="E13" s="40">
        <f>IFERROR(__xludf.DUMMYFUNCTION("IFERROR(FILTER('Fund Data'!$P:$P,'Fund Data'!$C:$C = $A13,'Fund Data'!$A:$A = MAX('Fund Data'!$A:$A), 'Fund Data'!$B:$B = MAX(FILTER('Fund Data'!$B:$B,'Fund Data'!$C:$C = $A13,'Fund Data'!$A:$A = MAX('Fund Data'!$A:$A)))),0)"),1426837.9000000001)</f>
        <v>1426837.9</v>
      </c>
      <c r="F13" s="41">
        <f t="shared" si="1"/>
        <v>340212.9</v>
      </c>
      <c r="G13" s="42">
        <f t="shared" si="2"/>
        <v>1.313091361</v>
      </c>
      <c r="H13" s="41">
        <f t="shared" si="3"/>
        <v>-179953.3163</v>
      </c>
      <c r="I13" s="43">
        <f t="shared" si="4"/>
        <v>0.8880045432</v>
      </c>
      <c r="J13" s="44">
        <f>IFERROR(__xludf.DUMMYFUNCTION("IFERROR(FILTER('Fund Data'!$AC:$AC,'Fund Data'!$C:$C = $A13,'Fund Data'!$A:$A = MAX('Fund Data'!$A:$A), 'Fund Data'!$B:$B = MAX(FILTER('Fund Data'!$B:$B,'Fund Data'!$C:$C = $A13,'Fund Data'!$A:$A = MAX('Fund Data'!$A:$A)))),0)"),66960.82370790953)</f>
        <v>66960.82371</v>
      </c>
      <c r="K13" s="44">
        <f>IFERROR(__xludf.DUMMYFUNCTION("IFERROR(FILTER('Fund Data'!$F:$F,'Fund Data'!$C:$C = $A13,'Fund Data'!$A:$A = MAX('Fund Data'!$A:$A), 'Fund Data'!$B:$B = MAX(FILTER('Fund Data'!$B:$B,'Fund Data'!$C:$C = $A13,'Fund Data'!$A:$A = MAX('Fund Data'!$A:$A)))),0)"),-15600.0)</f>
        <v>-15600</v>
      </c>
      <c r="L13" s="44">
        <f t="shared" si="5"/>
        <v>51360.82371</v>
      </c>
      <c r="M13" s="46">
        <f t="shared" si="6"/>
        <v>0.7670279555</v>
      </c>
      <c r="N13" s="42">
        <f t="shared" si="7"/>
        <v>0.04692952417</v>
      </c>
      <c r="O13" s="42">
        <f t="shared" si="8"/>
        <v>0.01093326719</v>
      </c>
      <c r="P13" s="16"/>
      <c r="Q13" s="16"/>
    </row>
    <row r="14">
      <c r="A14" s="36" t="s">
        <v>47</v>
      </c>
      <c r="B14" s="38" t="str">
        <f>IFERROR(__xludf.DUMMYFUNCTION("FILTER('Endowed Funds'!$C:$C,'Endowed Funds'!$B:$B = $A14)")," Board Designated ")</f>
        <v>Board Designated</v>
      </c>
      <c r="C14" s="39">
        <f>IFERROR(__xludf.DUMMYFUNCTION("IFERROR(sum(FILTER('Fund Data'!$V:$V, 'Fund Data'!$C:$C = $A14)),0)"),1371168.0)</f>
        <v>1371168</v>
      </c>
      <c r="D14" s="40">
        <f>IFERROR(__xludf.DUMMYFUNCTION("IFERROR(FILTER('Fund Data'!$R:$R,'Fund Data'!$C:$C = $A14,'Fund Data'!$A:$A = MAX('Fund Data'!$A:$A), 'Fund Data'!$B:$B = MAX(FILTER('Fund Data'!$B:$B,'Fund Data'!$C:$C = $A14,'Fund Data'!$A:$A = MAX('Fund Data'!$A:$A)))),0)"),1511057.8766079252)</f>
        <v>1511057.877</v>
      </c>
      <c r="E14" s="40">
        <f>IFERROR(__xludf.DUMMYFUNCTION("IFERROR(FILTER('Fund Data'!$P:$P,'Fund Data'!$C:$C = $A14,'Fund Data'!$A:$A = MAX('Fund Data'!$A:$A), 'Fund Data'!$B:$B = MAX(FILTER('Fund Data'!$B:$B,'Fund Data'!$C:$C = $A14,'Fund Data'!$A:$A = MAX('Fund Data'!$A:$A)))),0)"),1472539.1700000002)</f>
        <v>1472539.17</v>
      </c>
      <c r="F14" s="41">
        <f t="shared" si="1"/>
        <v>101371.17</v>
      </c>
      <c r="G14" s="42">
        <f t="shared" si="2"/>
        <v>1.073930525</v>
      </c>
      <c r="H14" s="41">
        <f t="shared" si="3"/>
        <v>-38518.70661</v>
      </c>
      <c r="I14" s="43">
        <f t="shared" si="4"/>
        <v>0.9745087814</v>
      </c>
      <c r="J14" s="44">
        <f>IFERROR(__xludf.DUMMYFUNCTION("IFERROR(FILTER('Fund Data'!$AC:$AC,'Fund Data'!$C:$C = $A14,'Fund Data'!$A:$A = MAX('Fund Data'!$A:$A), 'Fund Data'!$B:$B = MAX(FILTER('Fund Data'!$B:$B,'Fund Data'!$C:$C = $A14,'Fund Data'!$A:$A = MAX('Fund Data'!$A:$A)))),0)"),67375.07553001506)</f>
        <v>67375.07553</v>
      </c>
      <c r="K14" s="44">
        <f>IFERROR(__xludf.DUMMYFUNCTION("IFERROR(FILTER('Fund Data'!$F:$F,'Fund Data'!$C:$C = $A14,'Fund Data'!$A:$A = MAX('Fund Data'!$A:$A), 'Fund Data'!$B:$B = MAX(FILTER('Fund Data'!$B:$B,'Fund Data'!$C:$C = $A14,'Fund Data'!$A:$A = MAX('Fund Data'!$A:$A)))),0)"),-66999.66999999993)</f>
        <v>-66999.67</v>
      </c>
      <c r="L14" s="44">
        <f t="shared" si="5"/>
        <v>375.40553</v>
      </c>
      <c r="M14" s="46">
        <f t="shared" si="6"/>
        <v>0.005571875461</v>
      </c>
      <c r="N14" s="42">
        <f t="shared" si="7"/>
        <v>0.04575435201</v>
      </c>
      <c r="O14" s="42">
        <f t="shared" si="8"/>
        <v>0.04549941446</v>
      </c>
      <c r="P14" s="16"/>
      <c r="Q14" s="16"/>
    </row>
    <row r="15">
      <c r="A15" s="36" t="s">
        <v>48</v>
      </c>
      <c r="B15" s="38" t="str">
        <f>IFERROR(__xludf.DUMMYFUNCTION("FILTER('Endowed Funds'!$C:$C,'Endowed Funds'!$B:$B = $A15)")," Education ")</f>
        <v>Education</v>
      </c>
      <c r="C15" s="39">
        <f>IFERROR(__xludf.DUMMYFUNCTION("IFERROR(sum(FILTER('Fund Data'!$V:$V, 'Fund Data'!$C:$C = $A15)),0)"),758137.86)</f>
        <v>758137.86</v>
      </c>
      <c r="D15" s="40">
        <f>IFERROR(__xludf.DUMMYFUNCTION("IFERROR(FILTER('Fund Data'!$R:$R,'Fund Data'!$C:$C = $A15,'Fund Data'!$A:$A = MAX('Fund Data'!$A:$A), 'Fund Data'!$B:$B = MAX(FILTER('Fund Data'!$B:$B,'Fund Data'!$C:$C = $A15,'Fund Data'!$A:$A = MAX('Fund Data'!$A:$A)))),0)"),860369.9495391604)</f>
        <v>860369.9495</v>
      </c>
      <c r="E15" s="40">
        <f>IFERROR(__xludf.DUMMYFUNCTION("IFERROR(FILTER('Fund Data'!$P:$P,'Fund Data'!$C:$C = $A15,'Fund Data'!$A:$A = MAX('Fund Data'!$A:$A), 'Fund Data'!$B:$B = MAX(FILTER('Fund Data'!$B:$B,'Fund Data'!$C:$C = $A15,'Fund Data'!$A:$A = MAX('Fund Data'!$A:$A)))),0)"),768732.7000000001)</f>
        <v>768732.7</v>
      </c>
      <c r="F15" s="41">
        <f t="shared" si="1"/>
        <v>10594.84</v>
      </c>
      <c r="G15" s="42">
        <f t="shared" si="2"/>
        <v>1.01397482</v>
      </c>
      <c r="H15" s="41">
        <f t="shared" si="3"/>
        <v>-91637.24954</v>
      </c>
      <c r="I15" s="43">
        <f t="shared" si="4"/>
        <v>0.8934908761</v>
      </c>
      <c r="J15" s="44">
        <f>IFERROR(__xludf.DUMMYFUNCTION("IFERROR(FILTER('Fund Data'!$AC:$AC,'Fund Data'!$C:$C = $A15,'Fund Data'!$A:$A = MAX('Fund Data'!$A:$A), 'Fund Data'!$B:$B = MAX(FILTER('Fund Data'!$B:$B,'Fund Data'!$C:$C = $A15,'Fund Data'!$A:$A = MAX('Fund Data'!$A:$A)))),0)"),37602.64738229447)</f>
        <v>37602.64738</v>
      </c>
      <c r="K15" s="44">
        <f>IFERROR(__xludf.DUMMYFUNCTION("IFERROR(FILTER('Fund Data'!$F:$F,'Fund Data'!$C:$C = $A15,'Fund Data'!$A:$A = MAX('Fund Data'!$A:$A), 'Fund Data'!$B:$B = MAX(FILTER('Fund Data'!$B:$B,'Fund Data'!$C:$C = $A15,'Fund Data'!$A:$A = MAX('Fund Data'!$A:$A)))),0)"),-37000.0)</f>
        <v>-37000</v>
      </c>
      <c r="L15" s="44">
        <f t="shared" si="5"/>
        <v>602.6473823</v>
      </c>
      <c r="M15" s="46">
        <f t="shared" si="6"/>
        <v>0.01602672748</v>
      </c>
      <c r="N15" s="42">
        <f t="shared" si="7"/>
        <v>0.04891511364</v>
      </c>
      <c r="O15" s="42">
        <f t="shared" si="8"/>
        <v>0.04813116445</v>
      </c>
      <c r="P15" s="16"/>
      <c r="Q15" s="16"/>
    </row>
    <row r="16">
      <c r="A16" s="36" t="s">
        <v>49</v>
      </c>
      <c r="B16" s="38" t="str">
        <f>IFERROR(__xludf.DUMMYFUNCTION("FILTER('Endowed Funds'!$C:$C,'Endowed Funds'!$B:$B = $A16)")," Education ")</f>
        <v>Education</v>
      </c>
      <c r="C16" s="39">
        <f>IFERROR(__xludf.DUMMYFUNCTION("IFERROR(sum(FILTER('Fund Data'!$V:$V, 'Fund Data'!$C:$C = $A16)),0)"),556601.64)</f>
        <v>556601.64</v>
      </c>
      <c r="D16" s="40">
        <f>IFERROR(__xludf.DUMMYFUNCTION("IFERROR(FILTER('Fund Data'!$R:$R,'Fund Data'!$C:$C = $A16,'Fund Data'!$A:$A = MAX('Fund Data'!$A:$A), 'Fund Data'!$B:$B = MAX(FILTER('Fund Data'!$B:$B,'Fund Data'!$C:$C = $A16,'Fund Data'!$A:$A = MAX('Fund Data'!$A:$A)))),0)"),714767.6303555806)</f>
        <v>714767.6304</v>
      </c>
      <c r="E16" s="40">
        <f>IFERROR(__xludf.DUMMYFUNCTION("IFERROR(FILTER('Fund Data'!$P:$P,'Fund Data'!$C:$C = $A16,'Fund Data'!$A:$A = MAX('Fund Data'!$A:$A), 'Fund Data'!$B:$B = MAX(FILTER('Fund Data'!$B:$B,'Fund Data'!$C:$C = $A16,'Fund Data'!$A:$A = MAX('Fund Data'!$A:$A)))),0)"),803382.8500000003)</f>
        <v>803382.85</v>
      </c>
      <c r="F16" s="41">
        <f t="shared" si="1"/>
        <v>246781.21</v>
      </c>
      <c r="G16" s="42">
        <f t="shared" si="2"/>
        <v>1.443371331</v>
      </c>
      <c r="H16" s="41">
        <f t="shared" si="3"/>
        <v>88615.21964</v>
      </c>
      <c r="I16" s="43">
        <f t="shared" si="4"/>
        <v>1.123977662</v>
      </c>
      <c r="J16" s="44">
        <f>IFERROR(__xludf.DUMMYFUNCTION("IFERROR(FILTER('Fund Data'!$AC:$AC,'Fund Data'!$C:$C = $A16,'Fund Data'!$A:$A = MAX('Fund Data'!$A:$A), 'Fund Data'!$B:$B = MAX(FILTER('Fund Data'!$B:$B,'Fund Data'!$C:$C = $A16,'Fund Data'!$A:$A = MAX('Fund Data'!$A:$A)))),0)"),33070.03586097785)</f>
        <v>33070.03586</v>
      </c>
      <c r="K16" s="44">
        <f>IFERROR(__xludf.DUMMYFUNCTION("IFERROR(FILTER('Fund Data'!$F:$F,'Fund Data'!$C:$C = $A16,'Fund Data'!$A:$A = MAX('Fund Data'!$A:$A), 'Fund Data'!$B:$B = MAX(FILTER('Fund Data'!$B:$B,'Fund Data'!$C:$C = $A16,'Fund Data'!$A:$A = MAX('Fund Data'!$A:$A)))),0)"),-1625.0)</f>
        <v>-1625</v>
      </c>
      <c r="L16" s="44">
        <f t="shared" si="5"/>
        <v>31445.03586</v>
      </c>
      <c r="M16" s="46">
        <f t="shared" si="6"/>
        <v>0.9508618616</v>
      </c>
      <c r="N16" s="42">
        <f t="shared" si="7"/>
        <v>0.04116348247</v>
      </c>
      <c r="O16" s="42">
        <f t="shared" si="8"/>
        <v>0.0020226969</v>
      </c>
      <c r="P16" s="16"/>
      <c r="Q16" s="16"/>
    </row>
    <row r="17">
      <c r="A17" s="36" t="s">
        <v>50</v>
      </c>
      <c r="B17" s="38" t="str">
        <f>IFERROR(__xludf.DUMMYFUNCTION("FILTER('Endowed Funds'!$C:$C,'Endowed Funds'!$B:$B = $A17)")," Education ")</f>
        <v>Education</v>
      </c>
      <c r="C17" s="39">
        <f>IFERROR(__xludf.DUMMYFUNCTION("IFERROR(sum(FILTER('Fund Data'!$V:$V, 'Fund Data'!$C:$C = $A17)),0)"),429067.24)</f>
        <v>429067.24</v>
      </c>
      <c r="D17" s="40">
        <f>IFERROR(__xludf.DUMMYFUNCTION("IFERROR(FILTER('Fund Data'!$R:$R,'Fund Data'!$C:$C = $A17,'Fund Data'!$A:$A = MAX('Fund Data'!$A:$A), 'Fund Data'!$B:$B = MAX(FILTER('Fund Data'!$B:$B,'Fund Data'!$C:$C = $A17,'Fund Data'!$A:$A = MAX('Fund Data'!$A:$A)))),0)"),646570.2438376223)</f>
        <v>646570.2438</v>
      </c>
      <c r="E17" s="40">
        <f>IFERROR(__xludf.DUMMYFUNCTION("IFERROR(FILTER('Fund Data'!$P:$P,'Fund Data'!$C:$C = $A17,'Fund Data'!$A:$A = MAX('Fund Data'!$A:$A), 'Fund Data'!$B:$B = MAX(FILTER('Fund Data'!$B:$B,'Fund Data'!$C:$C = $A17,'Fund Data'!$A:$A = MAX('Fund Data'!$A:$A)))),0)"),418966.17999999993)</f>
        <v>418966.18</v>
      </c>
      <c r="F17" s="41">
        <f t="shared" si="1"/>
        <v>-10101.06</v>
      </c>
      <c r="G17" s="42">
        <f t="shared" si="2"/>
        <v>0.9764580955</v>
      </c>
      <c r="H17" s="41">
        <f t="shared" si="3"/>
        <v>-227604.0638</v>
      </c>
      <c r="I17" s="43">
        <f t="shared" si="4"/>
        <v>0.6479824644</v>
      </c>
      <c r="J17" s="44">
        <f>IFERROR(__xludf.DUMMYFUNCTION("IFERROR(FILTER('Fund Data'!$AC:$AC,'Fund Data'!$C:$C = $A17,'Fund Data'!$A:$A = MAX('Fund Data'!$A:$A), 'Fund Data'!$B:$B = MAX(FILTER('Fund Data'!$B:$B,'Fund Data'!$C:$C = $A17,'Fund Data'!$A:$A = MAX('Fund Data'!$A:$A)))),0)"),20586.613704350588)</f>
        <v>20586.6137</v>
      </c>
      <c r="K17" s="44">
        <f>IFERROR(__xludf.DUMMYFUNCTION("IFERROR(FILTER('Fund Data'!$F:$F,'Fund Data'!$C:$C = $A17,'Fund Data'!$A:$A = MAX('Fund Data'!$A:$A), 'Fund Data'!$B:$B = MAX(FILTER('Fund Data'!$B:$B,'Fund Data'!$C:$C = $A17,'Fund Data'!$A:$A = MAX('Fund Data'!$A:$A)))),0)"),-20000.0)</f>
        <v>-20000</v>
      </c>
      <c r="L17" s="44">
        <f t="shared" si="5"/>
        <v>586.6137044</v>
      </c>
      <c r="M17" s="46">
        <f t="shared" si="6"/>
        <v>0.02849490998</v>
      </c>
      <c r="N17" s="42">
        <f t="shared" si="7"/>
        <v>0.04913669572</v>
      </c>
      <c r="O17" s="42">
        <f t="shared" si="8"/>
        <v>0.04773655</v>
      </c>
      <c r="P17" s="16"/>
      <c r="Q17" s="16"/>
    </row>
    <row r="18">
      <c r="A18" s="36" t="s">
        <v>51</v>
      </c>
      <c r="B18" s="38" t="str">
        <f>IFERROR(__xludf.DUMMYFUNCTION("FILTER('Endowed Funds'!$C:$C,'Endowed Funds'!$B:$B = $A18)")," Education ")</f>
        <v>Education</v>
      </c>
      <c r="C18" s="39">
        <f>IFERROR(__xludf.DUMMYFUNCTION("IFERROR(sum(FILTER('Fund Data'!$V:$V, 'Fund Data'!$C:$C = $A18)),0)"),170000.0)</f>
        <v>170000</v>
      </c>
      <c r="D18" s="40">
        <f>IFERROR(__xludf.DUMMYFUNCTION("IFERROR(FILTER('Fund Data'!$R:$R,'Fund Data'!$C:$C = $A18,'Fund Data'!$A:$A = MAX('Fund Data'!$A:$A), 'Fund Data'!$B:$B = MAX(FILTER('Fund Data'!$B:$B,'Fund Data'!$C:$C = $A18,'Fund Data'!$A:$A = MAX('Fund Data'!$A:$A)))),0)"),188108.09428745977)</f>
        <v>188108.0943</v>
      </c>
      <c r="E18" s="40">
        <f>IFERROR(__xludf.DUMMYFUNCTION("IFERROR(FILTER('Fund Data'!$P:$P,'Fund Data'!$C:$C = $A18,'Fund Data'!$A:$A = MAX('Fund Data'!$A:$A), 'Fund Data'!$B:$B = MAX(FILTER('Fund Data'!$B:$B,'Fund Data'!$C:$C = $A18,'Fund Data'!$A:$A = MAX('Fund Data'!$A:$A)))),0)"),181791.45000000004)</f>
        <v>181791.45</v>
      </c>
      <c r="F18" s="41">
        <f t="shared" si="1"/>
        <v>11791.45</v>
      </c>
      <c r="G18" s="42">
        <f t="shared" si="2"/>
        <v>1.069361471</v>
      </c>
      <c r="H18" s="41">
        <f t="shared" si="3"/>
        <v>-6316.644287</v>
      </c>
      <c r="I18" s="43">
        <f t="shared" si="4"/>
        <v>0.9664201357</v>
      </c>
      <c r="J18" s="44">
        <f>IFERROR(__xludf.DUMMYFUNCTION("IFERROR(FILTER('Fund Data'!$AC:$AC,'Fund Data'!$C:$C = $A18,'Fund Data'!$A:$A = MAX('Fund Data'!$A:$A), 'Fund Data'!$B:$B = MAX(FILTER('Fund Data'!$B:$B,'Fund Data'!$C:$C = $A18,'Fund Data'!$A:$A = MAX('Fund Data'!$A:$A)))),0)"),8402.595388121052)</f>
        <v>8402.595388</v>
      </c>
      <c r="K18" s="44">
        <f>IFERROR(__xludf.DUMMYFUNCTION("IFERROR(FILTER('Fund Data'!$F:$F,'Fund Data'!$C:$C = $A18,'Fund Data'!$A:$A = MAX('Fund Data'!$A:$A), 'Fund Data'!$B:$B = MAX(FILTER('Fund Data'!$B:$B,'Fund Data'!$C:$C = $A18,'Fund Data'!$A:$A = MAX('Fund Data'!$A:$A)))),0)"),-8700.0)</f>
        <v>-8700</v>
      </c>
      <c r="L18" s="44">
        <f t="shared" si="5"/>
        <v>-297.4046119</v>
      </c>
      <c r="M18" s="46">
        <f t="shared" si="6"/>
        <v>-0.03539437497</v>
      </c>
      <c r="N18" s="42">
        <f t="shared" si="7"/>
        <v>0.04622107029</v>
      </c>
      <c r="O18" s="42">
        <f t="shared" si="8"/>
        <v>0.04785703618</v>
      </c>
      <c r="P18" s="16"/>
      <c r="Q18" s="16"/>
    </row>
    <row r="19">
      <c r="A19" s="36" t="s">
        <v>54</v>
      </c>
      <c r="B19" s="38" t="str">
        <f>IFERROR(__xludf.DUMMYFUNCTION("FILTER('Endowed Funds'!$C:$C,'Endowed Funds'!$B:$B = $A19)")," Education ")</f>
        <v>Education</v>
      </c>
      <c r="C19" s="39">
        <f>IFERROR(__xludf.DUMMYFUNCTION("IFERROR(sum(FILTER('Fund Data'!$V:$V, 'Fund Data'!$C:$C = $A19)),0)"),129703.74)</f>
        <v>129703.74</v>
      </c>
      <c r="D19" s="40">
        <f>IFERROR(__xludf.DUMMYFUNCTION("IFERROR(FILTER('Fund Data'!$R:$R,'Fund Data'!$C:$C = $A19,'Fund Data'!$A:$A = MAX('Fund Data'!$A:$A), 'Fund Data'!$B:$B = MAX(FILTER('Fund Data'!$B:$B,'Fund Data'!$C:$C = $A19,'Fund Data'!$A:$A = MAX('Fund Data'!$A:$A)))),0)"),164177.32129392383)</f>
        <v>164177.3213</v>
      </c>
      <c r="E19" s="40">
        <f>IFERROR(__xludf.DUMMYFUNCTION("IFERROR(FILTER('Fund Data'!$P:$P,'Fund Data'!$C:$C = $A19,'Fund Data'!$A:$A = MAX('Fund Data'!$A:$A), 'Fund Data'!$B:$B = MAX(FILTER('Fund Data'!$B:$B,'Fund Data'!$C:$C = $A19,'Fund Data'!$A:$A = MAX('Fund Data'!$A:$A)))),0)"),145128.97999999998)</f>
        <v>145128.98</v>
      </c>
      <c r="F19" s="41">
        <f t="shared" si="1"/>
        <v>15425.24</v>
      </c>
      <c r="G19" s="42">
        <f t="shared" si="2"/>
        <v>1.118926717</v>
      </c>
      <c r="H19" s="41">
        <f t="shared" si="3"/>
        <v>-19048.34129</v>
      </c>
      <c r="I19" s="43">
        <f t="shared" si="4"/>
        <v>0.8839770247</v>
      </c>
      <c r="J19" s="44">
        <f>IFERROR(__xludf.DUMMYFUNCTION("IFERROR(FILTER('Fund Data'!$AC:$AC,'Fund Data'!$C:$C = $A19,'Fund Data'!$A:$A = MAX('Fund Data'!$A:$A), 'Fund Data'!$B:$B = MAX(FILTER('Fund Data'!$B:$B,'Fund Data'!$C:$C = $A19,'Fund Data'!$A:$A = MAX('Fund Data'!$A:$A)))),0)"),7070.522291212943)</f>
        <v>7070.522291</v>
      </c>
      <c r="K19" s="44">
        <f>IFERROR(__xludf.DUMMYFUNCTION("IFERROR(FILTER('Fund Data'!$F:$F,'Fund Data'!$C:$C = $A19,'Fund Data'!$A:$A = MAX('Fund Data'!$A:$A), 'Fund Data'!$B:$B = MAX(FILTER('Fund Data'!$B:$B,'Fund Data'!$C:$C = $A19,'Fund Data'!$A:$A = MAX('Fund Data'!$A:$A)))),0)"),-7000.0)</f>
        <v>-7000</v>
      </c>
      <c r="L19" s="44">
        <f t="shared" si="5"/>
        <v>70.52229121</v>
      </c>
      <c r="M19" s="46">
        <f t="shared" si="6"/>
        <v>0.009974127555</v>
      </c>
      <c r="N19" s="42">
        <f t="shared" si="7"/>
        <v>0.04871888641</v>
      </c>
      <c r="O19" s="42">
        <f t="shared" si="8"/>
        <v>0.04823295802</v>
      </c>
      <c r="P19" s="16"/>
      <c r="Q19" s="16"/>
    </row>
    <row r="20">
      <c r="A20" s="36" t="s">
        <v>61</v>
      </c>
      <c r="B20" s="38" t="str">
        <f>IFERROR(__xludf.DUMMYFUNCTION("FILTER('Endowed Funds'!$C:$C,'Endowed Funds'!$B:$B = $A20)")," Education ")</f>
        <v>Education</v>
      </c>
      <c r="C20" s="39">
        <f>IFERROR(__xludf.DUMMYFUNCTION("IFERROR(sum(FILTER('Fund Data'!$V:$V, 'Fund Data'!$C:$C = $A20)),0)"),433755.86000000004)</f>
        <v>433755.86</v>
      </c>
      <c r="D20" s="40">
        <f>IFERROR(__xludf.DUMMYFUNCTION("IFERROR(FILTER('Fund Data'!$R:$R,'Fund Data'!$C:$C = $A20,'Fund Data'!$A:$A = MAX('Fund Data'!$A:$A), 'Fund Data'!$B:$B = MAX(FILTER('Fund Data'!$B:$B,'Fund Data'!$C:$C = $A20,'Fund Data'!$A:$A = MAX('Fund Data'!$A:$A)))),0)"),598223.1554145142)</f>
        <v>598223.1554</v>
      </c>
      <c r="E20" s="40">
        <f>IFERROR(__xludf.DUMMYFUNCTION("IFERROR(FILTER('Fund Data'!$P:$P,'Fund Data'!$C:$C = $A20,'Fund Data'!$A:$A = MAX('Fund Data'!$A:$A), 'Fund Data'!$B:$B = MAX(FILTER('Fund Data'!$B:$B,'Fund Data'!$C:$C = $A20,'Fund Data'!$A:$A = MAX('Fund Data'!$A:$A)))),0)"),645874.0899999995)</f>
        <v>645874.09</v>
      </c>
      <c r="F20" s="41">
        <f t="shared" si="1"/>
        <v>212118.23</v>
      </c>
      <c r="G20" s="42">
        <f t="shared" si="2"/>
        <v>1.489026776</v>
      </c>
      <c r="H20" s="41">
        <f t="shared" si="3"/>
        <v>47650.93459</v>
      </c>
      <c r="I20" s="43">
        <f t="shared" si="4"/>
        <v>1.079654113</v>
      </c>
      <c r="J20" s="44">
        <f>IFERROR(__xludf.DUMMYFUNCTION("IFERROR(FILTER('Fund Data'!$AC:$AC,'Fund Data'!$C:$C = $A20,'Fund Data'!$A:$A = MAX('Fund Data'!$A:$A), 'Fund Data'!$B:$B = MAX(FILTER('Fund Data'!$B:$B,'Fund Data'!$C:$C = $A20,'Fund Data'!$A:$A = MAX('Fund Data'!$A:$A)))),0)"),27281.874080348687)</f>
        <v>27281.87408</v>
      </c>
      <c r="K20" s="44">
        <f>IFERROR(__xludf.DUMMYFUNCTION("IFERROR(FILTER('Fund Data'!$F:$F,'Fund Data'!$C:$C = $A20,'Fund Data'!$A:$A = MAX('Fund Data'!$A:$A), 'Fund Data'!$B:$B = MAX(FILTER('Fund Data'!$B:$B,'Fund Data'!$C:$C = $A20,'Fund Data'!$A:$A = MAX('Fund Data'!$A:$A)))),0)"),-4475.0)</f>
        <v>-4475</v>
      </c>
      <c r="L20" s="44">
        <f t="shared" si="5"/>
        <v>22806.87408</v>
      </c>
      <c r="M20" s="46">
        <f t="shared" si="6"/>
        <v>0.835971679</v>
      </c>
      <c r="N20" s="42">
        <f t="shared" si="7"/>
        <v>0.04224023614</v>
      </c>
      <c r="O20" s="42">
        <f t="shared" si="8"/>
        <v>0.006928595015</v>
      </c>
      <c r="P20" s="16"/>
      <c r="Q20" s="16"/>
    </row>
    <row r="21">
      <c r="A21" s="36" t="s">
        <v>62</v>
      </c>
      <c r="B21" s="38" t="str">
        <f>IFERROR(__xludf.DUMMYFUNCTION("FILTER('Endowed Funds'!$C:$C,'Endowed Funds'!$B:$B = $A21)")," Education ")</f>
        <v>Education</v>
      </c>
      <c r="C21" s="39">
        <f>IFERROR(__xludf.DUMMYFUNCTION("IFERROR(sum(FILTER('Fund Data'!$V:$V, 'Fund Data'!$C:$C = $A21)),0)"),194469.0)</f>
        <v>194469</v>
      </c>
      <c r="D21" s="40">
        <f>IFERROR(__xludf.DUMMYFUNCTION("IFERROR(FILTER('Fund Data'!$R:$R,'Fund Data'!$C:$C = $A21,'Fund Data'!$A:$A = MAX('Fund Data'!$A:$A), 'Fund Data'!$B:$B = MAX(FILTER('Fund Data'!$B:$B,'Fund Data'!$C:$C = $A21,'Fund Data'!$A:$A = MAX('Fund Data'!$A:$A)))),0)"),244374.8270557478)</f>
        <v>244374.8271</v>
      </c>
      <c r="E21" s="40">
        <f>IFERROR(__xludf.DUMMYFUNCTION("IFERROR(FILTER('Fund Data'!$P:$P,'Fund Data'!$C:$C = $A21,'Fund Data'!$A:$A = MAX('Fund Data'!$A:$A), 'Fund Data'!$B:$B = MAX(FILTER('Fund Data'!$B:$B,'Fund Data'!$C:$C = $A21,'Fund Data'!$A:$A = MAX('Fund Data'!$A:$A)))),0)"),301896.79000000004)</f>
        <v>301896.79</v>
      </c>
      <c r="F21" s="41">
        <f t="shared" si="1"/>
        <v>107427.79</v>
      </c>
      <c r="G21" s="42">
        <f t="shared" si="2"/>
        <v>1.552416015</v>
      </c>
      <c r="H21" s="41">
        <f t="shared" si="3"/>
        <v>57521.96294</v>
      </c>
      <c r="I21" s="43">
        <f t="shared" si="4"/>
        <v>1.235384158</v>
      </c>
      <c r="J21" s="44">
        <f>IFERROR(__xludf.DUMMYFUNCTION("IFERROR(FILTER('Fund Data'!$AC:$AC,'Fund Data'!$C:$C = $A21,'Fund Data'!$A:$A = MAX('Fund Data'!$A:$A), 'Fund Data'!$B:$B = MAX(FILTER('Fund Data'!$B:$B,'Fund Data'!$C:$C = $A21,'Fund Data'!$A:$A = MAX('Fund Data'!$A:$A)))),0)"),11585.421007032937)</f>
        <v>11585.42101</v>
      </c>
      <c r="K21" s="44" t="str">
        <f>IFERROR(__xludf.DUMMYFUNCTION("IFERROR(FILTER('Fund Data'!$F:$F,'Fund Data'!$C:$C = $A21,'Fund Data'!$A:$A = MAX('Fund Data'!$A:$A), 'Fund Data'!$B:$B = MAX(FILTER('Fund Data'!$B:$B,'Fund Data'!$C:$C = $A21,'Fund Data'!$A:$A = MAX('Fund Data'!$A:$A)))),0)"),"")</f>
        <v/>
      </c>
      <c r="L21" s="44">
        <f t="shared" si="5"/>
        <v>11585.42101</v>
      </c>
      <c r="M21" s="46">
        <f t="shared" si="6"/>
        <v>1</v>
      </c>
      <c r="N21" s="42">
        <f t="shared" si="7"/>
        <v>0.03837543621</v>
      </c>
      <c r="O21" s="42">
        <f t="shared" si="8"/>
        <v>0</v>
      </c>
      <c r="P21" s="16"/>
      <c r="Q21" s="16"/>
    </row>
    <row r="22">
      <c r="A22" s="36" t="s">
        <v>63</v>
      </c>
      <c r="B22" s="38" t="str">
        <f>IFERROR(__xludf.DUMMYFUNCTION("FILTER('Endowed Funds'!$C:$C,'Endowed Funds'!$B:$B = $A22)")," Education ")</f>
        <v>Education</v>
      </c>
      <c r="C22" s="39">
        <f>IFERROR(__xludf.DUMMYFUNCTION("IFERROR(sum(FILTER('Fund Data'!$V:$V, 'Fund Data'!$C:$C = $A22)),0)"),100000.0)</f>
        <v>100000</v>
      </c>
      <c r="D22" s="40">
        <f>IFERROR(__xludf.DUMMYFUNCTION("IFERROR(FILTER('Fund Data'!$R:$R,'Fund Data'!$C:$C = $A22,'Fund Data'!$A:$A = MAX('Fund Data'!$A:$A), 'Fund Data'!$B:$B = MAX(FILTER('Fund Data'!$B:$B,'Fund Data'!$C:$C = $A22,'Fund Data'!$A:$A = MAX('Fund Data'!$A:$A)))),0)"),132976.59948622677)</f>
        <v>132976.5995</v>
      </c>
      <c r="E22" s="40">
        <f>IFERROR(__xludf.DUMMYFUNCTION("IFERROR(FILTER('Fund Data'!$P:$P,'Fund Data'!$C:$C = $A22,'Fund Data'!$A:$A = MAX('Fund Data'!$A:$A), 'Fund Data'!$B:$B = MAX(FILTER('Fund Data'!$B:$B,'Fund Data'!$C:$C = $A22,'Fund Data'!$A:$A = MAX('Fund Data'!$A:$A)))),0)"),117976.27000000002)</f>
        <v>117976.27</v>
      </c>
      <c r="F22" s="41">
        <f t="shared" si="1"/>
        <v>17976.27</v>
      </c>
      <c r="G22" s="42">
        <f t="shared" si="2"/>
        <v>1.1797627</v>
      </c>
      <c r="H22" s="41">
        <f t="shared" si="3"/>
        <v>-15000.32949</v>
      </c>
      <c r="I22" s="43">
        <f t="shared" si="4"/>
        <v>0.8871957206</v>
      </c>
      <c r="J22" s="44">
        <f>IFERROR(__xludf.DUMMYFUNCTION("IFERROR(FILTER('Fund Data'!$AC:$AC,'Fund Data'!$C:$C = $A22,'Fund Data'!$A:$A = MAX('Fund Data'!$A:$A), 'Fund Data'!$B:$B = MAX(FILTER('Fund Data'!$B:$B,'Fund Data'!$C:$C = $A22,'Fund Data'!$A:$A = MAX('Fund Data'!$A:$A)))),0)"),5732.341243829265)</f>
        <v>5732.341244</v>
      </c>
      <c r="K22" s="44">
        <f>IFERROR(__xludf.DUMMYFUNCTION("IFERROR(FILTER('Fund Data'!$F:$F,'Fund Data'!$C:$C = $A22,'Fund Data'!$A:$A = MAX('Fund Data'!$A:$A), 'Fund Data'!$B:$B = MAX(FILTER('Fund Data'!$B:$B,'Fund Data'!$C:$C = $A22,'Fund Data'!$A:$A = MAX('Fund Data'!$A:$A)))),0)"),-5000.0)</f>
        <v>-5000</v>
      </c>
      <c r="L22" s="44">
        <f t="shared" si="5"/>
        <v>732.3412438</v>
      </c>
      <c r="M22" s="46">
        <f t="shared" si="6"/>
        <v>0.1277560446</v>
      </c>
      <c r="N22" s="42">
        <f t="shared" si="7"/>
        <v>0.0485889344</v>
      </c>
      <c r="O22" s="42">
        <f t="shared" si="8"/>
        <v>0.04238140433</v>
      </c>
      <c r="P22" s="16"/>
      <c r="Q22" s="16"/>
    </row>
    <row r="23">
      <c r="A23" s="36" t="s">
        <v>64</v>
      </c>
      <c r="B23" s="38" t="str">
        <f>IFERROR(__xludf.DUMMYFUNCTION("FILTER('Endowed Funds'!$C:$C,'Endowed Funds'!$B:$B = $A23)")," Education ")</f>
        <v>Education</v>
      </c>
      <c r="C23" s="39">
        <f>IFERROR(__xludf.DUMMYFUNCTION("IFERROR(sum(FILTER('Fund Data'!$V:$V, 'Fund Data'!$C:$C = $A23)),0)"),250000.0)</f>
        <v>250000</v>
      </c>
      <c r="D23" s="40">
        <f>IFERROR(__xludf.DUMMYFUNCTION("IFERROR(FILTER('Fund Data'!$R:$R,'Fund Data'!$C:$C = $A23,'Fund Data'!$A:$A = MAX('Fund Data'!$A:$A), 'Fund Data'!$B:$B = MAX(FILTER('Fund Data'!$B:$B,'Fund Data'!$C:$C = $A23,'Fund Data'!$A:$A = MAX('Fund Data'!$A:$A)))),0)"),327195.39230068104)</f>
        <v>327195.3923</v>
      </c>
      <c r="E23" s="40">
        <f>IFERROR(__xludf.DUMMYFUNCTION("IFERROR(FILTER('Fund Data'!$P:$P,'Fund Data'!$C:$C = $A23,'Fund Data'!$A:$A = MAX('Fund Data'!$A:$A), 'Fund Data'!$B:$B = MAX(FILTER('Fund Data'!$B:$B,'Fund Data'!$C:$C = $A23,'Fund Data'!$A:$A = MAX('Fund Data'!$A:$A)))),0)"),266538.01)</f>
        <v>266538.01</v>
      </c>
      <c r="F23" s="41">
        <f t="shared" si="1"/>
        <v>16538.01</v>
      </c>
      <c r="G23" s="42">
        <f t="shared" si="2"/>
        <v>1.06615204</v>
      </c>
      <c r="H23" s="41">
        <f t="shared" si="3"/>
        <v>-60657.3823</v>
      </c>
      <c r="I23" s="43">
        <f t="shared" si="4"/>
        <v>0.8146141916</v>
      </c>
      <c r="J23" s="44">
        <f>IFERROR(__xludf.DUMMYFUNCTION("IFERROR(FILTER('Fund Data'!$AC:$AC,'Fund Data'!$C:$C = $A23,'Fund Data'!$A:$A = MAX('Fund Data'!$A:$A), 'Fund Data'!$B:$B = MAX(FILTER('Fund Data'!$B:$B,'Fund Data'!$C:$C = $A23,'Fund Data'!$A:$A = MAX('Fund Data'!$A:$A)))),0)"),13091.105701912915)</f>
        <v>13091.1057</v>
      </c>
      <c r="K23" s="44">
        <f>IFERROR(__xludf.DUMMYFUNCTION("IFERROR(FILTER('Fund Data'!$F:$F,'Fund Data'!$C:$C = $A23,'Fund Data'!$A:$A = MAX('Fund Data'!$A:$A), 'Fund Data'!$B:$B = MAX(FILTER('Fund Data'!$B:$B,'Fund Data'!$C:$C = $A23,'Fund Data'!$A:$A = MAX('Fund Data'!$A:$A)))),0)"),-13000.0)</f>
        <v>-13000</v>
      </c>
      <c r="L23" s="44">
        <f t="shared" si="5"/>
        <v>91.10570191</v>
      </c>
      <c r="M23" s="46">
        <f t="shared" si="6"/>
        <v>0.006959358819</v>
      </c>
      <c r="N23" s="42">
        <f t="shared" si="7"/>
        <v>0.04911534269</v>
      </c>
      <c r="O23" s="42">
        <f t="shared" si="8"/>
        <v>0.0487735314</v>
      </c>
      <c r="P23" s="16"/>
      <c r="Q23" s="16"/>
    </row>
    <row r="24">
      <c r="A24" s="36" t="s">
        <v>65</v>
      </c>
      <c r="B24" s="38" t="str">
        <f>IFERROR(__xludf.DUMMYFUNCTION("FILTER('Endowed Funds'!$C:$C,'Endowed Funds'!$B:$B = $A24)")," Education ")</f>
        <v>Education</v>
      </c>
      <c r="C24" s="39">
        <f>IFERROR(__xludf.DUMMYFUNCTION("IFERROR(sum(FILTER('Fund Data'!$V:$V, 'Fund Data'!$C:$C = $A24)),0)"),100000.0)</f>
        <v>100000</v>
      </c>
      <c r="D24" s="40">
        <f>IFERROR(__xludf.DUMMYFUNCTION("IFERROR(FILTER('Fund Data'!$R:$R,'Fund Data'!$C:$C = $A24,'Fund Data'!$A:$A = MAX('Fund Data'!$A:$A), 'Fund Data'!$B:$B = MAX(FILTER('Fund Data'!$B:$B,'Fund Data'!$C:$C = $A24,'Fund Data'!$A:$A = MAX('Fund Data'!$A:$A)))),0)"),123356.73296928966)</f>
        <v>123356.733</v>
      </c>
      <c r="E24" s="40">
        <f>IFERROR(__xludf.DUMMYFUNCTION("IFERROR(FILTER('Fund Data'!$P:$P,'Fund Data'!$C:$C = $A24,'Fund Data'!$A:$A = MAX('Fund Data'!$A:$A), 'Fund Data'!$B:$B = MAX(FILTER('Fund Data'!$B:$B,'Fund Data'!$C:$C = $A24,'Fund Data'!$A:$A = MAX('Fund Data'!$A:$A)))),0)"),144029.88)</f>
        <v>144029.88</v>
      </c>
      <c r="F24" s="41">
        <f t="shared" si="1"/>
        <v>44029.88</v>
      </c>
      <c r="G24" s="42">
        <f t="shared" si="2"/>
        <v>1.4402988</v>
      </c>
      <c r="H24" s="41">
        <f t="shared" si="3"/>
        <v>20673.14703</v>
      </c>
      <c r="I24" s="43">
        <f t="shared" si="4"/>
        <v>1.167588315</v>
      </c>
      <c r="J24" s="44">
        <f>IFERROR(__xludf.DUMMYFUNCTION("IFERROR(FILTER('Fund Data'!$AC:$AC,'Fund Data'!$C:$C = $A24,'Fund Data'!$A:$A = MAX('Fund Data'!$A:$A), 'Fund Data'!$B:$B = MAX(FILTER('Fund Data'!$B:$B,'Fund Data'!$C:$C = $A24,'Fund Data'!$A:$A = MAX('Fund Data'!$A:$A)))),0)"),5810.961265961141)</f>
        <v>5810.961266</v>
      </c>
      <c r="K24" s="44">
        <f>IFERROR(__xludf.DUMMYFUNCTION("IFERROR(FILTER('Fund Data'!$F:$F,'Fund Data'!$C:$C = $A24,'Fund Data'!$A:$A = MAX('Fund Data'!$A:$A), 'Fund Data'!$B:$B = MAX(FILTER('Fund Data'!$B:$B,'Fund Data'!$C:$C = $A24,'Fund Data'!$A:$A = MAX('Fund Data'!$A:$A)))),0)"),-3500.0)</f>
        <v>-3500</v>
      </c>
      <c r="L24" s="44">
        <f t="shared" si="5"/>
        <v>2310.961266</v>
      </c>
      <c r="M24" s="46">
        <f t="shared" si="6"/>
        <v>0.3976900138</v>
      </c>
      <c r="N24" s="42">
        <f t="shared" si="7"/>
        <v>0.04034552598</v>
      </c>
      <c r="O24" s="42">
        <f t="shared" si="8"/>
        <v>0.0243005132</v>
      </c>
      <c r="P24" s="16"/>
      <c r="Q24" s="16"/>
    </row>
    <row r="25">
      <c r="A25" s="36" t="s">
        <v>66</v>
      </c>
      <c r="B25" s="38" t="str">
        <f>IFERROR(__xludf.DUMMYFUNCTION("FILTER('Endowed Funds'!$C:$C,'Endowed Funds'!$B:$B = $A25)")," General Operations ")</f>
        <v>General Operations</v>
      </c>
      <c r="C25" s="39">
        <f>IFERROR(__xludf.DUMMYFUNCTION("IFERROR(sum(FILTER('Fund Data'!$V:$V, 'Fund Data'!$C:$C = $A25)),0)"),366400.0)</f>
        <v>366400</v>
      </c>
      <c r="D25" s="40">
        <f>IFERROR(__xludf.DUMMYFUNCTION("IFERROR(FILTER('Fund Data'!$R:$R,'Fund Data'!$C:$C = $A25,'Fund Data'!$A:$A = MAX('Fund Data'!$A:$A), 'Fund Data'!$B:$B = MAX(FILTER('Fund Data'!$B:$B,'Fund Data'!$C:$C = $A25,'Fund Data'!$A:$A = MAX('Fund Data'!$A:$A)))),0)"),464509.6572734537)</f>
        <v>464509.6573</v>
      </c>
      <c r="E25" s="40">
        <f>IFERROR(__xludf.DUMMYFUNCTION("IFERROR(FILTER('Fund Data'!$P:$P,'Fund Data'!$C:$C = $A25,'Fund Data'!$A:$A = MAX('Fund Data'!$A:$A), 'Fund Data'!$B:$B = MAX(FILTER('Fund Data'!$B:$B,'Fund Data'!$C:$C = $A25,'Fund Data'!$A:$A = MAX('Fund Data'!$A:$A)))),0)"),358115.12)</f>
        <v>358115.12</v>
      </c>
      <c r="F25" s="41">
        <f t="shared" si="1"/>
        <v>-8284.88</v>
      </c>
      <c r="G25" s="42">
        <f t="shared" si="2"/>
        <v>0.9773884279</v>
      </c>
      <c r="H25" s="41">
        <f t="shared" si="3"/>
        <v>-106394.5373</v>
      </c>
      <c r="I25" s="43">
        <f t="shared" si="4"/>
        <v>0.7709530133</v>
      </c>
      <c r="J25" s="44">
        <f>IFERROR(__xludf.DUMMYFUNCTION("IFERROR(FILTER('Fund Data'!$AC:$AC,'Fund Data'!$C:$C = $A25,'Fund Data'!$A:$A = MAX('Fund Data'!$A:$A), 'Fund Data'!$B:$B = MAX(FILTER('Fund Data'!$B:$B,'Fund Data'!$C:$C = $A25,'Fund Data'!$A:$A = MAX('Fund Data'!$A:$A)))),0)"),17972.068842364715)</f>
        <v>17972.06884</v>
      </c>
      <c r="K25" s="44">
        <f>IFERROR(__xludf.DUMMYFUNCTION("IFERROR(FILTER('Fund Data'!$F:$F,'Fund Data'!$C:$C = $A25,'Fund Data'!$A:$A = MAX('Fund Data'!$A:$A), 'Fund Data'!$B:$B = MAX(FILTER('Fund Data'!$B:$B,'Fund Data'!$C:$C = $A25,'Fund Data'!$A:$A = MAX('Fund Data'!$A:$A)))),0)"),-15000.0)</f>
        <v>-15000</v>
      </c>
      <c r="L25" s="44">
        <f t="shared" si="5"/>
        <v>2972.068842</v>
      </c>
      <c r="M25" s="46">
        <f t="shared" si="6"/>
        <v>0.1653715478</v>
      </c>
      <c r="N25" s="42">
        <f t="shared" si="7"/>
        <v>0.05018517186</v>
      </c>
      <c r="O25" s="42">
        <f t="shared" si="8"/>
        <v>0.04188597231</v>
      </c>
      <c r="P25" s="16"/>
      <c r="Q25" s="16"/>
    </row>
    <row r="26">
      <c r="A26" s="36" t="s">
        <v>67</v>
      </c>
      <c r="B26" s="38" t="str">
        <f>IFERROR(__xludf.DUMMYFUNCTION("FILTER('Endowed Funds'!$C:$C,'Endowed Funds'!$B:$B = $A26)")," General Operations ")</f>
        <v>General Operations</v>
      </c>
      <c r="C26" s="39">
        <f>IFERROR(__xludf.DUMMYFUNCTION("IFERROR(sum(FILTER('Fund Data'!$V:$V, 'Fund Data'!$C:$C = $A26)),0)"),1456367.46)</f>
        <v>1456367.46</v>
      </c>
      <c r="D26" s="40">
        <f>IFERROR(__xludf.DUMMYFUNCTION("IFERROR(FILTER('Fund Data'!$R:$R,'Fund Data'!$C:$C = $A26,'Fund Data'!$A:$A = MAX('Fund Data'!$A:$A), 'Fund Data'!$B:$B = MAX(FILTER('Fund Data'!$B:$B,'Fund Data'!$C:$C = $A26,'Fund Data'!$A:$A = MAX('Fund Data'!$A:$A)))),0)"),2033589.293937655)</f>
        <v>2033589.294</v>
      </c>
      <c r="E26" s="40">
        <f>IFERROR(__xludf.DUMMYFUNCTION("IFERROR(FILTER('Fund Data'!$P:$P,'Fund Data'!$C:$C = $A26,'Fund Data'!$A:$A = MAX('Fund Data'!$A:$A), 'Fund Data'!$B:$B = MAX(FILTER('Fund Data'!$B:$B,'Fund Data'!$C:$C = $A26,'Fund Data'!$A:$A = MAX('Fund Data'!$A:$A)))),0)"),1438994.28)</f>
        <v>1438994.28</v>
      </c>
      <c r="F26" s="41">
        <f t="shared" si="1"/>
        <v>-17373.18</v>
      </c>
      <c r="G26" s="42">
        <f t="shared" si="2"/>
        <v>0.9880708815</v>
      </c>
      <c r="H26" s="41">
        <f t="shared" si="3"/>
        <v>-594595.0139</v>
      </c>
      <c r="I26" s="43">
        <f t="shared" si="4"/>
        <v>0.707613029</v>
      </c>
      <c r="J26" s="44">
        <f>IFERROR(__xludf.DUMMYFUNCTION("IFERROR(FILTER('Fund Data'!$AC:$AC,'Fund Data'!$C:$C = $A26,'Fund Data'!$A:$A = MAX('Fund Data'!$A:$A), 'Fund Data'!$B:$B = MAX(FILTER('Fund Data'!$B:$B,'Fund Data'!$C:$C = $A26,'Fund Data'!$A:$A = MAX('Fund Data'!$A:$A)))),0)"),69151.27530981819)</f>
        <v>69151.27531</v>
      </c>
      <c r="K26" s="44">
        <f>IFERROR(__xludf.DUMMYFUNCTION("IFERROR(FILTER('Fund Data'!$F:$F,'Fund Data'!$C:$C = $A26,'Fund Data'!$A:$A = MAX('Fund Data'!$A:$A), 'Fund Data'!$B:$B = MAX(FILTER('Fund Data'!$B:$B,'Fund Data'!$C:$C = $A26,'Fund Data'!$A:$A = MAX('Fund Data'!$A:$A)))),0)"),-45000.0)</f>
        <v>-45000</v>
      </c>
      <c r="L26" s="44">
        <f t="shared" si="5"/>
        <v>24151.27531</v>
      </c>
      <c r="M26" s="46">
        <f t="shared" si="6"/>
        <v>0.3492527824</v>
      </c>
      <c r="N26" s="42">
        <f t="shared" si="7"/>
        <v>0.04805528157</v>
      </c>
      <c r="O26" s="42">
        <f t="shared" si="8"/>
        <v>0.03127184077</v>
      </c>
      <c r="P26" s="16"/>
      <c r="Q26" s="16"/>
    </row>
    <row r="27">
      <c r="A27" s="36" t="s">
        <v>68</v>
      </c>
      <c r="B27" s="38" t="str">
        <f>IFERROR(__xludf.DUMMYFUNCTION("FILTER('Endowed Funds'!$C:$C,'Endowed Funds'!$B:$B = $A27)")," General Operations ")</f>
        <v>General Operations</v>
      </c>
      <c r="C27" s="39">
        <f>IFERROR(__xludf.DUMMYFUNCTION("IFERROR(sum(FILTER('Fund Data'!$V:$V, 'Fund Data'!$C:$C = $A27)),0)"),1183929.39)</f>
        <v>1183929.39</v>
      </c>
      <c r="D27" s="40">
        <f>IFERROR(__xludf.DUMMYFUNCTION("IFERROR(FILTER('Fund Data'!$R:$R,'Fund Data'!$C:$C = $A27,'Fund Data'!$A:$A = MAX('Fund Data'!$A:$A), 'Fund Data'!$B:$B = MAX(FILTER('Fund Data'!$B:$B,'Fund Data'!$C:$C = $A27,'Fund Data'!$A:$A = MAX('Fund Data'!$A:$A)))),0)"),1929347.387862622)</f>
        <v>1929347.388</v>
      </c>
      <c r="E27" s="40">
        <f>IFERROR(__xludf.DUMMYFUNCTION("IFERROR(FILTER('Fund Data'!$P:$P,'Fund Data'!$C:$C = $A27,'Fund Data'!$A:$A = MAX('Fund Data'!$A:$A), 'Fund Data'!$B:$B = MAX(FILTER('Fund Data'!$B:$B,'Fund Data'!$C:$C = $A27,'Fund Data'!$A:$A = MAX('Fund Data'!$A:$A)))),0)"),1195926.9100000001)</f>
        <v>1195926.91</v>
      </c>
      <c r="F27" s="41">
        <f t="shared" si="1"/>
        <v>11997.52</v>
      </c>
      <c r="G27" s="42">
        <f t="shared" si="2"/>
        <v>1.010133645</v>
      </c>
      <c r="H27" s="41">
        <f t="shared" si="3"/>
        <v>-733420.4779</v>
      </c>
      <c r="I27" s="43">
        <f t="shared" si="4"/>
        <v>0.6198608491</v>
      </c>
      <c r="J27" s="44">
        <f>IFERROR(__xludf.DUMMYFUNCTION("IFERROR(FILTER('Fund Data'!$AC:$AC,'Fund Data'!$C:$C = $A27,'Fund Data'!$A:$A = MAX('Fund Data'!$A:$A), 'Fund Data'!$B:$B = MAX(FILTER('Fund Data'!$B:$B,'Fund Data'!$C:$C = $A27,'Fund Data'!$A:$A = MAX('Fund Data'!$A:$A)))),0)"),57027.286464220895)</f>
        <v>57027.28646</v>
      </c>
      <c r="K27" s="44">
        <f>IFERROR(__xludf.DUMMYFUNCTION("IFERROR(FILTER('Fund Data'!$F:$F,'Fund Data'!$C:$C = $A27,'Fund Data'!$A:$A = MAX('Fund Data'!$A:$A), 'Fund Data'!$B:$B = MAX(FILTER('Fund Data'!$B:$B,'Fund Data'!$C:$C = $A27,'Fund Data'!$A:$A = MAX('Fund Data'!$A:$A)))),0)"),-23000.0)</f>
        <v>-23000</v>
      </c>
      <c r="L27" s="44">
        <f t="shared" si="5"/>
        <v>34027.28646</v>
      </c>
      <c r="M27" s="46">
        <f t="shared" si="6"/>
        <v>0.5966842993</v>
      </c>
      <c r="N27" s="42">
        <f t="shared" si="7"/>
        <v>0.04768459175</v>
      </c>
      <c r="O27" s="42">
        <f t="shared" si="8"/>
        <v>0.01923194453</v>
      </c>
      <c r="P27" s="16"/>
      <c r="Q27" s="16"/>
    </row>
    <row r="28">
      <c r="A28" s="36" t="s">
        <v>69</v>
      </c>
      <c r="B28" s="38" t="str">
        <f>IFERROR(__xludf.DUMMYFUNCTION("FILTER('Endowed Funds'!$C:$C,'Endowed Funds'!$B:$B = $A28)")," General Operations ")</f>
        <v>General Operations</v>
      </c>
      <c r="C28" s="39">
        <f>IFERROR(__xludf.DUMMYFUNCTION("IFERROR(sum(FILTER('Fund Data'!$V:$V, 'Fund Data'!$C:$C = $A28)),0)"),500000.0)</f>
        <v>500000</v>
      </c>
      <c r="D28" s="40">
        <f>IFERROR(__xludf.DUMMYFUNCTION("IFERROR(FILTER('Fund Data'!$R:$R,'Fund Data'!$C:$C = $A28,'Fund Data'!$A:$A = MAX('Fund Data'!$A:$A), 'Fund Data'!$B:$B = MAX(FILTER('Fund Data'!$B:$B,'Fund Data'!$C:$C = $A28,'Fund Data'!$A:$A = MAX('Fund Data'!$A:$A)))),0)"),713616.1845300763)</f>
        <v>713616.1845</v>
      </c>
      <c r="E28" s="40">
        <f>IFERROR(__xludf.DUMMYFUNCTION("IFERROR(FILTER('Fund Data'!$P:$P,'Fund Data'!$C:$C = $A28,'Fund Data'!$A:$A = MAX('Fund Data'!$A:$A), 'Fund Data'!$B:$B = MAX(FILTER('Fund Data'!$B:$B,'Fund Data'!$C:$C = $A28,'Fund Data'!$A:$A = MAX('Fund Data'!$A:$A)))),0)"),518748.18)</f>
        <v>518748.18</v>
      </c>
      <c r="F28" s="41">
        <f t="shared" si="1"/>
        <v>18748.18</v>
      </c>
      <c r="G28" s="42">
        <f t="shared" si="2"/>
        <v>1.03749636</v>
      </c>
      <c r="H28" s="41">
        <f t="shared" si="3"/>
        <v>-194868.0045</v>
      </c>
      <c r="I28" s="43">
        <f t="shared" si="4"/>
        <v>0.7269288327</v>
      </c>
      <c r="J28" s="44">
        <f>IFERROR(__xludf.DUMMYFUNCTION("IFERROR(FILTER('Fund Data'!$AC:$AC,'Fund Data'!$C:$C = $A28,'Fund Data'!$A:$A = MAX('Fund Data'!$A:$A), 'Fund Data'!$B:$B = MAX(FILTER('Fund Data'!$B:$B,'Fund Data'!$C:$C = $A28,'Fund Data'!$A:$A = MAX('Fund Data'!$A:$A)))),0)"),25014.858053710414)</f>
        <v>25014.85805</v>
      </c>
      <c r="K28" s="44">
        <f>IFERROR(__xludf.DUMMYFUNCTION("IFERROR(FILTER('Fund Data'!$F:$F,'Fund Data'!$C:$C = $A28,'Fund Data'!$A:$A = MAX('Fund Data'!$A:$A), 'Fund Data'!$B:$B = MAX(FILTER('Fund Data'!$B:$B,'Fund Data'!$C:$C = $A28,'Fund Data'!$A:$A = MAX('Fund Data'!$A:$A)))),0)"),-10000.0)</f>
        <v>-10000</v>
      </c>
      <c r="L28" s="44">
        <f t="shared" si="5"/>
        <v>15014.85805</v>
      </c>
      <c r="M28" s="46">
        <f t="shared" si="6"/>
        <v>0.6002375877</v>
      </c>
      <c r="N28" s="42">
        <f t="shared" si="7"/>
        <v>0.0482215823</v>
      </c>
      <c r="O28" s="42">
        <f t="shared" si="8"/>
        <v>0.01927717607</v>
      </c>
      <c r="P28" s="16"/>
      <c r="Q28" s="16"/>
    </row>
    <row r="29">
      <c r="A29" s="36" t="s">
        <v>70</v>
      </c>
      <c r="B29" s="38" t="str">
        <f>IFERROR(__xludf.DUMMYFUNCTION("FILTER('Endowed Funds'!$C:$C,'Endowed Funds'!$B:$B = $A29)")," Research Institute ")</f>
        <v>Research Institute</v>
      </c>
      <c r="C29" s="39">
        <f>IFERROR(__xludf.DUMMYFUNCTION("IFERROR(sum(FILTER('Fund Data'!$V:$V, 'Fund Data'!$C:$C = $A29)),0)"),112623.11)</f>
        <v>112623.11</v>
      </c>
      <c r="D29" s="40">
        <f>IFERROR(__xludf.DUMMYFUNCTION("IFERROR(FILTER('Fund Data'!$R:$R,'Fund Data'!$C:$C = $A29,'Fund Data'!$A:$A = MAX('Fund Data'!$A:$A), 'Fund Data'!$B:$B = MAX(FILTER('Fund Data'!$B:$B,'Fund Data'!$C:$C = $A29,'Fund Data'!$A:$A = MAX('Fund Data'!$A:$A)))),0)"),157883.73644256534)</f>
        <v>157883.7364</v>
      </c>
      <c r="E29" s="40">
        <f>IFERROR(__xludf.DUMMYFUNCTION("IFERROR(FILTER('Fund Data'!$P:$P,'Fund Data'!$C:$C = $A29,'Fund Data'!$A:$A = MAX('Fund Data'!$A:$A), 'Fund Data'!$B:$B = MAX(FILTER('Fund Data'!$B:$B,'Fund Data'!$C:$C = $A29,'Fund Data'!$A:$A = MAX('Fund Data'!$A:$A)))),0)"),170384.76999999993)</f>
        <v>170384.77</v>
      </c>
      <c r="F29" s="41">
        <f t="shared" si="1"/>
        <v>57761.66</v>
      </c>
      <c r="G29" s="42">
        <f t="shared" si="2"/>
        <v>1.512875732</v>
      </c>
      <c r="H29" s="41">
        <f t="shared" si="3"/>
        <v>12501.03356</v>
      </c>
      <c r="I29" s="43">
        <f t="shared" si="4"/>
        <v>1.079178729</v>
      </c>
      <c r="J29" s="44">
        <f>IFERROR(__xludf.DUMMYFUNCTION("IFERROR(FILTER('Fund Data'!$AC:$AC,'Fund Data'!$C:$C = $A29,'Fund Data'!$A:$A = MAX('Fund Data'!$A:$A), 'Fund Data'!$B:$B = MAX(FILTER('Fund Data'!$B:$B,'Fund Data'!$C:$C = $A29,'Fund Data'!$A:$A = MAX('Fund Data'!$A:$A)))),0)"),7649.875739924851)</f>
        <v>7649.87574</v>
      </c>
      <c r="K29" s="44">
        <f>IFERROR(__xludf.DUMMYFUNCTION("IFERROR(FILTER('Fund Data'!$F:$F,'Fund Data'!$C:$C = $A29,'Fund Data'!$A:$A = MAX('Fund Data'!$A:$A), 'Fund Data'!$B:$B = MAX(FILTER('Fund Data'!$B:$B,'Fund Data'!$C:$C = $A29,'Fund Data'!$A:$A = MAX('Fund Data'!$A:$A)))),0)"),-2500.0)</f>
        <v>-2500</v>
      </c>
      <c r="L29" s="44">
        <f t="shared" si="5"/>
        <v>5149.87574</v>
      </c>
      <c r="M29" s="46">
        <f t="shared" si="6"/>
        <v>0.6731973061</v>
      </c>
      <c r="N29" s="42">
        <f t="shared" si="7"/>
        <v>0.04489764983</v>
      </c>
      <c r="O29" s="42">
        <f t="shared" si="8"/>
        <v>0.01467267292</v>
      </c>
      <c r="P29" s="16"/>
      <c r="Q29" s="16"/>
    </row>
    <row r="30">
      <c r="A30" s="36" t="s">
        <v>71</v>
      </c>
      <c r="B30" s="38" t="str">
        <f>IFERROR(__xludf.DUMMYFUNCTION("FILTER('Endowed Funds'!$C:$C,'Endowed Funds'!$B:$B = $A30)")," Research Institute ")</f>
        <v>Research Institute</v>
      </c>
      <c r="C30" s="39">
        <f>IFERROR(__xludf.DUMMYFUNCTION("IFERROR(sum(FILTER('Fund Data'!$V:$V, 'Fund Data'!$C:$C = $A30)),0)"),185189.56)</f>
        <v>185189.56</v>
      </c>
      <c r="D30" s="40">
        <f>IFERROR(__xludf.DUMMYFUNCTION("IFERROR(FILTER('Fund Data'!$R:$R,'Fund Data'!$C:$C = $A30,'Fund Data'!$A:$A = MAX('Fund Data'!$A:$A), 'Fund Data'!$B:$B = MAX(FILTER('Fund Data'!$B:$B,'Fund Data'!$C:$C = $A30,'Fund Data'!$A:$A = MAX('Fund Data'!$A:$A)))),0)"),221459.97373532288)</f>
        <v>221459.9737</v>
      </c>
      <c r="E30" s="40">
        <f>IFERROR(__xludf.DUMMYFUNCTION("IFERROR(FILTER('Fund Data'!$P:$P,'Fund Data'!$C:$C = $A30,'Fund Data'!$A:$A = MAX('Fund Data'!$A:$A), 'Fund Data'!$B:$B = MAX(FILTER('Fund Data'!$B:$B,'Fund Data'!$C:$C = $A30,'Fund Data'!$A:$A = MAX('Fund Data'!$A:$A)))),0)"),210850.19000000006)</f>
        <v>210850.19</v>
      </c>
      <c r="F30" s="41">
        <f t="shared" si="1"/>
        <v>25660.63</v>
      </c>
      <c r="G30" s="42">
        <f t="shared" si="2"/>
        <v>1.138564129</v>
      </c>
      <c r="H30" s="41">
        <f t="shared" si="3"/>
        <v>-10609.78374</v>
      </c>
      <c r="I30" s="43">
        <f t="shared" si="4"/>
        <v>0.9520916419</v>
      </c>
      <c r="J30" s="44">
        <f>IFERROR(__xludf.DUMMYFUNCTION("IFERROR(FILTER('Fund Data'!$AC:$AC,'Fund Data'!$C:$C = $A30,'Fund Data'!$A:$A = MAX('Fund Data'!$A:$A), 'Fund Data'!$B:$B = MAX(FILTER('Fund Data'!$B:$B,'Fund Data'!$C:$C = $A30,'Fund Data'!$A:$A = MAX('Fund Data'!$A:$A)))),0)"),10387.780777624062)</f>
        <v>10387.78078</v>
      </c>
      <c r="K30" s="44">
        <f>IFERROR(__xludf.DUMMYFUNCTION("IFERROR(FILTER('Fund Data'!$F:$F,'Fund Data'!$C:$C = $A30,'Fund Data'!$A:$A = MAX('Fund Data'!$A:$A), 'Fund Data'!$B:$B = MAX(FILTER('Fund Data'!$B:$B,'Fund Data'!$C:$C = $A30,'Fund Data'!$A:$A = MAX('Fund Data'!$A:$A)))),0)"),-500.0)</f>
        <v>-500</v>
      </c>
      <c r="L30" s="44">
        <f t="shared" si="5"/>
        <v>9887.780778</v>
      </c>
      <c r="M30" s="46">
        <f t="shared" si="6"/>
        <v>0.9518665237</v>
      </c>
      <c r="N30" s="42">
        <f t="shared" si="7"/>
        <v>0.0492661675</v>
      </c>
      <c r="O30" s="42">
        <f t="shared" si="8"/>
        <v>0.002371351906</v>
      </c>
      <c r="P30" s="16"/>
      <c r="Q30" s="16"/>
    </row>
    <row r="31">
      <c r="A31" s="36" t="s">
        <v>72</v>
      </c>
      <c r="B31" s="38" t="str">
        <f>IFERROR(__xludf.DUMMYFUNCTION("FILTER('Endowed Funds'!$C:$C,'Endowed Funds'!$B:$B = $A31)")," Research Institute ")</f>
        <v>Research Institute</v>
      </c>
      <c r="C31" s="39">
        <f>IFERROR(__xludf.DUMMYFUNCTION("IFERROR(sum(FILTER('Fund Data'!$V:$V, 'Fund Data'!$C:$C = $A31)),0)"),420073.55)</f>
        <v>420073.55</v>
      </c>
      <c r="D31" s="40">
        <f>IFERROR(__xludf.DUMMYFUNCTION("IFERROR(FILTER('Fund Data'!$R:$R,'Fund Data'!$C:$C = $A31,'Fund Data'!$A:$A = MAX('Fund Data'!$A:$A), 'Fund Data'!$B:$B = MAX(FILTER('Fund Data'!$B:$B,'Fund Data'!$C:$C = $A31,'Fund Data'!$A:$A = MAX('Fund Data'!$A:$A)))),0)"),459049.4512480315)</f>
        <v>459049.4512</v>
      </c>
      <c r="E31" s="40">
        <f>IFERROR(__xludf.DUMMYFUNCTION("IFERROR(FILTER('Fund Data'!$P:$P,'Fund Data'!$C:$C = $A31,'Fund Data'!$A:$A = MAX('Fund Data'!$A:$A), 'Fund Data'!$B:$B = MAX(FILTER('Fund Data'!$B:$B,'Fund Data'!$C:$C = $A31,'Fund Data'!$A:$A = MAX('Fund Data'!$A:$A)))),0)"),492132.86999999994)</f>
        <v>492132.87</v>
      </c>
      <c r="F31" s="41">
        <f t="shared" si="1"/>
        <v>72059.32</v>
      </c>
      <c r="G31" s="42">
        <f t="shared" si="2"/>
        <v>1.17153977</v>
      </c>
      <c r="H31" s="41">
        <f t="shared" si="3"/>
        <v>33083.41875</v>
      </c>
      <c r="I31" s="43">
        <f t="shared" si="4"/>
        <v>1.072069401</v>
      </c>
      <c r="J31" s="44">
        <f>IFERROR(__xludf.DUMMYFUNCTION("IFERROR(FILTER('Fund Data'!$AC:$AC,'Fund Data'!$C:$C = $A31,'Fund Data'!$A:$A = MAX('Fund Data'!$A:$A), 'Fund Data'!$B:$B = MAX(FILTER('Fund Data'!$B:$B,'Fund Data'!$C:$C = $A31,'Fund Data'!$A:$A = MAX('Fund Data'!$A:$A)))),0)"),35449.45554977661)</f>
        <v>35449.45555</v>
      </c>
      <c r="K31" s="44" t="str">
        <f>IFERROR(__xludf.DUMMYFUNCTION("IFERROR(FILTER('Fund Data'!$F:$F,'Fund Data'!$C:$C = $A31,'Fund Data'!$A:$A = MAX('Fund Data'!$A:$A), 'Fund Data'!$B:$B = MAX(FILTER('Fund Data'!$B:$B,'Fund Data'!$C:$C = $A31,'Fund Data'!$A:$A = MAX('Fund Data'!$A:$A)))),0)"),"")</f>
        <v/>
      </c>
      <c r="L31" s="44">
        <f t="shared" si="5"/>
        <v>35449.45555</v>
      </c>
      <c r="M31" s="46">
        <f t="shared" si="6"/>
        <v>1</v>
      </c>
      <c r="N31" s="42">
        <f t="shared" si="7"/>
        <v>0.07203228581</v>
      </c>
      <c r="O31" s="42">
        <f t="shared" si="8"/>
        <v>0</v>
      </c>
      <c r="P31" s="16"/>
      <c r="Q31" s="16"/>
    </row>
    <row r="32">
      <c r="A32" s="36" t="s">
        <v>43</v>
      </c>
      <c r="B32" s="38" t="str">
        <f>IFERROR(__xludf.DUMMYFUNCTION("FILTER('Endowed Funds'!$C:$C,'Endowed Funds'!$B:$B = $A32)")," Research Institute ")</f>
        <v>Research Institute</v>
      </c>
      <c r="C32" s="39">
        <f>IFERROR(__xludf.DUMMYFUNCTION("IFERROR(sum(FILTER('Fund Data'!$V:$V, 'Fund Data'!$C:$C = $A32)),0)"),1081136.0)</f>
        <v>1081136</v>
      </c>
      <c r="D32" s="40">
        <f>IFERROR(__xludf.DUMMYFUNCTION("IFERROR(FILTER('Fund Data'!$R:$R,'Fund Data'!$C:$C = $A32,'Fund Data'!$A:$A = MAX('Fund Data'!$A:$A), 'Fund Data'!$B:$B = MAX(FILTER('Fund Data'!$B:$B,'Fund Data'!$C:$C = $A32,'Fund Data'!$A:$A = MAX('Fund Data'!$A:$A)))),0)"),1169018.8686209258)</f>
        <v>1169018.869</v>
      </c>
      <c r="E32" s="40">
        <f>IFERROR(__xludf.DUMMYFUNCTION("IFERROR(FILTER('Fund Data'!$P:$P,'Fund Data'!$C:$C = $A32,'Fund Data'!$A:$A = MAX('Fund Data'!$A:$A), 'Fund Data'!$B:$B = MAX(FILTER('Fund Data'!$B:$B,'Fund Data'!$C:$C = $A32,'Fund Data'!$A:$A = MAX('Fund Data'!$A:$A)))),0)"),1190377.92)</f>
        <v>1190377.92</v>
      </c>
      <c r="F32" s="41">
        <f t="shared" si="1"/>
        <v>109241.92</v>
      </c>
      <c r="G32" s="42">
        <f t="shared" si="2"/>
        <v>1.101043643</v>
      </c>
      <c r="H32" s="41">
        <f t="shared" si="3"/>
        <v>21359.05138</v>
      </c>
      <c r="I32" s="43">
        <f t="shared" si="4"/>
        <v>1.018270921</v>
      </c>
      <c r="J32" s="44">
        <f>IFERROR(__xludf.DUMMYFUNCTION("IFERROR(FILTER('Fund Data'!$AC:$AC,'Fund Data'!$C:$C = $A32,'Fund Data'!$A:$A = MAX('Fund Data'!$A:$A), 'Fund Data'!$B:$B = MAX(FILTER('Fund Data'!$B:$B,'Fund Data'!$C:$C = $A32,'Fund Data'!$A:$A = MAX('Fund Data'!$A:$A)))),0)"),52852.602857028425)</f>
        <v>52852.60286</v>
      </c>
      <c r="K32" s="44">
        <f>IFERROR(__xludf.DUMMYFUNCTION("IFERROR(FILTER('Fund Data'!$F:$F,'Fund Data'!$C:$C = $A32,'Fund Data'!$A:$A = MAX('Fund Data'!$A:$A), 'Fund Data'!$B:$B = MAX(FILTER('Fund Data'!$B:$B,'Fund Data'!$C:$C = $A32,'Fund Data'!$A:$A = MAX('Fund Data'!$A:$A)))),0)"),-27600.0)</f>
        <v>-27600</v>
      </c>
      <c r="L32" s="44">
        <f t="shared" si="5"/>
        <v>25252.60286</v>
      </c>
      <c r="M32" s="46">
        <f t="shared" si="6"/>
        <v>0.4777929845</v>
      </c>
      <c r="N32" s="42">
        <f t="shared" si="7"/>
        <v>0.04439985148</v>
      </c>
      <c r="O32" s="42">
        <f t="shared" si="8"/>
        <v>0.02318591393</v>
      </c>
      <c r="P32" s="16"/>
      <c r="Q32" s="16"/>
    </row>
    <row r="33">
      <c r="A33" s="36" t="s">
        <v>73</v>
      </c>
      <c r="B33" s="38" t="str">
        <f>IFERROR(__xludf.DUMMYFUNCTION("FILTER('Endowed Funds'!$C:$C,'Endowed Funds'!$B:$B = $A33)")," Research Institute ")</f>
        <v>Research Institute</v>
      </c>
      <c r="C33" s="39">
        <f>IFERROR(__xludf.DUMMYFUNCTION("IFERROR(sum(FILTER('Fund Data'!$V:$V, 'Fund Data'!$C:$C = $A33)),0)"),2005500.0)</f>
        <v>2005500</v>
      </c>
      <c r="D33" s="40">
        <f>IFERROR(__xludf.DUMMYFUNCTION("IFERROR(FILTER('Fund Data'!$R:$R,'Fund Data'!$C:$C = $A33,'Fund Data'!$A:$A = MAX('Fund Data'!$A:$A), 'Fund Data'!$B:$B = MAX(FILTER('Fund Data'!$B:$B,'Fund Data'!$C:$C = $A33,'Fund Data'!$A:$A = MAX('Fund Data'!$A:$A)))),0)"),2263556.988698928)</f>
        <v>2263556.989</v>
      </c>
      <c r="E33" s="40">
        <f>IFERROR(__xludf.DUMMYFUNCTION("IFERROR(FILTER('Fund Data'!$P:$P,'Fund Data'!$C:$C = $A33,'Fund Data'!$A:$A = MAX('Fund Data'!$A:$A), 'Fund Data'!$B:$B = MAX(FILTER('Fund Data'!$B:$B,'Fund Data'!$C:$C = $A33,'Fund Data'!$A:$A = MAX('Fund Data'!$A:$A)))),0)"),2209087.37)</f>
        <v>2209087.37</v>
      </c>
      <c r="F33" s="41">
        <f t="shared" si="1"/>
        <v>203587.37</v>
      </c>
      <c r="G33" s="42">
        <f t="shared" si="2"/>
        <v>1.10151452</v>
      </c>
      <c r="H33" s="41">
        <f t="shared" si="3"/>
        <v>-54469.6187</v>
      </c>
      <c r="I33" s="43">
        <f t="shared" si="4"/>
        <v>0.9759362724</v>
      </c>
      <c r="J33" s="44">
        <f>IFERROR(__xludf.DUMMYFUNCTION("IFERROR(FILTER('Fund Data'!$AC:$AC,'Fund Data'!$C:$C = $A33,'Fund Data'!$A:$A = MAX('Fund Data'!$A:$A), 'Fund Data'!$B:$B = MAX(FILTER('Fund Data'!$B:$B,'Fund Data'!$C:$C = $A33,'Fund Data'!$A:$A = MAX('Fund Data'!$A:$A)))),0)"),144083.72445398266)</f>
        <v>144083.7245</v>
      </c>
      <c r="K33" s="44">
        <f>IFERROR(__xludf.DUMMYFUNCTION("IFERROR(FILTER('Fund Data'!$F:$F,'Fund Data'!$C:$C = $A33,'Fund Data'!$A:$A = MAX('Fund Data'!$A:$A), 'Fund Data'!$B:$B = MAX(FILTER('Fund Data'!$B:$B,'Fund Data'!$C:$C = $A33,'Fund Data'!$A:$A = MAX('Fund Data'!$A:$A)))),0)"),-68000.0)</f>
        <v>-68000</v>
      </c>
      <c r="L33" s="44">
        <f t="shared" si="5"/>
        <v>76083.72445</v>
      </c>
      <c r="M33" s="46">
        <f t="shared" si="6"/>
        <v>0.5280521776</v>
      </c>
      <c r="N33" s="42">
        <f t="shared" si="7"/>
        <v>0.06522318964</v>
      </c>
      <c r="O33" s="42">
        <f t="shared" si="8"/>
        <v>0.03078194232</v>
      </c>
      <c r="P33" s="16"/>
      <c r="Q33" s="16"/>
    </row>
    <row r="34">
      <c r="A34" s="36" t="s">
        <v>78</v>
      </c>
      <c r="B34" s="38" t="str">
        <f>IFERROR(__xludf.DUMMYFUNCTION("FILTER('Endowed Funds'!$C:$C,'Endowed Funds'!$B:$B = $A34)")," Research Institute ")</f>
        <v>Research Institute</v>
      </c>
      <c r="C34" s="39">
        <f>IFERROR(__xludf.DUMMYFUNCTION("IFERROR(sum(FILTER('Fund Data'!$V:$V, 'Fund Data'!$C:$C = $A34)),0)"),280000.0)</f>
        <v>280000</v>
      </c>
      <c r="D34" s="40">
        <f>IFERROR(__xludf.DUMMYFUNCTION("IFERROR(FILTER('Fund Data'!$R:$R,'Fund Data'!$C:$C = $A34,'Fund Data'!$A:$A = MAX('Fund Data'!$A:$A), 'Fund Data'!$B:$B = MAX(FILTER('Fund Data'!$B:$B,'Fund Data'!$C:$C = $A34,'Fund Data'!$A:$A = MAX('Fund Data'!$A:$A)))),0)"),294153.3691251027)</f>
        <v>294153.3691</v>
      </c>
      <c r="E34" s="40">
        <f>IFERROR(__xludf.DUMMYFUNCTION("IFERROR(FILTER('Fund Data'!$P:$P,'Fund Data'!$C:$C = $A34,'Fund Data'!$A:$A = MAX('Fund Data'!$A:$A), 'Fund Data'!$B:$B = MAX(FILTER('Fund Data'!$B:$B,'Fund Data'!$C:$C = $A34,'Fund Data'!$A:$A = MAX('Fund Data'!$A:$A)))),0)"),301506.6)</f>
        <v>301506.6</v>
      </c>
      <c r="F34" s="41">
        <f t="shared" si="1"/>
        <v>21506.6</v>
      </c>
      <c r="G34" s="42">
        <f t="shared" si="2"/>
        <v>1.076809286</v>
      </c>
      <c r="H34" s="41">
        <f t="shared" si="3"/>
        <v>7353.230875</v>
      </c>
      <c r="I34" s="43">
        <f t="shared" si="4"/>
        <v>1.024997949</v>
      </c>
      <c r="J34" s="44">
        <f>IFERROR(__xludf.DUMMYFUNCTION("IFERROR(FILTER('Fund Data'!$AC:$AC,'Fund Data'!$C:$C = $A34,'Fund Data'!$A:$A = MAX('Fund Data'!$A:$A), 'Fund Data'!$B:$B = MAX(FILTER('Fund Data'!$B:$B,'Fund Data'!$C:$C = $A34,'Fund Data'!$A:$A = MAX('Fund Data'!$A:$A)))),0)"),17965.911099036868)</f>
        <v>17965.9111</v>
      </c>
      <c r="K34" s="44" t="str">
        <f>IFERROR(__xludf.DUMMYFUNCTION("IFERROR(FILTER('Fund Data'!$F:$F,'Fund Data'!$C:$C = $A34,'Fund Data'!$A:$A = MAX('Fund Data'!$A:$A), 'Fund Data'!$B:$B = MAX(FILTER('Fund Data'!$B:$B,'Fund Data'!$C:$C = $A34,'Fund Data'!$A:$A = MAX('Fund Data'!$A:$A)))),0)"),"")</f>
        <v/>
      </c>
      <c r="L34" s="44">
        <f t="shared" si="5"/>
        <v>17965.9111</v>
      </c>
      <c r="M34" s="46">
        <f t="shared" si="6"/>
        <v>1</v>
      </c>
      <c r="N34" s="42">
        <f t="shared" si="7"/>
        <v>0.05958712379</v>
      </c>
      <c r="O34" s="42">
        <f t="shared" si="8"/>
        <v>0</v>
      </c>
      <c r="P34" s="16"/>
      <c r="Q34" s="16"/>
    </row>
    <row r="35">
      <c r="A35" s="36" t="s">
        <v>79</v>
      </c>
      <c r="B35" s="38" t="str">
        <f>IFERROR(__xludf.DUMMYFUNCTION("FILTER('Endowed Funds'!$C:$C,'Endowed Funds'!$B:$B = $A35)")," Research Institute ")</f>
        <v>Research Institute</v>
      </c>
      <c r="C35" s="39">
        <f>IFERROR(__xludf.DUMMYFUNCTION("IFERROR(sum(FILTER('Fund Data'!$V:$V, 'Fund Data'!$C:$C = $A35)),0)"),1000000.0)</f>
        <v>1000000</v>
      </c>
      <c r="D35" s="40">
        <f>IFERROR(__xludf.DUMMYFUNCTION("IFERROR(FILTER('Fund Data'!$R:$R,'Fund Data'!$C:$C = $A35,'Fund Data'!$A:$A = MAX('Fund Data'!$A:$A), 'Fund Data'!$B:$B = MAX(FILTER('Fund Data'!$B:$B,'Fund Data'!$C:$C = $A35,'Fund Data'!$A:$A = MAX('Fund Data'!$A:$A)))),0)"),1079225.8407559467)</f>
        <v>1079225.841</v>
      </c>
      <c r="E35" s="40">
        <f>IFERROR(__xludf.DUMMYFUNCTION("IFERROR(FILTER('Fund Data'!$P:$P,'Fund Data'!$C:$C = $A35,'Fund Data'!$A:$A = MAX('Fund Data'!$A:$A), 'Fund Data'!$B:$B = MAX(FILTER('Fund Data'!$B:$B,'Fund Data'!$C:$C = $A35,'Fund Data'!$A:$A = MAX('Fund Data'!$A:$A)))),0)"),1114332.63)</f>
        <v>1114332.63</v>
      </c>
      <c r="F35" s="41">
        <f t="shared" si="1"/>
        <v>114332.63</v>
      </c>
      <c r="G35" s="42">
        <f t="shared" si="2"/>
        <v>1.11433263</v>
      </c>
      <c r="H35" s="41">
        <f t="shared" si="3"/>
        <v>35106.78924</v>
      </c>
      <c r="I35" s="43">
        <f t="shared" si="4"/>
        <v>1.032529604</v>
      </c>
      <c r="J35" s="44">
        <f>IFERROR(__xludf.DUMMYFUNCTION("IFERROR(FILTER('Fund Data'!$AC:$AC,'Fund Data'!$C:$C = $A35,'Fund Data'!$A:$A = MAX('Fund Data'!$A:$A), 'Fund Data'!$B:$B = MAX(FILTER('Fund Data'!$B:$B,'Fund Data'!$C:$C = $A35,'Fund Data'!$A:$A = MAX('Fund Data'!$A:$A)))),0)"),48606.59802648084)</f>
        <v>48606.59803</v>
      </c>
      <c r="K35" s="44" t="str">
        <f>IFERROR(__xludf.DUMMYFUNCTION("IFERROR(FILTER('Fund Data'!$F:$F,'Fund Data'!$C:$C = $A35,'Fund Data'!$A:$A = MAX('Fund Data'!$A:$A), 'Fund Data'!$B:$B = MAX(FILTER('Fund Data'!$B:$B,'Fund Data'!$C:$C = $A35,'Fund Data'!$A:$A = MAX('Fund Data'!$A:$A)))),0)"),"")</f>
        <v/>
      </c>
      <c r="L35" s="44">
        <f t="shared" si="5"/>
        <v>48606.59803</v>
      </c>
      <c r="M35" s="46">
        <f t="shared" si="6"/>
        <v>1</v>
      </c>
      <c r="N35" s="42">
        <f t="shared" si="7"/>
        <v>0.04361946937</v>
      </c>
      <c r="O35" s="42">
        <f t="shared" si="8"/>
        <v>0</v>
      </c>
      <c r="P35" s="16"/>
      <c r="Q35" s="16"/>
    </row>
    <row r="36">
      <c r="A36" s="86" t="s">
        <v>80</v>
      </c>
      <c r="B36" s="38" t="str">
        <f>IFERROR(__xludf.DUMMYFUNCTION("FILTER('Endowed Funds'!$C:$C,'Endowed Funds'!$B:$B = $A36)")," Research Institute ")</f>
        <v>Research Institute</v>
      </c>
      <c r="C36" s="39">
        <f>IFERROR(__xludf.DUMMYFUNCTION("IFERROR(sum(FILTER('Fund Data'!$V:$V, 'Fund Data'!$C:$C = $A36)),0)"),2000000.0)</f>
        <v>2000000</v>
      </c>
      <c r="D36" s="40">
        <f>IFERROR(__xludf.DUMMYFUNCTION("IFERROR(FILTER('Fund Data'!$R:$R,'Fund Data'!$C:$C = $A36,'Fund Data'!$A:$A = MAX('Fund Data'!$A:$A), 'Fund Data'!$B:$B = MAX(FILTER('Fund Data'!$B:$B,'Fund Data'!$C:$C = $A36,'Fund Data'!$A:$A = MAX('Fund Data'!$A:$A)))),0)"),2084588.000332685)</f>
        <v>2084588</v>
      </c>
      <c r="E36" s="40">
        <f>IFERROR(__xludf.DUMMYFUNCTION("IFERROR(FILTER('Fund Data'!$P:$P,'Fund Data'!$C:$C = $A36,'Fund Data'!$A:$A = MAX('Fund Data'!$A:$A), 'Fund Data'!$B:$B = MAX(FILTER('Fund Data'!$B:$B,'Fund Data'!$C:$C = $A36,'Fund Data'!$A:$A = MAX('Fund Data'!$A:$A)))),0)"),2075477.5200000003)</f>
        <v>2075477.52</v>
      </c>
      <c r="F36" s="41">
        <f t="shared" si="1"/>
        <v>75477.52</v>
      </c>
      <c r="G36" s="42">
        <f t="shared" si="2"/>
        <v>1.03773876</v>
      </c>
      <c r="H36" s="41">
        <f t="shared" si="3"/>
        <v>-9110.480333</v>
      </c>
      <c r="I36" s="43">
        <f t="shared" si="4"/>
        <v>0.9956296015</v>
      </c>
      <c r="J36" s="44">
        <f>IFERROR(__xludf.DUMMYFUNCTION("IFERROR(FILTER('Fund Data'!$AC:$AC,'Fund Data'!$C:$C = $A36,'Fund Data'!$A:$A = MAX('Fund Data'!$A:$A), 'Fund Data'!$B:$B = MAX(FILTER('Fund Data'!$B:$B,'Fund Data'!$C:$C = $A36,'Fund Data'!$A:$A = MAX('Fund Data'!$A:$A)))),0)"),135474.914205)</f>
        <v>135474.9142</v>
      </c>
      <c r="K36" s="44">
        <f>IFERROR(__xludf.DUMMYFUNCTION("IFERROR(FILTER('Fund Data'!$F:$F,'Fund Data'!$C:$C = $A36,'Fund Data'!$A:$A = MAX('Fund Data'!$A:$A), 'Fund Data'!$B:$B = MAX(FILTER('Fund Data'!$B:$B,'Fund Data'!$C:$C = $A36,'Fund Data'!$A:$A = MAX('Fund Data'!$A:$A)))),0)"),-17000.0)</f>
        <v>-17000</v>
      </c>
      <c r="L36" s="44">
        <f t="shared" si="5"/>
        <v>118474.9142</v>
      </c>
      <c r="M36" s="46">
        <f t="shared" si="6"/>
        <v>0.8745155138</v>
      </c>
      <c r="N36" s="42">
        <f t="shared" si="7"/>
        <v>0.06527409374</v>
      </c>
      <c r="O36" s="42">
        <f t="shared" si="8"/>
        <v>0.008190886115</v>
      </c>
      <c r="P36" s="16"/>
      <c r="Q36" s="16"/>
    </row>
    <row r="37">
      <c r="A37" s="86" t="s">
        <v>81</v>
      </c>
      <c r="B37" s="38" t="str">
        <f>IFERROR(__xludf.DUMMYFUNCTION("FILTER('Endowed Funds'!$C:$C,'Endowed Funds'!$B:$B = $A37)")," Research Institute ")</f>
        <v>Research Institute</v>
      </c>
      <c r="C37" s="39">
        <f>IFERROR(__xludf.DUMMYFUNCTION("IFERROR(sum(FILTER('Fund Data'!$V:$V, 'Fund Data'!$C:$C = $A37)),0)"),2000000.0)</f>
        <v>2000000</v>
      </c>
      <c r="D37" s="40">
        <f>IFERROR(__xludf.DUMMYFUNCTION("IFERROR(FILTER('Fund Data'!$R:$R,'Fund Data'!$C:$C = $A37,'Fund Data'!$A:$A = MAX('Fund Data'!$A:$A), 'Fund Data'!$B:$B = MAX(FILTER('Fund Data'!$B:$B,'Fund Data'!$C:$C = $A37,'Fund Data'!$A:$A = MAX('Fund Data'!$A:$A)))),0)"),2084588.000332685)</f>
        <v>2084588</v>
      </c>
      <c r="E37" s="87">
        <f>IFERROR(__xludf.DUMMYFUNCTION("IFERROR(FILTER('Fund Data'!$P:$P,'Fund Data'!$C:$C = $A37,'Fund Data'!$A:$A = MAX('Fund Data'!$A:$A), 'Fund Data'!$B:$B = MAX(FILTER('Fund Data'!$B:$B,'Fund Data'!$C:$C = $A37,'Fund Data'!$A:$A = MAX('Fund Data'!$A:$A)))),0)"),2048912.2700000003)</f>
        <v>2048912.27</v>
      </c>
      <c r="F37" s="41">
        <f t="shared" si="1"/>
        <v>48912.27</v>
      </c>
      <c r="G37" s="42">
        <f t="shared" si="2"/>
        <v>1.024456135</v>
      </c>
      <c r="H37" s="41">
        <f t="shared" si="3"/>
        <v>-35675.73033</v>
      </c>
      <c r="I37" s="43">
        <f t="shared" si="4"/>
        <v>0.9828859562</v>
      </c>
      <c r="J37" s="44">
        <f>IFERROR(__xludf.DUMMYFUNCTION("IFERROR(FILTER('Fund Data'!$AC:$AC,'Fund Data'!$C:$C = $A37,'Fund Data'!$A:$A = MAX('Fund Data'!$A:$A), 'Fund Data'!$B:$B = MAX(FILTER('Fund Data'!$B:$B,'Fund Data'!$C:$C = $A37,'Fund Data'!$A:$A = MAX('Fund Data'!$A:$A)))),0)"),115474.91420500001)</f>
        <v>115474.9142</v>
      </c>
      <c r="K37" s="44">
        <f>IFERROR(__xludf.DUMMYFUNCTION("IFERROR(FILTER('Fund Data'!$F:$F,'Fund Data'!$C:$C = $A37,'Fund Data'!$A:$A = MAX('Fund Data'!$A:$A), 'Fund Data'!$B:$B = MAX(FILTER('Fund Data'!$B:$B,'Fund Data'!$C:$C = $A37,'Fund Data'!$A:$A = MAX('Fund Data'!$A:$A)))),0)"),-23400.0)</f>
        <v>-23400</v>
      </c>
      <c r="L37" s="44">
        <f t="shared" si="5"/>
        <v>92074.91421</v>
      </c>
      <c r="M37" s="46">
        <f t="shared" si="6"/>
        <v>0.7973585851</v>
      </c>
      <c r="N37" s="42">
        <f t="shared" si="7"/>
        <v>0.0563591306</v>
      </c>
      <c r="O37" s="42">
        <f t="shared" si="8"/>
        <v>0.01142069397</v>
      </c>
      <c r="P37" s="16"/>
      <c r="Q37" s="16"/>
    </row>
    <row r="38">
      <c r="A38" s="88" t="s">
        <v>82</v>
      </c>
      <c r="B38" s="89"/>
      <c r="C38" s="90">
        <f t="shared" ref="C38:F38" si="9">sum(C3:C37)</f>
        <v>22525490.79</v>
      </c>
      <c r="D38" s="90">
        <f t="shared" si="9"/>
        <v>27927524.8</v>
      </c>
      <c r="E38" s="90">
        <f t="shared" si="9"/>
        <v>24627334.91</v>
      </c>
      <c r="F38" s="90">
        <f t="shared" si="9"/>
        <v>2101844.12</v>
      </c>
      <c r="G38" s="91">
        <f t="shared" si="2"/>
        <v>1.093309582</v>
      </c>
      <c r="H38" s="90">
        <f>sum(H3:H37)</f>
        <v>-3300189.889</v>
      </c>
      <c r="I38" s="92">
        <f t="shared" si="4"/>
        <v>0.8818302047</v>
      </c>
      <c r="J38" s="90">
        <f t="shared" ref="J38:L38" si="10">sum(J3:J37)</f>
        <v>1265530.389</v>
      </c>
      <c r="K38" s="94">
        <f t="shared" si="10"/>
        <v>-588599.67</v>
      </c>
      <c r="L38" s="90">
        <f t="shared" si="10"/>
        <v>676930.7185</v>
      </c>
      <c r="M38" s="96">
        <f t="shared" si="6"/>
        <v>0.5348988256</v>
      </c>
      <c r="N38" s="91">
        <f t="shared" si="7"/>
        <v>0.05138722453</v>
      </c>
      <c r="O38" s="91">
        <f t="shared" si="8"/>
        <v>0.02390025848</v>
      </c>
      <c r="P38" s="98"/>
      <c r="Q38" s="98"/>
    </row>
    <row r="39">
      <c r="A39" s="16"/>
      <c r="B39" s="16"/>
      <c r="C39" s="16"/>
      <c r="D39" s="16"/>
      <c r="E39" s="16"/>
      <c r="F39" s="16"/>
      <c r="G39" s="42"/>
      <c r="H39" s="16"/>
      <c r="I39" s="42"/>
      <c r="J39" s="44"/>
      <c r="K39" s="44"/>
      <c r="L39" s="44"/>
      <c r="M39" s="46"/>
      <c r="N39" s="42"/>
      <c r="O39" s="42"/>
      <c r="P39" s="16"/>
      <c r="Q39" s="16"/>
    </row>
    <row r="40">
      <c r="A40" s="16"/>
      <c r="B40" s="16"/>
      <c r="C40" s="16"/>
      <c r="D40" s="16"/>
      <c r="E40" s="16"/>
      <c r="F40" s="16"/>
      <c r="G40" s="42"/>
      <c r="H40" s="16"/>
      <c r="I40" s="42"/>
      <c r="J40" s="44"/>
      <c r="K40" s="44"/>
      <c r="L40" s="44"/>
      <c r="M40" s="46"/>
      <c r="N40" s="42"/>
      <c r="O40" s="42"/>
      <c r="P40" s="16"/>
      <c r="Q40" s="16"/>
    </row>
    <row r="41">
      <c r="A41" s="16"/>
      <c r="B41" s="16"/>
      <c r="C41" s="16"/>
      <c r="D41" s="16"/>
      <c r="E41" s="16"/>
      <c r="F41" s="16"/>
      <c r="G41" s="42"/>
      <c r="H41" s="16"/>
      <c r="I41" s="42"/>
      <c r="J41" s="44"/>
      <c r="K41" s="44"/>
      <c r="L41" s="44"/>
      <c r="M41" s="46"/>
      <c r="N41" s="42"/>
      <c r="O41" s="42"/>
      <c r="P41" s="16"/>
      <c r="Q41" s="16"/>
    </row>
    <row r="42">
      <c r="A42" s="16"/>
      <c r="B42" s="16"/>
      <c r="C42" s="16"/>
      <c r="D42" s="16"/>
      <c r="E42" s="16"/>
      <c r="F42" s="16"/>
      <c r="G42" s="42"/>
      <c r="H42" s="16"/>
      <c r="I42" s="42"/>
      <c r="J42" s="44"/>
      <c r="K42" s="44"/>
      <c r="L42" s="44"/>
      <c r="M42" s="46"/>
      <c r="N42" s="42"/>
      <c r="O42" s="42"/>
      <c r="P42" s="16"/>
      <c r="Q42" s="16"/>
    </row>
    <row r="43">
      <c r="A43" s="16"/>
      <c r="B43" s="16"/>
      <c r="C43" s="16"/>
      <c r="D43" s="16"/>
      <c r="E43" s="16"/>
      <c r="F43" s="16"/>
      <c r="G43" s="42"/>
      <c r="H43" s="16"/>
      <c r="I43" s="42"/>
      <c r="J43" s="44"/>
      <c r="K43" s="44"/>
      <c r="L43" s="44"/>
      <c r="M43" s="46"/>
      <c r="N43" s="42"/>
      <c r="O43" s="42"/>
      <c r="P43" s="16"/>
      <c r="Q43" s="16"/>
    </row>
    <row r="44">
      <c r="A44" s="16"/>
      <c r="B44" s="16"/>
      <c r="C44" s="16"/>
      <c r="D44" s="16"/>
      <c r="E44" s="16"/>
      <c r="F44" s="16"/>
      <c r="G44" s="42"/>
      <c r="H44" s="16"/>
      <c r="I44" s="42"/>
      <c r="J44" s="44"/>
      <c r="K44" s="44"/>
      <c r="L44" s="44"/>
      <c r="M44" s="46"/>
      <c r="N44" s="42"/>
      <c r="O44" s="42"/>
      <c r="P44" s="16"/>
      <c r="Q44" s="16"/>
    </row>
    <row r="45">
      <c r="A45" s="16"/>
      <c r="B45" s="16"/>
      <c r="C45" s="16"/>
      <c r="D45" s="16"/>
      <c r="E45" s="16"/>
      <c r="F45" s="16"/>
      <c r="G45" s="42"/>
      <c r="H45" s="16"/>
      <c r="I45" s="42"/>
      <c r="J45" s="44"/>
      <c r="K45" s="44"/>
      <c r="L45" s="44"/>
      <c r="M45" s="46"/>
      <c r="N45" s="42"/>
      <c r="O45" s="42"/>
      <c r="P45" s="16"/>
      <c r="Q45" s="16"/>
    </row>
    <row r="46">
      <c r="A46" s="16"/>
      <c r="B46" s="16"/>
      <c r="C46" s="16"/>
      <c r="D46" s="16"/>
      <c r="E46" s="16"/>
      <c r="F46" s="16"/>
      <c r="G46" s="42"/>
      <c r="H46" s="16"/>
      <c r="I46" s="42"/>
      <c r="J46" s="44"/>
      <c r="K46" s="44"/>
      <c r="L46" s="44"/>
      <c r="M46" s="46"/>
      <c r="N46" s="42"/>
      <c r="O46" s="42"/>
      <c r="P46" s="16"/>
      <c r="Q46" s="16"/>
    </row>
    <row r="47">
      <c r="A47" s="16"/>
      <c r="B47" s="16"/>
      <c r="C47" s="16"/>
      <c r="D47" s="16"/>
      <c r="E47" s="16"/>
      <c r="F47" s="16"/>
      <c r="G47" s="42"/>
      <c r="H47" s="16"/>
      <c r="I47" s="42"/>
      <c r="J47" s="44"/>
      <c r="K47" s="44"/>
      <c r="L47" s="44"/>
      <c r="M47" s="46"/>
      <c r="N47" s="42"/>
      <c r="O47" s="42"/>
      <c r="P47" s="16"/>
      <c r="Q47" s="16"/>
    </row>
    <row r="48">
      <c r="A48" s="16"/>
      <c r="B48" s="16"/>
      <c r="C48" s="16"/>
      <c r="D48" s="16"/>
      <c r="E48" s="16"/>
      <c r="F48" s="16"/>
      <c r="G48" s="42"/>
      <c r="H48" s="16"/>
      <c r="I48" s="42"/>
      <c r="J48" s="44"/>
      <c r="K48" s="44"/>
      <c r="L48" s="44"/>
      <c r="M48" s="46"/>
      <c r="N48" s="42"/>
      <c r="O48" s="42"/>
      <c r="P48" s="16"/>
      <c r="Q48" s="16"/>
    </row>
    <row r="49">
      <c r="A49" s="16"/>
      <c r="B49" s="16"/>
      <c r="C49" s="16"/>
      <c r="D49" s="16"/>
      <c r="E49" s="16"/>
      <c r="F49" s="16"/>
      <c r="G49" s="42"/>
      <c r="H49" s="16"/>
      <c r="I49" s="42"/>
      <c r="J49" s="44"/>
      <c r="K49" s="44"/>
      <c r="L49" s="44"/>
      <c r="M49" s="46"/>
      <c r="N49" s="42"/>
      <c r="O49" s="42"/>
      <c r="P49" s="16"/>
      <c r="Q49" s="16"/>
    </row>
    <row r="50">
      <c r="A50" s="16"/>
      <c r="B50" s="16"/>
      <c r="C50" s="16"/>
      <c r="D50" s="16"/>
      <c r="E50" s="16"/>
      <c r="F50" s="16"/>
      <c r="G50" s="42"/>
      <c r="H50" s="16"/>
      <c r="I50" s="42"/>
      <c r="J50" s="44"/>
      <c r="K50" s="44"/>
      <c r="L50" s="44"/>
      <c r="M50" s="46"/>
      <c r="N50" s="42"/>
      <c r="O50" s="42"/>
      <c r="P50" s="16"/>
      <c r="Q50" s="16"/>
    </row>
    <row r="51">
      <c r="A51" s="16"/>
      <c r="B51" s="16"/>
      <c r="C51" s="16"/>
      <c r="D51" s="16"/>
      <c r="E51" s="16"/>
      <c r="F51" s="16"/>
      <c r="G51" s="42"/>
      <c r="H51" s="16"/>
      <c r="I51" s="42"/>
      <c r="J51" s="44"/>
      <c r="K51" s="44"/>
      <c r="L51" s="44"/>
      <c r="M51" s="46"/>
      <c r="N51" s="42"/>
      <c r="O51" s="42"/>
      <c r="P51" s="16"/>
      <c r="Q51" s="16"/>
    </row>
    <row r="52">
      <c r="A52" s="16"/>
      <c r="B52" s="16"/>
      <c r="C52" s="16"/>
      <c r="D52" s="16"/>
      <c r="E52" s="16"/>
      <c r="F52" s="16"/>
      <c r="G52" s="42"/>
      <c r="H52" s="16"/>
      <c r="I52" s="42"/>
      <c r="J52" s="44"/>
      <c r="K52" s="44"/>
      <c r="L52" s="44"/>
      <c r="M52" s="46"/>
      <c r="N52" s="42"/>
      <c r="O52" s="42"/>
      <c r="P52" s="16"/>
      <c r="Q52" s="16"/>
    </row>
    <row r="53">
      <c r="A53" s="16"/>
      <c r="B53" s="16"/>
      <c r="C53" s="16"/>
      <c r="D53" s="16"/>
      <c r="E53" s="16"/>
      <c r="F53" s="16"/>
      <c r="G53" s="42"/>
      <c r="H53" s="16"/>
      <c r="I53" s="42"/>
      <c r="J53" s="44"/>
      <c r="K53" s="44"/>
      <c r="L53" s="44"/>
      <c r="M53" s="46"/>
      <c r="N53" s="42"/>
      <c r="O53" s="42"/>
      <c r="P53" s="16"/>
      <c r="Q53" s="16"/>
    </row>
    <row r="54">
      <c r="A54" s="16"/>
      <c r="B54" s="16"/>
      <c r="C54" s="16"/>
      <c r="D54" s="16"/>
      <c r="E54" s="16"/>
      <c r="F54" s="16"/>
      <c r="G54" s="42"/>
      <c r="H54" s="16"/>
      <c r="I54" s="42"/>
      <c r="J54" s="44"/>
      <c r="K54" s="44"/>
      <c r="L54" s="44"/>
      <c r="M54" s="46"/>
      <c r="N54" s="42"/>
      <c r="O54" s="42"/>
      <c r="P54" s="16"/>
      <c r="Q54" s="16"/>
    </row>
    <row r="55">
      <c r="A55" s="16"/>
      <c r="B55" s="16"/>
      <c r="C55" s="16"/>
      <c r="D55" s="16"/>
      <c r="E55" s="16"/>
      <c r="F55" s="16"/>
      <c r="G55" s="42"/>
      <c r="H55" s="16"/>
      <c r="I55" s="42"/>
      <c r="J55" s="44"/>
      <c r="K55" s="44"/>
      <c r="L55" s="44"/>
      <c r="M55" s="46"/>
      <c r="N55" s="42"/>
      <c r="O55" s="42"/>
      <c r="P55" s="16"/>
      <c r="Q55" s="16"/>
    </row>
    <row r="56">
      <c r="A56" s="16"/>
      <c r="B56" s="16"/>
      <c r="C56" s="16"/>
      <c r="D56" s="16"/>
      <c r="E56" s="16"/>
      <c r="F56" s="16"/>
      <c r="G56" s="42"/>
      <c r="H56" s="16"/>
      <c r="I56" s="42"/>
      <c r="J56" s="44"/>
      <c r="K56" s="44"/>
      <c r="L56" s="44"/>
      <c r="M56" s="46"/>
      <c r="N56" s="42"/>
      <c r="O56" s="42"/>
      <c r="P56" s="16"/>
      <c r="Q56" s="16"/>
    </row>
    <row r="57">
      <c r="A57" s="16"/>
      <c r="B57" s="16"/>
      <c r="C57" s="16"/>
      <c r="D57" s="16"/>
      <c r="E57" s="16"/>
      <c r="F57" s="16"/>
      <c r="G57" s="42"/>
      <c r="H57" s="16"/>
      <c r="I57" s="42"/>
      <c r="J57" s="44"/>
      <c r="K57" s="44"/>
      <c r="L57" s="44"/>
      <c r="M57" s="46"/>
      <c r="N57" s="42"/>
      <c r="O57" s="42"/>
      <c r="P57" s="16"/>
      <c r="Q57" s="16"/>
    </row>
    <row r="58">
      <c r="A58" s="16"/>
      <c r="B58" s="16"/>
      <c r="C58" s="16"/>
      <c r="D58" s="16"/>
      <c r="E58" s="16"/>
      <c r="F58" s="16"/>
      <c r="G58" s="42"/>
      <c r="H58" s="16"/>
      <c r="I58" s="42"/>
      <c r="J58" s="44"/>
      <c r="K58" s="44"/>
      <c r="L58" s="44"/>
      <c r="M58" s="46"/>
      <c r="N58" s="42"/>
      <c r="O58" s="42"/>
      <c r="P58" s="16"/>
      <c r="Q58" s="16"/>
    </row>
    <row r="59">
      <c r="A59" s="16"/>
      <c r="B59" s="16"/>
      <c r="C59" s="16"/>
      <c r="D59" s="16"/>
      <c r="E59" s="16"/>
      <c r="F59" s="16"/>
      <c r="G59" s="42"/>
      <c r="H59" s="16"/>
      <c r="I59" s="42"/>
      <c r="J59" s="44"/>
      <c r="K59" s="44"/>
      <c r="L59" s="44"/>
      <c r="M59" s="46"/>
      <c r="N59" s="42"/>
      <c r="O59" s="42"/>
      <c r="P59" s="16"/>
      <c r="Q59" s="16"/>
    </row>
    <row r="60">
      <c r="A60" s="16"/>
      <c r="B60" s="16"/>
      <c r="C60" s="16"/>
      <c r="D60" s="16"/>
      <c r="E60" s="16"/>
      <c r="F60" s="16"/>
      <c r="G60" s="42"/>
      <c r="H60" s="16"/>
      <c r="I60" s="42"/>
      <c r="J60" s="44"/>
      <c r="K60" s="44"/>
      <c r="L60" s="44"/>
      <c r="M60" s="46"/>
      <c r="N60" s="42"/>
      <c r="O60" s="42"/>
      <c r="P60" s="16"/>
      <c r="Q60" s="16"/>
    </row>
    <row r="61">
      <c r="A61" s="16"/>
      <c r="B61" s="16"/>
      <c r="C61" s="16"/>
      <c r="D61" s="16"/>
      <c r="E61" s="16"/>
      <c r="F61" s="16"/>
      <c r="G61" s="42"/>
      <c r="H61" s="16"/>
      <c r="I61" s="42"/>
      <c r="J61" s="44"/>
      <c r="K61" s="44"/>
      <c r="L61" s="44"/>
      <c r="M61" s="46"/>
      <c r="N61" s="42"/>
      <c r="O61" s="42"/>
      <c r="P61" s="16"/>
      <c r="Q61" s="16"/>
    </row>
    <row r="62">
      <c r="A62" s="16"/>
      <c r="B62" s="16"/>
      <c r="C62" s="16"/>
      <c r="D62" s="16"/>
      <c r="E62" s="16"/>
      <c r="F62" s="16"/>
      <c r="G62" s="42"/>
      <c r="H62" s="16"/>
      <c r="I62" s="42"/>
      <c r="J62" s="44"/>
      <c r="K62" s="44"/>
      <c r="L62" s="44"/>
      <c r="M62" s="46"/>
      <c r="N62" s="42"/>
      <c r="O62" s="42"/>
      <c r="P62" s="16"/>
      <c r="Q62" s="16"/>
    </row>
    <row r="63">
      <c r="A63" s="16"/>
      <c r="B63" s="16"/>
      <c r="C63" s="16"/>
      <c r="D63" s="16"/>
      <c r="E63" s="16"/>
      <c r="F63" s="16"/>
      <c r="G63" s="42"/>
      <c r="H63" s="16"/>
      <c r="I63" s="42"/>
      <c r="J63" s="44"/>
      <c r="K63" s="44"/>
      <c r="L63" s="44"/>
      <c r="M63" s="46"/>
      <c r="N63" s="42"/>
      <c r="O63" s="42"/>
      <c r="P63" s="16"/>
      <c r="Q63" s="16"/>
    </row>
    <row r="64">
      <c r="A64" s="16"/>
      <c r="B64" s="16"/>
      <c r="C64" s="16"/>
      <c r="D64" s="16"/>
      <c r="E64" s="16"/>
      <c r="F64" s="16"/>
      <c r="G64" s="42"/>
      <c r="H64" s="16"/>
      <c r="I64" s="42"/>
      <c r="J64" s="44"/>
      <c r="K64" s="44"/>
      <c r="L64" s="44"/>
      <c r="M64" s="46"/>
      <c r="N64" s="42"/>
      <c r="O64" s="42"/>
      <c r="P64" s="16"/>
      <c r="Q64" s="16"/>
    </row>
    <row r="65">
      <c r="A65" s="16"/>
      <c r="B65" s="16"/>
      <c r="C65" s="16"/>
      <c r="D65" s="16"/>
      <c r="E65" s="16"/>
      <c r="F65" s="16"/>
      <c r="G65" s="42"/>
      <c r="H65" s="16"/>
      <c r="I65" s="42"/>
      <c r="J65" s="44"/>
      <c r="K65" s="44"/>
      <c r="L65" s="44"/>
      <c r="M65" s="46"/>
      <c r="N65" s="42"/>
      <c r="O65" s="42"/>
      <c r="P65" s="16"/>
      <c r="Q65" s="16"/>
    </row>
    <row r="66">
      <c r="A66" s="16"/>
      <c r="B66" s="16"/>
      <c r="C66" s="16"/>
      <c r="D66" s="16"/>
      <c r="E66" s="16"/>
      <c r="F66" s="16"/>
      <c r="G66" s="42"/>
      <c r="H66" s="16"/>
      <c r="I66" s="42"/>
      <c r="J66" s="44"/>
      <c r="K66" s="44"/>
      <c r="L66" s="44"/>
      <c r="M66" s="46"/>
      <c r="N66" s="42"/>
      <c r="O66" s="42"/>
      <c r="P66" s="16"/>
      <c r="Q66" s="16"/>
    </row>
    <row r="67">
      <c r="A67" s="16"/>
      <c r="B67" s="16"/>
      <c r="C67" s="16"/>
      <c r="D67" s="16"/>
      <c r="E67" s="16"/>
      <c r="F67" s="16"/>
      <c r="G67" s="42"/>
      <c r="H67" s="16"/>
      <c r="I67" s="42"/>
      <c r="J67" s="44"/>
      <c r="K67" s="44"/>
      <c r="L67" s="44"/>
      <c r="M67" s="46"/>
      <c r="N67" s="42"/>
      <c r="O67" s="42"/>
      <c r="P67" s="16"/>
      <c r="Q67" s="16"/>
    </row>
    <row r="68">
      <c r="A68" s="16"/>
      <c r="B68" s="16"/>
      <c r="C68" s="16"/>
      <c r="D68" s="16"/>
      <c r="E68" s="16"/>
      <c r="F68" s="16"/>
      <c r="G68" s="42"/>
      <c r="H68" s="16"/>
      <c r="I68" s="42"/>
      <c r="J68" s="44"/>
      <c r="K68" s="44"/>
      <c r="L68" s="44"/>
      <c r="M68" s="46"/>
      <c r="N68" s="42"/>
      <c r="O68" s="42"/>
      <c r="P68" s="16"/>
      <c r="Q68" s="16"/>
    </row>
    <row r="69">
      <c r="A69" s="16"/>
      <c r="B69" s="16"/>
      <c r="C69" s="16"/>
      <c r="D69" s="16"/>
      <c r="E69" s="16"/>
      <c r="F69" s="16"/>
      <c r="G69" s="42"/>
      <c r="H69" s="16"/>
      <c r="I69" s="42"/>
      <c r="J69" s="44"/>
      <c r="K69" s="44"/>
      <c r="L69" s="44"/>
      <c r="M69" s="46"/>
      <c r="N69" s="42"/>
      <c r="O69" s="42"/>
      <c r="P69" s="16"/>
      <c r="Q69" s="16"/>
    </row>
    <row r="70">
      <c r="A70" s="16"/>
      <c r="B70" s="16"/>
      <c r="C70" s="16"/>
      <c r="D70" s="16"/>
      <c r="E70" s="16"/>
      <c r="F70" s="16"/>
      <c r="G70" s="42"/>
      <c r="H70" s="16"/>
      <c r="I70" s="42"/>
      <c r="J70" s="44"/>
      <c r="K70" s="44"/>
      <c r="L70" s="44"/>
      <c r="M70" s="46"/>
      <c r="N70" s="42"/>
      <c r="O70" s="42"/>
      <c r="P70" s="16"/>
      <c r="Q70" s="16"/>
    </row>
    <row r="71">
      <c r="A71" s="16"/>
      <c r="B71" s="16"/>
      <c r="C71" s="16"/>
      <c r="D71" s="16"/>
      <c r="E71" s="16"/>
      <c r="F71" s="16"/>
      <c r="G71" s="42"/>
      <c r="H71" s="16"/>
      <c r="I71" s="42"/>
      <c r="J71" s="44"/>
      <c r="K71" s="44"/>
      <c r="L71" s="44"/>
      <c r="M71" s="46"/>
      <c r="N71" s="42"/>
      <c r="O71" s="42"/>
      <c r="P71" s="16"/>
      <c r="Q71" s="16"/>
    </row>
    <row r="72">
      <c r="A72" s="16"/>
      <c r="B72" s="16"/>
      <c r="C72" s="16"/>
      <c r="D72" s="16"/>
      <c r="E72" s="16"/>
      <c r="F72" s="16"/>
      <c r="G72" s="42"/>
      <c r="H72" s="16"/>
      <c r="I72" s="42"/>
      <c r="J72" s="44"/>
      <c r="K72" s="44"/>
      <c r="L72" s="44"/>
      <c r="M72" s="46"/>
      <c r="N72" s="42"/>
      <c r="O72" s="42"/>
      <c r="P72" s="16"/>
      <c r="Q72" s="16"/>
    </row>
    <row r="73">
      <c r="A73" s="16"/>
      <c r="B73" s="16"/>
      <c r="C73" s="16"/>
      <c r="D73" s="16"/>
      <c r="E73" s="16"/>
      <c r="F73" s="16"/>
      <c r="G73" s="42"/>
      <c r="H73" s="16"/>
      <c r="I73" s="42"/>
      <c r="J73" s="44"/>
      <c r="K73" s="44"/>
      <c r="L73" s="44"/>
      <c r="M73" s="46"/>
      <c r="N73" s="42"/>
      <c r="O73" s="42"/>
      <c r="P73" s="16"/>
      <c r="Q73" s="16"/>
    </row>
    <row r="74">
      <c r="A74" s="16"/>
      <c r="B74" s="16"/>
      <c r="C74" s="16"/>
      <c r="D74" s="16"/>
      <c r="E74" s="16"/>
      <c r="F74" s="16"/>
      <c r="G74" s="42"/>
      <c r="H74" s="16"/>
      <c r="I74" s="42"/>
      <c r="J74" s="44"/>
      <c r="K74" s="44"/>
      <c r="L74" s="44"/>
      <c r="M74" s="46"/>
      <c r="N74" s="42"/>
      <c r="O74" s="42"/>
      <c r="P74" s="16"/>
      <c r="Q74" s="16"/>
    </row>
    <row r="75">
      <c r="A75" s="16"/>
      <c r="B75" s="16"/>
      <c r="C75" s="16"/>
      <c r="D75" s="16"/>
      <c r="E75" s="16"/>
      <c r="F75" s="16"/>
      <c r="G75" s="42"/>
      <c r="H75" s="16"/>
      <c r="I75" s="42"/>
      <c r="J75" s="44"/>
      <c r="K75" s="44"/>
      <c r="L75" s="44"/>
      <c r="M75" s="46"/>
      <c r="N75" s="42"/>
      <c r="O75" s="42"/>
      <c r="P75" s="16"/>
      <c r="Q75" s="16"/>
    </row>
    <row r="76">
      <c r="A76" s="16"/>
      <c r="B76" s="16"/>
      <c r="C76" s="16"/>
      <c r="D76" s="16"/>
      <c r="E76" s="16"/>
      <c r="F76" s="16"/>
      <c r="G76" s="42"/>
      <c r="H76" s="16"/>
      <c r="I76" s="42"/>
      <c r="J76" s="44"/>
      <c r="K76" s="44"/>
      <c r="L76" s="44"/>
      <c r="M76" s="46"/>
      <c r="N76" s="42"/>
      <c r="O76" s="42"/>
      <c r="P76" s="16"/>
      <c r="Q76" s="16"/>
    </row>
    <row r="77">
      <c r="A77" s="16"/>
      <c r="B77" s="16"/>
      <c r="C77" s="16"/>
      <c r="D77" s="16"/>
      <c r="E77" s="16"/>
      <c r="F77" s="16"/>
      <c r="G77" s="42"/>
      <c r="H77" s="16"/>
      <c r="I77" s="42"/>
      <c r="J77" s="44"/>
      <c r="K77" s="44"/>
      <c r="L77" s="44"/>
      <c r="M77" s="46"/>
      <c r="N77" s="42"/>
      <c r="O77" s="42"/>
      <c r="P77" s="16"/>
      <c r="Q77" s="16"/>
    </row>
    <row r="78">
      <c r="A78" s="16"/>
      <c r="B78" s="16"/>
      <c r="C78" s="16"/>
      <c r="D78" s="16"/>
      <c r="E78" s="16"/>
      <c r="F78" s="16"/>
      <c r="G78" s="42"/>
      <c r="H78" s="16"/>
      <c r="I78" s="42"/>
      <c r="J78" s="44"/>
      <c r="K78" s="44"/>
      <c r="L78" s="44"/>
      <c r="M78" s="46"/>
      <c r="N78" s="42"/>
      <c r="O78" s="42"/>
      <c r="P78" s="16"/>
      <c r="Q78" s="16"/>
    </row>
    <row r="79">
      <c r="A79" s="16"/>
      <c r="B79" s="16"/>
      <c r="C79" s="16"/>
      <c r="D79" s="16"/>
      <c r="E79" s="16"/>
      <c r="F79" s="16"/>
      <c r="G79" s="42"/>
      <c r="H79" s="16"/>
      <c r="I79" s="42"/>
      <c r="J79" s="44"/>
      <c r="K79" s="44"/>
      <c r="L79" s="44"/>
      <c r="M79" s="46"/>
      <c r="N79" s="42"/>
      <c r="O79" s="42"/>
      <c r="P79" s="16"/>
      <c r="Q79" s="16"/>
    </row>
    <row r="80">
      <c r="A80" s="16"/>
      <c r="B80" s="16"/>
      <c r="C80" s="16"/>
      <c r="D80" s="16"/>
      <c r="E80" s="16"/>
      <c r="F80" s="16"/>
      <c r="G80" s="42"/>
      <c r="H80" s="16"/>
      <c r="I80" s="42"/>
      <c r="J80" s="44"/>
      <c r="K80" s="44"/>
      <c r="L80" s="44"/>
      <c r="M80" s="46"/>
      <c r="N80" s="42"/>
      <c r="O80" s="42"/>
      <c r="P80" s="16"/>
      <c r="Q80" s="16"/>
    </row>
    <row r="81">
      <c r="A81" s="16"/>
      <c r="B81" s="16"/>
      <c r="C81" s="16"/>
      <c r="D81" s="16"/>
      <c r="E81" s="16"/>
      <c r="F81" s="16"/>
      <c r="G81" s="42"/>
      <c r="H81" s="16"/>
      <c r="I81" s="42"/>
      <c r="J81" s="44"/>
      <c r="K81" s="44"/>
      <c r="L81" s="44"/>
      <c r="M81" s="46"/>
      <c r="N81" s="42"/>
      <c r="O81" s="42"/>
      <c r="P81" s="16"/>
      <c r="Q81" s="16"/>
    </row>
    <row r="82">
      <c r="A82" s="16"/>
      <c r="B82" s="16"/>
      <c r="C82" s="16"/>
      <c r="D82" s="16"/>
      <c r="E82" s="16"/>
      <c r="F82" s="16"/>
      <c r="G82" s="42"/>
      <c r="H82" s="16"/>
      <c r="I82" s="42"/>
      <c r="J82" s="44"/>
      <c r="K82" s="44"/>
      <c r="L82" s="44"/>
      <c r="M82" s="46"/>
      <c r="N82" s="42"/>
      <c r="O82" s="42"/>
      <c r="P82" s="16"/>
      <c r="Q82" s="16"/>
    </row>
    <row r="83">
      <c r="A83" s="16"/>
      <c r="B83" s="16"/>
      <c r="C83" s="16"/>
      <c r="D83" s="16"/>
      <c r="E83" s="16"/>
      <c r="F83" s="16"/>
      <c r="G83" s="42"/>
      <c r="H83" s="16"/>
      <c r="I83" s="42"/>
      <c r="J83" s="44"/>
      <c r="K83" s="44"/>
      <c r="L83" s="44"/>
      <c r="M83" s="46"/>
      <c r="N83" s="42"/>
      <c r="O83" s="42"/>
      <c r="P83" s="16"/>
      <c r="Q83" s="16"/>
    </row>
    <row r="84">
      <c r="A84" s="16"/>
      <c r="B84" s="16"/>
      <c r="C84" s="16"/>
      <c r="D84" s="16"/>
      <c r="E84" s="16"/>
      <c r="F84" s="16"/>
      <c r="G84" s="42"/>
      <c r="H84" s="16"/>
      <c r="I84" s="42"/>
      <c r="J84" s="44"/>
      <c r="K84" s="44"/>
      <c r="L84" s="44"/>
      <c r="M84" s="46"/>
      <c r="N84" s="42"/>
      <c r="O84" s="42"/>
      <c r="P84" s="16"/>
      <c r="Q84" s="16"/>
    </row>
    <row r="85">
      <c r="A85" s="16"/>
      <c r="B85" s="16"/>
      <c r="C85" s="16"/>
      <c r="D85" s="16"/>
      <c r="E85" s="16"/>
      <c r="F85" s="16"/>
      <c r="G85" s="42"/>
      <c r="H85" s="16"/>
      <c r="I85" s="42"/>
      <c r="J85" s="44"/>
      <c r="K85" s="44"/>
      <c r="L85" s="44"/>
      <c r="M85" s="46"/>
      <c r="N85" s="42"/>
      <c r="O85" s="42"/>
      <c r="P85" s="16"/>
      <c r="Q85" s="16"/>
    </row>
    <row r="86">
      <c r="A86" s="16"/>
      <c r="B86" s="16"/>
      <c r="C86" s="16"/>
      <c r="D86" s="16"/>
      <c r="E86" s="16"/>
      <c r="F86" s="16"/>
      <c r="G86" s="42"/>
      <c r="H86" s="16"/>
      <c r="I86" s="42"/>
      <c r="J86" s="44"/>
      <c r="K86" s="44"/>
      <c r="L86" s="44"/>
      <c r="M86" s="46"/>
      <c r="N86" s="42"/>
      <c r="O86" s="42"/>
      <c r="P86" s="16"/>
      <c r="Q86" s="16"/>
    </row>
    <row r="87">
      <c r="A87" s="16"/>
      <c r="B87" s="16"/>
      <c r="C87" s="16"/>
      <c r="D87" s="16"/>
      <c r="E87" s="16"/>
      <c r="F87" s="16"/>
      <c r="G87" s="42"/>
      <c r="H87" s="16"/>
      <c r="I87" s="42"/>
      <c r="J87" s="44"/>
      <c r="K87" s="44"/>
      <c r="L87" s="44"/>
      <c r="M87" s="46"/>
      <c r="N87" s="42"/>
      <c r="O87" s="42"/>
      <c r="P87" s="16"/>
      <c r="Q87" s="16"/>
    </row>
    <row r="88">
      <c r="A88" s="16"/>
      <c r="B88" s="16"/>
      <c r="C88" s="16"/>
      <c r="D88" s="16"/>
      <c r="E88" s="16"/>
      <c r="F88" s="16"/>
      <c r="G88" s="42"/>
      <c r="H88" s="16"/>
      <c r="I88" s="42"/>
      <c r="J88" s="44"/>
      <c r="K88" s="44"/>
      <c r="L88" s="44"/>
      <c r="M88" s="46"/>
      <c r="N88" s="42"/>
      <c r="O88" s="42"/>
      <c r="P88" s="16"/>
      <c r="Q88" s="16"/>
    </row>
    <row r="89">
      <c r="A89" s="16"/>
      <c r="B89" s="16"/>
      <c r="C89" s="16"/>
      <c r="D89" s="16"/>
      <c r="E89" s="16"/>
      <c r="F89" s="16"/>
      <c r="G89" s="42"/>
      <c r="H89" s="16"/>
      <c r="I89" s="42"/>
      <c r="J89" s="44"/>
      <c r="K89" s="44"/>
      <c r="L89" s="44"/>
      <c r="M89" s="46"/>
      <c r="N89" s="42"/>
      <c r="O89" s="42"/>
      <c r="P89" s="16"/>
      <c r="Q89" s="16"/>
    </row>
    <row r="90">
      <c r="A90" s="16"/>
      <c r="B90" s="16"/>
      <c r="C90" s="16"/>
      <c r="D90" s="16"/>
      <c r="E90" s="16"/>
      <c r="F90" s="16"/>
      <c r="G90" s="42"/>
      <c r="H90" s="16"/>
      <c r="I90" s="42"/>
      <c r="J90" s="44"/>
      <c r="K90" s="44"/>
      <c r="L90" s="44"/>
      <c r="M90" s="46"/>
      <c r="N90" s="42"/>
      <c r="O90" s="42"/>
      <c r="P90" s="16"/>
      <c r="Q90" s="16"/>
    </row>
    <row r="91">
      <c r="A91" s="16"/>
      <c r="B91" s="16"/>
      <c r="C91" s="16"/>
      <c r="D91" s="16"/>
      <c r="E91" s="16"/>
      <c r="F91" s="16"/>
      <c r="G91" s="42"/>
      <c r="H91" s="16"/>
      <c r="I91" s="42"/>
      <c r="J91" s="44"/>
      <c r="K91" s="44"/>
      <c r="L91" s="44"/>
      <c r="M91" s="46"/>
      <c r="N91" s="42"/>
      <c r="O91" s="42"/>
      <c r="P91" s="16"/>
      <c r="Q91" s="16"/>
    </row>
    <row r="92">
      <c r="A92" s="16"/>
      <c r="B92" s="16"/>
      <c r="C92" s="16"/>
      <c r="D92" s="16"/>
      <c r="E92" s="16"/>
      <c r="F92" s="16"/>
      <c r="G92" s="42"/>
      <c r="H92" s="16"/>
      <c r="I92" s="42"/>
      <c r="J92" s="44"/>
      <c r="K92" s="44"/>
      <c r="L92" s="44"/>
      <c r="M92" s="46"/>
      <c r="N92" s="42"/>
      <c r="O92" s="42"/>
      <c r="P92" s="16"/>
      <c r="Q92" s="16"/>
    </row>
    <row r="93">
      <c r="A93" s="16"/>
      <c r="B93" s="16"/>
      <c r="C93" s="16"/>
      <c r="D93" s="16"/>
      <c r="E93" s="16"/>
      <c r="F93" s="16"/>
      <c r="G93" s="42"/>
      <c r="H93" s="16"/>
      <c r="I93" s="42"/>
      <c r="J93" s="44"/>
      <c r="K93" s="44"/>
      <c r="L93" s="44"/>
      <c r="M93" s="46"/>
      <c r="N93" s="42"/>
      <c r="O93" s="42"/>
      <c r="P93" s="16"/>
      <c r="Q93" s="16"/>
    </row>
    <row r="94">
      <c r="A94" s="16"/>
      <c r="B94" s="16"/>
      <c r="C94" s="16"/>
      <c r="D94" s="16"/>
      <c r="E94" s="16"/>
      <c r="F94" s="16"/>
      <c r="G94" s="42"/>
      <c r="H94" s="16"/>
      <c r="I94" s="42"/>
      <c r="J94" s="44"/>
      <c r="K94" s="44"/>
      <c r="L94" s="44"/>
      <c r="M94" s="46"/>
      <c r="N94" s="42"/>
      <c r="O94" s="42"/>
      <c r="P94" s="16"/>
      <c r="Q94" s="16"/>
    </row>
    <row r="95">
      <c r="A95" s="16"/>
      <c r="B95" s="16"/>
      <c r="C95" s="16"/>
      <c r="D95" s="16"/>
      <c r="E95" s="16"/>
      <c r="F95" s="16"/>
      <c r="G95" s="42"/>
      <c r="H95" s="16"/>
      <c r="I95" s="42"/>
      <c r="J95" s="44"/>
      <c r="K95" s="44"/>
      <c r="L95" s="44"/>
      <c r="M95" s="46"/>
      <c r="N95" s="42"/>
      <c r="O95" s="42"/>
      <c r="P95" s="16"/>
      <c r="Q95" s="16"/>
    </row>
    <row r="96">
      <c r="A96" s="16"/>
      <c r="B96" s="16"/>
      <c r="C96" s="16"/>
      <c r="D96" s="16"/>
      <c r="E96" s="16"/>
      <c r="F96" s="16"/>
      <c r="G96" s="42"/>
      <c r="H96" s="16"/>
      <c r="I96" s="42"/>
      <c r="J96" s="44"/>
      <c r="K96" s="44"/>
      <c r="L96" s="44"/>
      <c r="M96" s="46"/>
      <c r="N96" s="42"/>
      <c r="O96" s="42"/>
      <c r="P96" s="16"/>
      <c r="Q96" s="16"/>
    </row>
    <row r="97">
      <c r="A97" s="16"/>
      <c r="B97" s="16"/>
      <c r="C97" s="16"/>
      <c r="D97" s="16"/>
      <c r="E97" s="16"/>
      <c r="F97" s="16"/>
      <c r="G97" s="42"/>
      <c r="H97" s="16"/>
      <c r="I97" s="42"/>
      <c r="J97" s="44"/>
      <c r="K97" s="44"/>
      <c r="L97" s="44"/>
      <c r="M97" s="46"/>
      <c r="N97" s="42"/>
      <c r="O97" s="42"/>
      <c r="P97" s="16"/>
      <c r="Q97" s="16"/>
    </row>
    <row r="98">
      <c r="A98" s="16"/>
      <c r="B98" s="16"/>
      <c r="C98" s="16"/>
      <c r="D98" s="16"/>
      <c r="E98" s="16"/>
      <c r="F98" s="16"/>
      <c r="G98" s="42"/>
      <c r="H98" s="16"/>
      <c r="I98" s="42"/>
      <c r="J98" s="44"/>
      <c r="K98" s="44"/>
      <c r="L98" s="44"/>
      <c r="M98" s="46"/>
      <c r="N98" s="42"/>
      <c r="O98" s="42"/>
      <c r="P98" s="16"/>
      <c r="Q98" s="16"/>
    </row>
    <row r="99">
      <c r="A99" s="16"/>
      <c r="B99" s="16"/>
      <c r="C99" s="16"/>
      <c r="D99" s="16"/>
      <c r="E99" s="16"/>
      <c r="F99" s="16"/>
      <c r="G99" s="42"/>
      <c r="H99" s="16"/>
      <c r="I99" s="42"/>
      <c r="J99" s="44"/>
      <c r="K99" s="44"/>
      <c r="L99" s="44"/>
      <c r="M99" s="46"/>
      <c r="N99" s="42"/>
      <c r="O99" s="42"/>
      <c r="P99" s="16"/>
      <c r="Q99" s="16"/>
    </row>
    <row r="100">
      <c r="A100" s="16"/>
      <c r="B100" s="16"/>
      <c r="C100" s="16"/>
      <c r="D100" s="16"/>
      <c r="E100" s="16"/>
      <c r="F100" s="16"/>
      <c r="G100" s="42"/>
      <c r="H100" s="16"/>
      <c r="I100" s="42"/>
      <c r="J100" s="44"/>
      <c r="K100" s="44"/>
      <c r="L100" s="44"/>
      <c r="M100" s="46"/>
      <c r="N100" s="42"/>
      <c r="O100" s="42"/>
      <c r="P100" s="16"/>
      <c r="Q100" s="16"/>
    </row>
    <row r="101">
      <c r="A101" s="16"/>
      <c r="B101" s="16"/>
      <c r="C101" s="16"/>
      <c r="D101" s="16"/>
      <c r="E101" s="16"/>
      <c r="F101" s="16"/>
      <c r="G101" s="42"/>
      <c r="H101" s="16"/>
      <c r="I101" s="42"/>
      <c r="J101" s="44"/>
      <c r="K101" s="44"/>
      <c r="L101" s="44"/>
      <c r="M101" s="46"/>
      <c r="N101" s="42"/>
      <c r="O101" s="42"/>
      <c r="P101" s="16"/>
      <c r="Q101" s="16"/>
    </row>
    <row r="102">
      <c r="A102" s="16"/>
      <c r="B102" s="16"/>
      <c r="C102" s="16"/>
      <c r="D102" s="16"/>
      <c r="E102" s="16"/>
      <c r="F102" s="16"/>
      <c r="G102" s="42"/>
      <c r="H102" s="16"/>
      <c r="I102" s="42"/>
      <c r="J102" s="44"/>
      <c r="K102" s="44"/>
      <c r="L102" s="44"/>
      <c r="M102" s="46"/>
      <c r="N102" s="42"/>
      <c r="O102" s="42"/>
      <c r="P102" s="16"/>
      <c r="Q102" s="16"/>
    </row>
    <row r="103">
      <c r="A103" s="16"/>
      <c r="B103" s="16"/>
      <c r="C103" s="16"/>
      <c r="D103" s="16"/>
      <c r="E103" s="16"/>
      <c r="F103" s="16"/>
      <c r="G103" s="42"/>
      <c r="H103" s="16"/>
      <c r="I103" s="42"/>
      <c r="J103" s="44"/>
      <c r="K103" s="44"/>
      <c r="L103" s="44"/>
      <c r="M103" s="46"/>
      <c r="N103" s="42"/>
      <c r="O103" s="42"/>
      <c r="P103" s="16"/>
      <c r="Q103" s="16"/>
    </row>
    <row r="104">
      <c r="A104" s="16"/>
      <c r="B104" s="16"/>
      <c r="C104" s="16"/>
      <c r="D104" s="16"/>
      <c r="E104" s="16"/>
      <c r="F104" s="16"/>
      <c r="G104" s="42"/>
      <c r="H104" s="16"/>
      <c r="I104" s="42"/>
      <c r="J104" s="44"/>
      <c r="K104" s="44"/>
      <c r="L104" s="44"/>
      <c r="M104" s="46"/>
      <c r="N104" s="42"/>
      <c r="O104" s="42"/>
      <c r="P104" s="16"/>
      <c r="Q104" s="16"/>
    </row>
    <row r="105">
      <c r="A105" s="16"/>
      <c r="B105" s="16"/>
      <c r="C105" s="16"/>
      <c r="D105" s="16"/>
      <c r="E105" s="16"/>
      <c r="F105" s="16"/>
      <c r="G105" s="42"/>
      <c r="H105" s="16"/>
      <c r="I105" s="42"/>
      <c r="J105" s="44"/>
      <c r="K105" s="44"/>
      <c r="L105" s="44"/>
      <c r="M105" s="46"/>
      <c r="N105" s="42"/>
      <c r="O105" s="42"/>
      <c r="P105" s="16"/>
      <c r="Q105" s="16"/>
    </row>
    <row r="106">
      <c r="A106" s="16"/>
      <c r="B106" s="16"/>
      <c r="C106" s="16"/>
      <c r="D106" s="16"/>
      <c r="E106" s="16"/>
      <c r="F106" s="16"/>
      <c r="G106" s="42"/>
      <c r="H106" s="16"/>
      <c r="I106" s="42"/>
      <c r="J106" s="44"/>
      <c r="K106" s="44"/>
      <c r="L106" s="44"/>
      <c r="M106" s="46"/>
      <c r="N106" s="42"/>
      <c r="O106" s="42"/>
      <c r="P106" s="16"/>
      <c r="Q106" s="16"/>
    </row>
    <row r="107">
      <c r="A107" s="16"/>
      <c r="B107" s="16"/>
      <c r="C107" s="16"/>
      <c r="D107" s="16"/>
      <c r="E107" s="16"/>
      <c r="F107" s="16"/>
      <c r="G107" s="42"/>
      <c r="H107" s="16"/>
      <c r="I107" s="42"/>
      <c r="J107" s="44"/>
      <c r="K107" s="44"/>
      <c r="L107" s="44"/>
      <c r="M107" s="46"/>
      <c r="N107" s="42"/>
      <c r="O107" s="42"/>
      <c r="P107" s="16"/>
      <c r="Q107" s="16"/>
    </row>
    <row r="108">
      <c r="A108" s="16"/>
      <c r="B108" s="16"/>
      <c r="C108" s="16"/>
      <c r="D108" s="16"/>
      <c r="E108" s="16"/>
      <c r="F108" s="16"/>
      <c r="G108" s="42"/>
      <c r="H108" s="16"/>
      <c r="I108" s="42"/>
      <c r="J108" s="44"/>
      <c r="K108" s="44"/>
      <c r="L108" s="44"/>
      <c r="M108" s="46"/>
      <c r="N108" s="42"/>
      <c r="O108" s="42"/>
      <c r="P108" s="16"/>
      <c r="Q108" s="16"/>
    </row>
    <row r="109">
      <c r="A109" s="16"/>
      <c r="B109" s="16"/>
      <c r="C109" s="16"/>
      <c r="D109" s="16"/>
      <c r="E109" s="16"/>
      <c r="F109" s="16"/>
      <c r="G109" s="42"/>
      <c r="H109" s="16"/>
      <c r="I109" s="42"/>
      <c r="J109" s="44"/>
      <c r="K109" s="44"/>
      <c r="L109" s="44"/>
      <c r="M109" s="46"/>
      <c r="N109" s="42"/>
      <c r="O109" s="42"/>
      <c r="P109" s="16"/>
      <c r="Q109" s="16"/>
    </row>
    <row r="110">
      <c r="A110" s="16"/>
      <c r="B110" s="16"/>
      <c r="C110" s="16"/>
      <c r="D110" s="16"/>
      <c r="E110" s="16"/>
      <c r="F110" s="16"/>
      <c r="G110" s="42"/>
      <c r="H110" s="16"/>
      <c r="I110" s="42"/>
      <c r="J110" s="44"/>
      <c r="K110" s="44"/>
      <c r="L110" s="44"/>
      <c r="M110" s="46"/>
      <c r="N110" s="42"/>
      <c r="O110" s="42"/>
      <c r="P110" s="16"/>
      <c r="Q110" s="16"/>
    </row>
    <row r="111">
      <c r="A111" s="16"/>
      <c r="B111" s="16"/>
      <c r="C111" s="16"/>
      <c r="D111" s="16"/>
      <c r="E111" s="16"/>
      <c r="F111" s="16"/>
      <c r="G111" s="42"/>
      <c r="H111" s="16"/>
      <c r="I111" s="42"/>
      <c r="J111" s="44"/>
      <c r="K111" s="44"/>
      <c r="L111" s="44"/>
      <c r="M111" s="46"/>
      <c r="N111" s="42"/>
      <c r="O111" s="42"/>
      <c r="P111" s="16"/>
      <c r="Q111" s="16"/>
    </row>
    <row r="112">
      <c r="A112" s="16"/>
      <c r="B112" s="16"/>
      <c r="C112" s="16"/>
      <c r="D112" s="16"/>
      <c r="E112" s="16"/>
      <c r="F112" s="16"/>
      <c r="G112" s="42"/>
      <c r="H112" s="16"/>
      <c r="I112" s="42"/>
      <c r="J112" s="44"/>
      <c r="K112" s="44"/>
      <c r="L112" s="44"/>
      <c r="M112" s="46"/>
      <c r="N112" s="42"/>
      <c r="O112" s="42"/>
      <c r="P112" s="16"/>
      <c r="Q112" s="16"/>
    </row>
    <row r="113">
      <c r="A113" s="16"/>
      <c r="B113" s="16"/>
      <c r="C113" s="16"/>
      <c r="D113" s="16"/>
      <c r="E113" s="16"/>
      <c r="F113" s="16"/>
      <c r="G113" s="42"/>
      <c r="H113" s="16"/>
      <c r="I113" s="42"/>
      <c r="J113" s="44"/>
      <c r="K113" s="44"/>
      <c r="L113" s="44"/>
      <c r="M113" s="46"/>
      <c r="N113" s="42"/>
      <c r="O113" s="42"/>
      <c r="P113" s="16"/>
      <c r="Q113" s="16"/>
    </row>
    <row r="114">
      <c r="A114" s="16"/>
      <c r="B114" s="16"/>
      <c r="C114" s="16"/>
      <c r="D114" s="16"/>
      <c r="E114" s="16"/>
      <c r="F114" s="16"/>
      <c r="G114" s="42"/>
      <c r="H114" s="16"/>
      <c r="I114" s="42"/>
      <c r="J114" s="44"/>
      <c r="K114" s="44"/>
      <c r="L114" s="44"/>
      <c r="M114" s="46"/>
      <c r="N114" s="42"/>
      <c r="O114" s="42"/>
      <c r="P114" s="16"/>
      <c r="Q114" s="16"/>
    </row>
    <row r="115">
      <c r="A115" s="16"/>
      <c r="B115" s="16"/>
      <c r="C115" s="16"/>
      <c r="D115" s="16"/>
      <c r="E115" s="16"/>
      <c r="F115" s="16"/>
      <c r="G115" s="42"/>
      <c r="H115" s="16"/>
      <c r="I115" s="42"/>
      <c r="J115" s="44"/>
      <c r="K115" s="44"/>
      <c r="L115" s="44"/>
      <c r="M115" s="46"/>
      <c r="N115" s="42"/>
      <c r="O115" s="42"/>
      <c r="P115" s="16"/>
      <c r="Q115" s="16"/>
    </row>
    <row r="116">
      <c r="A116" s="16"/>
      <c r="B116" s="16"/>
      <c r="C116" s="16"/>
      <c r="D116" s="16"/>
      <c r="E116" s="16"/>
      <c r="F116" s="16"/>
      <c r="G116" s="42"/>
      <c r="H116" s="16"/>
      <c r="I116" s="42"/>
      <c r="J116" s="44"/>
      <c r="K116" s="44"/>
      <c r="L116" s="44"/>
      <c r="M116" s="46"/>
      <c r="N116" s="42"/>
      <c r="O116" s="42"/>
      <c r="P116" s="16"/>
      <c r="Q116" s="16"/>
    </row>
    <row r="117">
      <c r="A117" s="16"/>
      <c r="B117" s="16"/>
      <c r="C117" s="16"/>
      <c r="D117" s="16"/>
      <c r="E117" s="16"/>
      <c r="F117" s="16"/>
      <c r="G117" s="42"/>
      <c r="H117" s="16"/>
      <c r="I117" s="42"/>
      <c r="J117" s="44"/>
      <c r="K117" s="44"/>
      <c r="L117" s="44"/>
      <c r="M117" s="46"/>
      <c r="N117" s="42"/>
      <c r="O117" s="42"/>
      <c r="P117" s="16"/>
      <c r="Q117" s="16"/>
    </row>
    <row r="118">
      <c r="A118" s="16"/>
      <c r="B118" s="16"/>
      <c r="C118" s="16"/>
      <c r="D118" s="16"/>
      <c r="E118" s="16"/>
      <c r="F118" s="16"/>
      <c r="G118" s="42"/>
      <c r="H118" s="16"/>
      <c r="I118" s="42"/>
      <c r="J118" s="44"/>
      <c r="K118" s="44"/>
      <c r="L118" s="44"/>
      <c r="M118" s="46"/>
      <c r="N118" s="42"/>
      <c r="O118" s="42"/>
      <c r="P118" s="16"/>
      <c r="Q118" s="16"/>
    </row>
    <row r="119">
      <c r="A119" s="16"/>
      <c r="B119" s="16"/>
      <c r="C119" s="16"/>
      <c r="D119" s="16"/>
      <c r="E119" s="16"/>
      <c r="F119" s="16"/>
      <c r="G119" s="42"/>
      <c r="H119" s="16"/>
      <c r="I119" s="42"/>
      <c r="J119" s="44"/>
      <c r="K119" s="44"/>
      <c r="L119" s="44"/>
      <c r="M119" s="46"/>
      <c r="N119" s="42"/>
      <c r="O119" s="42"/>
      <c r="P119" s="16"/>
      <c r="Q119" s="16"/>
    </row>
    <row r="120">
      <c r="A120" s="16"/>
      <c r="B120" s="16"/>
      <c r="C120" s="16"/>
      <c r="D120" s="16"/>
      <c r="E120" s="16"/>
      <c r="F120" s="16"/>
      <c r="G120" s="42"/>
      <c r="H120" s="16"/>
      <c r="I120" s="42"/>
      <c r="J120" s="44"/>
      <c r="K120" s="44"/>
      <c r="L120" s="44"/>
      <c r="M120" s="46"/>
      <c r="N120" s="42"/>
      <c r="O120" s="42"/>
      <c r="P120" s="16"/>
      <c r="Q120" s="16"/>
    </row>
    <row r="121">
      <c r="A121" s="16"/>
      <c r="B121" s="16"/>
      <c r="C121" s="16"/>
      <c r="D121" s="16"/>
      <c r="E121" s="16"/>
      <c r="F121" s="16"/>
      <c r="G121" s="42"/>
      <c r="H121" s="16"/>
      <c r="I121" s="42"/>
      <c r="J121" s="44"/>
      <c r="K121" s="44"/>
      <c r="L121" s="44"/>
      <c r="M121" s="46"/>
      <c r="N121" s="42"/>
      <c r="O121" s="42"/>
      <c r="P121" s="16"/>
      <c r="Q121" s="16"/>
    </row>
    <row r="122">
      <c r="A122" s="16"/>
      <c r="B122" s="16"/>
      <c r="C122" s="16"/>
      <c r="D122" s="16"/>
      <c r="E122" s="16"/>
      <c r="F122" s="16"/>
      <c r="G122" s="42"/>
      <c r="H122" s="16"/>
      <c r="I122" s="42"/>
      <c r="J122" s="44"/>
      <c r="K122" s="44"/>
      <c r="L122" s="44"/>
      <c r="M122" s="46"/>
      <c r="N122" s="42"/>
      <c r="O122" s="42"/>
      <c r="P122" s="16"/>
      <c r="Q122" s="16"/>
    </row>
    <row r="123">
      <c r="A123" s="16"/>
      <c r="B123" s="16"/>
      <c r="C123" s="16"/>
      <c r="D123" s="16"/>
      <c r="E123" s="16"/>
      <c r="F123" s="16"/>
      <c r="G123" s="42"/>
      <c r="H123" s="16"/>
      <c r="I123" s="42"/>
      <c r="J123" s="44"/>
      <c r="K123" s="44"/>
      <c r="L123" s="44"/>
      <c r="M123" s="46"/>
      <c r="N123" s="42"/>
      <c r="O123" s="42"/>
      <c r="P123" s="16"/>
      <c r="Q123" s="16"/>
    </row>
    <row r="124">
      <c r="A124" s="16"/>
      <c r="B124" s="16"/>
      <c r="C124" s="16"/>
      <c r="D124" s="16"/>
      <c r="E124" s="16"/>
      <c r="F124" s="16"/>
      <c r="G124" s="42"/>
      <c r="H124" s="16"/>
      <c r="I124" s="42"/>
      <c r="J124" s="44"/>
      <c r="K124" s="44"/>
      <c r="L124" s="44"/>
      <c r="M124" s="46"/>
      <c r="N124" s="42"/>
      <c r="O124" s="42"/>
      <c r="P124" s="16"/>
      <c r="Q124" s="16"/>
    </row>
    <row r="125">
      <c r="A125" s="16"/>
      <c r="B125" s="16"/>
      <c r="C125" s="16"/>
      <c r="D125" s="16"/>
      <c r="E125" s="16"/>
      <c r="F125" s="16"/>
      <c r="G125" s="42"/>
      <c r="H125" s="16"/>
      <c r="I125" s="42"/>
      <c r="J125" s="44"/>
      <c r="K125" s="44"/>
      <c r="L125" s="44"/>
      <c r="M125" s="46"/>
      <c r="N125" s="42"/>
      <c r="O125" s="42"/>
      <c r="P125" s="16"/>
      <c r="Q125" s="16"/>
    </row>
    <row r="126">
      <c r="A126" s="16"/>
      <c r="B126" s="16"/>
      <c r="C126" s="16"/>
      <c r="D126" s="16"/>
      <c r="E126" s="16"/>
      <c r="F126" s="16"/>
      <c r="G126" s="42"/>
      <c r="H126" s="16"/>
      <c r="I126" s="42"/>
      <c r="J126" s="44"/>
      <c r="K126" s="44"/>
      <c r="L126" s="44"/>
      <c r="M126" s="46"/>
      <c r="N126" s="42"/>
      <c r="O126" s="42"/>
      <c r="P126" s="16"/>
      <c r="Q126" s="16"/>
    </row>
    <row r="127">
      <c r="A127" s="16"/>
      <c r="B127" s="16"/>
      <c r="C127" s="16"/>
      <c r="D127" s="16"/>
      <c r="E127" s="16"/>
      <c r="F127" s="16"/>
      <c r="G127" s="42"/>
      <c r="H127" s="16"/>
      <c r="I127" s="42"/>
      <c r="J127" s="44"/>
      <c r="K127" s="44"/>
      <c r="L127" s="44"/>
      <c r="M127" s="46"/>
      <c r="N127" s="42"/>
      <c r="O127" s="42"/>
      <c r="P127" s="16"/>
      <c r="Q127" s="16"/>
    </row>
    <row r="128">
      <c r="A128" s="16"/>
      <c r="B128" s="16"/>
      <c r="C128" s="16"/>
      <c r="D128" s="16"/>
      <c r="E128" s="16"/>
      <c r="F128" s="16"/>
      <c r="G128" s="42"/>
      <c r="H128" s="16"/>
      <c r="I128" s="42"/>
      <c r="J128" s="44"/>
      <c r="K128" s="44"/>
      <c r="L128" s="44"/>
      <c r="M128" s="46"/>
      <c r="N128" s="42"/>
      <c r="O128" s="42"/>
      <c r="P128" s="16"/>
      <c r="Q128" s="16"/>
    </row>
    <row r="129">
      <c r="A129" s="16"/>
      <c r="B129" s="16"/>
      <c r="C129" s="16"/>
      <c r="D129" s="16"/>
      <c r="E129" s="16"/>
      <c r="F129" s="16"/>
      <c r="G129" s="42"/>
      <c r="H129" s="16"/>
      <c r="I129" s="42"/>
      <c r="J129" s="44"/>
      <c r="K129" s="44"/>
      <c r="L129" s="44"/>
      <c r="M129" s="46"/>
      <c r="N129" s="42"/>
      <c r="O129" s="42"/>
      <c r="P129" s="16"/>
      <c r="Q129" s="16"/>
    </row>
    <row r="130">
      <c r="A130" s="16"/>
      <c r="B130" s="16"/>
      <c r="C130" s="16"/>
      <c r="D130" s="16"/>
      <c r="E130" s="16"/>
      <c r="F130" s="16"/>
      <c r="G130" s="42"/>
      <c r="H130" s="16"/>
      <c r="I130" s="42"/>
      <c r="J130" s="44"/>
      <c r="K130" s="44"/>
      <c r="L130" s="44"/>
      <c r="M130" s="46"/>
      <c r="N130" s="42"/>
      <c r="O130" s="42"/>
      <c r="P130" s="16"/>
      <c r="Q130" s="16"/>
    </row>
    <row r="131">
      <c r="A131" s="16"/>
      <c r="B131" s="16"/>
      <c r="C131" s="16"/>
      <c r="D131" s="16"/>
      <c r="E131" s="16"/>
      <c r="F131" s="16"/>
      <c r="G131" s="42"/>
      <c r="H131" s="16"/>
      <c r="I131" s="42"/>
      <c r="J131" s="44"/>
      <c r="K131" s="44"/>
      <c r="L131" s="44"/>
      <c r="M131" s="46"/>
      <c r="N131" s="42"/>
      <c r="O131" s="42"/>
      <c r="P131" s="16"/>
      <c r="Q131" s="16"/>
    </row>
    <row r="132">
      <c r="A132" s="16"/>
      <c r="B132" s="16"/>
      <c r="C132" s="16"/>
      <c r="D132" s="16"/>
      <c r="E132" s="16"/>
      <c r="F132" s="16"/>
      <c r="G132" s="42"/>
      <c r="H132" s="16"/>
      <c r="I132" s="42"/>
      <c r="J132" s="44"/>
      <c r="K132" s="44"/>
      <c r="L132" s="44"/>
      <c r="M132" s="46"/>
      <c r="N132" s="42"/>
      <c r="O132" s="42"/>
      <c r="P132" s="16"/>
      <c r="Q132" s="16"/>
    </row>
    <row r="133">
      <c r="A133" s="16"/>
      <c r="B133" s="16"/>
      <c r="C133" s="16"/>
      <c r="D133" s="16"/>
      <c r="E133" s="16"/>
      <c r="F133" s="16"/>
      <c r="G133" s="42"/>
      <c r="H133" s="16"/>
      <c r="I133" s="42"/>
      <c r="J133" s="44"/>
      <c r="K133" s="44"/>
      <c r="L133" s="44"/>
      <c r="M133" s="46"/>
      <c r="N133" s="42"/>
      <c r="O133" s="42"/>
      <c r="P133" s="16"/>
      <c r="Q133" s="16"/>
    </row>
    <row r="134">
      <c r="A134" s="16"/>
      <c r="B134" s="16"/>
      <c r="C134" s="16"/>
      <c r="D134" s="16"/>
      <c r="E134" s="16"/>
      <c r="F134" s="16"/>
      <c r="G134" s="42"/>
      <c r="H134" s="16"/>
      <c r="I134" s="42"/>
      <c r="J134" s="44"/>
      <c r="K134" s="44"/>
      <c r="L134" s="44"/>
      <c r="M134" s="46"/>
      <c r="N134" s="42"/>
      <c r="O134" s="42"/>
      <c r="P134" s="16"/>
      <c r="Q134" s="16"/>
    </row>
    <row r="135">
      <c r="A135" s="16"/>
      <c r="B135" s="16"/>
      <c r="C135" s="16"/>
      <c r="D135" s="16"/>
      <c r="E135" s="16"/>
      <c r="F135" s="16"/>
      <c r="G135" s="42"/>
      <c r="H135" s="16"/>
      <c r="I135" s="42"/>
      <c r="J135" s="44"/>
      <c r="K135" s="44"/>
      <c r="L135" s="44"/>
      <c r="M135" s="46"/>
      <c r="N135" s="42"/>
      <c r="O135" s="42"/>
      <c r="P135" s="16"/>
      <c r="Q135" s="16"/>
    </row>
    <row r="136">
      <c r="A136" s="16"/>
      <c r="B136" s="16"/>
      <c r="C136" s="16"/>
      <c r="D136" s="16"/>
      <c r="E136" s="16"/>
      <c r="F136" s="16"/>
      <c r="G136" s="42"/>
      <c r="H136" s="16"/>
      <c r="I136" s="42"/>
      <c r="J136" s="44"/>
      <c r="K136" s="44"/>
      <c r="L136" s="44"/>
      <c r="M136" s="46"/>
      <c r="N136" s="42"/>
      <c r="O136" s="42"/>
      <c r="P136" s="16"/>
      <c r="Q136" s="16"/>
    </row>
    <row r="137">
      <c r="A137" s="16"/>
      <c r="B137" s="16"/>
      <c r="C137" s="16"/>
      <c r="D137" s="16"/>
      <c r="E137" s="16"/>
      <c r="F137" s="16"/>
      <c r="G137" s="42"/>
      <c r="H137" s="16"/>
      <c r="I137" s="42"/>
      <c r="J137" s="44"/>
      <c r="K137" s="44"/>
      <c r="L137" s="44"/>
      <c r="M137" s="46"/>
      <c r="N137" s="42"/>
      <c r="O137" s="42"/>
      <c r="P137" s="16"/>
      <c r="Q137" s="16"/>
    </row>
    <row r="138">
      <c r="A138" s="16"/>
      <c r="B138" s="16"/>
      <c r="C138" s="16"/>
      <c r="D138" s="16"/>
      <c r="E138" s="16"/>
      <c r="F138" s="16"/>
      <c r="G138" s="42"/>
      <c r="H138" s="16"/>
      <c r="I138" s="42"/>
      <c r="J138" s="44"/>
      <c r="K138" s="44"/>
      <c r="L138" s="44"/>
      <c r="M138" s="46"/>
      <c r="N138" s="42"/>
      <c r="O138" s="42"/>
      <c r="P138" s="16"/>
      <c r="Q138" s="16"/>
    </row>
    <row r="139">
      <c r="A139" s="16"/>
      <c r="B139" s="16"/>
      <c r="C139" s="16"/>
      <c r="D139" s="16"/>
      <c r="E139" s="16"/>
      <c r="F139" s="16"/>
      <c r="G139" s="42"/>
      <c r="H139" s="16"/>
      <c r="I139" s="42"/>
      <c r="J139" s="44"/>
      <c r="K139" s="44"/>
      <c r="L139" s="44"/>
      <c r="M139" s="46"/>
      <c r="N139" s="42"/>
      <c r="O139" s="42"/>
      <c r="P139" s="16"/>
      <c r="Q139" s="16"/>
    </row>
    <row r="140">
      <c r="A140" s="16"/>
      <c r="B140" s="16"/>
      <c r="C140" s="16"/>
      <c r="D140" s="16"/>
      <c r="E140" s="16"/>
      <c r="F140" s="16"/>
      <c r="G140" s="42"/>
      <c r="H140" s="16"/>
      <c r="I140" s="42"/>
      <c r="J140" s="44"/>
      <c r="K140" s="44"/>
      <c r="L140" s="44"/>
      <c r="M140" s="46"/>
      <c r="N140" s="42"/>
      <c r="O140" s="42"/>
      <c r="P140" s="16"/>
      <c r="Q140" s="16"/>
    </row>
    <row r="141">
      <c r="A141" s="16"/>
      <c r="B141" s="16"/>
      <c r="C141" s="16"/>
      <c r="D141" s="16"/>
      <c r="E141" s="16"/>
      <c r="F141" s="16"/>
      <c r="G141" s="42"/>
      <c r="H141" s="16"/>
      <c r="I141" s="42"/>
      <c r="J141" s="44"/>
      <c r="K141" s="44"/>
      <c r="L141" s="44"/>
      <c r="M141" s="46"/>
      <c r="N141" s="42"/>
      <c r="O141" s="42"/>
      <c r="P141" s="16"/>
      <c r="Q141" s="16"/>
    </row>
    <row r="142">
      <c r="A142" s="16"/>
      <c r="B142" s="16"/>
      <c r="C142" s="16"/>
      <c r="D142" s="16"/>
      <c r="E142" s="16"/>
      <c r="F142" s="16"/>
      <c r="G142" s="42"/>
      <c r="H142" s="16"/>
      <c r="I142" s="42"/>
      <c r="J142" s="44"/>
      <c r="K142" s="44"/>
      <c r="L142" s="44"/>
      <c r="M142" s="46"/>
      <c r="N142" s="42"/>
      <c r="O142" s="42"/>
      <c r="P142" s="16"/>
      <c r="Q142" s="16"/>
    </row>
    <row r="143">
      <c r="A143" s="16"/>
      <c r="B143" s="16"/>
      <c r="C143" s="16"/>
      <c r="D143" s="16"/>
      <c r="E143" s="16"/>
      <c r="F143" s="16"/>
      <c r="G143" s="42"/>
      <c r="H143" s="16"/>
      <c r="I143" s="42"/>
      <c r="J143" s="44"/>
      <c r="K143" s="44"/>
      <c r="L143" s="44"/>
      <c r="M143" s="46"/>
      <c r="N143" s="42"/>
      <c r="O143" s="42"/>
      <c r="P143" s="16"/>
      <c r="Q143" s="16"/>
    </row>
    <row r="144">
      <c r="A144" s="16"/>
      <c r="B144" s="16"/>
      <c r="C144" s="16"/>
      <c r="D144" s="16"/>
      <c r="E144" s="16"/>
      <c r="F144" s="16"/>
      <c r="G144" s="42"/>
      <c r="H144" s="16"/>
      <c r="I144" s="42"/>
      <c r="J144" s="44"/>
      <c r="K144" s="44"/>
      <c r="L144" s="44"/>
      <c r="M144" s="46"/>
      <c r="N144" s="42"/>
      <c r="O144" s="42"/>
      <c r="P144" s="16"/>
      <c r="Q144" s="16"/>
    </row>
    <row r="145">
      <c r="A145" s="16"/>
      <c r="B145" s="16"/>
      <c r="C145" s="16"/>
      <c r="D145" s="16"/>
      <c r="E145" s="16"/>
      <c r="F145" s="16"/>
      <c r="G145" s="42"/>
      <c r="H145" s="16"/>
      <c r="I145" s="42"/>
      <c r="J145" s="44"/>
      <c r="K145" s="44"/>
      <c r="L145" s="44"/>
      <c r="M145" s="46"/>
      <c r="N145" s="42"/>
      <c r="O145" s="42"/>
      <c r="P145" s="16"/>
      <c r="Q145" s="16"/>
    </row>
    <row r="146">
      <c r="A146" s="16"/>
      <c r="B146" s="16"/>
      <c r="C146" s="16"/>
      <c r="D146" s="16"/>
      <c r="E146" s="16"/>
      <c r="F146" s="16"/>
      <c r="G146" s="42"/>
      <c r="H146" s="16"/>
      <c r="I146" s="42"/>
      <c r="J146" s="44"/>
      <c r="K146" s="44"/>
      <c r="L146" s="44"/>
      <c r="M146" s="46"/>
      <c r="N146" s="42"/>
      <c r="O146" s="42"/>
      <c r="P146" s="16"/>
      <c r="Q146" s="16"/>
    </row>
    <row r="147">
      <c r="A147" s="16"/>
      <c r="B147" s="16"/>
      <c r="C147" s="16"/>
      <c r="D147" s="16"/>
      <c r="E147" s="16"/>
      <c r="F147" s="16"/>
      <c r="G147" s="42"/>
      <c r="H147" s="16"/>
      <c r="I147" s="42"/>
      <c r="J147" s="44"/>
      <c r="K147" s="44"/>
      <c r="L147" s="44"/>
      <c r="M147" s="46"/>
      <c r="N147" s="42"/>
      <c r="O147" s="42"/>
      <c r="P147" s="16"/>
      <c r="Q147" s="16"/>
    </row>
    <row r="148">
      <c r="A148" s="16"/>
      <c r="B148" s="16"/>
      <c r="C148" s="16"/>
      <c r="D148" s="16"/>
      <c r="E148" s="16"/>
      <c r="F148" s="16"/>
      <c r="G148" s="42"/>
      <c r="H148" s="16"/>
      <c r="I148" s="42"/>
      <c r="J148" s="44"/>
      <c r="K148" s="44"/>
      <c r="L148" s="44"/>
      <c r="M148" s="46"/>
      <c r="N148" s="42"/>
      <c r="O148" s="42"/>
      <c r="P148" s="16"/>
      <c r="Q148" s="16"/>
    </row>
    <row r="149">
      <c r="A149" s="16"/>
      <c r="B149" s="16"/>
      <c r="C149" s="16"/>
      <c r="D149" s="16"/>
      <c r="E149" s="16"/>
      <c r="F149" s="16"/>
      <c r="G149" s="42"/>
      <c r="H149" s="16"/>
      <c r="I149" s="42"/>
      <c r="J149" s="44"/>
      <c r="K149" s="44"/>
      <c r="L149" s="44"/>
      <c r="M149" s="46"/>
      <c r="N149" s="42"/>
      <c r="O149" s="42"/>
      <c r="P149" s="16"/>
      <c r="Q149" s="16"/>
    </row>
    <row r="150">
      <c r="A150" s="16"/>
      <c r="B150" s="16"/>
      <c r="C150" s="16"/>
      <c r="D150" s="16"/>
      <c r="E150" s="16"/>
      <c r="F150" s="16"/>
      <c r="G150" s="42"/>
      <c r="H150" s="16"/>
      <c r="I150" s="42"/>
      <c r="J150" s="44"/>
      <c r="K150" s="44"/>
      <c r="L150" s="44"/>
      <c r="M150" s="46"/>
      <c r="N150" s="42"/>
      <c r="O150" s="42"/>
      <c r="P150" s="16"/>
      <c r="Q150" s="16"/>
    </row>
    <row r="151">
      <c r="A151" s="16"/>
      <c r="B151" s="16"/>
      <c r="C151" s="16"/>
      <c r="D151" s="16"/>
      <c r="E151" s="16"/>
      <c r="F151" s="16"/>
      <c r="G151" s="42"/>
      <c r="H151" s="16"/>
      <c r="I151" s="42"/>
      <c r="J151" s="44"/>
      <c r="K151" s="44"/>
      <c r="L151" s="44"/>
      <c r="M151" s="46"/>
      <c r="N151" s="42"/>
      <c r="O151" s="42"/>
      <c r="P151" s="16"/>
      <c r="Q151" s="16"/>
    </row>
    <row r="152">
      <c r="A152" s="16"/>
      <c r="B152" s="16"/>
      <c r="C152" s="16"/>
      <c r="D152" s="16"/>
      <c r="E152" s="16"/>
      <c r="F152" s="16"/>
      <c r="G152" s="42"/>
      <c r="H152" s="16"/>
      <c r="I152" s="42"/>
      <c r="J152" s="44"/>
      <c r="K152" s="44"/>
      <c r="L152" s="44"/>
      <c r="M152" s="46"/>
      <c r="N152" s="42"/>
      <c r="O152" s="42"/>
      <c r="P152" s="16"/>
      <c r="Q152" s="16"/>
    </row>
    <row r="153">
      <c r="A153" s="16"/>
      <c r="B153" s="16"/>
      <c r="C153" s="16"/>
      <c r="D153" s="16"/>
      <c r="E153" s="16"/>
      <c r="F153" s="16"/>
      <c r="G153" s="42"/>
      <c r="H153" s="16"/>
      <c r="I153" s="42"/>
      <c r="J153" s="44"/>
      <c r="K153" s="44"/>
      <c r="L153" s="44"/>
      <c r="M153" s="46"/>
      <c r="N153" s="42"/>
      <c r="O153" s="42"/>
      <c r="P153" s="16"/>
      <c r="Q153" s="16"/>
    </row>
    <row r="154">
      <c r="A154" s="16"/>
      <c r="B154" s="16"/>
      <c r="C154" s="16"/>
      <c r="D154" s="16"/>
      <c r="E154" s="16"/>
      <c r="F154" s="16"/>
      <c r="G154" s="42"/>
      <c r="H154" s="16"/>
      <c r="I154" s="42"/>
      <c r="J154" s="44"/>
      <c r="K154" s="44"/>
      <c r="L154" s="44"/>
      <c r="M154" s="46"/>
      <c r="N154" s="42"/>
      <c r="O154" s="42"/>
      <c r="P154" s="16"/>
      <c r="Q154" s="16"/>
    </row>
    <row r="155">
      <c r="A155" s="16"/>
      <c r="B155" s="16"/>
      <c r="C155" s="16"/>
      <c r="D155" s="16"/>
      <c r="E155" s="16"/>
      <c r="F155" s="16"/>
      <c r="G155" s="42"/>
      <c r="H155" s="16"/>
      <c r="I155" s="42"/>
      <c r="J155" s="44"/>
      <c r="K155" s="44"/>
      <c r="L155" s="44"/>
      <c r="M155" s="46"/>
      <c r="N155" s="42"/>
      <c r="O155" s="42"/>
      <c r="P155" s="16"/>
      <c r="Q155" s="16"/>
    </row>
    <row r="156">
      <c r="A156" s="16"/>
      <c r="B156" s="16"/>
      <c r="C156" s="16"/>
      <c r="D156" s="16"/>
      <c r="E156" s="16"/>
      <c r="F156" s="16"/>
      <c r="G156" s="42"/>
      <c r="H156" s="16"/>
      <c r="I156" s="42"/>
      <c r="J156" s="44"/>
      <c r="K156" s="44"/>
      <c r="L156" s="44"/>
      <c r="M156" s="46"/>
      <c r="N156" s="42"/>
      <c r="O156" s="42"/>
      <c r="P156" s="16"/>
      <c r="Q156" s="16"/>
    </row>
    <row r="157">
      <c r="A157" s="16"/>
      <c r="B157" s="16"/>
      <c r="C157" s="16"/>
      <c r="D157" s="16"/>
      <c r="E157" s="16"/>
      <c r="F157" s="16"/>
      <c r="G157" s="42"/>
      <c r="H157" s="16"/>
      <c r="I157" s="42"/>
      <c r="J157" s="44"/>
      <c r="K157" s="44"/>
      <c r="L157" s="44"/>
      <c r="M157" s="46"/>
      <c r="N157" s="42"/>
      <c r="O157" s="42"/>
      <c r="P157" s="16"/>
      <c r="Q157" s="16"/>
    </row>
    <row r="158">
      <c r="A158" s="16"/>
      <c r="B158" s="16"/>
      <c r="C158" s="16"/>
      <c r="D158" s="16"/>
      <c r="E158" s="16"/>
      <c r="F158" s="16"/>
      <c r="G158" s="42"/>
      <c r="H158" s="16"/>
      <c r="I158" s="42"/>
      <c r="J158" s="44"/>
      <c r="K158" s="44"/>
      <c r="L158" s="44"/>
      <c r="M158" s="46"/>
      <c r="N158" s="42"/>
      <c r="O158" s="42"/>
      <c r="P158" s="16"/>
      <c r="Q158" s="16"/>
    </row>
    <row r="159">
      <c r="A159" s="16"/>
      <c r="B159" s="16"/>
      <c r="C159" s="16"/>
      <c r="D159" s="16"/>
      <c r="E159" s="16"/>
      <c r="F159" s="16"/>
      <c r="G159" s="42"/>
      <c r="H159" s="16"/>
      <c r="I159" s="42"/>
      <c r="J159" s="44"/>
      <c r="K159" s="44"/>
      <c r="L159" s="44"/>
      <c r="M159" s="46"/>
      <c r="N159" s="42"/>
      <c r="O159" s="42"/>
      <c r="P159" s="16"/>
      <c r="Q159" s="16"/>
    </row>
    <row r="160">
      <c r="A160" s="16"/>
      <c r="B160" s="16"/>
      <c r="C160" s="16"/>
      <c r="D160" s="16"/>
      <c r="E160" s="16"/>
      <c r="F160" s="16"/>
      <c r="G160" s="42"/>
      <c r="H160" s="16"/>
      <c r="I160" s="42"/>
      <c r="J160" s="44"/>
      <c r="K160" s="44"/>
      <c r="L160" s="44"/>
      <c r="M160" s="46"/>
      <c r="N160" s="42"/>
      <c r="O160" s="42"/>
      <c r="P160" s="16"/>
      <c r="Q160" s="16"/>
    </row>
    <row r="161">
      <c r="A161" s="16"/>
      <c r="B161" s="16"/>
      <c r="C161" s="16"/>
      <c r="D161" s="16"/>
      <c r="E161" s="16"/>
      <c r="F161" s="16"/>
      <c r="G161" s="42"/>
      <c r="H161" s="16"/>
      <c r="I161" s="42"/>
      <c r="J161" s="44"/>
      <c r="K161" s="44"/>
      <c r="L161" s="44"/>
      <c r="M161" s="46"/>
      <c r="N161" s="42"/>
      <c r="O161" s="42"/>
      <c r="P161" s="16"/>
      <c r="Q161" s="16"/>
    </row>
    <row r="162">
      <c r="A162" s="16"/>
      <c r="B162" s="16"/>
      <c r="C162" s="16"/>
      <c r="D162" s="16"/>
      <c r="E162" s="16"/>
      <c r="F162" s="16"/>
      <c r="G162" s="42"/>
      <c r="H162" s="16"/>
      <c r="I162" s="42"/>
      <c r="J162" s="44"/>
      <c r="K162" s="44"/>
      <c r="L162" s="44"/>
      <c r="M162" s="46"/>
      <c r="N162" s="42"/>
      <c r="O162" s="42"/>
      <c r="P162" s="16"/>
      <c r="Q162" s="16"/>
    </row>
    <row r="163">
      <c r="A163" s="16"/>
      <c r="B163" s="16"/>
      <c r="C163" s="16"/>
      <c r="D163" s="16"/>
      <c r="E163" s="16"/>
      <c r="F163" s="16"/>
      <c r="G163" s="42"/>
      <c r="H163" s="16"/>
      <c r="I163" s="42"/>
      <c r="J163" s="44"/>
      <c r="K163" s="44"/>
      <c r="L163" s="44"/>
      <c r="M163" s="46"/>
      <c r="N163" s="42"/>
      <c r="O163" s="42"/>
      <c r="P163" s="16"/>
      <c r="Q163" s="16"/>
    </row>
    <row r="164">
      <c r="A164" s="16"/>
      <c r="B164" s="16"/>
      <c r="C164" s="16"/>
      <c r="D164" s="16"/>
      <c r="E164" s="16"/>
      <c r="F164" s="16"/>
      <c r="G164" s="42"/>
      <c r="H164" s="16"/>
      <c r="I164" s="42"/>
      <c r="J164" s="44"/>
      <c r="K164" s="44"/>
      <c r="L164" s="44"/>
      <c r="M164" s="46"/>
      <c r="N164" s="42"/>
      <c r="O164" s="42"/>
      <c r="P164" s="16"/>
      <c r="Q164" s="16"/>
    </row>
    <row r="165">
      <c r="A165" s="16"/>
      <c r="B165" s="16"/>
      <c r="C165" s="16"/>
      <c r="D165" s="16"/>
      <c r="E165" s="16"/>
      <c r="F165" s="16"/>
      <c r="G165" s="42"/>
      <c r="H165" s="16"/>
      <c r="I165" s="42"/>
      <c r="J165" s="44"/>
      <c r="K165" s="44"/>
      <c r="L165" s="44"/>
      <c r="M165" s="46"/>
      <c r="N165" s="42"/>
      <c r="O165" s="42"/>
      <c r="P165" s="16"/>
      <c r="Q165" s="16"/>
    </row>
    <row r="166">
      <c r="A166" s="16"/>
      <c r="B166" s="16"/>
      <c r="C166" s="16"/>
      <c r="D166" s="16"/>
      <c r="E166" s="16"/>
      <c r="F166" s="16"/>
      <c r="G166" s="42"/>
      <c r="H166" s="16"/>
      <c r="I166" s="42"/>
      <c r="J166" s="44"/>
      <c r="K166" s="44"/>
      <c r="L166" s="44"/>
      <c r="M166" s="46"/>
      <c r="N166" s="42"/>
      <c r="O166" s="42"/>
      <c r="P166" s="16"/>
      <c r="Q166" s="16"/>
    </row>
    <row r="167">
      <c r="A167" s="16"/>
      <c r="B167" s="16"/>
      <c r="C167" s="16"/>
      <c r="D167" s="16"/>
      <c r="E167" s="16"/>
      <c r="F167" s="16"/>
      <c r="G167" s="42"/>
      <c r="H167" s="16"/>
      <c r="I167" s="42"/>
      <c r="J167" s="44"/>
      <c r="K167" s="44"/>
      <c r="L167" s="44"/>
      <c r="M167" s="46"/>
      <c r="N167" s="42"/>
      <c r="O167" s="42"/>
      <c r="P167" s="16"/>
      <c r="Q167" s="16"/>
    </row>
    <row r="168">
      <c r="A168" s="16"/>
      <c r="B168" s="16"/>
      <c r="C168" s="16"/>
      <c r="D168" s="16"/>
      <c r="E168" s="16"/>
      <c r="F168" s="16"/>
      <c r="G168" s="42"/>
      <c r="H168" s="16"/>
      <c r="I168" s="42"/>
      <c r="J168" s="44"/>
      <c r="K168" s="44"/>
      <c r="L168" s="44"/>
      <c r="M168" s="46"/>
      <c r="N168" s="42"/>
      <c r="O168" s="42"/>
      <c r="P168" s="16"/>
      <c r="Q168" s="16"/>
    </row>
    <row r="169">
      <c r="A169" s="16"/>
      <c r="B169" s="16"/>
      <c r="C169" s="16"/>
      <c r="D169" s="16"/>
      <c r="E169" s="16"/>
      <c r="F169" s="16"/>
      <c r="G169" s="42"/>
      <c r="H169" s="16"/>
      <c r="I169" s="42"/>
      <c r="J169" s="44"/>
      <c r="K169" s="44"/>
      <c r="L169" s="44"/>
      <c r="M169" s="46"/>
      <c r="N169" s="42"/>
      <c r="O169" s="42"/>
      <c r="P169" s="16"/>
      <c r="Q169" s="16"/>
    </row>
    <row r="170">
      <c r="A170" s="16"/>
      <c r="B170" s="16"/>
      <c r="C170" s="16"/>
      <c r="D170" s="16"/>
      <c r="E170" s="16"/>
      <c r="F170" s="16"/>
      <c r="G170" s="42"/>
      <c r="H170" s="16"/>
      <c r="I170" s="42"/>
      <c r="J170" s="44"/>
      <c r="K170" s="44"/>
      <c r="L170" s="44"/>
      <c r="M170" s="46"/>
      <c r="N170" s="42"/>
      <c r="O170" s="42"/>
      <c r="P170" s="16"/>
      <c r="Q170" s="16"/>
    </row>
    <row r="171">
      <c r="A171" s="16"/>
      <c r="B171" s="16"/>
      <c r="C171" s="16"/>
      <c r="D171" s="16"/>
      <c r="E171" s="16"/>
      <c r="F171" s="16"/>
      <c r="G171" s="42"/>
      <c r="H171" s="16"/>
      <c r="I171" s="42"/>
      <c r="J171" s="44"/>
      <c r="K171" s="44"/>
      <c r="L171" s="44"/>
      <c r="M171" s="46"/>
      <c r="N171" s="42"/>
      <c r="O171" s="42"/>
      <c r="P171" s="16"/>
      <c r="Q171" s="16"/>
    </row>
    <row r="172">
      <c r="A172" s="16"/>
      <c r="B172" s="16"/>
      <c r="C172" s="16"/>
      <c r="D172" s="16"/>
      <c r="E172" s="16"/>
      <c r="F172" s="16"/>
      <c r="G172" s="42"/>
      <c r="H172" s="16"/>
      <c r="I172" s="42"/>
      <c r="J172" s="44"/>
      <c r="K172" s="44"/>
      <c r="L172" s="44"/>
      <c r="M172" s="46"/>
      <c r="N172" s="42"/>
      <c r="O172" s="42"/>
      <c r="P172" s="16"/>
      <c r="Q172" s="16"/>
    </row>
    <row r="173">
      <c r="A173" s="16"/>
      <c r="B173" s="16"/>
      <c r="C173" s="16"/>
      <c r="D173" s="16"/>
      <c r="E173" s="16"/>
      <c r="F173" s="16"/>
      <c r="G173" s="42"/>
      <c r="H173" s="16"/>
      <c r="I173" s="42"/>
      <c r="J173" s="44"/>
      <c r="K173" s="44"/>
      <c r="L173" s="44"/>
      <c r="M173" s="46"/>
      <c r="N173" s="42"/>
      <c r="O173" s="42"/>
      <c r="P173" s="16"/>
      <c r="Q173" s="16"/>
    </row>
    <row r="174">
      <c r="A174" s="16"/>
      <c r="B174" s="16"/>
      <c r="C174" s="16"/>
      <c r="D174" s="16"/>
      <c r="E174" s="16"/>
      <c r="F174" s="16"/>
      <c r="G174" s="42"/>
      <c r="H174" s="16"/>
      <c r="I174" s="42"/>
      <c r="J174" s="44"/>
      <c r="K174" s="44"/>
      <c r="L174" s="44"/>
      <c r="M174" s="46"/>
      <c r="N174" s="42"/>
      <c r="O174" s="42"/>
      <c r="P174" s="16"/>
      <c r="Q174" s="16"/>
    </row>
    <row r="175">
      <c r="A175" s="16"/>
      <c r="B175" s="16"/>
      <c r="C175" s="16"/>
      <c r="D175" s="16"/>
      <c r="E175" s="16"/>
      <c r="F175" s="16"/>
      <c r="G175" s="42"/>
      <c r="H175" s="16"/>
      <c r="I175" s="42"/>
      <c r="J175" s="44"/>
      <c r="K175" s="44"/>
      <c r="L175" s="44"/>
      <c r="M175" s="46"/>
      <c r="N175" s="42"/>
      <c r="O175" s="42"/>
      <c r="P175" s="16"/>
      <c r="Q175" s="16"/>
    </row>
    <row r="176">
      <c r="A176" s="16"/>
      <c r="B176" s="16"/>
      <c r="C176" s="16"/>
      <c r="D176" s="16"/>
      <c r="E176" s="16"/>
      <c r="F176" s="16"/>
      <c r="G176" s="42"/>
      <c r="H176" s="16"/>
      <c r="I176" s="42"/>
      <c r="J176" s="44"/>
      <c r="K176" s="44"/>
      <c r="L176" s="44"/>
      <c r="M176" s="46"/>
      <c r="N176" s="42"/>
      <c r="O176" s="42"/>
      <c r="P176" s="16"/>
      <c r="Q176" s="16"/>
    </row>
    <row r="177">
      <c r="A177" s="16"/>
      <c r="B177" s="16"/>
      <c r="C177" s="16"/>
      <c r="D177" s="16"/>
      <c r="E177" s="16"/>
      <c r="F177" s="16"/>
      <c r="G177" s="42"/>
      <c r="H177" s="16"/>
      <c r="I177" s="42"/>
      <c r="J177" s="44"/>
      <c r="K177" s="44"/>
      <c r="L177" s="44"/>
      <c r="M177" s="46"/>
      <c r="N177" s="42"/>
      <c r="O177" s="42"/>
      <c r="P177" s="16"/>
      <c r="Q177" s="16"/>
    </row>
    <row r="178">
      <c r="A178" s="16"/>
      <c r="B178" s="16"/>
      <c r="C178" s="16"/>
      <c r="D178" s="16"/>
      <c r="E178" s="16"/>
      <c r="F178" s="16"/>
      <c r="G178" s="42"/>
      <c r="H178" s="16"/>
      <c r="I178" s="42"/>
      <c r="J178" s="44"/>
      <c r="K178" s="44"/>
      <c r="L178" s="44"/>
      <c r="M178" s="46"/>
      <c r="N178" s="42"/>
      <c r="O178" s="42"/>
      <c r="P178" s="16"/>
      <c r="Q178" s="16"/>
    </row>
    <row r="179">
      <c r="A179" s="16"/>
      <c r="B179" s="16"/>
      <c r="C179" s="16"/>
      <c r="D179" s="16"/>
      <c r="E179" s="16"/>
      <c r="F179" s="16"/>
      <c r="G179" s="42"/>
      <c r="H179" s="16"/>
      <c r="I179" s="42"/>
      <c r="J179" s="44"/>
      <c r="K179" s="44"/>
      <c r="L179" s="44"/>
      <c r="M179" s="46"/>
      <c r="N179" s="42"/>
      <c r="O179" s="42"/>
      <c r="P179" s="16"/>
      <c r="Q179" s="16"/>
    </row>
    <row r="180">
      <c r="A180" s="16"/>
      <c r="B180" s="16"/>
      <c r="C180" s="16"/>
      <c r="D180" s="16"/>
      <c r="E180" s="16"/>
      <c r="F180" s="16"/>
      <c r="G180" s="42"/>
      <c r="H180" s="16"/>
      <c r="I180" s="42"/>
      <c r="J180" s="44"/>
      <c r="K180" s="44"/>
      <c r="L180" s="44"/>
      <c r="M180" s="46"/>
      <c r="N180" s="42"/>
      <c r="O180" s="42"/>
      <c r="P180" s="16"/>
      <c r="Q180" s="16"/>
    </row>
    <row r="181">
      <c r="A181" s="16"/>
      <c r="B181" s="16"/>
      <c r="C181" s="16"/>
      <c r="D181" s="16"/>
      <c r="E181" s="16"/>
      <c r="F181" s="16"/>
      <c r="G181" s="42"/>
      <c r="H181" s="16"/>
      <c r="I181" s="42"/>
      <c r="J181" s="44"/>
      <c r="K181" s="44"/>
      <c r="L181" s="44"/>
      <c r="M181" s="46"/>
      <c r="N181" s="42"/>
      <c r="O181" s="42"/>
      <c r="P181" s="16"/>
      <c r="Q181" s="16"/>
    </row>
    <row r="182">
      <c r="A182" s="16"/>
      <c r="B182" s="16"/>
      <c r="C182" s="16"/>
      <c r="D182" s="16"/>
      <c r="E182" s="16"/>
      <c r="F182" s="16"/>
      <c r="G182" s="42"/>
      <c r="H182" s="16"/>
      <c r="I182" s="42"/>
      <c r="J182" s="44"/>
      <c r="K182" s="44"/>
      <c r="L182" s="44"/>
      <c r="M182" s="46"/>
      <c r="N182" s="42"/>
      <c r="O182" s="42"/>
      <c r="P182" s="16"/>
      <c r="Q182" s="16"/>
    </row>
    <row r="183">
      <c r="A183" s="16"/>
      <c r="B183" s="16"/>
      <c r="C183" s="16"/>
      <c r="D183" s="16"/>
      <c r="E183" s="16"/>
      <c r="F183" s="16"/>
      <c r="G183" s="42"/>
      <c r="H183" s="16"/>
      <c r="I183" s="42"/>
      <c r="J183" s="44"/>
      <c r="K183" s="44"/>
      <c r="L183" s="44"/>
      <c r="M183" s="46"/>
      <c r="N183" s="42"/>
      <c r="O183" s="42"/>
      <c r="P183" s="16"/>
      <c r="Q183" s="16"/>
    </row>
    <row r="184">
      <c r="A184" s="16"/>
      <c r="B184" s="16"/>
      <c r="C184" s="16"/>
      <c r="D184" s="16"/>
      <c r="E184" s="16"/>
      <c r="F184" s="16"/>
      <c r="G184" s="42"/>
      <c r="H184" s="16"/>
      <c r="I184" s="42"/>
      <c r="J184" s="44"/>
      <c r="K184" s="44"/>
      <c r="L184" s="44"/>
      <c r="M184" s="46"/>
      <c r="N184" s="42"/>
      <c r="O184" s="42"/>
      <c r="P184" s="16"/>
      <c r="Q184" s="16"/>
    </row>
    <row r="185">
      <c r="A185" s="16"/>
      <c r="B185" s="16"/>
      <c r="C185" s="16"/>
      <c r="D185" s="16"/>
      <c r="E185" s="16"/>
      <c r="F185" s="16"/>
      <c r="G185" s="42"/>
      <c r="H185" s="16"/>
      <c r="I185" s="42"/>
      <c r="J185" s="44"/>
      <c r="K185" s="44"/>
      <c r="L185" s="44"/>
      <c r="M185" s="46"/>
      <c r="N185" s="42"/>
      <c r="O185" s="42"/>
      <c r="P185" s="16"/>
      <c r="Q185" s="16"/>
    </row>
    <row r="186">
      <c r="A186" s="16"/>
      <c r="B186" s="16"/>
      <c r="C186" s="16"/>
      <c r="D186" s="16"/>
      <c r="E186" s="16"/>
      <c r="F186" s="16"/>
      <c r="G186" s="42"/>
      <c r="H186" s="16"/>
      <c r="I186" s="42"/>
      <c r="J186" s="44"/>
      <c r="K186" s="44"/>
      <c r="L186" s="44"/>
      <c r="M186" s="46"/>
      <c r="N186" s="42"/>
      <c r="O186" s="42"/>
      <c r="P186" s="16"/>
      <c r="Q186" s="16"/>
    </row>
    <row r="187">
      <c r="A187" s="16"/>
      <c r="B187" s="16"/>
      <c r="C187" s="16"/>
      <c r="D187" s="16"/>
      <c r="E187" s="16"/>
      <c r="F187" s="16"/>
      <c r="G187" s="42"/>
      <c r="H187" s="16"/>
      <c r="I187" s="42"/>
      <c r="J187" s="44"/>
      <c r="K187" s="44"/>
      <c r="L187" s="44"/>
      <c r="M187" s="46"/>
      <c r="N187" s="42"/>
      <c r="O187" s="42"/>
      <c r="P187" s="16"/>
      <c r="Q187" s="16"/>
    </row>
    <row r="188">
      <c r="A188" s="16"/>
      <c r="B188" s="16"/>
      <c r="C188" s="16"/>
      <c r="D188" s="16"/>
      <c r="E188" s="16"/>
      <c r="F188" s="16"/>
      <c r="G188" s="42"/>
      <c r="H188" s="16"/>
      <c r="I188" s="42"/>
      <c r="J188" s="44"/>
      <c r="K188" s="44"/>
      <c r="L188" s="44"/>
      <c r="M188" s="46"/>
      <c r="N188" s="42"/>
      <c r="O188" s="42"/>
      <c r="P188" s="16"/>
      <c r="Q188" s="16"/>
    </row>
    <row r="189">
      <c r="A189" s="16"/>
      <c r="B189" s="16"/>
      <c r="C189" s="16"/>
      <c r="D189" s="16"/>
      <c r="E189" s="16"/>
      <c r="F189" s="16"/>
      <c r="G189" s="42"/>
      <c r="H189" s="16"/>
      <c r="I189" s="42"/>
      <c r="J189" s="44"/>
      <c r="K189" s="44"/>
      <c r="L189" s="44"/>
      <c r="M189" s="46"/>
      <c r="N189" s="42"/>
      <c r="O189" s="42"/>
      <c r="P189" s="16"/>
      <c r="Q189" s="16"/>
    </row>
    <row r="190">
      <c r="A190" s="16"/>
      <c r="B190" s="16"/>
      <c r="C190" s="16"/>
      <c r="D190" s="16"/>
      <c r="E190" s="16"/>
      <c r="F190" s="16"/>
      <c r="G190" s="42"/>
      <c r="H190" s="16"/>
      <c r="I190" s="42"/>
      <c r="J190" s="44"/>
      <c r="K190" s="44"/>
      <c r="L190" s="44"/>
      <c r="M190" s="46"/>
      <c r="N190" s="42"/>
      <c r="O190" s="42"/>
      <c r="P190" s="16"/>
      <c r="Q190" s="16"/>
    </row>
    <row r="191">
      <c r="A191" s="16"/>
      <c r="B191" s="16"/>
      <c r="C191" s="16"/>
      <c r="D191" s="16"/>
      <c r="E191" s="16"/>
      <c r="F191" s="16"/>
      <c r="G191" s="42"/>
      <c r="H191" s="16"/>
      <c r="I191" s="42"/>
      <c r="J191" s="44"/>
      <c r="K191" s="44"/>
      <c r="L191" s="44"/>
      <c r="M191" s="46"/>
      <c r="N191" s="42"/>
      <c r="O191" s="42"/>
      <c r="P191" s="16"/>
      <c r="Q191" s="16"/>
    </row>
    <row r="192">
      <c r="A192" s="16"/>
      <c r="B192" s="16"/>
      <c r="C192" s="16"/>
      <c r="D192" s="16"/>
      <c r="E192" s="16"/>
      <c r="F192" s="16"/>
      <c r="G192" s="42"/>
      <c r="H192" s="16"/>
      <c r="I192" s="42"/>
      <c r="J192" s="44"/>
      <c r="K192" s="44"/>
      <c r="L192" s="44"/>
      <c r="M192" s="46"/>
      <c r="N192" s="42"/>
      <c r="O192" s="42"/>
      <c r="P192" s="16"/>
      <c r="Q192" s="16"/>
    </row>
    <row r="193">
      <c r="A193" s="16"/>
      <c r="B193" s="16"/>
      <c r="C193" s="16"/>
      <c r="D193" s="16"/>
      <c r="E193" s="16"/>
      <c r="F193" s="16"/>
      <c r="G193" s="42"/>
      <c r="H193" s="16"/>
      <c r="I193" s="42"/>
      <c r="J193" s="44"/>
      <c r="K193" s="44"/>
      <c r="L193" s="44"/>
      <c r="M193" s="46"/>
      <c r="N193" s="42"/>
      <c r="O193" s="42"/>
      <c r="P193" s="16"/>
      <c r="Q193" s="16"/>
    </row>
    <row r="194">
      <c r="A194" s="16"/>
      <c r="B194" s="16"/>
      <c r="C194" s="16"/>
      <c r="D194" s="16"/>
      <c r="E194" s="16"/>
      <c r="F194" s="16"/>
      <c r="G194" s="42"/>
      <c r="H194" s="16"/>
      <c r="I194" s="42"/>
      <c r="J194" s="44"/>
      <c r="K194" s="44"/>
      <c r="L194" s="44"/>
      <c r="M194" s="46"/>
      <c r="N194" s="42"/>
      <c r="O194" s="42"/>
      <c r="P194" s="16"/>
      <c r="Q194" s="16"/>
    </row>
    <row r="195">
      <c r="A195" s="16"/>
      <c r="B195" s="16"/>
      <c r="C195" s="16"/>
      <c r="D195" s="16"/>
      <c r="E195" s="16"/>
      <c r="F195" s="16"/>
      <c r="G195" s="42"/>
      <c r="H195" s="16"/>
      <c r="I195" s="42"/>
      <c r="J195" s="44"/>
      <c r="K195" s="44"/>
      <c r="L195" s="44"/>
      <c r="M195" s="46"/>
      <c r="N195" s="42"/>
      <c r="O195" s="42"/>
      <c r="P195" s="16"/>
      <c r="Q195" s="16"/>
    </row>
    <row r="196">
      <c r="A196" s="16"/>
      <c r="B196" s="16"/>
      <c r="C196" s="16"/>
      <c r="D196" s="16"/>
      <c r="E196" s="16"/>
      <c r="F196" s="16"/>
      <c r="G196" s="42"/>
      <c r="H196" s="16"/>
      <c r="I196" s="42"/>
      <c r="J196" s="44"/>
      <c r="K196" s="44"/>
      <c r="L196" s="44"/>
      <c r="M196" s="46"/>
      <c r="N196" s="42"/>
      <c r="O196" s="42"/>
      <c r="P196" s="16"/>
      <c r="Q196" s="16"/>
    </row>
    <row r="197">
      <c r="A197" s="16"/>
      <c r="B197" s="16"/>
      <c r="C197" s="16"/>
      <c r="D197" s="16"/>
      <c r="E197" s="16"/>
      <c r="F197" s="16"/>
      <c r="G197" s="42"/>
      <c r="H197" s="16"/>
      <c r="I197" s="42"/>
      <c r="J197" s="44"/>
      <c r="K197" s="44"/>
      <c r="L197" s="44"/>
      <c r="M197" s="46"/>
      <c r="N197" s="42"/>
      <c r="O197" s="42"/>
      <c r="P197" s="16"/>
      <c r="Q197" s="16"/>
    </row>
    <row r="198">
      <c r="A198" s="16"/>
      <c r="B198" s="16"/>
      <c r="C198" s="16"/>
      <c r="D198" s="16"/>
      <c r="E198" s="16"/>
      <c r="F198" s="16"/>
      <c r="G198" s="42"/>
      <c r="H198" s="16"/>
      <c r="I198" s="42"/>
      <c r="J198" s="44"/>
      <c r="K198" s="44"/>
      <c r="L198" s="44"/>
      <c r="M198" s="46"/>
      <c r="N198" s="42"/>
      <c r="O198" s="42"/>
      <c r="P198" s="16"/>
      <c r="Q198" s="16"/>
    </row>
    <row r="199">
      <c r="A199" s="16"/>
      <c r="B199" s="16"/>
      <c r="C199" s="16"/>
      <c r="D199" s="16"/>
      <c r="E199" s="16"/>
      <c r="F199" s="16"/>
      <c r="G199" s="42"/>
      <c r="H199" s="16"/>
      <c r="I199" s="42"/>
      <c r="J199" s="44"/>
      <c r="K199" s="44"/>
      <c r="L199" s="44"/>
      <c r="M199" s="46"/>
      <c r="N199" s="42"/>
      <c r="O199" s="42"/>
      <c r="P199" s="16"/>
      <c r="Q199" s="16"/>
    </row>
    <row r="200">
      <c r="A200" s="16"/>
      <c r="B200" s="16"/>
      <c r="C200" s="16"/>
      <c r="D200" s="16"/>
      <c r="E200" s="16"/>
      <c r="F200" s="16"/>
      <c r="G200" s="42"/>
      <c r="H200" s="16"/>
      <c r="I200" s="42"/>
      <c r="J200" s="44"/>
      <c r="K200" s="44"/>
      <c r="L200" s="44"/>
      <c r="M200" s="46"/>
      <c r="N200" s="42"/>
      <c r="O200" s="42"/>
      <c r="P200" s="16"/>
      <c r="Q200" s="16"/>
    </row>
    <row r="201">
      <c r="A201" s="16"/>
      <c r="B201" s="16"/>
      <c r="C201" s="16"/>
      <c r="D201" s="16"/>
      <c r="E201" s="16"/>
      <c r="F201" s="16"/>
      <c r="G201" s="42"/>
      <c r="H201" s="16"/>
      <c r="I201" s="42"/>
      <c r="J201" s="44"/>
      <c r="K201" s="44"/>
      <c r="L201" s="44"/>
      <c r="M201" s="46"/>
      <c r="N201" s="42"/>
      <c r="O201" s="42"/>
      <c r="P201" s="16"/>
      <c r="Q201" s="16"/>
    </row>
    <row r="202">
      <c r="A202" s="16"/>
      <c r="B202" s="16"/>
      <c r="C202" s="16"/>
      <c r="D202" s="16"/>
      <c r="E202" s="16"/>
      <c r="F202" s="16"/>
      <c r="G202" s="42"/>
      <c r="H202" s="16"/>
      <c r="I202" s="42"/>
      <c r="J202" s="44"/>
      <c r="K202" s="44"/>
      <c r="L202" s="44"/>
      <c r="M202" s="46"/>
      <c r="N202" s="42"/>
      <c r="O202" s="42"/>
      <c r="P202" s="16"/>
      <c r="Q202" s="16"/>
    </row>
    <row r="203">
      <c r="A203" s="16"/>
      <c r="B203" s="16"/>
      <c r="C203" s="16"/>
      <c r="D203" s="16"/>
      <c r="E203" s="16"/>
      <c r="F203" s="16"/>
      <c r="G203" s="42"/>
      <c r="H203" s="16"/>
      <c r="I203" s="42"/>
      <c r="J203" s="44"/>
      <c r="K203" s="44"/>
      <c r="L203" s="44"/>
      <c r="M203" s="46"/>
      <c r="N203" s="42"/>
      <c r="O203" s="42"/>
      <c r="P203" s="16"/>
      <c r="Q203" s="16"/>
    </row>
    <row r="204">
      <c r="A204" s="16"/>
      <c r="B204" s="16"/>
      <c r="C204" s="16"/>
      <c r="D204" s="16"/>
      <c r="E204" s="16"/>
      <c r="F204" s="16"/>
      <c r="G204" s="42"/>
      <c r="H204" s="16"/>
      <c r="I204" s="42"/>
      <c r="J204" s="44"/>
      <c r="K204" s="44"/>
      <c r="L204" s="44"/>
      <c r="M204" s="46"/>
      <c r="N204" s="42"/>
      <c r="O204" s="42"/>
      <c r="P204" s="16"/>
      <c r="Q204" s="16"/>
    </row>
    <row r="205">
      <c r="A205" s="16"/>
      <c r="B205" s="16"/>
      <c r="C205" s="16"/>
      <c r="D205" s="16"/>
      <c r="E205" s="16"/>
      <c r="F205" s="16"/>
      <c r="G205" s="42"/>
      <c r="H205" s="16"/>
      <c r="I205" s="42"/>
      <c r="J205" s="44"/>
      <c r="K205" s="44"/>
      <c r="L205" s="44"/>
      <c r="M205" s="46"/>
      <c r="N205" s="42"/>
      <c r="O205" s="42"/>
      <c r="P205" s="16"/>
      <c r="Q205" s="16"/>
    </row>
    <row r="206">
      <c r="A206" s="16"/>
      <c r="B206" s="16"/>
      <c r="C206" s="16"/>
      <c r="D206" s="16"/>
      <c r="E206" s="16"/>
      <c r="F206" s="16"/>
      <c r="G206" s="42"/>
      <c r="H206" s="16"/>
      <c r="I206" s="42"/>
      <c r="J206" s="44"/>
      <c r="K206" s="44"/>
      <c r="L206" s="44"/>
      <c r="M206" s="46"/>
      <c r="N206" s="42"/>
      <c r="O206" s="42"/>
      <c r="P206" s="16"/>
      <c r="Q206" s="16"/>
    </row>
    <row r="207">
      <c r="A207" s="16"/>
      <c r="B207" s="16"/>
      <c r="C207" s="16"/>
      <c r="D207" s="16"/>
      <c r="E207" s="16"/>
      <c r="F207" s="16"/>
      <c r="G207" s="42"/>
      <c r="H207" s="16"/>
      <c r="I207" s="42"/>
      <c r="J207" s="44"/>
      <c r="K207" s="44"/>
      <c r="L207" s="44"/>
      <c r="M207" s="46"/>
      <c r="N207" s="42"/>
      <c r="O207" s="42"/>
      <c r="P207" s="16"/>
      <c r="Q207" s="16"/>
    </row>
    <row r="208">
      <c r="A208" s="16"/>
      <c r="B208" s="16"/>
      <c r="C208" s="16"/>
      <c r="D208" s="16"/>
      <c r="E208" s="16"/>
      <c r="F208" s="16"/>
      <c r="G208" s="42"/>
      <c r="H208" s="16"/>
      <c r="I208" s="42"/>
      <c r="J208" s="44"/>
      <c r="K208" s="44"/>
      <c r="L208" s="44"/>
      <c r="M208" s="46"/>
      <c r="N208" s="42"/>
      <c r="O208" s="42"/>
      <c r="P208" s="16"/>
      <c r="Q208" s="16"/>
    </row>
    <row r="209">
      <c r="A209" s="16"/>
      <c r="B209" s="16"/>
      <c r="C209" s="16"/>
      <c r="D209" s="16"/>
      <c r="E209" s="16"/>
      <c r="F209" s="16"/>
      <c r="G209" s="42"/>
      <c r="H209" s="16"/>
      <c r="I209" s="42"/>
      <c r="J209" s="44"/>
      <c r="K209" s="44"/>
      <c r="L209" s="44"/>
      <c r="M209" s="46"/>
      <c r="N209" s="42"/>
      <c r="O209" s="42"/>
      <c r="P209" s="16"/>
      <c r="Q209" s="16"/>
    </row>
    <row r="210">
      <c r="A210" s="16"/>
      <c r="B210" s="16"/>
      <c r="C210" s="16"/>
      <c r="D210" s="16"/>
      <c r="E210" s="16"/>
      <c r="F210" s="16"/>
      <c r="G210" s="42"/>
      <c r="H210" s="16"/>
      <c r="I210" s="42"/>
      <c r="J210" s="44"/>
      <c r="K210" s="44"/>
      <c r="L210" s="44"/>
      <c r="M210" s="46"/>
      <c r="N210" s="42"/>
      <c r="O210" s="42"/>
      <c r="P210" s="16"/>
      <c r="Q210" s="16"/>
    </row>
    <row r="211">
      <c r="A211" s="16"/>
      <c r="B211" s="16"/>
      <c r="C211" s="16"/>
      <c r="D211" s="16"/>
      <c r="E211" s="16"/>
      <c r="F211" s="16"/>
      <c r="G211" s="42"/>
      <c r="H211" s="16"/>
      <c r="I211" s="42"/>
      <c r="J211" s="44"/>
      <c r="K211" s="44"/>
      <c r="L211" s="44"/>
      <c r="M211" s="46"/>
      <c r="N211" s="42"/>
      <c r="O211" s="42"/>
      <c r="P211" s="16"/>
      <c r="Q211" s="16"/>
    </row>
    <row r="212">
      <c r="A212" s="16"/>
      <c r="B212" s="16"/>
      <c r="C212" s="16"/>
      <c r="D212" s="16"/>
      <c r="E212" s="16"/>
      <c r="F212" s="16"/>
      <c r="G212" s="42"/>
      <c r="H212" s="16"/>
      <c r="I212" s="42"/>
      <c r="J212" s="44"/>
      <c r="K212" s="44"/>
      <c r="L212" s="44"/>
      <c r="M212" s="46"/>
      <c r="N212" s="42"/>
      <c r="O212" s="42"/>
      <c r="P212" s="16"/>
      <c r="Q212" s="16"/>
    </row>
    <row r="213">
      <c r="A213" s="16"/>
      <c r="B213" s="16"/>
      <c r="C213" s="16"/>
      <c r="D213" s="16"/>
      <c r="E213" s="16"/>
      <c r="F213" s="16"/>
      <c r="G213" s="42"/>
      <c r="H213" s="16"/>
      <c r="I213" s="42"/>
      <c r="J213" s="44"/>
      <c r="K213" s="44"/>
      <c r="L213" s="44"/>
      <c r="M213" s="46"/>
      <c r="N213" s="42"/>
      <c r="O213" s="42"/>
      <c r="P213" s="16"/>
      <c r="Q213" s="16"/>
    </row>
    <row r="214">
      <c r="A214" s="16"/>
      <c r="B214" s="16"/>
      <c r="C214" s="16"/>
      <c r="D214" s="16"/>
      <c r="E214" s="16"/>
      <c r="F214" s="16"/>
      <c r="G214" s="42"/>
      <c r="H214" s="16"/>
      <c r="I214" s="42"/>
      <c r="J214" s="44"/>
      <c r="K214" s="44"/>
      <c r="L214" s="44"/>
      <c r="M214" s="46"/>
      <c r="N214" s="42"/>
      <c r="O214" s="42"/>
      <c r="P214" s="16"/>
      <c r="Q214" s="16"/>
    </row>
    <row r="215">
      <c r="A215" s="16"/>
      <c r="B215" s="16"/>
      <c r="C215" s="16"/>
      <c r="D215" s="16"/>
      <c r="E215" s="16"/>
      <c r="F215" s="16"/>
      <c r="G215" s="42"/>
      <c r="H215" s="16"/>
      <c r="I215" s="42"/>
      <c r="J215" s="44"/>
      <c r="K215" s="44"/>
      <c r="L215" s="44"/>
      <c r="M215" s="46"/>
      <c r="N215" s="42"/>
      <c r="O215" s="42"/>
      <c r="P215" s="16"/>
      <c r="Q215" s="16"/>
    </row>
    <row r="216">
      <c r="A216" s="16"/>
      <c r="B216" s="16"/>
      <c r="C216" s="16"/>
      <c r="D216" s="16"/>
      <c r="E216" s="16"/>
      <c r="F216" s="16"/>
      <c r="G216" s="42"/>
      <c r="H216" s="16"/>
      <c r="I216" s="42"/>
      <c r="J216" s="44"/>
      <c r="K216" s="44"/>
      <c r="L216" s="44"/>
      <c r="M216" s="46"/>
      <c r="N216" s="42"/>
      <c r="O216" s="42"/>
      <c r="P216" s="16"/>
      <c r="Q216" s="16"/>
    </row>
    <row r="217">
      <c r="A217" s="16"/>
      <c r="B217" s="16"/>
      <c r="C217" s="16"/>
      <c r="D217" s="16"/>
      <c r="E217" s="16"/>
      <c r="F217" s="16"/>
      <c r="G217" s="42"/>
      <c r="H217" s="16"/>
      <c r="I217" s="42"/>
      <c r="J217" s="44"/>
      <c r="K217" s="44"/>
      <c r="L217" s="44"/>
      <c r="M217" s="46"/>
      <c r="N217" s="42"/>
      <c r="O217" s="42"/>
      <c r="P217" s="16"/>
      <c r="Q217" s="16"/>
    </row>
    <row r="218">
      <c r="A218" s="16"/>
      <c r="B218" s="16"/>
      <c r="C218" s="16"/>
      <c r="D218" s="16"/>
      <c r="E218" s="16"/>
      <c r="F218" s="16"/>
      <c r="G218" s="42"/>
      <c r="H218" s="16"/>
      <c r="I218" s="42"/>
      <c r="J218" s="44"/>
      <c r="K218" s="44"/>
      <c r="L218" s="44"/>
      <c r="M218" s="46"/>
      <c r="N218" s="42"/>
      <c r="O218" s="42"/>
      <c r="P218" s="16"/>
      <c r="Q218" s="16"/>
    </row>
    <row r="219">
      <c r="A219" s="16"/>
      <c r="B219" s="16"/>
      <c r="C219" s="16"/>
      <c r="D219" s="16"/>
      <c r="E219" s="16"/>
      <c r="F219" s="16"/>
      <c r="G219" s="42"/>
      <c r="H219" s="16"/>
      <c r="I219" s="42"/>
      <c r="J219" s="44"/>
      <c r="K219" s="44"/>
      <c r="L219" s="44"/>
      <c r="M219" s="46"/>
      <c r="N219" s="42"/>
      <c r="O219" s="42"/>
      <c r="P219" s="16"/>
      <c r="Q219" s="16"/>
    </row>
    <row r="220">
      <c r="A220" s="16"/>
      <c r="B220" s="16"/>
      <c r="C220" s="16"/>
      <c r="D220" s="16"/>
      <c r="E220" s="16"/>
      <c r="F220" s="16"/>
      <c r="G220" s="42"/>
      <c r="H220" s="16"/>
      <c r="I220" s="42"/>
      <c r="J220" s="44"/>
      <c r="K220" s="44"/>
      <c r="L220" s="44"/>
      <c r="M220" s="46"/>
      <c r="N220" s="42"/>
      <c r="O220" s="42"/>
      <c r="P220" s="16"/>
      <c r="Q220" s="16"/>
    </row>
    <row r="221">
      <c r="A221" s="16"/>
      <c r="B221" s="16"/>
      <c r="C221" s="16"/>
      <c r="D221" s="16"/>
      <c r="E221" s="16"/>
      <c r="F221" s="16"/>
      <c r="G221" s="42"/>
      <c r="H221" s="16"/>
      <c r="I221" s="42"/>
      <c r="J221" s="44"/>
      <c r="K221" s="44"/>
      <c r="L221" s="44"/>
      <c r="M221" s="46"/>
      <c r="N221" s="42"/>
      <c r="O221" s="42"/>
      <c r="P221" s="16"/>
      <c r="Q221" s="16"/>
    </row>
    <row r="222">
      <c r="A222" s="16"/>
      <c r="B222" s="16"/>
      <c r="C222" s="16"/>
      <c r="D222" s="16"/>
      <c r="E222" s="16"/>
      <c r="F222" s="16"/>
      <c r="G222" s="42"/>
      <c r="H222" s="16"/>
      <c r="I222" s="42"/>
      <c r="J222" s="44"/>
      <c r="K222" s="44"/>
      <c r="L222" s="44"/>
      <c r="M222" s="46"/>
      <c r="N222" s="42"/>
      <c r="O222" s="42"/>
      <c r="P222" s="16"/>
      <c r="Q222" s="16"/>
    </row>
    <row r="223">
      <c r="A223" s="16"/>
      <c r="B223" s="16"/>
      <c r="C223" s="16"/>
      <c r="D223" s="16"/>
      <c r="E223" s="16"/>
      <c r="F223" s="16"/>
      <c r="G223" s="42"/>
      <c r="H223" s="16"/>
      <c r="I223" s="42"/>
      <c r="J223" s="44"/>
      <c r="K223" s="44"/>
      <c r="L223" s="44"/>
      <c r="M223" s="46"/>
      <c r="N223" s="42"/>
      <c r="O223" s="42"/>
      <c r="P223" s="16"/>
      <c r="Q223" s="16"/>
    </row>
    <row r="224">
      <c r="A224" s="16"/>
      <c r="B224" s="16"/>
      <c r="C224" s="16"/>
      <c r="D224" s="16"/>
      <c r="E224" s="16"/>
      <c r="F224" s="16"/>
      <c r="G224" s="42"/>
      <c r="H224" s="16"/>
      <c r="I224" s="42"/>
      <c r="J224" s="44"/>
      <c r="K224" s="44"/>
      <c r="L224" s="44"/>
      <c r="M224" s="46"/>
      <c r="N224" s="42"/>
      <c r="O224" s="42"/>
      <c r="P224" s="16"/>
      <c r="Q224" s="16"/>
    </row>
    <row r="225">
      <c r="A225" s="16"/>
      <c r="B225" s="16"/>
      <c r="C225" s="16"/>
      <c r="D225" s="16"/>
      <c r="E225" s="16"/>
      <c r="F225" s="16"/>
      <c r="G225" s="42"/>
      <c r="H225" s="16"/>
      <c r="I225" s="42"/>
      <c r="J225" s="44"/>
      <c r="K225" s="44"/>
      <c r="L225" s="44"/>
      <c r="M225" s="46"/>
      <c r="N225" s="42"/>
      <c r="O225" s="42"/>
      <c r="P225" s="16"/>
      <c r="Q225" s="16"/>
    </row>
    <row r="226">
      <c r="A226" s="16"/>
      <c r="B226" s="16"/>
      <c r="C226" s="16"/>
      <c r="D226" s="16"/>
      <c r="E226" s="16"/>
      <c r="F226" s="16"/>
      <c r="G226" s="42"/>
      <c r="H226" s="16"/>
      <c r="I226" s="42"/>
      <c r="J226" s="44"/>
      <c r="K226" s="44"/>
      <c r="L226" s="44"/>
      <c r="M226" s="46"/>
      <c r="N226" s="42"/>
      <c r="O226" s="42"/>
      <c r="P226" s="16"/>
      <c r="Q226" s="16"/>
    </row>
    <row r="227">
      <c r="A227" s="16"/>
      <c r="B227" s="16"/>
      <c r="C227" s="16"/>
      <c r="D227" s="16"/>
      <c r="E227" s="16"/>
      <c r="F227" s="16"/>
      <c r="G227" s="42"/>
      <c r="H227" s="16"/>
      <c r="I227" s="42"/>
      <c r="J227" s="44"/>
      <c r="K227" s="44"/>
      <c r="L227" s="44"/>
      <c r="M227" s="46"/>
      <c r="N227" s="42"/>
      <c r="O227" s="42"/>
      <c r="P227" s="16"/>
      <c r="Q227" s="16"/>
    </row>
    <row r="228">
      <c r="A228" s="16"/>
      <c r="B228" s="16"/>
      <c r="C228" s="16"/>
      <c r="D228" s="16"/>
      <c r="E228" s="16"/>
      <c r="F228" s="16"/>
      <c r="G228" s="42"/>
      <c r="H228" s="16"/>
      <c r="I228" s="42"/>
      <c r="J228" s="44"/>
      <c r="K228" s="44"/>
      <c r="L228" s="44"/>
      <c r="M228" s="46"/>
      <c r="N228" s="42"/>
      <c r="O228" s="42"/>
      <c r="P228" s="16"/>
      <c r="Q228" s="16"/>
    </row>
    <row r="229">
      <c r="A229" s="16"/>
      <c r="B229" s="16"/>
      <c r="C229" s="16"/>
      <c r="D229" s="16"/>
      <c r="E229" s="16"/>
      <c r="F229" s="16"/>
      <c r="G229" s="42"/>
      <c r="H229" s="16"/>
      <c r="I229" s="42"/>
      <c r="J229" s="44"/>
      <c r="K229" s="44"/>
      <c r="L229" s="44"/>
      <c r="M229" s="46"/>
      <c r="N229" s="42"/>
      <c r="O229" s="42"/>
      <c r="P229" s="16"/>
      <c r="Q229" s="16"/>
    </row>
    <row r="230">
      <c r="A230" s="16"/>
      <c r="B230" s="16"/>
      <c r="C230" s="16"/>
      <c r="D230" s="16"/>
      <c r="E230" s="16"/>
      <c r="F230" s="16"/>
      <c r="G230" s="42"/>
      <c r="H230" s="16"/>
      <c r="I230" s="42"/>
      <c r="J230" s="44"/>
      <c r="K230" s="44"/>
      <c r="L230" s="44"/>
      <c r="M230" s="46"/>
      <c r="N230" s="42"/>
      <c r="O230" s="42"/>
      <c r="P230" s="16"/>
      <c r="Q230" s="16"/>
    </row>
    <row r="231">
      <c r="A231" s="16"/>
      <c r="B231" s="16"/>
      <c r="C231" s="16"/>
      <c r="D231" s="16"/>
      <c r="E231" s="16"/>
      <c r="F231" s="16"/>
      <c r="G231" s="42"/>
      <c r="H231" s="16"/>
      <c r="I231" s="42"/>
      <c r="J231" s="44"/>
      <c r="K231" s="44"/>
      <c r="L231" s="44"/>
      <c r="M231" s="46"/>
      <c r="N231" s="42"/>
      <c r="O231" s="42"/>
      <c r="P231" s="16"/>
      <c r="Q231" s="16"/>
    </row>
    <row r="232">
      <c r="A232" s="16"/>
      <c r="B232" s="16"/>
      <c r="C232" s="16"/>
      <c r="D232" s="16"/>
      <c r="E232" s="16"/>
      <c r="F232" s="16"/>
      <c r="G232" s="42"/>
      <c r="H232" s="16"/>
      <c r="I232" s="42"/>
      <c r="J232" s="44"/>
      <c r="K232" s="44"/>
      <c r="L232" s="44"/>
      <c r="M232" s="46"/>
      <c r="N232" s="42"/>
      <c r="O232" s="42"/>
      <c r="P232" s="16"/>
      <c r="Q232" s="16"/>
    </row>
    <row r="233">
      <c r="A233" s="16"/>
      <c r="B233" s="16"/>
      <c r="C233" s="16"/>
      <c r="D233" s="16"/>
      <c r="E233" s="16"/>
      <c r="F233" s="16"/>
      <c r="G233" s="42"/>
      <c r="H233" s="16"/>
      <c r="I233" s="42"/>
      <c r="J233" s="44"/>
      <c r="K233" s="44"/>
      <c r="L233" s="44"/>
      <c r="M233" s="46"/>
      <c r="N233" s="42"/>
      <c r="O233" s="42"/>
      <c r="P233" s="16"/>
      <c r="Q233" s="16"/>
    </row>
    <row r="234">
      <c r="A234" s="16"/>
      <c r="B234" s="16"/>
      <c r="C234" s="16"/>
      <c r="D234" s="16"/>
      <c r="E234" s="16"/>
      <c r="F234" s="16"/>
      <c r="G234" s="42"/>
      <c r="H234" s="16"/>
      <c r="I234" s="42"/>
      <c r="J234" s="44"/>
      <c r="K234" s="44"/>
      <c r="L234" s="44"/>
      <c r="M234" s="46"/>
      <c r="N234" s="42"/>
      <c r="O234" s="42"/>
      <c r="P234" s="16"/>
      <c r="Q234" s="16"/>
    </row>
    <row r="235">
      <c r="A235" s="16"/>
      <c r="B235" s="16"/>
      <c r="C235" s="16"/>
      <c r="D235" s="16"/>
      <c r="E235" s="16"/>
      <c r="F235" s="16"/>
      <c r="G235" s="42"/>
      <c r="H235" s="16"/>
      <c r="I235" s="42"/>
      <c r="J235" s="44"/>
      <c r="K235" s="44"/>
      <c r="L235" s="44"/>
      <c r="M235" s="46"/>
      <c r="N235" s="42"/>
      <c r="O235" s="42"/>
      <c r="P235" s="16"/>
      <c r="Q235" s="16"/>
    </row>
    <row r="236">
      <c r="A236" s="16"/>
      <c r="B236" s="16"/>
      <c r="C236" s="16"/>
      <c r="D236" s="16"/>
      <c r="E236" s="16"/>
      <c r="F236" s="16"/>
      <c r="G236" s="42"/>
      <c r="H236" s="16"/>
      <c r="I236" s="42"/>
      <c r="J236" s="44"/>
      <c r="K236" s="44"/>
      <c r="L236" s="44"/>
      <c r="M236" s="46"/>
      <c r="N236" s="42"/>
      <c r="O236" s="42"/>
      <c r="P236" s="16"/>
      <c r="Q236" s="16"/>
    </row>
    <row r="237">
      <c r="A237" s="16"/>
      <c r="B237" s="16"/>
      <c r="C237" s="16"/>
      <c r="D237" s="16"/>
      <c r="E237" s="16"/>
      <c r="F237" s="16"/>
      <c r="G237" s="42"/>
      <c r="H237" s="16"/>
      <c r="I237" s="42"/>
      <c r="J237" s="44"/>
      <c r="K237" s="44"/>
      <c r="L237" s="44"/>
      <c r="M237" s="46"/>
      <c r="N237" s="42"/>
      <c r="O237" s="42"/>
      <c r="P237" s="16"/>
      <c r="Q237" s="16"/>
    </row>
    <row r="238">
      <c r="A238" s="16"/>
      <c r="B238" s="16"/>
      <c r="C238" s="16"/>
      <c r="D238" s="16"/>
      <c r="E238" s="16"/>
      <c r="F238" s="16"/>
      <c r="G238" s="42"/>
      <c r="H238" s="16"/>
      <c r="I238" s="42"/>
      <c r="J238" s="44"/>
      <c r="K238" s="44"/>
      <c r="L238" s="44"/>
      <c r="M238" s="46"/>
      <c r="N238" s="42"/>
      <c r="O238" s="42"/>
      <c r="P238" s="16"/>
      <c r="Q238" s="16"/>
    </row>
    <row r="239">
      <c r="A239" s="16"/>
      <c r="B239" s="16"/>
      <c r="C239" s="16"/>
      <c r="D239" s="16"/>
      <c r="E239" s="16"/>
      <c r="F239" s="16"/>
      <c r="G239" s="42"/>
      <c r="H239" s="16"/>
      <c r="I239" s="42"/>
      <c r="J239" s="44"/>
      <c r="K239" s="44"/>
      <c r="L239" s="44"/>
      <c r="M239" s="46"/>
      <c r="N239" s="42"/>
      <c r="O239" s="42"/>
      <c r="P239" s="16"/>
      <c r="Q239" s="16"/>
    </row>
    <row r="240">
      <c r="A240" s="16"/>
      <c r="B240" s="16"/>
      <c r="C240" s="16"/>
      <c r="D240" s="16"/>
      <c r="E240" s="16"/>
      <c r="F240" s="16"/>
      <c r="G240" s="42"/>
      <c r="H240" s="16"/>
      <c r="I240" s="42"/>
      <c r="J240" s="44"/>
      <c r="K240" s="44"/>
      <c r="L240" s="44"/>
      <c r="M240" s="46"/>
      <c r="N240" s="42"/>
      <c r="O240" s="42"/>
      <c r="P240" s="16"/>
      <c r="Q240" s="16"/>
    </row>
    <row r="241">
      <c r="A241" s="16"/>
      <c r="B241" s="16"/>
      <c r="C241" s="16"/>
      <c r="D241" s="16"/>
      <c r="E241" s="16"/>
      <c r="F241" s="16"/>
      <c r="G241" s="42"/>
      <c r="H241" s="16"/>
      <c r="I241" s="42"/>
      <c r="J241" s="44"/>
      <c r="K241" s="44"/>
      <c r="L241" s="44"/>
      <c r="M241" s="46"/>
      <c r="N241" s="42"/>
      <c r="O241" s="42"/>
      <c r="P241" s="16"/>
      <c r="Q241" s="16"/>
    </row>
    <row r="242">
      <c r="A242" s="16"/>
      <c r="B242" s="16"/>
      <c r="C242" s="16"/>
      <c r="D242" s="16"/>
      <c r="E242" s="16"/>
      <c r="F242" s="16"/>
      <c r="G242" s="42"/>
      <c r="H242" s="16"/>
      <c r="I242" s="42"/>
      <c r="J242" s="44"/>
      <c r="K242" s="44"/>
      <c r="L242" s="44"/>
      <c r="M242" s="46"/>
      <c r="N242" s="42"/>
      <c r="O242" s="42"/>
      <c r="P242" s="16"/>
      <c r="Q242" s="16"/>
    </row>
    <row r="243">
      <c r="A243" s="16"/>
      <c r="B243" s="16"/>
      <c r="C243" s="16"/>
      <c r="D243" s="16"/>
      <c r="E243" s="16"/>
      <c r="F243" s="16"/>
      <c r="G243" s="42"/>
      <c r="H243" s="16"/>
      <c r="I243" s="42"/>
      <c r="J243" s="44"/>
      <c r="K243" s="44"/>
      <c r="L243" s="44"/>
      <c r="M243" s="46"/>
      <c r="N243" s="42"/>
      <c r="O243" s="42"/>
      <c r="P243" s="16"/>
      <c r="Q243" s="16"/>
    </row>
    <row r="244">
      <c r="A244" s="16"/>
      <c r="B244" s="16"/>
      <c r="C244" s="16"/>
      <c r="D244" s="16"/>
      <c r="E244" s="16"/>
      <c r="F244" s="16"/>
      <c r="G244" s="42"/>
      <c r="H244" s="16"/>
      <c r="I244" s="42"/>
      <c r="J244" s="44"/>
      <c r="K244" s="44"/>
      <c r="L244" s="44"/>
      <c r="M244" s="46"/>
      <c r="N244" s="42"/>
      <c r="O244" s="42"/>
      <c r="P244" s="16"/>
      <c r="Q244" s="16"/>
    </row>
    <row r="245">
      <c r="A245" s="16"/>
      <c r="B245" s="16"/>
      <c r="C245" s="16"/>
      <c r="D245" s="16"/>
      <c r="E245" s="16"/>
      <c r="F245" s="16"/>
      <c r="G245" s="42"/>
      <c r="H245" s="16"/>
      <c r="I245" s="42"/>
      <c r="J245" s="44"/>
      <c r="K245" s="44"/>
      <c r="L245" s="44"/>
      <c r="M245" s="46"/>
      <c r="N245" s="42"/>
      <c r="O245" s="42"/>
      <c r="P245" s="16"/>
      <c r="Q245" s="16"/>
    </row>
    <row r="246">
      <c r="A246" s="16"/>
      <c r="B246" s="16"/>
      <c r="C246" s="16"/>
      <c r="D246" s="16"/>
      <c r="E246" s="16"/>
      <c r="F246" s="16"/>
      <c r="G246" s="42"/>
      <c r="H246" s="16"/>
      <c r="I246" s="42"/>
      <c r="J246" s="44"/>
      <c r="K246" s="44"/>
      <c r="L246" s="44"/>
      <c r="M246" s="46"/>
      <c r="N246" s="42"/>
      <c r="O246" s="42"/>
      <c r="P246" s="16"/>
      <c r="Q246" s="16"/>
    </row>
    <row r="247">
      <c r="A247" s="16"/>
      <c r="B247" s="16"/>
      <c r="C247" s="16"/>
      <c r="D247" s="16"/>
      <c r="E247" s="16"/>
      <c r="F247" s="16"/>
      <c r="G247" s="42"/>
      <c r="H247" s="16"/>
      <c r="I247" s="42"/>
      <c r="J247" s="44"/>
      <c r="K247" s="44"/>
      <c r="L247" s="44"/>
      <c r="M247" s="46"/>
      <c r="N247" s="42"/>
      <c r="O247" s="42"/>
      <c r="P247" s="16"/>
      <c r="Q247" s="16"/>
    </row>
    <row r="248">
      <c r="A248" s="16"/>
      <c r="B248" s="16"/>
      <c r="C248" s="16"/>
      <c r="D248" s="16"/>
      <c r="E248" s="16"/>
      <c r="F248" s="16"/>
      <c r="G248" s="42"/>
      <c r="H248" s="16"/>
      <c r="I248" s="42"/>
      <c r="J248" s="44"/>
      <c r="K248" s="44"/>
      <c r="L248" s="44"/>
      <c r="M248" s="46"/>
      <c r="N248" s="42"/>
      <c r="O248" s="42"/>
      <c r="P248" s="16"/>
      <c r="Q248" s="16"/>
    </row>
    <row r="249">
      <c r="A249" s="16"/>
      <c r="B249" s="16"/>
      <c r="C249" s="16"/>
      <c r="D249" s="16"/>
      <c r="E249" s="16"/>
      <c r="F249" s="16"/>
      <c r="G249" s="42"/>
      <c r="H249" s="16"/>
      <c r="I249" s="42"/>
      <c r="J249" s="44"/>
      <c r="K249" s="44"/>
      <c r="L249" s="44"/>
      <c r="M249" s="46"/>
      <c r="N249" s="42"/>
      <c r="O249" s="42"/>
      <c r="P249" s="16"/>
      <c r="Q249" s="16"/>
    </row>
    <row r="250">
      <c r="A250" s="16"/>
      <c r="B250" s="16"/>
      <c r="C250" s="16"/>
      <c r="D250" s="16"/>
      <c r="E250" s="16"/>
      <c r="F250" s="16"/>
      <c r="G250" s="42"/>
      <c r="H250" s="16"/>
      <c r="I250" s="42"/>
      <c r="J250" s="44"/>
      <c r="K250" s="44"/>
      <c r="L250" s="44"/>
      <c r="M250" s="46"/>
      <c r="N250" s="42"/>
      <c r="O250" s="42"/>
      <c r="P250" s="16"/>
      <c r="Q250" s="16"/>
    </row>
    <row r="251">
      <c r="A251" s="16"/>
      <c r="B251" s="16"/>
      <c r="C251" s="16"/>
      <c r="D251" s="16"/>
      <c r="E251" s="16"/>
      <c r="F251" s="16"/>
      <c r="G251" s="42"/>
      <c r="H251" s="16"/>
      <c r="I251" s="42"/>
      <c r="J251" s="44"/>
      <c r="K251" s="44"/>
      <c r="L251" s="44"/>
      <c r="M251" s="46"/>
      <c r="N251" s="42"/>
      <c r="O251" s="42"/>
      <c r="P251" s="16"/>
      <c r="Q251" s="16"/>
    </row>
    <row r="252">
      <c r="A252" s="16"/>
      <c r="B252" s="16"/>
      <c r="C252" s="16"/>
      <c r="D252" s="16"/>
      <c r="E252" s="16"/>
      <c r="F252" s="16"/>
      <c r="G252" s="42"/>
      <c r="H252" s="16"/>
      <c r="I252" s="42"/>
      <c r="J252" s="44"/>
      <c r="K252" s="44"/>
      <c r="L252" s="44"/>
      <c r="M252" s="46"/>
      <c r="N252" s="42"/>
      <c r="O252" s="42"/>
      <c r="P252" s="16"/>
      <c r="Q252" s="16"/>
    </row>
    <row r="253">
      <c r="A253" s="16"/>
      <c r="B253" s="16"/>
      <c r="C253" s="16"/>
      <c r="D253" s="16"/>
      <c r="E253" s="16"/>
      <c r="F253" s="16"/>
      <c r="G253" s="42"/>
      <c r="H253" s="16"/>
      <c r="I253" s="42"/>
      <c r="J253" s="44"/>
      <c r="K253" s="44"/>
      <c r="L253" s="44"/>
      <c r="M253" s="46"/>
      <c r="N253" s="42"/>
      <c r="O253" s="42"/>
      <c r="P253" s="16"/>
      <c r="Q253" s="16"/>
    </row>
    <row r="254">
      <c r="A254" s="16"/>
      <c r="B254" s="16"/>
      <c r="C254" s="16"/>
      <c r="D254" s="16"/>
      <c r="E254" s="16"/>
      <c r="F254" s="16"/>
      <c r="G254" s="42"/>
      <c r="H254" s="16"/>
      <c r="I254" s="42"/>
      <c r="J254" s="44"/>
      <c r="K254" s="44"/>
      <c r="L254" s="44"/>
      <c r="M254" s="46"/>
      <c r="N254" s="42"/>
      <c r="O254" s="42"/>
      <c r="P254" s="16"/>
      <c r="Q254" s="16"/>
    </row>
    <row r="255">
      <c r="A255" s="16"/>
      <c r="B255" s="16"/>
      <c r="C255" s="16"/>
      <c r="D255" s="16"/>
      <c r="E255" s="16"/>
      <c r="F255" s="16"/>
      <c r="G255" s="42"/>
      <c r="H255" s="16"/>
      <c r="I255" s="42"/>
      <c r="J255" s="44"/>
      <c r="K255" s="44"/>
      <c r="L255" s="44"/>
      <c r="M255" s="46"/>
      <c r="N255" s="42"/>
      <c r="O255" s="42"/>
      <c r="P255" s="16"/>
      <c r="Q255" s="16"/>
    </row>
    <row r="256">
      <c r="A256" s="16"/>
      <c r="B256" s="16"/>
      <c r="C256" s="16"/>
      <c r="D256" s="16"/>
      <c r="E256" s="16"/>
      <c r="F256" s="16"/>
      <c r="G256" s="42"/>
      <c r="H256" s="16"/>
      <c r="I256" s="42"/>
      <c r="J256" s="44"/>
      <c r="K256" s="44"/>
      <c r="L256" s="44"/>
      <c r="M256" s="46"/>
      <c r="N256" s="42"/>
      <c r="O256" s="42"/>
      <c r="P256" s="16"/>
      <c r="Q256" s="16"/>
    </row>
    <row r="257">
      <c r="A257" s="16"/>
      <c r="B257" s="16"/>
      <c r="C257" s="16"/>
      <c r="D257" s="16"/>
      <c r="E257" s="16"/>
      <c r="F257" s="16"/>
      <c r="G257" s="42"/>
      <c r="H257" s="16"/>
      <c r="I257" s="42"/>
      <c r="J257" s="44"/>
      <c r="K257" s="44"/>
      <c r="L257" s="44"/>
      <c r="M257" s="46"/>
      <c r="N257" s="42"/>
      <c r="O257" s="42"/>
      <c r="P257" s="16"/>
      <c r="Q257" s="16"/>
    </row>
    <row r="258">
      <c r="A258" s="16"/>
      <c r="B258" s="16"/>
      <c r="C258" s="16"/>
      <c r="D258" s="16"/>
      <c r="E258" s="16"/>
      <c r="F258" s="16"/>
      <c r="G258" s="42"/>
      <c r="H258" s="16"/>
      <c r="I258" s="42"/>
      <c r="J258" s="44"/>
      <c r="K258" s="44"/>
      <c r="L258" s="44"/>
      <c r="M258" s="46"/>
      <c r="N258" s="42"/>
      <c r="O258" s="42"/>
      <c r="P258" s="16"/>
      <c r="Q258" s="16"/>
    </row>
    <row r="259">
      <c r="A259" s="16"/>
      <c r="B259" s="16"/>
      <c r="C259" s="16"/>
      <c r="D259" s="16"/>
      <c r="E259" s="16"/>
      <c r="F259" s="16"/>
      <c r="G259" s="42"/>
      <c r="H259" s="16"/>
      <c r="I259" s="42"/>
      <c r="J259" s="44"/>
      <c r="K259" s="44"/>
      <c r="L259" s="44"/>
      <c r="M259" s="46"/>
      <c r="N259" s="42"/>
      <c r="O259" s="42"/>
      <c r="P259" s="16"/>
      <c r="Q259" s="16"/>
    </row>
    <row r="260">
      <c r="A260" s="16"/>
      <c r="B260" s="16"/>
      <c r="C260" s="16"/>
      <c r="D260" s="16"/>
      <c r="E260" s="16"/>
      <c r="F260" s="16"/>
      <c r="G260" s="42"/>
      <c r="H260" s="16"/>
      <c r="I260" s="42"/>
      <c r="J260" s="44"/>
      <c r="K260" s="44"/>
      <c r="L260" s="44"/>
      <c r="M260" s="46"/>
      <c r="N260" s="42"/>
      <c r="O260" s="42"/>
      <c r="P260" s="16"/>
      <c r="Q260" s="16"/>
    </row>
    <row r="261">
      <c r="A261" s="16"/>
      <c r="B261" s="16"/>
      <c r="C261" s="16"/>
      <c r="D261" s="16"/>
      <c r="E261" s="16"/>
      <c r="F261" s="16"/>
      <c r="G261" s="42"/>
      <c r="H261" s="16"/>
      <c r="I261" s="42"/>
      <c r="J261" s="44"/>
      <c r="K261" s="44"/>
      <c r="L261" s="44"/>
      <c r="M261" s="46"/>
      <c r="N261" s="42"/>
      <c r="O261" s="42"/>
      <c r="P261" s="16"/>
      <c r="Q261" s="16"/>
    </row>
    <row r="262">
      <c r="A262" s="16"/>
      <c r="B262" s="16"/>
      <c r="C262" s="16"/>
      <c r="D262" s="16"/>
      <c r="E262" s="16"/>
      <c r="F262" s="16"/>
      <c r="G262" s="42"/>
      <c r="H262" s="16"/>
      <c r="I262" s="42"/>
      <c r="J262" s="44"/>
      <c r="K262" s="44"/>
      <c r="L262" s="44"/>
      <c r="M262" s="46"/>
      <c r="N262" s="42"/>
      <c r="O262" s="42"/>
      <c r="P262" s="16"/>
      <c r="Q262" s="16"/>
    </row>
    <row r="263">
      <c r="A263" s="16"/>
      <c r="B263" s="16"/>
      <c r="C263" s="16"/>
      <c r="D263" s="16"/>
      <c r="E263" s="16"/>
      <c r="F263" s="16"/>
      <c r="G263" s="42"/>
      <c r="H263" s="16"/>
      <c r="I263" s="42"/>
      <c r="J263" s="44"/>
      <c r="K263" s="44"/>
      <c r="L263" s="44"/>
      <c r="M263" s="46"/>
      <c r="N263" s="42"/>
      <c r="O263" s="42"/>
      <c r="P263" s="16"/>
      <c r="Q263" s="16"/>
    </row>
    <row r="264">
      <c r="A264" s="16"/>
      <c r="B264" s="16"/>
      <c r="C264" s="16"/>
      <c r="D264" s="16"/>
      <c r="E264" s="16"/>
      <c r="F264" s="16"/>
      <c r="G264" s="42"/>
      <c r="H264" s="16"/>
      <c r="I264" s="42"/>
      <c r="J264" s="44"/>
      <c r="K264" s="44"/>
      <c r="L264" s="44"/>
      <c r="M264" s="46"/>
      <c r="N264" s="42"/>
      <c r="O264" s="42"/>
      <c r="P264" s="16"/>
      <c r="Q264" s="16"/>
    </row>
    <row r="265">
      <c r="A265" s="16"/>
      <c r="B265" s="16"/>
      <c r="C265" s="16"/>
      <c r="D265" s="16"/>
      <c r="E265" s="16"/>
      <c r="F265" s="16"/>
      <c r="G265" s="42"/>
      <c r="H265" s="16"/>
      <c r="I265" s="42"/>
      <c r="J265" s="44"/>
      <c r="K265" s="44"/>
      <c r="L265" s="44"/>
      <c r="M265" s="46"/>
      <c r="N265" s="42"/>
      <c r="O265" s="42"/>
      <c r="P265" s="16"/>
      <c r="Q265" s="16"/>
    </row>
    <row r="266">
      <c r="A266" s="16"/>
      <c r="B266" s="16"/>
      <c r="C266" s="16"/>
      <c r="D266" s="16"/>
      <c r="E266" s="16"/>
      <c r="F266" s="16"/>
      <c r="G266" s="42"/>
      <c r="H266" s="16"/>
      <c r="I266" s="42"/>
      <c r="J266" s="44"/>
      <c r="K266" s="44"/>
      <c r="L266" s="44"/>
      <c r="M266" s="46"/>
      <c r="N266" s="42"/>
      <c r="O266" s="42"/>
      <c r="P266" s="16"/>
      <c r="Q266" s="16"/>
    </row>
    <row r="267">
      <c r="A267" s="16"/>
      <c r="B267" s="16"/>
      <c r="C267" s="16"/>
      <c r="D267" s="16"/>
      <c r="E267" s="16"/>
      <c r="F267" s="16"/>
      <c r="G267" s="42"/>
      <c r="H267" s="16"/>
      <c r="I267" s="42"/>
      <c r="J267" s="44"/>
      <c r="K267" s="44"/>
      <c r="L267" s="44"/>
      <c r="M267" s="46"/>
      <c r="N267" s="42"/>
      <c r="O267" s="42"/>
      <c r="P267" s="16"/>
      <c r="Q267" s="16"/>
    </row>
    <row r="268">
      <c r="A268" s="16"/>
      <c r="B268" s="16"/>
      <c r="C268" s="16"/>
      <c r="D268" s="16"/>
      <c r="E268" s="16"/>
      <c r="F268" s="16"/>
      <c r="G268" s="42"/>
      <c r="H268" s="16"/>
      <c r="I268" s="42"/>
      <c r="J268" s="44"/>
      <c r="K268" s="44"/>
      <c r="L268" s="44"/>
      <c r="M268" s="46"/>
      <c r="N268" s="42"/>
      <c r="O268" s="42"/>
      <c r="P268" s="16"/>
      <c r="Q268" s="16"/>
    </row>
    <row r="269">
      <c r="A269" s="16"/>
      <c r="B269" s="16"/>
      <c r="C269" s="16"/>
      <c r="D269" s="16"/>
      <c r="E269" s="16"/>
      <c r="F269" s="16"/>
      <c r="G269" s="42"/>
      <c r="H269" s="16"/>
      <c r="I269" s="42"/>
      <c r="J269" s="44"/>
      <c r="K269" s="44"/>
      <c r="L269" s="44"/>
      <c r="M269" s="46"/>
      <c r="N269" s="42"/>
      <c r="O269" s="42"/>
      <c r="P269" s="16"/>
      <c r="Q269" s="16"/>
    </row>
    <row r="270">
      <c r="A270" s="16"/>
      <c r="B270" s="16"/>
      <c r="C270" s="16"/>
      <c r="D270" s="16"/>
      <c r="E270" s="16"/>
      <c r="F270" s="16"/>
      <c r="G270" s="42"/>
      <c r="H270" s="16"/>
      <c r="I270" s="42"/>
      <c r="J270" s="44"/>
      <c r="K270" s="44"/>
      <c r="L270" s="44"/>
      <c r="M270" s="46"/>
      <c r="N270" s="42"/>
      <c r="O270" s="42"/>
      <c r="P270" s="16"/>
      <c r="Q270" s="16"/>
    </row>
    <row r="271">
      <c r="A271" s="16"/>
      <c r="B271" s="16"/>
      <c r="C271" s="16"/>
      <c r="D271" s="16"/>
      <c r="E271" s="16"/>
      <c r="F271" s="16"/>
      <c r="G271" s="42"/>
      <c r="H271" s="16"/>
      <c r="I271" s="42"/>
      <c r="J271" s="44"/>
      <c r="K271" s="44"/>
      <c r="L271" s="44"/>
      <c r="M271" s="46"/>
      <c r="N271" s="42"/>
      <c r="O271" s="42"/>
      <c r="P271" s="16"/>
      <c r="Q271" s="16"/>
    </row>
    <row r="272">
      <c r="A272" s="16"/>
      <c r="B272" s="16"/>
      <c r="C272" s="16"/>
      <c r="D272" s="16"/>
      <c r="E272" s="16"/>
      <c r="F272" s="16"/>
      <c r="G272" s="42"/>
      <c r="H272" s="16"/>
      <c r="I272" s="42"/>
      <c r="J272" s="44"/>
      <c r="K272" s="44"/>
      <c r="L272" s="44"/>
      <c r="M272" s="46"/>
      <c r="N272" s="42"/>
      <c r="O272" s="42"/>
      <c r="P272" s="16"/>
      <c r="Q272" s="16"/>
    </row>
    <row r="273">
      <c r="A273" s="16"/>
      <c r="B273" s="16"/>
      <c r="C273" s="16"/>
      <c r="D273" s="16"/>
      <c r="E273" s="16"/>
      <c r="F273" s="16"/>
      <c r="G273" s="42"/>
      <c r="H273" s="16"/>
      <c r="I273" s="42"/>
      <c r="J273" s="44"/>
      <c r="K273" s="44"/>
      <c r="L273" s="44"/>
      <c r="M273" s="46"/>
      <c r="N273" s="42"/>
      <c r="O273" s="42"/>
      <c r="P273" s="16"/>
      <c r="Q273" s="16"/>
    </row>
    <row r="274">
      <c r="A274" s="16"/>
      <c r="B274" s="16"/>
      <c r="C274" s="16"/>
      <c r="D274" s="16"/>
      <c r="E274" s="16"/>
      <c r="F274" s="16"/>
      <c r="G274" s="42"/>
      <c r="H274" s="16"/>
      <c r="I274" s="42"/>
      <c r="J274" s="44"/>
      <c r="K274" s="44"/>
      <c r="L274" s="44"/>
      <c r="M274" s="46"/>
      <c r="N274" s="42"/>
      <c r="O274" s="42"/>
      <c r="P274" s="16"/>
      <c r="Q274" s="16"/>
    </row>
    <row r="275">
      <c r="A275" s="16"/>
      <c r="B275" s="16"/>
      <c r="C275" s="16"/>
      <c r="D275" s="16"/>
      <c r="E275" s="16"/>
      <c r="F275" s="16"/>
      <c r="G275" s="42"/>
      <c r="H275" s="16"/>
      <c r="I275" s="42"/>
      <c r="J275" s="44"/>
      <c r="K275" s="44"/>
      <c r="L275" s="44"/>
      <c r="M275" s="46"/>
      <c r="N275" s="42"/>
      <c r="O275" s="42"/>
      <c r="P275" s="16"/>
      <c r="Q275" s="16"/>
    </row>
    <row r="276">
      <c r="A276" s="16"/>
      <c r="B276" s="16"/>
      <c r="C276" s="16"/>
      <c r="D276" s="16"/>
      <c r="E276" s="16"/>
      <c r="F276" s="16"/>
      <c r="G276" s="42"/>
      <c r="H276" s="16"/>
      <c r="I276" s="42"/>
      <c r="J276" s="44"/>
      <c r="K276" s="44"/>
      <c r="L276" s="44"/>
      <c r="M276" s="46"/>
      <c r="N276" s="42"/>
      <c r="O276" s="42"/>
      <c r="P276" s="16"/>
      <c r="Q276" s="16"/>
    </row>
    <row r="277">
      <c r="A277" s="16"/>
      <c r="B277" s="16"/>
      <c r="C277" s="16"/>
      <c r="D277" s="16"/>
      <c r="E277" s="16"/>
      <c r="F277" s="16"/>
      <c r="G277" s="42"/>
      <c r="H277" s="16"/>
      <c r="I277" s="42"/>
      <c r="J277" s="44"/>
      <c r="K277" s="44"/>
      <c r="L277" s="44"/>
      <c r="M277" s="46"/>
      <c r="N277" s="42"/>
      <c r="O277" s="42"/>
      <c r="P277" s="16"/>
      <c r="Q277" s="16"/>
    </row>
    <row r="278">
      <c r="A278" s="16"/>
      <c r="B278" s="16"/>
      <c r="C278" s="16"/>
      <c r="D278" s="16"/>
      <c r="E278" s="16"/>
      <c r="F278" s="16"/>
      <c r="G278" s="42"/>
      <c r="H278" s="16"/>
      <c r="I278" s="42"/>
      <c r="J278" s="44"/>
      <c r="K278" s="44"/>
      <c r="L278" s="44"/>
      <c r="M278" s="46"/>
      <c r="N278" s="42"/>
      <c r="O278" s="42"/>
      <c r="P278" s="16"/>
      <c r="Q278" s="16"/>
    </row>
    <row r="279">
      <c r="A279" s="16"/>
      <c r="B279" s="16"/>
      <c r="C279" s="16"/>
      <c r="D279" s="16"/>
      <c r="E279" s="16"/>
      <c r="F279" s="16"/>
      <c r="G279" s="42"/>
      <c r="H279" s="16"/>
      <c r="I279" s="42"/>
      <c r="J279" s="44"/>
      <c r="K279" s="44"/>
      <c r="L279" s="44"/>
      <c r="M279" s="46"/>
      <c r="N279" s="42"/>
      <c r="O279" s="42"/>
      <c r="P279" s="16"/>
      <c r="Q279" s="16"/>
    </row>
    <row r="280">
      <c r="A280" s="16"/>
      <c r="B280" s="16"/>
      <c r="C280" s="16"/>
      <c r="D280" s="16"/>
      <c r="E280" s="16"/>
      <c r="F280" s="16"/>
      <c r="G280" s="42"/>
      <c r="H280" s="16"/>
      <c r="I280" s="42"/>
      <c r="J280" s="44"/>
      <c r="K280" s="44"/>
      <c r="L280" s="44"/>
      <c r="M280" s="46"/>
      <c r="N280" s="42"/>
      <c r="O280" s="42"/>
      <c r="P280" s="16"/>
      <c r="Q280" s="16"/>
    </row>
    <row r="281">
      <c r="A281" s="16"/>
      <c r="B281" s="16"/>
      <c r="C281" s="16"/>
      <c r="D281" s="16"/>
      <c r="E281" s="16"/>
      <c r="F281" s="16"/>
      <c r="G281" s="42"/>
      <c r="H281" s="16"/>
      <c r="I281" s="42"/>
      <c r="J281" s="44"/>
      <c r="K281" s="44"/>
      <c r="L281" s="44"/>
      <c r="M281" s="46"/>
      <c r="N281" s="42"/>
      <c r="O281" s="42"/>
      <c r="P281" s="16"/>
      <c r="Q281" s="16"/>
    </row>
    <row r="282">
      <c r="A282" s="16"/>
      <c r="B282" s="16"/>
      <c r="C282" s="16"/>
      <c r="D282" s="16"/>
      <c r="E282" s="16"/>
      <c r="F282" s="16"/>
      <c r="G282" s="42"/>
      <c r="H282" s="16"/>
      <c r="I282" s="42"/>
      <c r="J282" s="44"/>
      <c r="K282" s="44"/>
      <c r="L282" s="44"/>
      <c r="M282" s="46"/>
      <c r="N282" s="42"/>
      <c r="O282" s="42"/>
      <c r="P282" s="16"/>
      <c r="Q282" s="16"/>
    </row>
    <row r="283">
      <c r="A283" s="16"/>
      <c r="B283" s="16"/>
      <c r="C283" s="16"/>
      <c r="D283" s="16"/>
      <c r="E283" s="16"/>
      <c r="F283" s="16"/>
      <c r="G283" s="42"/>
      <c r="H283" s="16"/>
      <c r="I283" s="42"/>
      <c r="J283" s="44"/>
      <c r="K283" s="44"/>
      <c r="L283" s="44"/>
      <c r="M283" s="46"/>
      <c r="N283" s="42"/>
      <c r="O283" s="42"/>
      <c r="P283" s="16"/>
      <c r="Q283" s="16"/>
    </row>
    <row r="284">
      <c r="A284" s="16"/>
      <c r="B284" s="16"/>
      <c r="C284" s="16"/>
      <c r="D284" s="16"/>
      <c r="E284" s="16"/>
      <c r="F284" s="16"/>
      <c r="G284" s="42"/>
      <c r="H284" s="16"/>
      <c r="I284" s="42"/>
      <c r="J284" s="44"/>
      <c r="K284" s="44"/>
      <c r="L284" s="44"/>
      <c r="M284" s="46"/>
      <c r="N284" s="42"/>
      <c r="O284" s="42"/>
      <c r="P284" s="16"/>
      <c r="Q284" s="16"/>
    </row>
    <row r="285">
      <c r="A285" s="16"/>
      <c r="B285" s="16"/>
      <c r="C285" s="16"/>
      <c r="D285" s="16"/>
      <c r="E285" s="16"/>
      <c r="F285" s="16"/>
      <c r="G285" s="42"/>
      <c r="H285" s="16"/>
      <c r="I285" s="42"/>
      <c r="J285" s="44"/>
      <c r="K285" s="44"/>
      <c r="L285" s="44"/>
      <c r="M285" s="46"/>
      <c r="N285" s="42"/>
      <c r="O285" s="42"/>
      <c r="P285" s="16"/>
      <c r="Q285" s="16"/>
    </row>
    <row r="286">
      <c r="A286" s="16"/>
      <c r="B286" s="16"/>
      <c r="C286" s="16"/>
      <c r="D286" s="16"/>
      <c r="E286" s="16"/>
      <c r="F286" s="16"/>
      <c r="G286" s="42"/>
      <c r="H286" s="16"/>
      <c r="I286" s="42"/>
      <c r="J286" s="44"/>
      <c r="K286" s="44"/>
      <c r="L286" s="44"/>
      <c r="M286" s="46"/>
      <c r="N286" s="42"/>
      <c r="O286" s="42"/>
      <c r="P286" s="16"/>
      <c r="Q286" s="16"/>
    </row>
    <row r="287">
      <c r="A287" s="16"/>
      <c r="B287" s="16"/>
      <c r="C287" s="16"/>
      <c r="D287" s="16"/>
      <c r="E287" s="16"/>
      <c r="F287" s="16"/>
      <c r="G287" s="42"/>
      <c r="H287" s="16"/>
      <c r="I287" s="42"/>
      <c r="J287" s="44"/>
      <c r="K287" s="44"/>
      <c r="L287" s="44"/>
      <c r="M287" s="46"/>
      <c r="N287" s="42"/>
      <c r="O287" s="42"/>
      <c r="P287" s="16"/>
      <c r="Q287" s="16"/>
    </row>
    <row r="288">
      <c r="A288" s="16"/>
      <c r="B288" s="16"/>
      <c r="C288" s="16"/>
      <c r="D288" s="16"/>
      <c r="E288" s="16"/>
      <c r="F288" s="16"/>
      <c r="G288" s="42"/>
      <c r="H288" s="16"/>
      <c r="I288" s="42"/>
      <c r="J288" s="44"/>
      <c r="K288" s="44"/>
      <c r="L288" s="44"/>
      <c r="M288" s="46"/>
      <c r="N288" s="42"/>
      <c r="O288" s="42"/>
      <c r="P288" s="16"/>
      <c r="Q288" s="16"/>
    </row>
    <row r="289">
      <c r="A289" s="16"/>
      <c r="B289" s="16"/>
      <c r="C289" s="16"/>
      <c r="D289" s="16"/>
      <c r="E289" s="16"/>
      <c r="F289" s="16"/>
      <c r="G289" s="42"/>
      <c r="H289" s="16"/>
      <c r="I289" s="42"/>
      <c r="J289" s="44"/>
      <c r="K289" s="44"/>
      <c r="L289" s="44"/>
      <c r="M289" s="46"/>
      <c r="N289" s="42"/>
      <c r="O289" s="42"/>
      <c r="P289" s="16"/>
      <c r="Q289" s="16"/>
    </row>
    <row r="290">
      <c r="A290" s="16"/>
      <c r="B290" s="16"/>
      <c r="C290" s="16"/>
      <c r="D290" s="16"/>
      <c r="E290" s="16"/>
      <c r="F290" s="16"/>
      <c r="G290" s="42"/>
      <c r="H290" s="16"/>
      <c r="I290" s="42"/>
      <c r="J290" s="44"/>
      <c r="K290" s="44"/>
      <c r="L290" s="44"/>
      <c r="M290" s="46"/>
      <c r="N290" s="42"/>
      <c r="O290" s="42"/>
      <c r="P290" s="16"/>
      <c r="Q290" s="16"/>
    </row>
    <row r="291">
      <c r="A291" s="16"/>
      <c r="B291" s="16"/>
      <c r="C291" s="16"/>
      <c r="D291" s="16"/>
      <c r="E291" s="16"/>
      <c r="F291" s="16"/>
      <c r="G291" s="42"/>
      <c r="H291" s="16"/>
      <c r="I291" s="42"/>
      <c r="J291" s="44"/>
      <c r="K291" s="44"/>
      <c r="L291" s="44"/>
      <c r="M291" s="46"/>
      <c r="N291" s="42"/>
      <c r="O291" s="42"/>
      <c r="P291" s="16"/>
      <c r="Q291" s="16"/>
    </row>
    <row r="292">
      <c r="A292" s="16"/>
      <c r="B292" s="16"/>
      <c r="C292" s="16"/>
      <c r="D292" s="16"/>
      <c r="E292" s="16"/>
      <c r="F292" s="16"/>
      <c r="G292" s="42"/>
      <c r="H292" s="16"/>
      <c r="I292" s="42"/>
      <c r="J292" s="44"/>
      <c r="K292" s="44"/>
      <c r="L292" s="44"/>
      <c r="M292" s="46"/>
      <c r="N292" s="42"/>
      <c r="O292" s="42"/>
      <c r="P292" s="16"/>
      <c r="Q292" s="16"/>
    </row>
    <row r="293">
      <c r="A293" s="16"/>
      <c r="B293" s="16"/>
      <c r="C293" s="16"/>
      <c r="D293" s="16"/>
      <c r="E293" s="16"/>
      <c r="F293" s="16"/>
      <c r="G293" s="42"/>
      <c r="H293" s="16"/>
      <c r="I293" s="42"/>
      <c r="J293" s="44"/>
      <c r="K293" s="44"/>
      <c r="L293" s="44"/>
      <c r="M293" s="46"/>
      <c r="N293" s="42"/>
      <c r="O293" s="42"/>
      <c r="P293" s="16"/>
      <c r="Q293" s="16"/>
    </row>
    <row r="294">
      <c r="A294" s="16"/>
      <c r="B294" s="16"/>
      <c r="C294" s="16"/>
      <c r="D294" s="16"/>
      <c r="E294" s="16"/>
      <c r="F294" s="16"/>
      <c r="G294" s="42"/>
      <c r="H294" s="16"/>
      <c r="I294" s="42"/>
      <c r="J294" s="44"/>
      <c r="K294" s="44"/>
      <c r="L294" s="44"/>
      <c r="M294" s="46"/>
      <c r="N294" s="42"/>
      <c r="O294" s="42"/>
      <c r="P294" s="16"/>
      <c r="Q294" s="16"/>
    </row>
    <row r="295">
      <c r="A295" s="16"/>
      <c r="B295" s="16"/>
      <c r="C295" s="16"/>
      <c r="D295" s="16"/>
      <c r="E295" s="16"/>
      <c r="F295" s="16"/>
      <c r="G295" s="42"/>
      <c r="H295" s="16"/>
      <c r="I295" s="42"/>
      <c r="J295" s="44"/>
      <c r="K295" s="44"/>
      <c r="L295" s="44"/>
      <c r="M295" s="46"/>
      <c r="N295" s="42"/>
      <c r="O295" s="42"/>
      <c r="P295" s="16"/>
      <c r="Q295" s="16"/>
    </row>
    <row r="296">
      <c r="A296" s="16"/>
      <c r="B296" s="16"/>
      <c r="C296" s="16"/>
      <c r="D296" s="16"/>
      <c r="E296" s="16"/>
      <c r="F296" s="16"/>
      <c r="G296" s="42"/>
      <c r="H296" s="16"/>
      <c r="I296" s="42"/>
      <c r="J296" s="44"/>
      <c r="K296" s="44"/>
      <c r="L296" s="44"/>
      <c r="M296" s="46"/>
      <c r="N296" s="42"/>
      <c r="O296" s="42"/>
      <c r="P296" s="16"/>
      <c r="Q296" s="16"/>
    </row>
    <row r="297">
      <c r="A297" s="16"/>
      <c r="B297" s="16"/>
      <c r="C297" s="16"/>
      <c r="D297" s="16"/>
      <c r="E297" s="16"/>
      <c r="F297" s="16"/>
      <c r="G297" s="42"/>
      <c r="H297" s="16"/>
      <c r="I297" s="42"/>
      <c r="J297" s="44"/>
      <c r="K297" s="44"/>
      <c r="L297" s="44"/>
      <c r="M297" s="46"/>
      <c r="N297" s="42"/>
      <c r="O297" s="42"/>
      <c r="P297" s="16"/>
      <c r="Q297" s="16"/>
    </row>
    <row r="298">
      <c r="A298" s="16"/>
      <c r="B298" s="16"/>
      <c r="C298" s="16"/>
      <c r="D298" s="16"/>
      <c r="E298" s="16"/>
      <c r="F298" s="16"/>
      <c r="G298" s="42"/>
      <c r="H298" s="16"/>
      <c r="I298" s="42"/>
      <c r="J298" s="44"/>
      <c r="K298" s="44"/>
      <c r="L298" s="44"/>
      <c r="M298" s="46"/>
      <c r="N298" s="42"/>
      <c r="O298" s="42"/>
      <c r="P298" s="16"/>
      <c r="Q298" s="16"/>
    </row>
    <row r="299">
      <c r="A299" s="16"/>
      <c r="B299" s="16"/>
      <c r="C299" s="16"/>
      <c r="D299" s="16"/>
      <c r="E299" s="16"/>
      <c r="F299" s="16"/>
      <c r="G299" s="42"/>
      <c r="H299" s="16"/>
      <c r="I299" s="42"/>
      <c r="J299" s="44"/>
      <c r="K299" s="44"/>
      <c r="L299" s="44"/>
      <c r="M299" s="46"/>
      <c r="N299" s="42"/>
      <c r="O299" s="42"/>
      <c r="P299" s="16"/>
      <c r="Q299" s="16"/>
    </row>
    <row r="300">
      <c r="A300" s="16"/>
      <c r="B300" s="16"/>
      <c r="C300" s="16"/>
      <c r="D300" s="16"/>
      <c r="E300" s="16"/>
      <c r="F300" s="16"/>
      <c r="G300" s="42"/>
      <c r="H300" s="16"/>
      <c r="I300" s="42"/>
      <c r="J300" s="44"/>
      <c r="K300" s="44"/>
      <c r="L300" s="44"/>
      <c r="M300" s="46"/>
      <c r="N300" s="42"/>
      <c r="O300" s="42"/>
      <c r="P300" s="16"/>
      <c r="Q300" s="16"/>
    </row>
    <row r="301">
      <c r="A301" s="16"/>
      <c r="B301" s="16"/>
      <c r="C301" s="16"/>
      <c r="D301" s="16"/>
      <c r="E301" s="16"/>
      <c r="F301" s="16"/>
      <c r="G301" s="42"/>
      <c r="H301" s="16"/>
      <c r="I301" s="42"/>
      <c r="J301" s="44"/>
      <c r="K301" s="44"/>
      <c r="L301" s="44"/>
      <c r="M301" s="46"/>
      <c r="N301" s="42"/>
      <c r="O301" s="42"/>
      <c r="P301" s="16"/>
      <c r="Q301" s="16"/>
    </row>
    <row r="302">
      <c r="A302" s="16"/>
      <c r="B302" s="16"/>
      <c r="C302" s="16"/>
      <c r="D302" s="16"/>
      <c r="E302" s="16"/>
      <c r="F302" s="16"/>
      <c r="G302" s="42"/>
      <c r="H302" s="16"/>
      <c r="I302" s="42"/>
      <c r="J302" s="44"/>
      <c r="K302" s="44"/>
      <c r="L302" s="44"/>
      <c r="M302" s="46"/>
      <c r="N302" s="42"/>
      <c r="O302" s="42"/>
      <c r="P302" s="16"/>
      <c r="Q302" s="16"/>
    </row>
    <row r="303">
      <c r="A303" s="16"/>
      <c r="B303" s="16"/>
      <c r="C303" s="16"/>
      <c r="D303" s="16"/>
      <c r="E303" s="16"/>
      <c r="F303" s="16"/>
      <c r="G303" s="42"/>
      <c r="H303" s="16"/>
      <c r="I303" s="42"/>
      <c r="J303" s="44"/>
      <c r="K303" s="44"/>
      <c r="L303" s="44"/>
      <c r="M303" s="46"/>
      <c r="N303" s="42"/>
      <c r="O303" s="42"/>
      <c r="P303" s="16"/>
      <c r="Q303" s="16"/>
    </row>
    <row r="304">
      <c r="A304" s="16"/>
      <c r="B304" s="16"/>
      <c r="C304" s="16"/>
      <c r="D304" s="16"/>
      <c r="E304" s="16"/>
      <c r="F304" s="16"/>
      <c r="G304" s="42"/>
      <c r="H304" s="16"/>
      <c r="I304" s="42"/>
      <c r="J304" s="44"/>
      <c r="K304" s="44"/>
      <c r="L304" s="44"/>
      <c r="M304" s="46"/>
      <c r="N304" s="42"/>
      <c r="O304" s="42"/>
      <c r="P304" s="16"/>
      <c r="Q304" s="16"/>
    </row>
    <row r="305">
      <c r="A305" s="16"/>
      <c r="B305" s="16"/>
      <c r="C305" s="16"/>
      <c r="D305" s="16"/>
      <c r="E305" s="16"/>
      <c r="F305" s="16"/>
      <c r="G305" s="42"/>
      <c r="H305" s="16"/>
      <c r="I305" s="42"/>
      <c r="J305" s="44"/>
      <c r="K305" s="44"/>
      <c r="L305" s="44"/>
      <c r="M305" s="46"/>
      <c r="N305" s="42"/>
      <c r="O305" s="42"/>
      <c r="P305" s="16"/>
      <c r="Q305" s="16"/>
    </row>
    <row r="306">
      <c r="A306" s="16"/>
      <c r="B306" s="16"/>
      <c r="C306" s="16"/>
      <c r="D306" s="16"/>
      <c r="E306" s="16"/>
      <c r="F306" s="16"/>
      <c r="G306" s="42"/>
      <c r="H306" s="16"/>
      <c r="I306" s="42"/>
      <c r="J306" s="44"/>
      <c r="K306" s="44"/>
      <c r="L306" s="44"/>
      <c r="M306" s="46"/>
      <c r="N306" s="42"/>
      <c r="O306" s="42"/>
      <c r="P306" s="16"/>
      <c r="Q306" s="16"/>
    </row>
    <row r="307">
      <c r="A307" s="16"/>
      <c r="B307" s="16"/>
      <c r="C307" s="16"/>
      <c r="D307" s="16"/>
      <c r="E307" s="16"/>
      <c r="F307" s="16"/>
      <c r="G307" s="42"/>
      <c r="H307" s="16"/>
      <c r="I307" s="42"/>
      <c r="J307" s="44"/>
      <c r="K307" s="44"/>
      <c r="L307" s="44"/>
      <c r="M307" s="46"/>
      <c r="N307" s="42"/>
      <c r="O307" s="42"/>
      <c r="P307" s="16"/>
      <c r="Q307" s="16"/>
    </row>
    <row r="308">
      <c r="A308" s="16"/>
      <c r="B308" s="16"/>
      <c r="C308" s="16"/>
      <c r="D308" s="16"/>
      <c r="E308" s="16"/>
      <c r="F308" s="16"/>
      <c r="G308" s="42"/>
      <c r="H308" s="16"/>
      <c r="I308" s="42"/>
      <c r="J308" s="44"/>
      <c r="K308" s="44"/>
      <c r="L308" s="44"/>
      <c r="M308" s="46"/>
      <c r="N308" s="42"/>
      <c r="O308" s="42"/>
      <c r="P308" s="16"/>
      <c r="Q308" s="16"/>
    </row>
    <row r="309">
      <c r="A309" s="16"/>
      <c r="B309" s="16"/>
      <c r="C309" s="16"/>
      <c r="D309" s="16"/>
      <c r="E309" s="16"/>
      <c r="F309" s="16"/>
      <c r="G309" s="42"/>
      <c r="H309" s="16"/>
      <c r="I309" s="42"/>
      <c r="J309" s="44"/>
      <c r="K309" s="44"/>
      <c r="L309" s="44"/>
      <c r="M309" s="46"/>
      <c r="N309" s="42"/>
      <c r="O309" s="42"/>
      <c r="P309" s="16"/>
      <c r="Q309" s="16"/>
    </row>
    <row r="310">
      <c r="A310" s="16"/>
      <c r="B310" s="16"/>
      <c r="C310" s="16"/>
      <c r="D310" s="16"/>
      <c r="E310" s="16"/>
      <c r="F310" s="16"/>
      <c r="G310" s="42"/>
      <c r="H310" s="16"/>
      <c r="I310" s="42"/>
      <c r="J310" s="44"/>
      <c r="K310" s="44"/>
      <c r="L310" s="44"/>
      <c r="M310" s="46"/>
      <c r="N310" s="42"/>
      <c r="O310" s="42"/>
      <c r="P310" s="16"/>
      <c r="Q310" s="16"/>
    </row>
    <row r="311">
      <c r="A311" s="16"/>
      <c r="B311" s="16"/>
      <c r="C311" s="16"/>
      <c r="D311" s="16"/>
      <c r="E311" s="16"/>
      <c r="F311" s="16"/>
      <c r="G311" s="42"/>
      <c r="H311" s="16"/>
      <c r="I311" s="42"/>
      <c r="J311" s="44"/>
      <c r="K311" s="44"/>
      <c r="L311" s="44"/>
      <c r="M311" s="46"/>
      <c r="N311" s="42"/>
      <c r="O311" s="42"/>
      <c r="P311" s="16"/>
      <c r="Q311" s="16"/>
    </row>
    <row r="312">
      <c r="A312" s="16"/>
      <c r="B312" s="16"/>
      <c r="C312" s="16"/>
      <c r="D312" s="16"/>
      <c r="E312" s="16"/>
      <c r="F312" s="16"/>
      <c r="G312" s="42"/>
      <c r="H312" s="16"/>
      <c r="I312" s="42"/>
      <c r="J312" s="44"/>
      <c r="K312" s="44"/>
      <c r="L312" s="44"/>
      <c r="M312" s="46"/>
      <c r="N312" s="42"/>
      <c r="O312" s="42"/>
      <c r="P312" s="16"/>
      <c r="Q312" s="16"/>
    </row>
    <row r="313">
      <c r="A313" s="16"/>
      <c r="B313" s="16"/>
      <c r="C313" s="16"/>
      <c r="D313" s="16"/>
      <c r="E313" s="16"/>
      <c r="F313" s="16"/>
      <c r="G313" s="42"/>
      <c r="H313" s="16"/>
      <c r="I313" s="42"/>
      <c r="J313" s="44"/>
      <c r="K313" s="44"/>
      <c r="L313" s="44"/>
      <c r="M313" s="46"/>
      <c r="N313" s="42"/>
      <c r="O313" s="42"/>
      <c r="P313" s="16"/>
      <c r="Q313" s="16"/>
    </row>
    <row r="314">
      <c r="A314" s="16"/>
      <c r="B314" s="16"/>
      <c r="C314" s="16"/>
      <c r="D314" s="16"/>
      <c r="E314" s="16"/>
      <c r="F314" s="16"/>
      <c r="G314" s="42"/>
      <c r="H314" s="16"/>
      <c r="I314" s="42"/>
      <c r="J314" s="44"/>
      <c r="K314" s="44"/>
      <c r="L314" s="44"/>
      <c r="M314" s="46"/>
      <c r="N314" s="42"/>
      <c r="O314" s="42"/>
      <c r="P314" s="16"/>
      <c r="Q314" s="16"/>
    </row>
    <row r="315">
      <c r="A315" s="16"/>
      <c r="B315" s="16"/>
      <c r="C315" s="16"/>
      <c r="D315" s="16"/>
      <c r="E315" s="16"/>
      <c r="F315" s="16"/>
      <c r="G315" s="42"/>
      <c r="H315" s="16"/>
      <c r="I315" s="42"/>
      <c r="J315" s="44"/>
      <c r="K315" s="44"/>
      <c r="L315" s="44"/>
      <c r="M315" s="46"/>
      <c r="N315" s="42"/>
      <c r="O315" s="42"/>
      <c r="P315" s="16"/>
      <c r="Q315" s="16"/>
    </row>
    <row r="316">
      <c r="A316" s="16"/>
      <c r="B316" s="16"/>
      <c r="C316" s="16"/>
      <c r="D316" s="16"/>
      <c r="E316" s="16"/>
      <c r="F316" s="16"/>
      <c r="G316" s="42"/>
      <c r="H316" s="16"/>
      <c r="I316" s="42"/>
      <c r="J316" s="44"/>
      <c r="K316" s="44"/>
      <c r="L316" s="44"/>
      <c r="M316" s="46"/>
      <c r="N316" s="42"/>
      <c r="O316" s="42"/>
      <c r="P316" s="16"/>
      <c r="Q316" s="16"/>
    </row>
    <row r="317">
      <c r="A317" s="16"/>
      <c r="B317" s="16"/>
      <c r="C317" s="16"/>
      <c r="D317" s="16"/>
      <c r="E317" s="16"/>
      <c r="F317" s="16"/>
      <c r="G317" s="42"/>
      <c r="H317" s="16"/>
      <c r="I317" s="42"/>
      <c r="J317" s="44"/>
      <c r="K317" s="44"/>
      <c r="L317" s="44"/>
      <c r="M317" s="46"/>
      <c r="N317" s="42"/>
      <c r="O317" s="42"/>
      <c r="P317" s="16"/>
      <c r="Q317" s="16"/>
    </row>
    <row r="318">
      <c r="A318" s="16"/>
      <c r="B318" s="16"/>
      <c r="C318" s="16"/>
      <c r="D318" s="16"/>
      <c r="E318" s="16"/>
      <c r="F318" s="16"/>
      <c r="G318" s="42"/>
      <c r="H318" s="16"/>
      <c r="I318" s="42"/>
      <c r="J318" s="44"/>
      <c r="K318" s="44"/>
      <c r="L318" s="44"/>
      <c r="M318" s="46"/>
      <c r="N318" s="42"/>
      <c r="O318" s="42"/>
      <c r="P318" s="16"/>
      <c r="Q318" s="16"/>
    </row>
    <row r="319">
      <c r="A319" s="16"/>
      <c r="B319" s="16"/>
      <c r="C319" s="16"/>
      <c r="D319" s="16"/>
      <c r="E319" s="16"/>
      <c r="F319" s="16"/>
      <c r="G319" s="42"/>
      <c r="H319" s="16"/>
      <c r="I319" s="42"/>
      <c r="J319" s="44"/>
      <c r="K319" s="44"/>
      <c r="L319" s="44"/>
      <c r="M319" s="46"/>
      <c r="N319" s="42"/>
      <c r="O319" s="42"/>
      <c r="P319" s="16"/>
      <c r="Q319" s="16"/>
    </row>
    <row r="320">
      <c r="A320" s="16"/>
      <c r="B320" s="16"/>
      <c r="C320" s="16"/>
      <c r="D320" s="16"/>
      <c r="E320" s="16"/>
      <c r="F320" s="16"/>
      <c r="G320" s="42"/>
      <c r="H320" s="16"/>
      <c r="I320" s="42"/>
      <c r="J320" s="44"/>
      <c r="K320" s="44"/>
      <c r="L320" s="44"/>
      <c r="M320" s="46"/>
      <c r="N320" s="42"/>
      <c r="O320" s="42"/>
      <c r="P320" s="16"/>
      <c r="Q320" s="16"/>
    </row>
    <row r="321">
      <c r="A321" s="16"/>
      <c r="B321" s="16"/>
      <c r="C321" s="16"/>
      <c r="D321" s="16"/>
      <c r="E321" s="16"/>
      <c r="F321" s="16"/>
      <c r="G321" s="42"/>
      <c r="H321" s="16"/>
      <c r="I321" s="42"/>
      <c r="J321" s="44"/>
      <c r="K321" s="44"/>
      <c r="L321" s="44"/>
      <c r="M321" s="46"/>
      <c r="N321" s="42"/>
      <c r="O321" s="42"/>
      <c r="P321" s="16"/>
      <c r="Q321" s="16"/>
    </row>
    <row r="322">
      <c r="A322" s="16"/>
      <c r="B322" s="16"/>
      <c r="C322" s="16"/>
      <c r="D322" s="16"/>
      <c r="E322" s="16"/>
      <c r="F322" s="16"/>
      <c r="G322" s="42"/>
      <c r="H322" s="16"/>
      <c r="I322" s="42"/>
      <c r="J322" s="44"/>
      <c r="K322" s="44"/>
      <c r="L322" s="44"/>
      <c r="M322" s="46"/>
      <c r="N322" s="42"/>
      <c r="O322" s="42"/>
      <c r="P322" s="16"/>
      <c r="Q322" s="16"/>
    </row>
    <row r="323">
      <c r="A323" s="16"/>
      <c r="B323" s="16"/>
      <c r="C323" s="16"/>
      <c r="D323" s="16"/>
      <c r="E323" s="16"/>
      <c r="F323" s="16"/>
      <c r="G323" s="42"/>
      <c r="H323" s="16"/>
      <c r="I323" s="42"/>
      <c r="J323" s="44"/>
      <c r="K323" s="44"/>
      <c r="L323" s="44"/>
      <c r="M323" s="46"/>
      <c r="N323" s="42"/>
      <c r="O323" s="42"/>
      <c r="P323" s="16"/>
      <c r="Q323" s="16"/>
    </row>
    <row r="324">
      <c r="A324" s="16"/>
      <c r="B324" s="16"/>
      <c r="C324" s="16"/>
      <c r="D324" s="16"/>
      <c r="E324" s="16"/>
      <c r="F324" s="16"/>
      <c r="G324" s="42"/>
      <c r="H324" s="16"/>
      <c r="I324" s="42"/>
      <c r="J324" s="44"/>
      <c r="K324" s="44"/>
      <c r="L324" s="44"/>
      <c r="M324" s="46"/>
      <c r="N324" s="42"/>
      <c r="O324" s="42"/>
      <c r="P324" s="16"/>
      <c r="Q324" s="16"/>
    </row>
    <row r="325">
      <c r="A325" s="16"/>
      <c r="B325" s="16"/>
      <c r="C325" s="16"/>
      <c r="D325" s="16"/>
      <c r="E325" s="16"/>
      <c r="F325" s="16"/>
      <c r="G325" s="42"/>
      <c r="H325" s="16"/>
      <c r="I325" s="42"/>
      <c r="J325" s="44"/>
      <c r="K325" s="44"/>
      <c r="L325" s="44"/>
      <c r="M325" s="46"/>
      <c r="N325" s="42"/>
      <c r="O325" s="42"/>
      <c r="P325" s="16"/>
      <c r="Q325" s="16"/>
    </row>
    <row r="326">
      <c r="A326" s="16"/>
      <c r="B326" s="16"/>
      <c r="C326" s="16"/>
      <c r="D326" s="16"/>
      <c r="E326" s="16"/>
      <c r="F326" s="16"/>
      <c r="G326" s="42"/>
      <c r="H326" s="16"/>
      <c r="I326" s="42"/>
      <c r="J326" s="44"/>
      <c r="K326" s="44"/>
      <c r="L326" s="44"/>
      <c r="M326" s="46"/>
      <c r="N326" s="42"/>
      <c r="O326" s="42"/>
      <c r="P326" s="16"/>
      <c r="Q326" s="16"/>
    </row>
    <row r="327">
      <c r="A327" s="16"/>
      <c r="B327" s="16"/>
      <c r="C327" s="16"/>
      <c r="D327" s="16"/>
      <c r="E327" s="16"/>
      <c r="F327" s="16"/>
      <c r="G327" s="42"/>
      <c r="H327" s="16"/>
      <c r="I327" s="42"/>
      <c r="J327" s="44"/>
      <c r="K327" s="44"/>
      <c r="L327" s="44"/>
      <c r="M327" s="46"/>
      <c r="N327" s="42"/>
      <c r="O327" s="42"/>
      <c r="P327" s="16"/>
      <c r="Q327" s="16"/>
    </row>
    <row r="328">
      <c r="A328" s="16"/>
      <c r="B328" s="16"/>
      <c r="C328" s="16"/>
      <c r="D328" s="16"/>
      <c r="E328" s="16"/>
      <c r="F328" s="16"/>
      <c r="G328" s="42"/>
      <c r="H328" s="16"/>
      <c r="I328" s="42"/>
      <c r="J328" s="44"/>
      <c r="K328" s="44"/>
      <c r="L328" s="44"/>
      <c r="M328" s="46"/>
      <c r="N328" s="42"/>
      <c r="O328" s="42"/>
      <c r="P328" s="16"/>
      <c r="Q328" s="16"/>
    </row>
    <row r="329">
      <c r="A329" s="16"/>
      <c r="B329" s="16"/>
      <c r="C329" s="16"/>
      <c r="D329" s="16"/>
      <c r="E329" s="16"/>
      <c r="F329" s="16"/>
      <c r="G329" s="42"/>
      <c r="H329" s="16"/>
      <c r="I329" s="42"/>
      <c r="J329" s="44"/>
      <c r="K329" s="44"/>
      <c r="L329" s="44"/>
      <c r="M329" s="46"/>
      <c r="N329" s="42"/>
      <c r="O329" s="42"/>
      <c r="P329" s="16"/>
      <c r="Q329" s="16"/>
    </row>
    <row r="330">
      <c r="A330" s="16"/>
      <c r="B330" s="16"/>
      <c r="C330" s="16"/>
      <c r="D330" s="16"/>
      <c r="E330" s="16"/>
      <c r="F330" s="16"/>
      <c r="G330" s="42"/>
      <c r="H330" s="16"/>
      <c r="I330" s="42"/>
      <c r="J330" s="44"/>
      <c r="K330" s="44"/>
      <c r="L330" s="44"/>
      <c r="M330" s="46"/>
      <c r="N330" s="42"/>
      <c r="O330" s="42"/>
      <c r="P330" s="16"/>
      <c r="Q330" s="16"/>
    </row>
    <row r="331">
      <c r="A331" s="16"/>
      <c r="B331" s="16"/>
      <c r="C331" s="16"/>
      <c r="D331" s="16"/>
      <c r="E331" s="16"/>
      <c r="F331" s="16"/>
      <c r="G331" s="42"/>
      <c r="H331" s="16"/>
      <c r="I331" s="42"/>
      <c r="J331" s="44"/>
      <c r="K331" s="44"/>
      <c r="L331" s="44"/>
      <c r="M331" s="46"/>
      <c r="N331" s="42"/>
      <c r="O331" s="42"/>
      <c r="P331" s="16"/>
      <c r="Q331" s="16"/>
    </row>
    <row r="332">
      <c r="A332" s="16"/>
      <c r="B332" s="16"/>
      <c r="C332" s="16"/>
      <c r="D332" s="16"/>
      <c r="E332" s="16"/>
      <c r="F332" s="16"/>
      <c r="G332" s="42"/>
      <c r="H332" s="16"/>
      <c r="I332" s="42"/>
      <c r="J332" s="44"/>
      <c r="K332" s="44"/>
      <c r="L332" s="44"/>
      <c r="M332" s="46"/>
      <c r="N332" s="42"/>
      <c r="O332" s="42"/>
      <c r="P332" s="16"/>
      <c r="Q332" s="16"/>
    </row>
    <row r="333">
      <c r="A333" s="16"/>
      <c r="B333" s="16"/>
      <c r="C333" s="16"/>
      <c r="D333" s="16"/>
      <c r="E333" s="16"/>
      <c r="F333" s="16"/>
      <c r="G333" s="42"/>
      <c r="H333" s="16"/>
      <c r="I333" s="42"/>
      <c r="J333" s="44"/>
      <c r="K333" s="44"/>
      <c r="L333" s="44"/>
      <c r="M333" s="46"/>
      <c r="N333" s="42"/>
      <c r="O333" s="42"/>
      <c r="P333" s="16"/>
      <c r="Q333" s="16"/>
    </row>
    <row r="334">
      <c r="A334" s="16"/>
      <c r="B334" s="16"/>
      <c r="C334" s="16"/>
      <c r="D334" s="16"/>
      <c r="E334" s="16"/>
      <c r="F334" s="16"/>
      <c r="G334" s="42"/>
      <c r="H334" s="16"/>
      <c r="I334" s="42"/>
      <c r="J334" s="44"/>
      <c r="K334" s="44"/>
      <c r="L334" s="44"/>
      <c r="M334" s="46"/>
      <c r="N334" s="42"/>
      <c r="O334" s="42"/>
      <c r="P334" s="16"/>
      <c r="Q334" s="16"/>
    </row>
    <row r="335">
      <c r="A335" s="16"/>
      <c r="B335" s="16"/>
      <c r="C335" s="16"/>
      <c r="D335" s="16"/>
      <c r="E335" s="16"/>
      <c r="F335" s="16"/>
      <c r="G335" s="42"/>
      <c r="H335" s="16"/>
      <c r="I335" s="42"/>
      <c r="J335" s="44"/>
      <c r="K335" s="44"/>
      <c r="L335" s="44"/>
      <c r="M335" s="46"/>
      <c r="N335" s="42"/>
      <c r="O335" s="42"/>
      <c r="P335" s="16"/>
      <c r="Q335" s="16"/>
    </row>
    <row r="336">
      <c r="A336" s="16"/>
      <c r="B336" s="16"/>
      <c r="C336" s="16"/>
      <c r="D336" s="16"/>
      <c r="E336" s="16"/>
      <c r="F336" s="16"/>
      <c r="G336" s="42"/>
      <c r="H336" s="16"/>
      <c r="I336" s="42"/>
      <c r="J336" s="44"/>
      <c r="K336" s="44"/>
      <c r="L336" s="44"/>
      <c r="M336" s="46"/>
      <c r="N336" s="42"/>
      <c r="O336" s="42"/>
      <c r="P336" s="16"/>
      <c r="Q336" s="16"/>
    </row>
    <row r="337">
      <c r="A337" s="16"/>
      <c r="B337" s="16"/>
      <c r="C337" s="16"/>
      <c r="D337" s="16"/>
      <c r="E337" s="16"/>
      <c r="F337" s="16"/>
      <c r="G337" s="42"/>
      <c r="H337" s="16"/>
      <c r="I337" s="42"/>
      <c r="J337" s="44"/>
      <c r="K337" s="44"/>
      <c r="L337" s="44"/>
      <c r="M337" s="46"/>
      <c r="N337" s="42"/>
      <c r="O337" s="42"/>
      <c r="P337" s="16"/>
      <c r="Q337" s="16"/>
    </row>
    <row r="338">
      <c r="A338" s="16"/>
      <c r="B338" s="16"/>
      <c r="C338" s="16"/>
      <c r="D338" s="16"/>
      <c r="E338" s="16"/>
      <c r="F338" s="16"/>
      <c r="G338" s="42"/>
      <c r="H338" s="16"/>
      <c r="I338" s="42"/>
      <c r="J338" s="44"/>
      <c r="K338" s="44"/>
      <c r="L338" s="44"/>
      <c r="M338" s="46"/>
      <c r="N338" s="42"/>
      <c r="O338" s="42"/>
      <c r="P338" s="16"/>
      <c r="Q338" s="16"/>
    </row>
    <row r="339">
      <c r="A339" s="16"/>
      <c r="B339" s="16"/>
      <c r="C339" s="16"/>
      <c r="D339" s="16"/>
      <c r="E339" s="16"/>
      <c r="F339" s="16"/>
      <c r="G339" s="42"/>
      <c r="H339" s="16"/>
      <c r="I339" s="42"/>
      <c r="J339" s="44"/>
      <c r="K339" s="44"/>
      <c r="L339" s="44"/>
      <c r="M339" s="46"/>
      <c r="N339" s="42"/>
      <c r="O339" s="42"/>
      <c r="P339" s="16"/>
      <c r="Q339" s="16"/>
    </row>
    <row r="340">
      <c r="A340" s="16"/>
      <c r="B340" s="16"/>
      <c r="C340" s="16"/>
      <c r="D340" s="16"/>
      <c r="E340" s="16"/>
      <c r="F340" s="16"/>
      <c r="G340" s="42"/>
      <c r="H340" s="16"/>
      <c r="I340" s="42"/>
      <c r="J340" s="44"/>
      <c r="K340" s="44"/>
      <c r="L340" s="44"/>
      <c r="M340" s="46"/>
      <c r="N340" s="42"/>
      <c r="O340" s="42"/>
      <c r="P340" s="16"/>
      <c r="Q340" s="16"/>
    </row>
    <row r="341">
      <c r="A341" s="16"/>
      <c r="B341" s="16"/>
      <c r="C341" s="16"/>
      <c r="D341" s="16"/>
      <c r="E341" s="16"/>
      <c r="F341" s="16"/>
      <c r="G341" s="42"/>
      <c r="H341" s="16"/>
      <c r="I341" s="42"/>
      <c r="J341" s="44"/>
      <c r="K341" s="44"/>
      <c r="L341" s="44"/>
      <c r="M341" s="46"/>
      <c r="N341" s="42"/>
      <c r="O341" s="42"/>
      <c r="P341" s="16"/>
      <c r="Q341" s="16"/>
    </row>
    <row r="342">
      <c r="A342" s="16"/>
      <c r="B342" s="16"/>
      <c r="C342" s="16"/>
      <c r="D342" s="16"/>
      <c r="E342" s="16"/>
      <c r="F342" s="16"/>
      <c r="G342" s="42"/>
      <c r="H342" s="16"/>
      <c r="I342" s="42"/>
      <c r="J342" s="44"/>
      <c r="K342" s="44"/>
      <c r="L342" s="44"/>
      <c r="M342" s="46"/>
      <c r="N342" s="42"/>
      <c r="O342" s="42"/>
      <c r="P342" s="16"/>
      <c r="Q342" s="16"/>
    </row>
    <row r="343">
      <c r="A343" s="16"/>
      <c r="B343" s="16"/>
      <c r="C343" s="16"/>
      <c r="D343" s="16"/>
      <c r="E343" s="16"/>
      <c r="F343" s="16"/>
      <c r="G343" s="42"/>
      <c r="H343" s="16"/>
      <c r="I343" s="42"/>
      <c r="J343" s="44"/>
      <c r="K343" s="44"/>
      <c r="L343" s="44"/>
      <c r="M343" s="46"/>
      <c r="N343" s="42"/>
      <c r="O343" s="42"/>
      <c r="P343" s="16"/>
      <c r="Q343" s="16"/>
    </row>
    <row r="344">
      <c r="A344" s="16"/>
      <c r="B344" s="16"/>
      <c r="C344" s="16"/>
      <c r="D344" s="16"/>
      <c r="E344" s="16"/>
      <c r="F344" s="16"/>
      <c r="G344" s="42"/>
      <c r="H344" s="16"/>
      <c r="I344" s="42"/>
      <c r="J344" s="44"/>
      <c r="K344" s="44"/>
      <c r="L344" s="44"/>
      <c r="M344" s="46"/>
      <c r="N344" s="42"/>
      <c r="O344" s="42"/>
      <c r="P344" s="16"/>
      <c r="Q344" s="16"/>
    </row>
    <row r="345">
      <c r="A345" s="16"/>
      <c r="B345" s="16"/>
      <c r="C345" s="16"/>
      <c r="D345" s="16"/>
      <c r="E345" s="16"/>
      <c r="F345" s="16"/>
      <c r="G345" s="42"/>
      <c r="H345" s="16"/>
      <c r="I345" s="42"/>
      <c r="J345" s="44"/>
      <c r="K345" s="44"/>
      <c r="L345" s="44"/>
      <c r="M345" s="46"/>
      <c r="N345" s="42"/>
      <c r="O345" s="42"/>
      <c r="P345" s="16"/>
      <c r="Q345" s="16"/>
    </row>
    <row r="346">
      <c r="A346" s="16"/>
      <c r="B346" s="16"/>
      <c r="C346" s="16"/>
      <c r="D346" s="16"/>
      <c r="E346" s="16"/>
      <c r="F346" s="16"/>
      <c r="G346" s="42"/>
      <c r="H346" s="16"/>
      <c r="I346" s="42"/>
      <c r="J346" s="44"/>
      <c r="K346" s="44"/>
      <c r="L346" s="44"/>
      <c r="M346" s="46"/>
      <c r="N346" s="42"/>
      <c r="O346" s="42"/>
      <c r="P346" s="16"/>
      <c r="Q346" s="16"/>
    </row>
    <row r="347">
      <c r="A347" s="16"/>
      <c r="B347" s="16"/>
      <c r="C347" s="16"/>
      <c r="D347" s="16"/>
      <c r="E347" s="16"/>
      <c r="F347" s="16"/>
      <c r="G347" s="42"/>
      <c r="H347" s="16"/>
      <c r="I347" s="42"/>
      <c r="J347" s="44"/>
      <c r="K347" s="44"/>
      <c r="L347" s="44"/>
      <c r="M347" s="46"/>
      <c r="N347" s="42"/>
      <c r="O347" s="42"/>
      <c r="P347" s="16"/>
      <c r="Q347" s="16"/>
    </row>
    <row r="348">
      <c r="A348" s="16"/>
      <c r="B348" s="16"/>
      <c r="C348" s="16"/>
      <c r="D348" s="16"/>
      <c r="E348" s="16"/>
      <c r="F348" s="16"/>
      <c r="G348" s="42"/>
      <c r="H348" s="16"/>
      <c r="I348" s="42"/>
      <c r="J348" s="44"/>
      <c r="K348" s="44"/>
      <c r="L348" s="44"/>
      <c r="M348" s="46"/>
      <c r="N348" s="42"/>
      <c r="O348" s="42"/>
      <c r="P348" s="16"/>
      <c r="Q348" s="16"/>
    </row>
    <row r="349">
      <c r="A349" s="16"/>
      <c r="B349" s="16"/>
      <c r="C349" s="16"/>
      <c r="D349" s="16"/>
      <c r="E349" s="16"/>
      <c r="F349" s="16"/>
      <c r="G349" s="42"/>
      <c r="H349" s="16"/>
      <c r="I349" s="42"/>
      <c r="J349" s="44"/>
      <c r="K349" s="44"/>
      <c r="L349" s="44"/>
      <c r="M349" s="46"/>
      <c r="N349" s="42"/>
      <c r="O349" s="42"/>
      <c r="P349" s="16"/>
      <c r="Q349" s="16"/>
    </row>
    <row r="350">
      <c r="A350" s="16"/>
      <c r="B350" s="16"/>
      <c r="C350" s="16"/>
      <c r="D350" s="16"/>
      <c r="E350" s="16"/>
      <c r="F350" s="16"/>
      <c r="G350" s="42"/>
      <c r="H350" s="16"/>
      <c r="I350" s="42"/>
      <c r="J350" s="44"/>
      <c r="K350" s="44"/>
      <c r="L350" s="44"/>
      <c r="M350" s="46"/>
      <c r="N350" s="42"/>
      <c r="O350" s="42"/>
      <c r="P350" s="16"/>
      <c r="Q350" s="16"/>
    </row>
    <row r="351">
      <c r="A351" s="16"/>
      <c r="B351" s="16"/>
      <c r="C351" s="16"/>
      <c r="D351" s="16"/>
      <c r="E351" s="16"/>
      <c r="F351" s="16"/>
      <c r="G351" s="42"/>
      <c r="H351" s="16"/>
      <c r="I351" s="42"/>
      <c r="J351" s="44"/>
      <c r="K351" s="44"/>
      <c r="L351" s="44"/>
      <c r="M351" s="46"/>
      <c r="N351" s="42"/>
      <c r="O351" s="42"/>
      <c r="P351" s="16"/>
      <c r="Q351" s="16"/>
    </row>
    <row r="352">
      <c r="A352" s="16"/>
      <c r="B352" s="16"/>
      <c r="C352" s="16"/>
      <c r="D352" s="16"/>
      <c r="E352" s="16"/>
      <c r="F352" s="16"/>
      <c r="G352" s="42"/>
      <c r="H352" s="16"/>
      <c r="I352" s="42"/>
      <c r="J352" s="44"/>
      <c r="K352" s="44"/>
      <c r="L352" s="44"/>
      <c r="M352" s="46"/>
      <c r="N352" s="42"/>
      <c r="O352" s="42"/>
      <c r="P352" s="16"/>
      <c r="Q352" s="16"/>
    </row>
    <row r="353">
      <c r="A353" s="16"/>
      <c r="B353" s="16"/>
      <c r="C353" s="16"/>
      <c r="D353" s="16"/>
      <c r="E353" s="16"/>
      <c r="F353" s="16"/>
      <c r="G353" s="42"/>
      <c r="H353" s="16"/>
      <c r="I353" s="42"/>
      <c r="J353" s="44"/>
      <c r="K353" s="44"/>
      <c r="L353" s="44"/>
      <c r="M353" s="46"/>
      <c r="N353" s="42"/>
      <c r="O353" s="42"/>
      <c r="P353" s="16"/>
      <c r="Q353" s="16"/>
    </row>
    <row r="354">
      <c r="A354" s="16"/>
      <c r="B354" s="16"/>
      <c r="C354" s="16"/>
      <c r="D354" s="16"/>
      <c r="E354" s="16"/>
      <c r="F354" s="16"/>
      <c r="G354" s="42"/>
      <c r="H354" s="16"/>
      <c r="I354" s="42"/>
      <c r="J354" s="44"/>
      <c r="K354" s="44"/>
      <c r="L354" s="44"/>
      <c r="M354" s="46"/>
      <c r="N354" s="42"/>
      <c r="O354" s="42"/>
      <c r="P354" s="16"/>
      <c r="Q354" s="16"/>
    </row>
    <row r="355">
      <c r="A355" s="16"/>
      <c r="B355" s="16"/>
      <c r="C355" s="16"/>
      <c r="D355" s="16"/>
      <c r="E355" s="16"/>
      <c r="F355" s="16"/>
      <c r="G355" s="42"/>
      <c r="H355" s="16"/>
      <c r="I355" s="42"/>
      <c r="J355" s="44"/>
      <c r="K355" s="44"/>
      <c r="L355" s="44"/>
      <c r="M355" s="46"/>
      <c r="N355" s="42"/>
      <c r="O355" s="42"/>
      <c r="P355" s="16"/>
      <c r="Q355" s="16"/>
    </row>
    <row r="356">
      <c r="A356" s="16"/>
      <c r="B356" s="16"/>
      <c r="C356" s="16"/>
      <c r="D356" s="16"/>
      <c r="E356" s="16"/>
      <c r="F356" s="16"/>
      <c r="G356" s="42"/>
      <c r="H356" s="16"/>
      <c r="I356" s="42"/>
      <c r="J356" s="44"/>
      <c r="K356" s="44"/>
      <c r="L356" s="44"/>
      <c r="M356" s="46"/>
      <c r="N356" s="42"/>
      <c r="O356" s="42"/>
      <c r="P356" s="16"/>
      <c r="Q356" s="16"/>
    </row>
    <row r="357">
      <c r="A357" s="16"/>
      <c r="B357" s="16"/>
      <c r="C357" s="16"/>
      <c r="D357" s="16"/>
      <c r="E357" s="16"/>
      <c r="F357" s="16"/>
      <c r="G357" s="42"/>
      <c r="H357" s="16"/>
      <c r="I357" s="42"/>
      <c r="J357" s="44"/>
      <c r="K357" s="44"/>
      <c r="L357" s="44"/>
      <c r="M357" s="46"/>
      <c r="N357" s="42"/>
      <c r="O357" s="42"/>
      <c r="P357" s="16"/>
      <c r="Q357" s="16"/>
    </row>
    <row r="358">
      <c r="A358" s="16"/>
      <c r="B358" s="16"/>
      <c r="C358" s="16"/>
      <c r="D358" s="16"/>
      <c r="E358" s="16"/>
      <c r="F358" s="16"/>
      <c r="G358" s="42"/>
      <c r="H358" s="16"/>
      <c r="I358" s="42"/>
      <c r="J358" s="44"/>
      <c r="K358" s="44"/>
      <c r="L358" s="44"/>
      <c r="M358" s="46"/>
      <c r="N358" s="42"/>
      <c r="O358" s="42"/>
      <c r="P358" s="16"/>
      <c r="Q358" s="16"/>
    </row>
    <row r="359">
      <c r="A359" s="16"/>
      <c r="B359" s="16"/>
      <c r="C359" s="16"/>
      <c r="D359" s="16"/>
      <c r="E359" s="16"/>
      <c r="F359" s="16"/>
      <c r="G359" s="42"/>
      <c r="H359" s="16"/>
      <c r="I359" s="42"/>
      <c r="J359" s="44"/>
      <c r="K359" s="44"/>
      <c r="L359" s="44"/>
      <c r="M359" s="46"/>
      <c r="N359" s="42"/>
      <c r="O359" s="42"/>
      <c r="P359" s="16"/>
      <c r="Q359" s="16"/>
    </row>
    <row r="360">
      <c r="A360" s="16"/>
      <c r="B360" s="16"/>
      <c r="C360" s="16"/>
      <c r="D360" s="16"/>
      <c r="E360" s="16"/>
      <c r="F360" s="16"/>
      <c r="G360" s="42"/>
      <c r="H360" s="16"/>
      <c r="I360" s="42"/>
      <c r="J360" s="44"/>
      <c r="K360" s="44"/>
      <c r="L360" s="44"/>
      <c r="M360" s="46"/>
      <c r="N360" s="42"/>
      <c r="O360" s="42"/>
      <c r="P360" s="16"/>
      <c r="Q360" s="16"/>
    </row>
    <row r="361">
      <c r="A361" s="16"/>
      <c r="B361" s="16"/>
      <c r="C361" s="16"/>
      <c r="D361" s="16"/>
      <c r="E361" s="16"/>
      <c r="F361" s="16"/>
      <c r="G361" s="42"/>
      <c r="H361" s="16"/>
      <c r="I361" s="42"/>
      <c r="J361" s="44"/>
      <c r="K361" s="44"/>
      <c r="L361" s="44"/>
      <c r="M361" s="46"/>
      <c r="N361" s="42"/>
      <c r="O361" s="42"/>
      <c r="P361" s="16"/>
      <c r="Q361" s="16"/>
    </row>
    <row r="362">
      <c r="A362" s="16"/>
      <c r="B362" s="16"/>
      <c r="C362" s="16"/>
      <c r="D362" s="16"/>
      <c r="E362" s="16"/>
      <c r="F362" s="16"/>
      <c r="G362" s="42"/>
      <c r="H362" s="16"/>
      <c r="I362" s="42"/>
      <c r="J362" s="44"/>
      <c r="K362" s="44"/>
      <c r="L362" s="44"/>
      <c r="M362" s="46"/>
      <c r="N362" s="42"/>
      <c r="O362" s="42"/>
      <c r="P362" s="16"/>
      <c r="Q362" s="16"/>
    </row>
    <row r="363">
      <c r="A363" s="16"/>
      <c r="B363" s="16"/>
      <c r="C363" s="16"/>
      <c r="D363" s="16"/>
      <c r="E363" s="16"/>
      <c r="F363" s="16"/>
      <c r="G363" s="42"/>
      <c r="H363" s="16"/>
      <c r="I363" s="42"/>
      <c r="J363" s="44"/>
      <c r="K363" s="44"/>
      <c r="L363" s="44"/>
      <c r="M363" s="46"/>
      <c r="N363" s="42"/>
      <c r="O363" s="42"/>
      <c r="P363" s="16"/>
      <c r="Q363" s="16"/>
    </row>
    <row r="364">
      <c r="A364" s="16"/>
      <c r="B364" s="16"/>
      <c r="C364" s="16"/>
      <c r="D364" s="16"/>
      <c r="E364" s="16"/>
      <c r="F364" s="16"/>
      <c r="G364" s="42"/>
      <c r="H364" s="16"/>
      <c r="I364" s="42"/>
      <c r="J364" s="44"/>
      <c r="K364" s="44"/>
      <c r="L364" s="44"/>
      <c r="M364" s="46"/>
      <c r="N364" s="42"/>
      <c r="O364" s="42"/>
      <c r="P364" s="16"/>
      <c r="Q364" s="16"/>
    </row>
    <row r="365">
      <c r="A365" s="16"/>
      <c r="B365" s="16"/>
      <c r="C365" s="16"/>
      <c r="D365" s="16"/>
      <c r="E365" s="16"/>
      <c r="F365" s="16"/>
      <c r="G365" s="42"/>
      <c r="H365" s="16"/>
      <c r="I365" s="42"/>
      <c r="J365" s="44"/>
      <c r="K365" s="44"/>
      <c r="L365" s="44"/>
      <c r="M365" s="46"/>
      <c r="N365" s="42"/>
      <c r="O365" s="42"/>
      <c r="P365" s="16"/>
      <c r="Q365" s="16"/>
    </row>
    <row r="366">
      <c r="A366" s="16"/>
      <c r="B366" s="16"/>
      <c r="C366" s="16"/>
      <c r="D366" s="16"/>
      <c r="E366" s="16"/>
      <c r="F366" s="16"/>
      <c r="G366" s="42"/>
      <c r="H366" s="16"/>
      <c r="I366" s="42"/>
      <c r="J366" s="44"/>
      <c r="K366" s="44"/>
      <c r="L366" s="44"/>
      <c r="M366" s="46"/>
      <c r="N366" s="42"/>
      <c r="O366" s="42"/>
      <c r="P366" s="16"/>
      <c r="Q366" s="16"/>
    </row>
    <row r="367">
      <c r="A367" s="16"/>
      <c r="B367" s="16"/>
      <c r="C367" s="16"/>
      <c r="D367" s="16"/>
      <c r="E367" s="16"/>
      <c r="F367" s="16"/>
      <c r="G367" s="42"/>
      <c r="H367" s="16"/>
      <c r="I367" s="42"/>
      <c r="J367" s="44"/>
      <c r="K367" s="44"/>
      <c r="L367" s="44"/>
      <c r="M367" s="46"/>
      <c r="N367" s="42"/>
      <c r="O367" s="42"/>
      <c r="P367" s="16"/>
      <c r="Q367" s="16"/>
    </row>
    <row r="368">
      <c r="A368" s="16"/>
      <c r="B368" s="16"/>
      <c r="C368" s="16"/>
      <c r="D368" s="16"/>
      <c r="E368" s="16"/>
      <c r="F368" s="16"/>
      <c r="G368" s="42"/>
      <c r="H368" s="16"/>
      <c r="I368" s="42"/>
      <c r="J368" s="44"/>
      <c r="K368" s="44"/>
      <c r="L368" s="44"/>
      <c r="M368" s="46"/>
      <c r="N368" s="42"/>
      <c r="O368" s="42"/>
      <c r="P368" s="16"/>
      <c r="Q368" s="16"/>
    </row>
    <row r="369">
      <c r="A369" s="16"/>
      <c r="B369" s="16"/>
      <c r="C369" s="16"/>
      <c r="D369" s="16"/>
      <c r="E369" s="16"/>
      <c r="F369" s="16"/>
      <c r="G369" s="42"/>
      <c r="H369" s="16"/>
      <c r="I369" s="42"/>
      <c r="J369" s="44"/>
      <c r="K369" s="44"/>
      <c r="L369" s="44"/>
      <c r="M369" s="46"/>
      <c r="N369" s="42"/>
      <c r="O369" s="42"/>
      <c r="P369" s="16"/>
      <c r="Q369" s="16"/>
    </row>
    <row r="370">
      <c r="A370" s="16"/>
      <c r="B370" s="16"/>
      <c r="C370" s="16"/>
      <c r="D370" s="16"/>
      <c r="E370" s="16"/>
      <c r="F370" s="16"/>
      <c r="G370" s="42"/>
      <c r="H370" s="16"/>
      <c r="I370" s="42"/>
      <c r="J370" s="44"/>
      <c r="K370" s="44"/>
      <c r="L370" s="44"/>
      <c r="M370" s="46"/>
      <c r="N370" s="42"/>
      <c r="O370" s="42"/>
      <c r="P370" s="16"/>
      <c r="Q370" s="16"/>
    </row>
    <row r="371">
      <c r="A371" s="16"/>
      <c r="B371" s="16"/>
      <c r="C371" s="16"/>
      <c r="D371" s="16"/>
      <c r="E371" s="16"/>
      <c r="F371" s="16"/>
      <c r="G371" s="42"/>
      <c r="H371" s="16"/>
      <c r="I371" s="42"/>
      <c r="J371" s="44"/>
      <c r="K371" s="44"/>
      <c r="L371" s="44"/>
      <c r="M371" s="46"/>
      <c r="N371" s="42"/>
      <c r="O371" s="42"/>
      <c r="P371" s="16"/>
      <c r="Q371" s="16"/>
    </row>
    <row r="372">
      <c r="A372" s="16"/>
      <c r="B372" s="16"/>
      <c r="C372" s="16"/>
      <c r="D372" s="16"/>
      <c r="E372" s="16"/>
      <c r="F372" s="16"/>
      <c r="G372" s="42"/>
      <c r="H372" s="16"/>
      <c r="I372" s="42"/>
      <c r="J372" s="44"/>
      <c r="K372" s="44"/>
      <c r="L372" s="44"/>
      <c r="M372" s="46"/>
      <c r="N372" s="42"/>
      <c r="O372" s="42"/>
      <c r="P372" s="16"/>
      <c r="Q372" s="16"/>
    </row>
    <row r="373">
      <c r="A373" s="16"/>
      <c r="B373" s="16"/>
      <c r="C373" s="16"/>
      <c r="D373" s="16"/>
      <c r="E373" s="16"/>
      <c r="F373" s="16"/>
      <c r="G373" s="42"/>
      <c r="H373" s="16"/>
      <c r="I373" s="42"/>
      <c r="J373" s="44"/>
      <c r="K373" s="44"/>
      <c r="L373" s="44"/>
      <c r="M373" s="46"/>
      <c r="N373" s="42"/>
      <c r="O373" s="42"/>
      <c r="P373" s="16"/>
      <c r="Q373" s="16"/>
    </row>
    <row r="374">
      <c r="A374" s="16"/>
      <c r="B374" s="16"/>
      <c r="C374" s="16"/>
      <c r="D374" s="16"/>
      <c r="E374" s="16"/>
      <c r="F374" s="16"/>
      <c r="G374" s="42"/>
      <c r="H374" s="16"/>
      <c r="I374" s="42"/>
      <c r="J374" s="44"/>
      <c r="K374" s="44"/>
      <c r="L374" s="44"/>
      <c r="M374" s="46"/>
      <c r="N374" s="42"/>
      <c r="O374" s="42"/>
      <c r="P374" s="16"/>
      <c r="Q374" s="16"/>
    </row>
    <row r="375">
      <c r="A375" s="16"/>
      <c r="B375" s="16"/>
      <c r="C375" s="16"/>
      <c r="D375" s="16"/>
      <c r="E375" s="16"/>
      <c r="F375" s="16"/>
      <c r="G375" s="42"/>
      <c r="H375" s="16"/>
      <c r="I375" s="42"/>
      <c r="J375" s="44"/>
      <c r="K375" s="44"/>
      <c r="L375" s="44"/>
      <c r="M375" s="46"/>
      <c r="N375" s="42"/>
      <c r="O375" s="42"/>
      <c r="P375" s="16"/>
      <c r="Q375" s="16"/>
    </row>
    <row r="376">
      <c r="A376" s="16"/>
      <c r="B376" s="16"/>
      <c r="C376" s="16"/>
      <c r="D376" s="16"/>
      <c r="E376" s="16"/>
      <c r="F376" s="16"/>
      <c r="G376" s="42"/>
      <c r="H376" s="16"/>
      <c r="I376" s="42"/>
      <c r="J376" s="44"/>
      <c r="K376" s="44"/>
      <c r="L376" s="44"/>
      <c r="M376" s="46"/>
      <c r="N376" s="42"/>
      <c r="O376" s="42"/>
      <c r="P376" s="16"/>
      <c r="Q376" s="16"/>
    </row>
    <row r="377">
      <c r="A377" s="16"/>
      <c r="B377" s="16"/>
      <c r="C377" s="16"/>
      <c r="D377" s="16"/>
      <c r="E377" s="16"/>
      <c r="F377" s="16"/>
      <c r="G377" s="42"/>
      <c r="H377" s="16"/>
      <c r="I377" s="42"/>
      <c r="J377" s="44"/>
      <c r="K377" s="44"/>
      <c r="L377" s="44"/>
      <c r="M377" s="46"/>
      <c r="N377" s="42"/>
      <c r="O377" s="42"/>
      <c r="P377" s="16"/>
      <c r="Q377" s="16"/>
    </row>
    <row r="378">
      <c r="A378" s="16"/>
      <c r="B378" s="16"/>
      <c r="C378" s="16"/>
      <c r="D378" s="16"/>
      <c r="E378" s="16"/>
      <c r="F378" s="16"/>
      <c r="G378" s="42"/>
      <c r="H378" s="16"/>
      <c r="I378" s="42"/>
      <c r="J378" s="44"/>
      <c r="K378" s="44"/>
      <c r="L378" s="44"/>
      <c r="M378" s="46"/>
      <c r="N378" s="42"/>
      <c r="O378" s="42"/>
      <c r="P378" s="16"/>
      <c r="Q378" s="16"/>
    </row>
    <row r="379">
      <c r="A379" s="16"/>
      <c r="B379" s="16"/>
      <c r="C379" s="16"/>
      <c r="D379" s="16"/>
      <c r="E379" s="16"/>
      <c r="F379" s="16"/>
      <c r="G379" s="42"/>
      <c r="H379" s="16"/>
      <c r="I379" s="42"/>
      <c r="J379" s="44"/>
      <c r="K379" s="44"/>
      <c r="L379" s="44"/>
      <c r="M379" s="46"/>
      <c r="N379" s="42"/>
      <c r="O379" s="42"/>
      <c r="P379" s="16"/>
      <c r="Q379" s="16"/>
    </row>
    <row r="380">
      <c r="A380" s="16"/>
      <c r="B380" s="16"/>
      <c r="C380" s="16"/>
      <c r="D380" s="16"/>
      <c r="E380" s="16"/>
      <c r="F380" s="16"/>
      <c r="G380" s="42"/>
      <c r="H380" s="16"/>
      <c r="I380" s="42"/>
      <c r="J380" s="44"/>
      <c r="K380" s="44"/>
      <c r="L380" s="44"/>
      <c r="M380" s="46"/>
      <c r="N380" s="42"/>
      <c r="O380" s="42"/>
      <c r="P380" s="16"/>
      <c r="Q380" s="16"/>
    </row>
    <row r="381">
      <c r="A381" s="16"/>
      <c r="B381" s="16"/>
      <c r="C381" s="16"/>
      <c r="D381" s="16"/>
      <c r="E381" s="16"/>
      <c r="F381" s="16"/>
      <c r="G381" s="42"/>
      <c r="H381" s="16"/>
      <c r="I381" s="42"/>
      <c r="J381" s="44"/>
      <c r="K381" s="44"/>
      <c r="L381" s="44"/>
      <c r="M381" s="46"/>
      <c r="N381" s="42"/>
      <c r="O381" s="42"/>
      <c r="P381" s="16"/>
      <c r="Q381" s="16"/>
    </row>
    <row r="382">
      <c r="A382" s="16"/>
      <c r="B382" s="16"/>
      <c r="C382" s="16"/>
      <c r="D382" s="16"/>
      <c r="E382" s="16"/>
      <c r="F382" s="16"/>
      <c r="G382" s="42"/>
      <c r="H382" s="16"/>
      <c r="I382" s="42"/>
      <c r="J382" s="44"/>
      <c r="K382" s="44"/>
      <c r="L382" s="44"/>
      <c r="M382" s="46"/>
      <c r="N382" s="42"/>
      <c r="O382" s="42"/>
      <c r="P382" s="16"/>
      <c r="Q382" s="16"/>
    </row>
    <row r="383">
      <c r="A383" s="16"/>
      <c r="B383" s="16"/>
      <c r="C383" s="16"/>
      <c r="D383" s="16"/>
      <c r="E383" s="16"/>
      <c r="F383" s="16"/>
      <c r="G383" s="42"/>
      <c r="H383" s="16"/>
      <c r="I383" s="42"/>
      <c r="J383" s="44"/>
      <c r="K383" s="44"/>
      <c r="L383" s="44"/>
      <c r="M383" s="46"/>
      <c r="N383" s="42"/>
      <c r="O383" s="42"/>
      <c r="P383" s="16"/>
      <c r="Q383" s="16"/>
    </row>
    <row r="384">
      <c r="A384" s="16"/>
      <c r="B384" s="16"/>
      <c r="C384" s="16"/>
      <c r="D384" s="16"/>
      <c r="E384" s="16"/>
      <c r="F384" s="16"/>
      <c r="G384" s="42"/>
      <c r="H384" s="16"/>
      <c r="I384" s="42"/>
      <c r="J384" s="44"/>
      <c r="K384" s="44"/>
      <c r="L384" s="44"/>
      <c r="M384" s="46"/>
      <c r="N384" s="42"/>
      <c r="O384" s="42"/>
      <c r="P384" s="16"/>
      <c r="Q384" s="16"/>
    </row>
    <row r="385">
      <c r="A385" s="16"/>
      <c r="B385" s="16"/>
      <c r="C385" s="16"/>
      <c r="D385" s="16"/>
      <c r="E385" s="16"/>
      <c r="F385" s="16"/>
      <c r="G385" s="42"/>
      <c r="H385" s="16"/>
      <c r="I385" s="42"/>
      <c r="J385" s="44"/>
      <c r="K385" s="44"/>
      <c r="L385" s="44"/>
      <c r="M385" s="46"/>
      <c r="N385" s="42"/>
      <c r="O385" s="42"/>
      <c r="P385" s="16"/>
      <c r="Q385" s="16"/>
    </row>
    <row r="386">
      <c r="A386" s="16"/>
      <c r="B386" s="16"/>
      <c r="C386" s="16"/>
      <c r="D386" s="16"/>
      <c r="E386" s="16"/>
      <c r="F386" s="16"/>
      <c r="G386" s="42"/>
      <c r="H386" s="16"/>
      <c r="I386" s="42"/>
      <c r="J386" s="44"/>
      <c r="K386" s="44"/>
      <c r="L386" s="44"/>
      <c r="M386" s="46"/>
      <c r="N386" s="42"/>
      <c r="O386" s="42"/>
      <c r="P386" s="16"/>
      <c r="Q386" s="16"/>
    </row>
    <row r="387">
      <c r="A387" s="16"/>
      <c r="B387" s="16"/>
      <c r="C387" s="16"/>
      <c r="D387" s="16"/>
      <c r="E387" s="16"/>
      <c r="F387" s="16"/>
      <c r="G387" s="42"/>
      <c r="H387" s="16"/>
      <c r="I387" s="42"/>
      <c r="J387" s="44"/>
      <c r="K387" s="44"/>
      <c r="L387" s="44"/>
      <c r="M387" s="46"/>
      <c r="N387" s="42"/>
      <c r="O387" s="42"/>
      <c r="P387" s="16"/>
      <c r="Q387" s="16"/>
    </row>
    <row r="388">
      <c r="A388" s="16"/>
      <c r="B388" s="16"/>
      <c r="C388" s="16"/>
      <c r="D388" s="16"/>
      <c r="E388" s="16"/>
      <c r="F388" s="16"/>
      <c r="G388" s="42"/>
      <c r="H388" s="16"/>
      <c r="I388" s="42"/>
      <c r="J388" s="44"/>
      <c r="K388" s="44"/>
      <c r="L388" s="44"/>
      <c r="M388" s="46"/>
      <c r="N388" s="42"/>
      <c r="O388" s="42"/>
      <c r="P388" s="16"/>
      <c r="Q388" s="16"/>
    </row>
    <row r="389">
      <c r="A389" s="16"/>
      <c r="B389" s="16"/>
      <c r="C389" s="16"/>
      <c r="D389" s="16"/>
      <c r="E389" s="16"/>
      <c r="F389" s="16"/>
      <c r="G389" s="42"/>
      <c r="H389" s="16"/>
      <c r="I389" s="42"/>
      <c r="J389" s="44"/>
      <c r="K389" s="44"/>
      <c r="L389" s="44"/>
      <c r="M389" s="46"/>
      <c r="N389" s="42"/>
      <c r="O389" s="42"/>
      <c r="P389" s="16"/>
      <c r="Q389" s="16"/>
    </row>
    <row r="390">
      <c r="A390" s="16"/>
      <c r="B390" s="16"/>
      <c r="C390" s="16"/>
      <c r="D390" s="16"/>
      <c r="E390" s="16"/>
      <c r="F390" s="16"/>
      <c r="G390" s="42"/>
      <c r="H390" s="16"/>
      <c r="I390" s="42"/>
      <c r="J390" s="44"/>
      <c r="K390" s="44"/>
      <c r="L390" s="44"/>
      <c r="M390" s="46"/>
      <c r="N390" s="42"/>
      <c r="O390" s="42"/>
      <c r="P390" s="16"/>
      <c r="Q390" s="16"/>
    </row>
    <row r="391">
      <c r="A391" s="16"/>
      <c r="B391" s="16"/>
      <c r="C391" s="16"/>
      <c r="D391" s="16"/>
      <c r="E391" s="16"/>
      <c r="F391" s="16"/>
      <c r="G391" s="42"/>
      <c r="H391" s="16"/>
      <c r="I391" s="42"/>
      <c r="J391" s="44"/>
      <c r="K391" s="44"/>
      <c r="L391" s="44"/>
      <c r="M391" s="46"/>
      <c r="N391" s="42"/>
      <c r="O391" s="42"/>
      <c r="P391" s="16"/>
      <c r="Q391" s="16"/>
    </row>
    <row r="392">
      <c r="A392" s="16"/>
      <c r="B392" s="16"/>
      <c r="C392" s="16"/>
      <c r="D392" s="16"/>
      <c r="E392" s="16"/>
      <c r="F392" s="16"/>
      <c r="G392" s="42"/>
      <c r="H392" s="16"/>
      <c r="I392" s="42"/>
      <c r="J392" s="44"/>
      <c r="K392" s="44"/>
      <c r="L392" s="44"/>
      <c r="M392" s="46"/>
      <c r="N392" s="42"/>
      <c r="O392" s="42"/>
      <c r="P392" s="16"/>
      <c r="Q392" s="16"/>
    </row>
    <row r="393">
      <c r="A393" s="16"/>
      <c r="B393" s="16"/>
      <c r="C393" s="16"/>
      <c r="D393" s="16"/>
      <c r="E393" s="16"/>
      <c r="F393" s="16"/>
      <c r="G393" s="42"/>
      <c r="H393" s="16"/>
      <c r="I393" s="42"/>
      <c r="J393" s="44"/>
      <c r="K393" s="44"/>
      <c r="L393" s="44"/>
      <c r="M393" s="46"/>
      <c r="N393" s="42"/>
      <c r="O393" s="42"/>
      <c r="P393" s="16"/>
      <c r="Q393" s="16"/>
    </row>
    <row r="394">
      <c r="A394" s="16"/>
      <c r="B394" s="16"/>
      <c r="C394" s="16"/>
      <c r="D394" s="16"/>
      <c r="E394" s="16"/>
      <c r="F394" s="16"/>
      <c r="G394" s="42"/>
      <c r="H394" s="16"/>
      <c r="I394" s="42"/>
      <c r="J394" s="44"/>
      <c r="K394" s="44"/>
      <c r="L394" s="44"/>
      <c r="M394" s="46"/>
      <c r="N394" s="42"/>
      <c r="O394" s="42"/>
      <c r="P394" s="16"/>
      <c r="Q394" s="16"/>
    </row>
    <row r="395">
      <c r="A395" s="16"/>
      <c r="B395" s="16"/>
      <c r="C395" s="16"/>
      <c r="D395" s="16"/>
      <c r="E395" s="16"/>
      <c r="F395" s="16"/>
      <c r="G395" s="42"/>
      <c r="H395" s="16"/>
      <c r="I395" s="42"/>
      <c r="J395" s="44"/>
      <c r="K395" s="44"/>
      <c r="L395" s="44"/>
      <c r="M395" s="46"/>
      <c r="N395" s="42"/>
      <c r="O395" s="42"/>
      <c r="P395" s="16"/>
      <c r="Q395" s="16"/>
    </row>
    <row r="396">
      <c r="A396" s="16"/>
      <c r="B396" s="16"/>
      <c r="C396" s="16"/>
      <c r="D396" s="16"/>
      <c r="E396" s="16"/>
      <c r="F396" s="16"/>
      <c r="G396" s="42"/>
      <c r="H396" s="16"/>
      <c r="I396" s="42"/>
      <c r="J396" s="44"/>
      <c r="K396" s="44"/>
      <c r="L396" s="44"/>
      <c r="M396" s="46"/>
      <c r="N396" s="42"/>
      <c r="O396" s="42"/>
      <c r="P396" s="16"/>
      <c r="Q396" s="16"/>
    </row>
    <row r="397">
      <c r="A397" s="16"/>
      <c r="B397" s="16"/>
      <c r="C397" s="16"/>
      <c r="D397" s="16"/>
      <c r="E397" s="16"/>
      <c r="F397" s="16"/>
      <c r="G397" s="42"/>
      <c r="H397" s="16"/>
      <c r="I397" s="42"/>
      <c r="J397" s="44"/>
      <c r="K397" s="44"/>
      <c r="L397" s="44"/>
      <c r="M397" s="46"/>
      <c r="N397" s="42"/>
      <c r="O397" s="42"/>
      <c r="P397" s="16"/>
      <c r="Q397" s="16"/>
    </row>
    <row r="398">
      <c r="A398" s="16"/>
      <c r="B398" s="16"/>
      <c r="C398" s="16"/>
      <c r="D398" s="16"/>
      <c r="E398" s="16"/>
      <c r="F398" s="16"/>
      <c r="G398" s="42"/>
      <c r="H398" s="16"/>
      <c r="I398" s="42"/>
      <c r="J398" s="44"/>
      <c r="K398" s="44"/>
      <c r="L398" s="44"/>
      <c r="M398" s="46"/>
      <c r="N398" s="42"/>
      <c r="O398" s="42"/>
      <c r="P398" s="16"/>
      <c r="Q398" s="16"/>
    </row>
    <row r="399">
      <c r="A399" s="16"/>
      <c r="B399" s="16"/>
      <c r="C399" s="16"/>
      <c r="D399" s="16"/>
      <c r="E399" s="16"/>
      <c r="F399" s="16"/>
      <c r="G399" s="42"/>
      <c r="H399" s="16"/>
      <c r="I399" s="42"/>
      <c r="J399" s="44"/>
      <c r="K399" s="44"/>
      <c r="L399" s="44"/>
      <c r="M399" s="46"/>
      <c r="N399" s="42"/>
      <c r="O399" s="42"/>
      <c r="P399" s="16"/>
      <c r="Q399" s="16"/>
    </row>
    <row r="400">
      <c r="A400" s="16"/>
      <c r="B400" s="16"/>
      <c r="C400" s="16"/>
      <c r="D400" s="16"/>
      <c r="E400" s="16"/>
      <c r="F400" s="16"/>
      <c r="G400" s="42"/>
      <c r="H400" s="16"/>
      <c r="I400" s="42"/>
      <c r="J400" s="44"/>
      <c r="K400" s="44"/>
      <c r="L400" s="44"/>
      <c r="M400" s="46"/>
      <c r="N400" s="42"/>
      <c r="O400" s="42"/>
      <c r="P400" s="16"/>
      <c r="Q400" s="16"/>
    </row>
    <row r="401">
      <c r="A401" s="16"/>
      <c r="B401" s="16"/>
      <c r="C401" s="16"/>
      <c r="D401" s="16"/>
      <c r="E401" s="16"/>
      <c r="F401" s="16"/>
      <c r="G401" s="42"/>
      <c r="H401" s="16"/>
      <c r="I401" s="42"/>
      <c r="J401" s="44"/>
      <c r="K401" s="44"/>
      <c r="L401" s="44"/>
      <c r="M401" s="46"/>
      <c r="N401" s="42"/>
      <c r="O401" s="42"/>
      <c r="P401" s="16"/>
      <c r="Q401" s="16"/>
    </row>
    <row r="402">
      <c r="A402" s="16"/>
      <c r="B402" s="16"/>
      <c r="C402" s="16"/>
      <c r="D402" s="16"/>
      <c r="E402" s="16"/>
      <c r="F402" s="16"/>
      <c r="G402" s="42"/>
      <c r="H402" s="16"/>
      <c r="I402" s="42"/>
      <c r="J402" s="44"/>
      <c r="K402" s="44"/>
      <c r="L402" s="44"/>
      <c r="M402" s="46"/>
      <c r="N402" s="42"/>
      <c r="O402" s="42"/>
      <c r="P402" s="16"/>
      <c r="Q402" s="16"/>
    </row>
    <row r="403">
      <c r="A403" s="16"/>
      <c r="B403" s="16"/>
      <c r="C403" s="16"/>
      <c r="D403" s="16"/>
      <c r="E403" s="16"/>
      <c r="F403" s="16"/>
      <c r="G403" s="42"/>
      <c r="H403" s="16"/>
      <c r="I403" s="42"/>
      <c r="J403" s="44"/>
      <c r="K403" s="44"/>
      <c r="L403" s="44"/>
      <c r="M403" s="46"/>
      <c r="N403" s="42"/>
      <c r="O403" s="42"/>
      <c r="P403" s="16"/>
      <c r="Q403" s="16"/>
    </row>
    <row r="404">
      <c r="A404" s="16"/>
      <c r="B404" s="16"/>
      <c r="C404" s="16"/>
      <c r="D404" s="16"/>
      <c r="E404" s="16"/>
      <c r="F404" s="16"/>
      <c r="G404" s="42"/>
      <c r="H404" s="16"/>
      <c r="I404" s="42"/>
      <c r="J404" s="44"/>
      <c r="K404" s="44"/>
      <c r="L404" s="44"/>
      <c r="M404" s="46"/>
      <c r="N404" s="42"/>
      <c r="O404" s="42"/>
      <c r="P404" s="16"/>
      <c r="Q404" s="16"/>
    </row>
    <row r="405">
      <c r="A405" s="16"/>
      <c r="B405" s="16"/>
      <c r="C405" s="16"/>
      <c r="D405" s="16"/>
      <c r="E405" s="16"/>
      <c r="F405" s="16"/>
      <c r="G405" s="42"/>
      <c r="H405" s="16"/>
      <c r="I405" s="42"/>
      <c r="J405" s="44"/>
      <c r="K405" s="44"/>
      <c r="L405" s="44"/>
      <c r="M405" s="46"/>
      <c r="N405" s="42"/>
      <c r="O405" s="42"/>
      <c r="P405" s="16"/>
      <c r="Q405" s="16"/>
    </row>
    <row r="406">
      <c r="A406" s="16"/>
      <c r="B406" s="16"/>
      <c r="C406" s="16"/>
      <c r="D406" s="16"/>
      <c r="E406" s="16"/>
      <c r="F406" s="16"/>
      <c r="G406" s="42"/>
      <c r="H406" s="16"/>
      <c r="I406" s="42"/>
      <c r="J406" s="44"/>
      <c r="K406" s="44"/>
      <c r="L406" s="44"/>
      <c r="M406" s="46"/>
      <c r="N406" s="42"/>
      <c r="O406" s="42"/>
      <c r="P406" s="16"/>
      <c r="Q406" s="16"/>
    </row>
    <row r="407">
      <c r="A407" s="16"/>
      <c r="B407" s="16"/>
      <c r="C407" s="16"/>
      <c r="D407" s="16"/>
      <c r="E407" s="16"/>
      <c r="F407" s="16"/>
      <c r="G407" s="42"/>
      <c r="H407" s="16"/>
      <c r="I407" s="42"/>
      <c r="J407" s="44"/>
      <c r="K407" s="44"/>
      <c r="L407" s="44"/>
      <c r="M407" s="46"/>
      <c r="N407" s="42"/>
      <c r="O407" s="42"/>
      <c r="P407" s="16"/>
      <c r="Q407" s="16"/>
    </row>
    <row r="408">
      <c r="A408" s="16"/>
      <c r="B408" s="16"/>
      <c r="C408" s="16"/>
      <c r="D408" s="16"/>
      <c r="E408" s="16"/>
      <c r="F408" s="16"/>
      <c r="G408" s="42"/>
      <c r="H408" s="16"/>
      <c r="I408" s="42"/>
      <c r="J408" s="44"/>
      <c r="K408" s="44"/>
      <c r="L408" s="44"/>
      <c r="M408" s="46"/>
      <c r="N408" s="42"/>
      <c r="O408" s="42"/>
      <c r="P408" s="16"/>
      <c r="Q408" s="16"/>
    </row>
    <row r="409">
      <c r="A409" s="16"/>
      <c r="B409" s="16"/>
      <c r="C409" s="16"/>
      <c r="D409" s="16"/>
      <c r="E409" s="16"/>
      <c r="F409" s="16"/>
      <c r="G409" s="42"/>
      <c r="H409" s="16"/>
      <c r="I409" s="42"/>
      <c r="J409" s="44"/>
      <c r="K409" s="44"/>
      <c r="L409" s="44"/>
      <c r="M409" s="46"/>
      <c r="N409" s="42"/>
      <c r="O409" s="42"/>
      <c r="P409" s="16"/>
      <c r="Q409" s="16"/>
    </row>
    <row r="410">
      <c r="A410" s="16"/>
      <c r="B410" s="16"/>
      <c r="C410" s="16"/>
      <c r="D410" s="16"/>
      <c r="E410" s="16"/>
      <c r="F410" s="16"/>
      <c r="G410" s="42"/>
      <c r="H410" s="16"/>
      <c r="I410" s="42"/>
      <c r="J410" s="44"/>
      <c r="K410" s="44"/>
      <c r="L410" s="44"/>
      <c r="M410" s="46"/>
      <c r="N410" s="42"/>
      <c r="O410" s="42"/>
      <c r="P410" s="16"/>
      <c r="Q410" s="16"/>
    </row>
    <row r="411">
      <c r="A411" s="16"/>
      <c r="B411" s="16"/>
      <c r="C411" s="16"/>
      <c r="D411" s="16"/>
      <c r="E411" s="16"/>
      <c r="F411" s="16"/>
      <c r="G411" s="42"/>
      <c r="H411" s="16"/>
      <c r="I411" s="42"/>
      <c r="J411" s="44"/>
      <c r="K411" s="44"/>
      <c r="L411" s="44"/>
      <c r="M411" s="46"/>
      <c r="N411" s="42"/>
      <c r="O411" s="42"/>
      <c r="P411" s="16"/>
      <c r="Q411" s="16"/>
    </row>
    <row r="412">
      <c r="A412" s="16"/>
      <c r="B412" s="16"/>
      <c r="C412" s="16"/>
      <c r="D412" s="16"/>
      <c r="E412" s="16"/>
      <c r="F412" s="16"/>
      <c r="G412" s="42"/>
      <c r="H412" s="16"/>
      <c r="I412" s="42"/>
      <c r="J412" s="44"/>
      <c r="K412" s="44"/>
      <c r="L412" s="44"/>
      <c r="M412" s="46"/>
      <c r="N412" s="42"/>
      <c r="O412" s="42"/>
      <c r="P412" s="16"/>
      <c r="Q412" s="16"/>
    </row>
    <row r="413">
      <c r="A413" s="16"/>
      <c r="B413" s="16"/>
      <c r="C413" s="16"/>
      <c r="D413" s="16"/>
      <c r="E413" s="16"/>
      <c r="F413" s="16"/>
      <c r="G413" s="42"/>
      <c r="H413" s="16"/>
      <c r="I413" s="42"/>
      <c r="J413" s="44"/>
      <c r="K413" s="44"/>
      <c r="L413" s="44"/>
      <c r="M413" s="46"/>
      <c r="N413" s="42"/>
      <c r="O413" s="42"/>
      <c r="P413" s="16"/>
      <c r="Q413" s="16"/>
    </row>
    <row r="414">
      <c r="A414" s="16"/>
      <c r="B414" s="16"/>
      <c r="C414" s="16"/>
      <c r="D414" s="16"/>
      <c r="E414" s="16"/>
      <c r="F414" s="16"/>
      <c r="G414" s="42"/>
      <c r="H414" s="16"/>
      <c r="I414" s="42"/>
      <c r="J414" s="44"/>
      <c r="K414" s="44"/>
      <c r="L414" s="44"/>
      <c r="M414" s="46"/>
      <c r="N414" s="42"/>
      <c r="O414" s="42"/>
      <c r="P414" s="16"/>
      <c r="Q414" s="16"/>
    </row>
    <row r="415">
      <c r="A415" s="16"/>
      <c r="B415" s="16"/>
      <c r="C415" s="16"/>
      <c r="D415" s="16"/>
      <c r="E415" s="16"/>
      <c r="F415" s="16"/>
      <c r="G415" s="42"/>
      <c r="H415" s="16"/>
      <c r="I415" s="42"/>
      <c r="J415" s="44"/>
      <c r="K415" s="44"/>
      <c r="L415" s="44"/>
      <c r="M415" s="46"/>
      <c r="N415" s="42"/>
      <c r="O415" s="42"/>
      <c r="P415" s="16"/>
      <c r="Q415" s="16"/>
    </row>
    <row r="416">
      <c r="A416" s="16"/>
      <c r="B416" s="16"/>
      <c r="C416" s="16"/>
      <c r="D416" s="16"/>
      <c r="E416" s="16"/>
      <c r="F416" s="16"/>
      <c r="G416" s="42"/>
      <c r="H416" s="16"/>
      <c r="I416" s="42"/>
      <c r="J416" s="44"/>
      <c r="K416" s="44"/>
      <c r="L416" s="44"/>
      <c r="M416" s="46"/>
      <c r="N416" s="42"/>
      <c r="O416" s="42"/>
      <c r="P416" s="16"/>
      <c r="Q416" s="16"/>
    </row>
    <row r="417">
      <c r="A417" s="16"/>
      <c r="B417" s="16"/>
      <c r="C417" s="16"/>
      <c r="D417" s="16"/>
      <c r="E417" s="16"/>
      <c r="F417" s="16"/>
      <c r="G417" s="42"/>
      <c r="H417" s="16"/>
      <c r="I417" s="42"/>
      <c r="J417" s="44"/>
      <c r="K417" s="44"/>
      <c r="L417" s="44"/>
      <c r="M417" s="46"/>
      <c r="N417" s="42"/>
      <c r="O417" s="42"/>
      <c r="P417" s="16"/>
      <c r="Q417" s="16"/>
    </row>
    <row r="418">
      <c r="A418" s="16"/>
      <c r="B418" s="16"/>
      <c r="C418" s="16"/>
      <c r="D418" s="16"/>
      <c r="E418" s="16"/>
      <c r="F418" s="16"/>
      <c r="G418" s="42"/>
      <c r="H418" s="16"/>
      <c r="I418" s="42"/>
      <c r="J418" s="44"/>
      <c r="K418" s="44"/>
      <c r="L418" s="44"/>
      <c r="M418" s="46"/>
      <c r="N418" s="42"/>
      <c r="O418" s="42"/>
      <c r="P418" s="16"/>
      <c r="Q418" s="16"/>
    </row>
    <row r="419">
      <c r="A419" s="16"/>
      <c r="B419" s="16"/>
      <c r="C419" s="16"/>
      <c r="D419" s="16"/>
      <c r="E419" s="16"/>
      <c r="F419" s="16"/>
      <c r="G419" s="42"/>
      <c r="H419" s="16"/>
      <c r="I419" s="42"/>
      <c r="J419" s="44"/>
      <c r="K419" s="44"/>
      <c r="L419" s="44"/>
      <c r="M419" s="46"/>
      <c r="N419" s="42"/>
      <c r="O419" s="42"/>
      <c r="P419" s="16"/>
      <c r="Q419" s="16"/>
    </row>
    <row r="420">
      <c r="A420" s="16"/>
      <c r="B420" s="16"/>
      <c r="C420" s="16"/>
      <c r="D420" s="16"/>
      <c r="E420" s="16"/>
      <c r="F420" s="16"/>
      <c r="G420" s="42"/>
      <c r="H420" s="16"/>
      <c r="I420" s="42"/>
      <c r="J420" s="44"/>
      <c r="K420" s="44"/>
      <c r="L420" s="44"/>
      <c r="M420" s="46"/>
      <c r="N420" s="42"/>
      <c r="O420" s="42"/>
      <c r="P420" s="16"/>
      <c r="Q420" s="16"/>
    </row>
    <row r="421">
      <c r="A421" s="16"/>
      <c r="B421" s="16"/>
      <c r="C421" s="16"/>
      <c r="D421" s="16"/>
      <c r="E421" s="16"/>
      <c r="F421" s="16"/>
      <c r="G421" s="42"/>
      <c r="H421" s="16"/>
      <c r="I421" s="42"/>
      <c r="J421" s="44"/>
      <c r="K421" s="44"/>
      <c r="L421" s="44"/>
      <c r="M421" s="46"/>
      <c r="N421" s="42"/>
      <c r="O421" s="42"/>
      <c r="P421" s="16"/>
      <c r="Q421" s="16"/>
    </row>
    <row r="422">
      <c r="A422" s="16"/>
      <c r="B422" s="16"/>
      <c r="C422" s="16"/>
      <c r="D422" s="16"/>
      <c r="E422" s="16"/>
      <c r="F422" s="16"/>
      <c r="G422" s="42"/>
      <c r="H422" s="16"/>
      <c r="I422" s="42"/>
      <c r="J422" s="44"/>
      <c r="K422" s="44"/>
      <c r="L422" s="44"/>
      <c r="M422" s="46"/>
      <c r="N422" s="42"/>
      <c r="O422" s="42"/>
      <c r="P422" s="16"/>
      <c r="Q422" s="16"/>
    </row>
    <row r="423">
      <c r="A423" s="16"/>
      <c r="B423" s="16"/>
      <c r="C423" s="16"/>
      <c r="D423" s="16"/>
      <c r="E423" s="16"/>
      <c r="F423" s="16"/>
      <c r="G423" s="42"/>
      <c r="H423" s="16"/>
      <c r="I423" s="42"/>
      <c r="J423" s="44"/>
      <c r="K423" s="44"/>
      <c r="L423" s="44"/>
      <c r="M423" s="46"/>
      <c r="N423" s="42"/>
      <c r="O423" s="42"/>
      <c r="P423" s="16"/>
      <c r="Q423" s="16"/>
    </row>
    <row r="424">
      <c r="A424" s="16"/>
      <c r="B424" s="16"/>
      <c r="C424" s="16"/>
      <c r="D424" s="16"/>
      <c r="E424" s="16"/>
      <c r="F424" s="16"/>
      <c r="G424" s="42"/>
      <c r="H424" s="16"/>
      <c r="I424" s="42"/>
      <c r="J424" s="44"/>
      <c r="K424" s="44"/>
      <c r="L424" s="44"/>
      <c r="M424" s="46"/>
      <c r="N424" s="42"/>
      <c r="O424" s="42"/>
      <c r="P424" s="16"/>
      <c r="Q424" s="16"/>
    </row>
    <row r="425">
      <c r="A425" s="16"/>
      <c r="B425" s="16"/>
      <c r="C425" s="16"/>
      <c r="D425" s="16"/>
      <c r="E425" s="16"/>
      <c r="F425" s="16"/>
      <c r="G425" s="42"/>
      <c r="H425" s="16"/>
      <c r="I425" s="42"/>
      <c r="J425" s="44"/>
      <c r="K425" s="44"/>
      <c r="L425" s="44"/>
      <c r="M425" s="46"/>
      <c r="N425" s="42"/>
      <c r="O425" s="42"/>
      <c r="P425" s="16"/>
      <c r="Q425" s="16"/>
    </row>
    <row r="426">
      <c r="A426" s="16"/>
      <c r="B426" s="16"/>
      <c r="C426" s="16"/>
      <c r="D426" s="16"/>
      <c r="E426" s="16"/>
      <c r="F426" s="16"/>
      <c r="G426" s="42"/>
      <c r="H426" s="16"/>
      <c r="I426" s="42"/>
      <c r="J426" s="44"/>
      <c r="K426" s="44"/>
      <c r="L426" s="44"/>
      <c r="M426" s="46"/>
      <c r="N426" s="42"/>
      <c r="O426" s="42"/>
      <c r="P426" s="16"/>
      <c r="Q426" s="16"/>
    </row>
    <row r="427">
      <c r="A427" s="16"/>
      <c r="B427" s="16"/>
      <c r="C427" s="16"/>
      <c r="D427" s="16"/>
      <c r="E427" s="16"/>
      <c r="F427" s="16"/>
      <c r="G427" s="42"/>
      <c r="H427" s="16"/>
      <c r="I427" s="42"/>
      <c r="J427" s="44"/>
      <c r="K427" s="44"/>
      <c r="L427" s="44"/>
      <c r="M427" s="46"/>
      <c r="N427" s="42"/>
      <c r="O427" s="42"/>
      <c r="P427" s="16"/>
      <c r="Q427" s="16"/>
    </row>
    <row r="428">
      <c r="A428" s="16"/>
      <c r="B428" s="16"/>
      <c r="C428" s="16"/>
      <c r="D428" s="16"/>
      <c r="E428" s="16"/>
      <c r="F428" s="16"/>
      <c r="G428" s="42"/>
      <c r="H428" s="16"/>
      <c r="I428" s="42"/>
      <c r="J428" s="44"/>
      <c r="K428" s="44"/>
      <c r="L428" s="44"/>
      <c r="M428" s="46"/>
      <c r="N428" s="42"/>
      <c r="O428" s="42"/>
      <c r="P428" s="16"/>
      <c r="Q428" s="16"/>
    </row>
    <row r="429">
      <c r="A429" s="16"/>
      <c r="B429" s="16"/>
      <c r="C429" s="16"/>
      <c r="D429" s="16"/>
      <c r="E429" s="16"/>
      <c r="F429" s="16"/>
      <c r="G429" s="42"/>
      <c r="H429" s="16"/>
      <c r="I429" s="42"/>
      <c r="J429" s="44"/>
      <c r="K429" s="44"/>
      <c r="L429" s="44"/>
      <c r="M429" s="46"/>
      <c r="N429" s="42"/>
      <c r="O429" s="42"/>
      <c r="P429" s="16"/>
      <c r="Q429" s="16"/>
    </row>
    <row r="430">
      <c r="A430" s="16"/>
      <c r="B430" s="16"/>
      <c r="C430" s="16"/>
      <c r="D430" s="16"/>
      <c r="E430" s="16"/>
      <c r="F430" s="16"/>
      <c r="G430" s="42"/>
      <c r="H430" s="16"/>
      <c r="I430" s="42"/>
      <c r="J430" s="44"/>
      <c r="K430" s="44"/>
      <c r="L430" s="44"/>
      <c r="M430" s="46"/>
      <c r="N430" s="42"/>
      <c r="O430" s="42"/>
      <c r="P430" s="16"/>
      <c r="Q430" s="16"/>
    </row>
    <row r="431">
      <c r="A431" s="16"/>
      <c r="B431" s="16"/>
      <c r="C431" s="16"/>
      <c r="D431" s="16"/>
      <c r="E431" s="16"/>
      <c r="F431" s="16"/>
      <c r="G431" s="42"/>
      <c r="H431" s="16"/>
      <c r="I431" s="42"/>
      <c r="J431" s="44"/>
      <c r="K431" s="44"/>
      <c r="L431" s="44"/>
      <c r="M431" s="46"/>
      <c r="N431" s="42"/>
      <c r="O431" s="42"/>
      <c r="P431" s="16"/>
      <c r="Q431" s="16"/>
    </row>
    <row r="432">
      <c r="A432" s="16"/>
      <c r="B432" s="16"/>
      <c r="C432" s="16"/>
      <c r="D432" s="16"/>
      <c r="E432" s="16"/>
      <c r="F432" s="16"/>
      <c r="G432" s="42"/>
      <c r="H432" s="16"/>
      <c r="I432" s="42"/>
      <c r="J432" s="44"/>
      <c r="K432" s="44"/>
      <c r="L432" s="44"/>
      <c r="M432" s="46"/>
      <c r="N432" s="42"/>
      <c r="O432" s="42"/>
      <c r="P432" s="16"/>
      <c r="Q432" s="16"/>
    </row>
    <row r="433">
      <c r="A433" s="16"/>
      <c r="B433" s="16"/>
      <c r="C433" s="16"/>
      <c r="D433" s="16"/>
      <c r="E433" s="16"/>
      <c r="F433" s="16"/>
      <c r="G433" s="42"/>
      <c r="H433" s="16"/>
      <c r="I433" s="42"/>
      <c r="J433" s="44"/>
      <c r="K433" s="44"/>
      <c r="L433" s="44"/>
      <c r="M433" s="46"/>
      <c r="N433" s="42"/>
      <c r="O433" s="42"/>
      <c r="P433" s="16"/>
      <c r="Q433" s="16"/>
    </row>
    <row r="434">
      <c r="A434" s="16"/>
      <c r="B434" s="16"/>
      <c r="C434" s="16"/>
      <c r="D434" s="16"/>
      <c r="E434" s="16"/>
      <c r="F434" s="16"/>
      <c r="G434" s="42"/>
      <c r="H434" s="16"/>
      <c r="I434" s="42"/>
      <c r="J434" s="44"/>
      <c r="K434" s="44"/>
      <c r="L434" s="44"/>
      <c r="M434" s="46"/>
      <c r="N434" s="42"/>
      <c r="O434" s="42"/>
      <c r="P434" s="16"/>
      <c r="Q434" s="16"/>
    </row>
    <row r="435">
      <c r="A435" s="16"/>
      <c r="B435" s="16"/>
      <c r="C435" s="16"/>
      <c r="D435" s="16"/>
      <c r="E435" s="16"/>
      <c r="F435" s="16"/>
      <c r="G435" s="42"/>
      <c r="H435" s="16"/>
      <c r="I435" s="42"/>
      <c r="J435" s="44"/>
      <c r="K435" s="44"/>
      <c r="L435" s="44"/>
      <c r="M435" s="46"/>
      <c r="N435" s="42"/>
      <c r="O435" s="42"/>
      <c r="P435" s="16"/>
      <c r="Q435" s="16"/>
    </row>
    <row r="436">
      <c r="A436" s="16"/>
      <c r="B436" s="16"/>
      <c r="C436" s="16"/>
      <c r="D436" s="16"/>
      <c r="E436" s="16"/>
      <c r="F436" s="16"/>
      <c r="G436" s="42"/>
      <c r="H436" s="16"/>
      <c r="I436" s="42"/>
      <c r="J436" s="44"/>
      <c r="K436" s="44"/>
      <c r="L436" s="44"/>
      <c r="M436" s="46"/>
      <c r="N436" s="42"/>
      <c r="O436" s="42"/>
      <c r="P436" s="16"/>
      <c r="Q436" s="16"/>
    </row>
    <row r="437">
      <c r="A437" s="16"/>
      <c r="B437" s="16"/>
      <c r="C437" s="16"/>
      <c r="D437" s="16"/>
      <c r="E437" s="16"/>
      <c r="F437" s="16"/>
      <c r="G437" s="42"/>
      <c r="H437" s="16"/>
      <c r="I437" s="42"/>
      <c r="J437" s="44"/>
      <c r="K437" s="44"/>
      <c r="L437" s="44"/>
      <c r="M437" s="46"/>
      <c r="N437" s="42"/>
      <c r="O437" s="42"/>
      <c r="P437" s="16"/>
      <c r="Q437" s="16"/>
    </row>
    <row r="438">
      <c r="A438" s="16"/>
      <c r="B438" s="16"/>
      <c r="C438" s="16"/>
      <c r="D438" s="16"/>
      <c r="E438" s="16"/>
      <c r="F438" s="16"/>
      <c r="G438" s="42"/>
      <c r="H438" s="16"/>
      <c r="I438" s="42"/>
      <c r="J438" s="44"/>
      <c r="K438" s="44"/>
      <c r="L438" s="44"/>
      <c r="M438" s="46"/>
      <c r="N438" s="42"/>
      <c r="O438" s="42"/>
      <c r="P438" s="16"/>
      <c r="Q438" s="16"/>
    </row>
    <row r="439">
      <c r="A439" s="16"/>
      <c r="B439" s="16"/>
      <c r="C439" s="16"/>
      <c r="D439" s="16"/>
      <c r="E439" s="16"/>
      <c r="F439" s="16"/>
      <c r="G439" s="42"/>
      <c r="H439" s="16"/>
      <c r="I439" s="42"/>
      <c r="J439" s="44"/>
      <c r="K439" s="44"/>
      <c r="L439" s="44"/>
      <c r="M439" s="46"/>
      <c r="N439" s="42"/>
      <c r="O439" s="42"/>
      <c r="P439" s="16"/>
      <c r="Q439" s="16"/>
    </row>
    <row r="440">
      <c r="A440" s="16"/>
      <c r="B440" s="16"/>
      <c r="C440" s="16"/>
      <c r="D440" s="16"/>
      <c r="E440" s="16"/>
      <c r="F440" s="16"/>
      <c r="G440" s="42"/>
      <c r="H440" s="16"/>
      <c r="I440" s="42"/>
      <c r="J440" s="44"/>
      <c r="K440" s="44"/>
      <c r="L440" s="44"/>
      <c r="M440" s="46"/>
      <c r="N440" s="42"/>
      <c r="O440" s="42"/>
      <c r="P440" s="16"/>
      <c r="Q440" s="16"/>
    </row>
    <row r="441">
      <c r="A441" s="16"/>
      <c r="B441" s="16"/>
      <c r="C441" s="16"/>
      <c r="D441" s="16"/>
      <c r="E441" s="16"/>
      <c r="F441" s="16"/>
      <c r="G441" s="42"/>
      <c r="H441" s="16"/>
      <c r="I441" s="42"/>
      <c r="J441" s="44"/>
      <c r="K441" s="44"/>
      <c r="L441" s="44"/>
      <c r="M441" s="46"/>
      <c r="N441" s="42"/>
      <c r="O441" s="42"/>
      <c r="P441" s="16"/>
      <c r="Q441" s="16"/>
    </row>
    <row r="442">
      <c r="A442" s="16"/>
      <c r="B442" s="16"/>
      <c r="C442" s="16"/>
      <c r="D442" s="16"/>
      <c r="E442" s="16"/>
      <c r="F442" s="16"/>
      <c r="G442" s="42"/>
      <c r="H442" s="16"/>
      <c r="I442" s="42"/>
      <c r="J442" s="44"/>
      <c r="K442" s="44"/>
      <c r="L442" s="44"/>
      <c r="M442" s="46"/>
      <c r="N442" s="42"/>
      <c r="O442" s="42"/>
      <c r="P442" s="16"/>
      <c r="Q442" s="16"/>
    </row>
    <row r="443">
      <c r="A443" s="16"/>
      <c r="B443" s="16"/>
      <c r="C443" s="16"/>
      <c r="D443" s="16"/>
      <c r="E443" s="16"/>
      <c r="F443" s="16"/>
      <c r="G443" s="42"/>
      <c r="H443" s="16"/>
      <c r="I443" s="42"/>
      <c r="J443" s="44"/>
      <c r="K443" s="44"/>
      <c r="L443" s="44"/>
      <c r="M443" s="46"/>
      <c r="N443" s="42"/>
      <c r="O443" s="42"/>
      <c r="P443" s="16"/>
      <c r="Q443" s="16"/>
    </row>
    <row r="444">
      <c r="A444" s="16"/>
      <c r="B444" s="16"/>
      <c r="C444" s="16"/>
      <c r="D444" s="16"/>
      <c r="E444" s="16"/>
      <c r="F444" s="16"/>
      <c r="G444" s="42"/>
      <c r="H444" s="16"/>
      <c r="I444" s="42"/>
      <c r="J444" s="44"/>
      <c r="K444" s="44"/>
      <c r="L444" s="44"/>
      <c r="M444" s="46"/>
      <c r="N444" s="42"/>
      <c r="O444" s="42"/>
      <c r="P444" s="16"/>
      <c r="Q444" s="16"/>
    </row>
    <row r="445">
      <c r="A445" s="16"/>
      <c r="B445" s="16"/>
      <c r="C445" s="16"/>
      <c r="D445" s="16"/>
      <c r="E445" s="16"/>
      <c r="F445" s="16"/>
      <c r="G445" s="42"/>
      <c r="H445" s="16"/>
      <c r="I445" s="42"/>
      <c r="J445" s="44"/>
      <c r="K445" s="44"/>
      <c r="L445" s="44"/>
      <c r="M445" s="46"/>
      <c r="N445" s="42"/>
      <c r="O445" s="42"/>
      <c r="P445" s="16"/>
      <c r="Q445" s="16"/>
    </row>
    <row r="446">
      <c r="A446" s="16"/>
      <c r="B446" s="16"/>
      <c r="C446" s="16"/>
      <c r="D446" s="16"/>
      <c r="E446" s="16"/>
      <c r="F446" s="16"/>
      <c r="G446" s="42"/>
      <c r="H446" s="16"/>
      <c r="I446" s="42"/>
      <c r="J446" s="44"/>
      <c r="K446" s="44"/>
      <c r="L446" s="44"/>
      <c r="M446" s="46"/>
      <c r="N446" s="42"/>
      <c r="O446" s="42"/>
      <c r="P446" s="16"/>
      <c r="Q446" s="16"/>
    </row>
    <row r="447">
      <c r="A447" s="16"/>
      <c r="B447" s="16"/>
      <c r="C447" s="16"/>
      <c r="D447" s="16"/>
      <c r="E447" s="16"/>
      <c r="F447" s="16"/>
      <c r="G447" s="42"/>
      <c r="H447" s="16"/>
      <c r="I447" s="42"/>
      <c r="J447" s="44"/>
      <c r="K447" s="44"/>
      <c r="L447" s="44"/>
      <c r="M447" s="46"/>
      <c r="N447" s="42"/>
      <c r="O447" s="42"/>
      <c r="P447" s="16"/>
      <c r="Q447" s="16"/>
    </row>
    <row r="448">
      <c r="A448" s="16"/>
      <c r="B448" s="16"/>
      <c r="C448" s="16"/>
      <c r="D448" s="16"/>
      <c r="E448" s="16"/>
      <c r="F448" s="16"/>
      <c r="G448" s="42"/>
      <c r="H448" s="16"/>
      <c r="I448" s="42"/>
      <c r="J448" s="44"/>
      <c r="K448" s="44"/>
      <c r="L448" s="44"/>
      <c r="M448" s="46"/>
      <c r="N448" s="42"/>
      <c r="O448" s="42"/>
      <c r="P448" s="16"/>
      <c r="Q448" s="16"/>
    </row>
    <row r="449">
      <c r="A449" s="16"/>
      <c r="B449" s="16"/>
      <c r="C449" s="16"/>
      <c r="D449" s="16"/>
      <c r="E449" s="16"/>
      <c r="F449" s="16"/>
      <c r="G449" s="42"/>
      <c r="H449" s="16"/>
      <c r="I449" s="42"/>
      <c r="J449" s="44"/>
      <c r="K449" s="44"/>
      <c r="L449" s="44"/>
      <c r="M449" s="46"/>
      <c r="N449" s="42"/>
      <c r="O449" s="42"/>
      <c r="P449" s="16"/>
      <c r="Q449" s="16"/>
    </row>
    <row r="450">
      <c r="A450" s="16"/>
      <c r="B450" s="16"/>
      <c r="C450" s="16"/>
      <c r="D450" s="16"/>
      <c r="E450" s="16"/>
      <c r="F450" s="16"/>
      <c r="G450" s="42"/>
      <c r="H450" s="16"/>
      <c r="I450" s="42"/>
      <c r="J450" s="44"/>
      <c r="K450" s="44"/>
      <c r="L450" s="44"/>
      <c r="M450" s="46"/>
      <c r="N450" s="42"/>
      <c r="O450" s="42"/>
      <c r="P450" s="16"/>
      <c r="Q450" s="16"/>
    </row>
    <row r="451">
      <c r="A451" s="16"/>
      <c r="B451" s="16"/>
      <c r="C451" s="16"/>
      <c r="D451" s="16"/>
      <c r="E451" s="16"/>
      <c r="F451" s="16"/>
      <c r="G451" s="42"/>
      <c r="H451" s="16"/>
      <c r="I451" s="42"/>
      <c r="J451" s="44"/>
      <c r="K451" s="44"/>
      <c r="L451" s="44"/>
      <c r="M451" s="46"/>
      <c r="N451" s="42"/>
      <c r="O451" s="42"/>
      <c r="P451" s="16"/>
      <c r="Q451" s="16"/>
    </row>
    <row r="452">
      <c r="A452" s="16"/>
      <c r="B452" s="16"/>
      <c r="C452" s="16"/>
      <c r="D452" s="16"/>
      <c r="E452" s="16"/>
      <c r="F452" s="16"/>
      <c r="G452" s="42"/>
      <c r="H452" s="16"/>
      <c r="I452" s="42"/>
      <c r="J452" s="44"/>
      <c r="K452" s="44"/>
      <c r="L452" s="44"/>
      <c r="M452" s="46"/>
      <c r="N452" s="42"/>
      <c r="O452" s="42"/>
      <c r="P452" s="16"/>
      <c r="Q452" s="16"/>
    </row>
    <row r="453">
      <c r="A453" s="16"/>
      <c r="B453" s="16"/>
      <c r="C453" s="16"/>
      <c r="D453" s="16"/>
      <c r="E453" s="16"/>
      <c r="F453" s="16"/>
      <c r="G453" s="42"/>
      <c r="H453" s="16"/>
      <c r="I453" s="42"/>
      <c r="J453" s="44"/>
      <c r="K453" s="44"/>
      <c r="L453" s="44"/>
      <c r="M453" s="46"/>
      <c r="N453" s="42"/>
      <c r="O453" s="42"/>
      <c r="P453" s="16"/>
      <c r="Q453" s="16"/>
    </row>
    <row r="454">
      <c r="A454" s="16"/>
      <c r="B454" s="16"/>
      <c r="C454" s="16"/>
      <c r="D454" s="16"/>
      <c r="E454" s="16"/>
      <c r="F454" s="16"/>
      <c r="G454" s="42"/>
      <c r="H454" s="16"/>
      <c r="I454" s="42"/>
      <c r="J454" s="44"/>
      <c r="K454" s="44"/>
      <c r="L454" s="44"/>
      <c r="M454" s="46"/>
      <c r="N454" s="42"/>
      <c r="O454" s="42"/>
      <c r="P454" s="16"/>
      <c r="Q454" s="16"/>
    </row>
    <row r="455">
      <c r="A455" s="16"/>
      <c r="B455" s="16"/>
      <c r="C455" s="16"/>
      <c r="D455" s="16"/>
      <c r="E455" s="16"/>
      <c r="F455" s="16"/>
      <c r="G455" s="42"/>
      <c r="H455" s="16"/>
      <c r="I455" s="42"/>
      <c r="J455" s="44"/>
      <c r="K455" s="44"/>
      <c r="L455" s="44"/>
      <c r="M455" s="46"/>
      <c r="N455" s="42"/>
      <c r="O455" s="42"/>
      <c r="P455" s="16"/>
      <c r="Q455" s="16"/>
    </row>
    <row r="456">
      <c r="A456" s="16"/>
      <c r="B456" s="16"/>
      <c r="C456" s="16"/>
      <c r="D456" s="16"/>
      <c r="E456" s="16"/>
      <c r="F456" s="16"/>
      <c r="G456" s="42"/>
      <c r="H456" s="16"/>
      <c r="I456" s="42"/>
      <c r="J456" s="44"/>
      <c r="K456" s="44"/>
      <c r="L456" s="44"/>
      <c r="M456" s="46"/>
      <c r="N456" s="42"/>
      <c r="O456" s="42"/>
      <c r="P456" s="16"/>
      <c r="Q456" s="16"/>
    </row>
    <row r="457">
      <c r="A457" s="16"/>
      <c r="B457" s="16"/>
      <c r="C457" s="16"/>
      <c r="D457" s="16"/>
      <c r="E457" s="16"/>
      <c r="F457" s="16"/>
      <c r="G457" s="42"/>
      <c r="H457" s="16"/>
      <c r="I457" s="42"/>
      <c r="J457" s="44"/>
      <c r="K457" s="44"/>
      <c r="L457" s="44"/>
      <c r="M457" s="46"/>
      <c r="N457" s="42"/>
      <c r="O457" s="42"/>
      <c r="P457" s="16"/>
      <c r="Q457" s="16"/>
    </row>
    <row r="458">
      <c r="A458" s="16"/>
      <c r="B458" s="16"/>
      <c r="C458" s="16"/>
      <c r="D458" s="16"/>
      <c r="E458" s="16"/>
      <c r="F458" s="16"/>
      <c r="G458" s="42"/>
      <c r="H458" s="16"/>
      <c r="I458" s="42"/>
      <c r="J458" s="44"/>
      <c r="K458" s="44"/>
      <c r="L458" s="44"/>
      <c r="M458" s="46"/>
      <c r="N458" s="42"/>
      <c r="O458" s="42"/>
      <c r="P458" s="16"/>
      <c r="Q458" s="16"/>
    </row>
    <row r="459">
      <c r="A459" s="16"/>
      <c r="B459" s="16"/>
      <c r="C459" s="16"/>
      <c r="D459" s="16"/>
      <c r="E459" s="16"/>
      <c r="F459" s="16"/>
      <c r="G459" s="42"/>
      <c r="H459" s="16"/>
      <c r="I459" s="42"/>
      <c r="J459" s="44"/>
      <c r="K459" s="44"/>
      <c r="L459" s="44"/>
      <c r="M459" s="46"/>
      <c r="N459" s="42"/>
      <c r="O459" s="42"/>
      <c r="P459" s="16"/>
      <c r="Q459" s="16"/>
    </row>
    <row r="460">
      <c r="A460" s="16"/>
      <c r="B460" s="16"/>
      <c r="C460" s="16"/>
      <c r="D460" s="16"/>
      <c r="E460" s="16"/>
      <c r="F460" s="16"/>
      <c r="G460" s="42"/>
      <c r="H460" s="16"/>
      <c r="I460" s="42"/>
      <c r="J460" s="44"/>
      <c r="K460" s="44"/>
      <c r="L460" s="44"/>
      <c r="M460" s="46"/>
      <c r="N460" s="42"/>
      <c r="O460" s="42"/>
      <c r="P460" s="16"/>
      <c r="Q460" s="16"/>
    </row>
    <row r="461">
      <c r="A461" s="16"/>
      <c r="B461" s="16"/>
      <c r="C461" s="16"/>
      <c r="D461" s="16"/>
      <c r="E461" s="16"/>
      <c r="F461" s="16"/>
      <c r="G461" s="42"/>
      <c r="H461" s="16"/>
      <c r="I461" s="42"/>
      <c r="J461" s="44"/>
      <c r="K461" s="44"/>
      <c r="L461" s="44"/>
      <c r="M461" s="46"/>
      <c r="N461" s="42"/>
      <c r="O461" s="42"/>
      <c r="P461" s="16"/>
      <c r="Q461" s="16"/>
    </row>
    <row r="462">
      <c r="A462" s="16"/>
      <c r="B462" s="16"/>
      <c r="C462" s="16"/>
      <c r="D462" s="16"/>
      <c r="E462" s="16"/>
      <c r="F462" s="16"/>
      <c r="G462" s="42"/>
      <c r="H462" s="16"/>
      <c r="I462" s="42"/>
      <c r="J462" s="44"/>
      <c r="K462" s="44"/>
      <c r="L462" s="44"/>
      <c r="M462" s="46"/>
      <c r="N462" s="42"/>
      <c r="O462" s="42"/>
      <c r="P462" s="16"/>
      <c r="Q462" s="16"/>
    </row>
    <row r="463">
      <c r="A463" s="16"/>
      <c r="B463" s="16"/>
      <c r="C463" s="16"/>
      <c r="D463" s="16"/>
      <c r="E463" s="16"/>
      <c r="F463" s="16"/>
      <c r="G463" s="42"/>
      <c r="H463" s="16"/>
      <c r="I463" s="42"/>
      <c r="J463" s="44"/>
      <c r="K463" s="44"/>
      <c r="L463" s="44"/>
      <c r="M463" s="46"/>
      <c r="N463" s="42"/>
      <c r="O463" s="42"/>
      <c r="P463" s="16"/>
      <c r="Q463" s="16"/>
    </row>
    <row r="464">
      <c r="A464" s="16"/>
      <c r="B464" s="16"/>
      <c r="C464" s="16"/>
      <c r="D464" s="16"/>
      <c r="E464" s="16"/>
      <c r="F464" s="16"/>
      <c r="G464" s="42"/>
      <c r="H464" s="16"/>
      <c r="I464" s="42"/>
      <c r="J464" s="44"/>
      <c r="K464" s="44"/>
      <c r="L464" s="44"/>
      <c r="M464" s="46"/>
      <c r="N464" s="42"/>
      <c r="O464" s="42"/>
      <c r="P464" s="16"/>
      <c r="Q464" s="16"/>
    </row>
    <row r="465">
      <c r="A465" s="16"/>
      <c r="B465" s="16"/>
      <c r="C465" s="16"/>
      <c r="D465" s="16"/>
      <c r="E465" s="16"/>
      <c r="F465" s="16"/>
      <c r="G465" s="42"/>
      <c r="H465" s="16"/>
      <c r="I465" s="42"/>
      <c r="J465" s="44"/>
      <c r="K465" s="44"/>
      <c r="L465" s="44"/>
      <c r="M465" s="46"/>
      <c r="N465" s="42"/>
      <c r="O465" s="42"/>
      <c r="P465" s="16"/>
      <c r="Q465" s="16"/>
    </row>
    <row r="466">
      <c r="A466" s="16"/>
      <c r="B466" s="16"/>
      <c r="C466" s="16"/>
      <c r="D466" s="16"/>
      <c r="E466" s="16"/>
      <c r="F466" s="16"/>
      <c r="G466" s="42"/>
      <c r="H466" s="16"/>
      <c r="I466" s="42"/>
      <c r="J466" s="44"/>
      <c r="K466" s="44"/>
      <c r="L466" s="44"/>
      <c r="M466" s="46"/>
      <c r="N466" s="42"/>
      <c r="O466" s="42"/>
      <c r="P466" s="16"/>
      <c r="Q466" s="16"/>
    </row>
    <row r="467">
      <c r="A467" s="16"/>
      <c r="B467" s="16"/>
      <c r="C467" s="16"/>
      <c r="D467" s="16"/>
      <c r="E467" s="16"/>
      <c r="F467" s="16"/>
      <c r="G467" s="42"/>
      <c r="H467" s="16"/>
      <c r="I467" s="42"/>
      <c r="J467" s="44"/>
      <c r="K467" s="44"/>
      <c r="L467" s="44"/>
      <c r="M467" s="46"/>
      <c r="N467" s="42"/>
      <c r="O467" s="42"/>
      <c r="P467" s="16"/>
      <c r="Q467" s="16"/>
    </row>
    <row r="468">
      <c r="A468" s="16"/>
      <c r="B468" s="16"/>
      <c r="C468" s="16"/>
      <c r="D468" s="16"/>
      <c r="E468" s="16"/>
      <c r="F468" s="16"/>
      <c r="G468" s="42"/>
      <c r="H468" s="16"/>
      <c r="I468" s="42"/>
      <c r="J468" s="44"/>
      <c r="K468" s="44"/>
      <c r="L468" s="44"/>
      <c r="M468" s="46"/>
      <c r="N468" s="42"/>
      <c r="O468" s="42"/>
      <c r="P468" s="16"/>
      <c r="Q468" s="16"/>
    </row>
    <row r="469">
      <c r="A469" s="16"/>
      <c r="B469" s="16"/>
      <c r="C469" s="16"/>
      <c r="D469" s="16"/>
      <c r="E469" s="16"/>
      <c r="F469" s="16"/>
      <c r="G469" s="42"/>
      <c r="H469" s="16"/>
      <c r="I469" s="42"/>
      <c r="J469" s="44"/>
      <c r="K469" s="44"/>
      <c r="L469" s="44"/>
      <c r="M469" s="46"/>
      <c r="N469" s="42"/>
      <c r="O469" s="42"/>
      <c r="P469" s="16"/>
      <c r="Q469" s="16"/>
    </row>
    <row r="470">
      <c r="A470" s="16"/>
      <c r="B470" s="16"/>
      <c r="C470" s="16"/>
      <c r="D470" s="16"/>
      <c r="E470" s="16"/>
      <c r="F470" s="16"/>
      <c r="G470" s="42"/>
      <c r="H470" s="16"/>
      <c r="I470" s="42"/>
      <c r="J470" s="44"/>
      <c r="K470" s="44"/>
      <c r="L470" s="44"/>
      <c r="M470" s="46"/>
      <c r="N470" s="42"/>
      <c r="O470" s="42"/>
      <c r="P470" s="16"/>
      <c r="Q470" s="16"/>
    </row>
    <row r="471">
      <c r="A471" s="16"/>
      <c r="B471" s="16"/>
      <c r="C471" s="16"/>
      <c r="D471" s="16"/>
      <c r="E471" s="16"/>
      <c r="F471" s="16"/>
      <c r="G471" s="42"/>
      <c r="H471" s="16"/>
      <c r="I471" s="42"/>
      <c r="J471" s="44"/>
      <c r="K471" s="44"/>
      <c r="L471" s="44"/>
      <c r="M471" s="46"/>
      <c r="N471" s="42"/>
      <c r="O471" s="42"/>
      <c r="P471" s="16"/>
      <c r="Q471" s="16"/>
    </row>
    <row r="472">
      <c r="A472" s="16"/>
      <c r="B472" s="16"/>
      <c r="C472" s="16"/>
      <c r="D472" s="16"/>
      <c r="E472" s="16"/>
      <c r="F472" s="16"/>
      <c r="G472" s="42"/>
      <c r="H472" s="16"/>
      <c r="I472" s="42"/>
      <c r="J472" s="44"/>
      <c r="K472" s="44"/>
      <c r="L472" s="44"/>
      <c r="M472" s="46"/>
      <c r="N472" s="42"/>
      <c r="O472" s="42"/>
      <c r="P472" s="16"/>
      <c r="Q472" s="16"/>
    </row>
    <row r="473">
      <c r="A473" s="16"/>
      <c r="B473" s="16"/>
      <c r="C473" s="16"/>
      <c r="D473" s="16"/>
      <c r="E473" s="16"/>
      <c r="F473" s="16"/>
      <c r="G473" s="42"/>
      <c r="H473" s="16"/>
      <c r="I473" s="42"/>
      <c r="J473" s="44"/>
      <c r="K473" s="44"/>
      <c r="L473" s="44"/>
      <c r="M473" s="46"/>
      <c r="N473" s="42"/>
      <c r="O473" s="42"/>
      <c r="P473" s="16"/>
      <c r="Q473" s="16"/>
    </row>
    <row r="474">
      <c r="A474" s="16"/>
      <c r="B474" s="16"/>
      <c r="C474" s="16"/>
      <c r="D474" s="16"/>
      <c r="E474" s="16"/>
      <c r="F474" s="16"/>
      <c r="G474" s="42"/>
      <c r="H474" s="16"/>
      <c r="I474" s="42"/>
      <c r="J474" s="44"/>
      <c r="K474" s="44"/>
      <c r="L474" s="44"/>
      <c r="M474" s="46"/>
      <c r="N474" s="42"/>
      <c r="O474" s="42"/>
      <c r="P474" s="16"/>
      <c r="Q474" s="16"/>
    </row>
    <row r="475">
      <c r="A475" s="16"/>
      <c r="B475" s="16"/>
      <c r="C475" s="16"/>
      <c r="D475" s="16"/>
      <c r="E475" s="16"/>
      <c r="F475" s="16"/>
      <c r="G475" s="42"/>
      <c r="H475" s="16"/>
      <c r="I475" s="42"/>
      <c r="J475" s="44"/>
      <c r="K475" s="44"/>
      <c r="L475" s="44"/>
      <c r="M475" s="46"/>
      <c r="N475" s="42"/>
      <c r="O475" s="42"/>
      <c r="P475" s="16"/>
      <c r="Q475" s="16"/>
    </row>
    <row r="476">
      <c r="A476" s="16"/>
      <c r="B476" s="16"/>
      <c r="C476" s="16"/>
      <c r="D476" s="16"/>
      <c r="E476" s="16"/>
      <c r="F476" s="16"/>
      <c r="G476" s="42"/>
      <c r="H476" s="16"/>
      <c r="I476" s="42"/>
      <c r="J476" s="44"/>
      <c r="K476" s="44"/>
      <c r="L476" s="44"/>
      <c r="M476" s="46"/>
      <c r="N476" s="42"/>
      <c r="O476" s="42"/>
      <c r="P476" s="16"/>
      <c r="Q476" s="16"/>
    </row>
    <row r="477">
      <c r="A477" s="16"/>
      <c r="B477" s="16"/>
      <c r="C477" s="16"/>
      <c r="D477" s="16"/>
      <c r="E477" s="16"/>
      <c r="F477" s="16"/>
      <c r="G477" s="42"/>
      <c r="H477" s="16"/>
      <c r="I477" s="42"/>
      <c r="J477" s="44"/>
      <c r="K477" s="44"/>
      <c r="L477" s="44"/>
      <c r="M477" s="46"/>
      <c r="N477" s="42"/>
      <c r="O477" s="42"/>
      <c r="P477" s="16"/>
      <c r="Q477" s="16"/>
    </row>
    <row r="478">
      <c r="A478" s="16"/>
      <c r="B478" s="16"/>
      <c r="C478" s="16"/>
      <c r="D478" s="16"/>
      <c r="E478" s="16"/>
      <c r="F478" s="16"/>
      <c r="G478" s="42"/>
      <c r="H478" s="16"/>
      <c r="I478" s="42"/>
      <c r="J478" s="44"/>
      <c r="K478" s="44"/>
      <c r="L478" s="44"/>
      <c r="M478" s="46"/>
      <c r="N478" s="42"/>
      <c r="O478" s="42"/>
      <c r="P478" s="16"/>
      <c r="Q478" s="16"/>
    </row>
    <row r="479">
      <c r="A479" s="16"/>
      <c r="B479" s="16"/>
      <c r="C479" s="16"/>
      <c r="D479" s="16"/>
      <c r="E479" s="16"/>
      <c r="F479" s="16"/>
      <c r="G479" s="42"/>
      <c r="H479" s="16"/>
      <c r="I479" s="42"/>
      <c r="J479" s="44"/>
      <c r="K479" s="44"/>
      <c r="L479" s="44"/>
      <c r="M479" s="46"/>
      <c r="N479" s="42"/>
      <c r="O479" s="42"/>
      <c r="P479" s="16"/>
      <c r="Q479" s="16"/>
    </row>
    <row r="480">
      <c r="A480" s="16"/>
      <c r="B480" s="16"/>
      <c r="C480" s="16"/>
      <c r="D480" s="16"/>
      <c r="E480" s="16"/>
      <c r="F480" s="16"/>
      <c r="G480" s="42"/>
      <c r="H480" s="16"/>
      <c r="I480" s="42"/>
      <c r="J480" s="44"/>
      <c r="K480" s="44"/>
      <c r="L480" s="44"/>
      <c r="M480" s="46"/>
      <c r="N480" s="42"/>
      <c r="O480" s="42"/>
      <c r="P480" s="16"/>
      <c r="Q480" s="16"/>
    </row>
    <row r="481">
      <c r="A481" s="16"/>
      <c r="B481" s="16"/>
      <c r="C481" s="16"/>
      <c r="D481" s="16"/>
      <c r="E481" s="16"/>
      <c r="F481" s="16"/>
      <c r="G481" s="42"/>
      <c r="H481" s="16"/>
      <c r="I481" s="42"/>
      <c r="J481" s="44"/>
      <c r="K481" s="44"/>
      <c r="L481" s="44"/>
      <c r="M481" s="46"/>
      <c r="N481" s="42"/>
      <c r="O481" s="42"/>
      <c r="P481" s="16"/>
      <c r="Q481" s="16"/>
    </row>
    <row r="482">
      <c r="A482" s="16"/>
      <c r="B482" s="16"/>
      <c r="C482" s="16"/>
      <c r="D482" s="16"/>
      <c r="E482" s="16"/>
      <c r="F482" s="16"/>
      <c r="G482" s="42"/>
      <c r="H482" s="16"/>
      <c r="I482" s="42"/>
      <c r="J482" s="44"/>
      <c r="K482" s="44"/>
      <c r="L482" s="44"/>
      <c r="M482" s="46"/>
      <c r="N482" s="42"/>
      <c r="O482" s="42"/>
      <c r="P482" s="16"/>
      <c r="Q482" s="16"/>
    </row>
    <row r="483">
      <c r="A483" s="16"/>
      <c r="B483" s="16"/>
      <c r="C483" s="16"/>
      <c r="D483" s="16"/>
      <c r="E483" s="16"/>
      <c r="F483" s="16"/>
      <c r="G483" s="42"/>
      <c r="H483" s="16"/>
      <c r="I483" s="42"/>
      <c r="J483" s="44"/>
      <c r="K483" s="44"/>
      <c r="L483" s="44"/>
      <c r="M483" s="46"/>
      <c r="N483" s="42"/>
      <c r="O483" s="42"/>
      <c r="P483" s="16"/>
      <c r="Q483" s="16"/>
    </row>
    <row r="484">
      <c r="A484" s="16"/>
      <c r="B484" s="16"/>
      <c r="C484" s="16"/>
      <c r="D484" s="16"/>
      <c r="E484" s="16"/>
      <c r="F484" s="16"/>
      <c r="G484" s="42"/>
      <c r="H484" s="16"/>
      <c r="I484" s="42"/>
      <c r="J484" s="44"/>
      <c r="K484" s="44"/>
      <c r="L484" s="44"/>
      <c r="M484" s="46"/>
      <c r="N484" s="42"/>
      <c r="O484" s="42"/>
      <c r="P484" s="16"/>
      <c r="Q484" s="16"/>
    </row>
    <row r="485">
      <c r="A485" s="16"/>
      <c r="B485" s="16"/>
      <c r="C485" s="16"/>
      <c r="D485" s="16"/>
      <c r="E485" s="16"/>
      <c r="F485" s="16"/>
      <c r="G485" s="42"/>
      <c r="H485" s="16"/>
      <c r="I485" s="42"/>
      <c r="J485" s="44"/>
      <c r="K485" s="44"/>
      <c r="L485" s="44"/>
      <c r="M485" s="46"/>
      <c r="N485" s="42"/>
      <c r="O485" s="42"/>
      <c r="P485" s="16"/>
      <c r="Q485" s="16"/>
    </row>
    <row r="486">
      <c r="A486" s="16"/>
      <c r="B486" s="16"/>
      <c r="C486" s="16"/>
      <c r="D486" s="16"/>
      <c r="E486" s="16"/>
      <c r="F486" s="16"/>
      <c r="G486" s="42"/>
      <c r="H486" s="16"/>
      <c r="I486" s="42"/>
      <c r="J486" s="44"/>
      <c r="K486" s="44"/>
      <c r="L486" s="44"/>
      <c r="M486" s="46"/>
      <c r="N486" s="42"/>
      <c r="O486" s="42"/>
      <c r="P486" s="16"/>
      <c r="Q486" s="16"/>
    </row>
    <row r="487">
      <c r="A487" s="16"/>
      <c r="B487" s="16"/>
      <c r="C487" s="16"/>
      <c r="D487" s="16"/>
      <c r="E487" s="16"/>
      <c r="F487" s="16"/>
      <c r="G487" s="42"/>
      <c r="H487" s="16"/>
      <c r="I487" s="42"/>
      <c r="J487" s="44"/>
      <c r="K487" s="44"/>
      <c r="L487" s="44"/>
      <c r="M487" s="46"/>
      <c r="N487" s="42"/>
      <c r="O487" s="42"/>
      <c r="P487" s="16"/>
      <c r="Q487" s="16"/>
    </row>
    <row r="488">
      <c r="A488" s="16"/>
      <c r="B488" s="16"/>
      <c r="C488" s="16"/>
      <c r="D488" s="16"/>
      <c r="E488" s="16"/>
      <c r="F488" s="16"/>
      <c r="G488" s="42"/>
      <c r="H488" s="16"/>
      <c r="I488" s="42"/>
      <c r="J488" s="44"/>
      <c r="K488" s="44"/>
      <c r="L488" s="44"/>
      <c r="M488" s="46"/>
      <c r="N488" s="42"/>
      <c r="O488" s="42"/>
      <c r="P488" s="16"/>
      <c r="Q488" s="16"/>
    </row>
    <row r="489">
      <c r="A489" s="16"/>
      <c r="B489" s="16"/>
      <c r="C489" s="16"/>
      <c r="D489" s="16"/>
      <c r="E489" s="16"/>
      <c r="F489" s="16"/>
      <c r="G489" s="42"/>
      <c r="H489" s="16"/>
      <c r="I489" s="42"/>
      <c r="J489" s="44"/>
      <c r="K489" s="44"/>
      <c r="L489" s="44"/>
      <c r="M489" s="46"/>
      <c r="N489" s="42"/>
      <c r="O489" s="42"/>
      <c r="P489" s="16"/>
      <c r="Q489" s="16"/>
    </row>
    <row r="490">
      <c r="A490" s="16"/>
      <c r="B490" s="16"/>
      <c r="C490" s="16"/>
      <c r="D490" s="16"/>
      <c r="E490" s="16"/>
      <c r="F490" s="16"/>
      <c r="G490" s="42"/>
      <c r="H490" s="16"/>
      <c r="I490" s="42"/>
      <c r="J490" s="44"/>
      <c r="K490" s="44"/>
      <c r="L490" s="44"/>
      <c r="M490" s="46"/>
      <c r="N490" s="42"/>
      <c r="O490" s="42"/>
      <c r="P490" s="16"/>
      <c r="Q490" s="16"/>
    </row>
    <row r="491">
      <c r="A491" s="16"/>
      <c r="B491" s="16"/>
      <c r="C491" s="16"/>
      <c r="D491" s="16"/>
      <c r="E491" s="16"/>
      <c r="F491" s="16"/>
      <c r="G491" s="42"/>
      <c r="H491" s="16"/>
      <c r="I491" s="42"/>
      <c r="J491" s="44"/>
      <c r="K491" s="44"/>
      <c r="L491" s="44"/>
      <c r="M491" s="46"/>
      <c r="N491" s="42"/>
      <c r="O491" s="42"/>
      <c r="P491" s="16"/>
      <c r="Q491" s="16"/>
    </row>
    <row r="492">
      <c r="A492" s="16"/>
      <c r="B492" s="16"/>
      <c r="C492" s="16"/>
      <c r="D492" s="16"/>
      <c r="E492" s="16"/>
      <c r="F492" s="16"/>
      <c r="G492" s="42"/>
      <c r="H492" s="16"/>
      <c r="I492" s="42"/>
      <c r="J492" s="44"/>
      <c r="K492" s="44"/>
      <c r="L492" s="44"/>
      <c r="M492" s="46"/>
      <c r="N492" s="42"/>
      <c r="O492" s="42"/>
      <c r="P492" s="16"/>
      <c r="Q492" s="16"/>
    </row>
    <row r="493">
      <c r="A493" s="16"/>
      <c r="B493" s="16"/>
      <c r="C493" s="16"/>
      <c r="D493" s="16"/>
      <c r="E493" s="16"/>
      <c r="F493" s="16"/>
      <c r="G493" s="42"/>
      <c r="H493" s="16"/>
      <c r="I493" s="42"/>
      <c r="J493" s="44"/>
      <c r="K493" s="44"/>
      <c r="L493" s="44"/>
      <c r="M493" s="46"/>
      <c r="N493" s="42"/>
      <c r="O493" s="42"/>
      <c r="P493" s="16"/>
      <c r="Q493" s="16"/>
    </row>
    <row r="494">
      <c r="A494" s="16"/>
      <c r="B494" s="16"/>
      <c r="C494" s="16"/>
      <c r="D494" s="16"/>
      <c r="E494" s="16"/>
      <c r="F494" s="16"/>
      <c r="G494" s="42"/>
      <c r="H494" s="16"/>
      <c r="I494" s="42"/>
      <c r="J494" s="44"/>
      <c r="K494" s="44"/>
      <c r="L494" s="44"/>
      <c r="M494" s="46"/>
      <c r="N494" s="42"/>
      <c r="O494" s="42"/>
      <c r="P494" s="16"/>
      <c r="Q494" s="16"/>
    </row>
    <row r="495">
      <c r="A495" s="16"/>
      <c r="B495" s="16"/>
      <c r="C495" s="16"/>
      <c r="D495" s="16"/>
      <c r="E495" s="16"/>
      <c r="F495" s="16"/>
      <c r="G495" s="42"/>
      <c r="H495" s="16"/>
      <c r="I495" s="42"/>
      <c r="J495" s="44"/>
      <c r="K495" s="44"/>
      <c r="L495" s="44"/>
      <c r="M495" s="46"/>
      <c r="N495" s="42"/>
      <c r="O495" s="42"/>
      <c r="P495" s="16"/>
      <c r="Q495" s="16"/>
    </row>
    <row r="496">
      <c r="A496" s="16"/>
      <c r="B496" s="16"/>
      <c r="C496" s="16"/>
      <c r="D496" s="16"/>
      <c r="E496" s="16"/>
      <c r="F496" s="16"/>
      <c r="G496" s="42"/>
      <c r="H496" s="16"/>
      <c r="I496" s="42"/>
      <c r="J496" s="44"/>
      <c r="K496" s="44"/>
      <c r="L496" s="44"/>
      <c r="M496" s="46"/>
      <c r="N496" s="42"/>
      <c r="O496" s="42"/>
      <c r="P496" s="16"/>
      <c r="Q496" s="16"/>
    </row>
    <row r="497">
      <c r="A497" s="16"/>
      <c r="B497" s="16"/>
      <c r="C497" s="16"/>
      <c r="D497" s="16"/>
      <c r="E497" s="16"/>
      <c r="F497" s="16"/>
      <c r="G497" s="42"/>
      <c r="H497" s="16"/>
      <c r="I497" s="42"/>
      <c r="J497" s="44"/>
      <c r="K497" s="44"/>
      <c r="L497" s="44"/>
      <c r="M497" s="46"/>
      <c r="N497" s="42"/>
      <c r="O497" s="42"/>
      <c r="P497" s="16"/>
      <c r="Q497" s="16"/>
    </row>
    <row r="498">
      <c r="A498" s="16"/>
      <c r="B498" s="16"/>
      <c r="C498" s="16"/>
      <c r="D498" s="16"/>
      <c r="E498" s="16"/>
      <c r="F498" s="16"/>
      <c r="G498" s="42"/>
      <c r="H498" s="16"/>
      <c r="I498" s="42"/>
      <c r="J498" s="44"/>
      <c r="K498" s="44"/>
      <c r="L498" s="44"/>
      <c r="M498" s="46"/>
      <c r="N498" s="42"/>
      <c r="O498" s="42"/>
      <c r="P498" s="16"/>
      <c r="Q498" s="16"/>
    </row>
    <row r="499">
      <c r="A499" s="16"/>
      <c r="B499" s="16"/>
      <c r="C499" s="16"/>
      <c r="D499" s="16"/>
      <c r="E499" s="16"/>
      <c r="F499" s="16"/>
      <c r="G499" s="42"/>
      <c r="H499" s="16"/>
      <c r="I499" s="42"/>
      <c r="J499" s="44"/>
      <c r="K499" s="44"/>
      <c r="L499" s="44"/>
      <c r="M499" s="46"/>
      <c r="N499" s="42"/>
      <c r="O499" s="42"/>
      <c r="P499" s="16"/>
      <c r="Q499" s="16"/>
    </row>
    <row r="500">
      <c r="A500" s="16"/>
      <c r="B500" s="16"/>
      <c r="C500" s="16"/>
      <c r="D500" s="16"/>
      <c r="E500" s="16"/>
      <c r="F500" s="16"/>
      <c r="G500" s="42"/>
      <c r="H500" s="16"/>
      <c r="I500" s="42"/>
      <c r="J500" s="44"/>
      <c r="K500" s="44"/>
      <c r="L500" s="44"/>
      <c r="M500" s="46"/>
      <c r="N500" s="42"/>
      <c r="O500" s="42"/>
      <c r="P500" s="16"/>
      <c r="Q500" s="16"/>
    </row>
    <row r="501">
      <c r="A501" s="16"/>
      <c r="B501" s="16"/>
      <c r="C501" s="16"/>
      <c r="D501" s="16"/>
      <c r="E501" s="16"/>
      <c r="F501" s="16"/>
      <c r="G501" s="42"/>
      <c r="H501" s="16"/>
      <c r="I501" s="42"/>
      <c r="J501" s="44"/>
      <c r="K501" s="44"/>
      <c r="L501" s="44"/>
      <c r="M501" s="46"/>
      <c r="N501" s="42"/>
      <c r="O501" s="42"/>
      <c r="P501" s="16"/>
      <c r="Q501" s="16"/>
    </row>
    <row r="502">
      <c r="A502" s="16"/>
      <c r="B502" s="16"/>
      <c r="C502" s="16"/>
      <c r="D502" s="16"/>
      <c r="E502" s="16"/>
      <c r="F502" s="16"/>
      <c r="G502" s="42"/>
      <c r="H502" s="16"/>
      <c r="I502" s="42"/>
      <c r="J502" s="44"/>
      <c r="K502" s="44"/>
      <c r="L502" s="44"/>
      <c r="M502" s="46"/>
      <c r="N502" s="42"/>
      <c r="O502" s="42"/>
      <c r="P502" s="16"/>
      <c r="Q502" s="16"/>
    </row>
    <row r="503">
      <c r="A503" s="16"/>
      <c r="B503" s="16"/>
      <c r="C503" s="16"/>
      <c r="D503" s="16"/>
      <c r="E503" s="16"/>
      <c r="F503" s="16"/>
      <c r="G503" s="42"/>
      <c r="H503" s="16"/>
      <c r="I503" s="42"/>
      <c r="J503" s="44"/>
      <c r="K503" s="44"/>
      <c r="L503" s="44"/>
      <c r="M503" s="46"/>
      <c r="N503" s="42"/>
      <c r="O503" s="42"/>
      <c r="P503" s="16"/>
      <c r="Q503" s="16"/>
    </row>
    <row r="504">
      <c r="A504" s="16"/>
      <c r="B504" s="16"/>
      <c r="C504" s="16"/>
      <c r="D504" s="16"/>
      <c r="E504" s="16"/>
      <c r="F504" s="16"/>
      <c r="G504" s="42"/>
      <c r="H504" s="16"/>
      <c r="I504" s="42"/>
      <c r="J504" s="44"/>
      <c r="K504" s="44"/>
      <c r="L504" s="44"/>
      <c r="M504" s="46"/>
      <c r="N504" s="42"/>
      <c r="O504" s="42"/>
      <c r="P504" s="16"/>
      <c r="Q504" s="16"/>
    </row>
    <row r="505">
      <c r="A505" s="16"/>
      <c r="B505" s="16"/>
      <c r="C505" s="16"/>
      <c r="D505" s="16"/>
      <c r="E505" s="16"/>
      <c r="F505" s="16"/>
      <c r="G505" s="42"/>
      <c r="H505" s="16"/>
      <c r="I505" s="42"/>
      <c r="J505" s="44"/>
      <c r="K505" s="44"/>
      <c r="L505" s="44"/>
      <c r="M505" s="46"/>
      <c r="N505" s="42"/>
      <c r="O505" s="42"/>
      <c r="P505" s="16"/>
      <c r="Q505" s="16"/>
    </row>
    <row r="506">
      <c r="A506" s="16"/>
      <c r="B506" s="16"/>
      <c r="C506" s="16"/>
      <c r="D506" s="16"/>
      <c r="E506" s="16"/>
      <c r="F506" s="16"/>
      <c r="G506" s="42"/>
      <c r="H506" s="16"/>
      <c r="I506" s="42"/>
      <c r="J506" s="44"/>
      <c r="K506" s="44"/>
      <c r="L506" s="44"/>
      <c r="M506" s="46"/>
      <c r="N506" s="42"/>
      <c r="O506" s="42"/>
      <c r="P506" s="16"/>
      <c r="Q506" s="16"/>
    </row>
    <row r="507">
      <c r="A507" s="16"/>
      <c r="B507" s="16"/>
      <c r="C507" s="16"/>
      <c r="D507" s="16"/>
      <c r="E507" s="16"/>
      <c r="F507" s="16"/>
      <c r="G507" s="42"/>
      <c r="H507" s="16"/>
      <c r="I507" s="42"/>
      <c r="J507" s="44"/>
      <c r="K507" s="44"/>
      <c r="L507" s="44"/>
      <c r="M507" s="46"/>
      <c r="N507" s="42"/>
      <c r="O507" s="42"/>
      <c r="P507" s="16"/>
      <c r="Q507" s="16"/>
    </row>
    <row r="508">
      <c r="A508" s="16"/>
      <c r="B508" s="16"/>
      <c r="C508" s="16"/>
      <c r="D508" s="16"/>
      <c r="E508" s="16"/>
      <c r="F508" s="16"/>
      <c r="G508" s="42"/>
      <c r="H508" s="16"/>
      <c r="I508" s="42"/>
      <c r="J508" s="44"/>
      <c r="K508" s="44"/>
      <c r="L508" s="44"/>
      <c r="M508" s="46"/>
      <c r="N508" s="42"/>
      <c r="O508" s="42"/>
      <c r="P508" s="16"/>
      <c r="Q508" s="16"/>
    </row>
    <row r="509">
      <c r="A509" s="16"/>
      <c r="B509" s="16"/>
      <c r="C509" s="16"/>
      <c r="D509" s="16"/>
      <c r="E509" s="16"/>
      <c r="F509" s="16"/>
      <c r="G509" s="42"/>
      <c r="H509" s="16"/>
      <c r="I509" s="42"/>
      <c r="J509" s="44"/>
      <c r="K509" s="44"/>
      <c r="L509" s="44"/>
      <c r="M509" s="46"/>
      <c r="N509" s="42"/>
      <c r="O509" s="42"/>
      <c r="P509" s="16"/>
      <c r="Q509" s="16"/>
    </row>
    <row r="510">
      <c r="A510" s="16"/>
      <c r="B510" s="16"/>
      <c r="C510" s="16"/>
      <c r="D510" s="16"/>
      <c r="E510" s="16"/>
      <c r="F510" s="16"/>
      <c r="G510" s="42"/>
      <c r="H510" s="16"/>
      <c r="I510" s="42"/>
      <c r="J510" s="44"/>
      <c r="K510" s="44"/>
      <c r="L510" s="44"/>
      <c r="M510" s="46"/>
      <c r="N510" s="42"/>
      <c r="O510" s="42"/>
      <c r="P510" s="16"/>
      <c r="Q510" s="16"/>
    </row>
    <row r="511">
      <c r="A511" s="16"/>
      <c r="B511" s="16"/>
      <c r="C511" s="16"/>
      <c r="D511" s="16"/>
      <c r="E511" s="16"/>
      <c r="F511" s="16"/>
      <c r="G511" s="42"/>
      <c r="H511" s="16"/>
      <c r="I511" s="42"/>
      <c r="J511" s="44"/>
      <c r="K511" s="44"/>
      <c r="L511" s="44"/>
      <c r="M511" s="46"/>
      <c r="N511" s="42"/>
      <c r="O511" s="42"/>
      <c r="P511" s="16"/>
      <c r="Q511" s="16"/>
    </row>
    <row r="512">
      <c r="A512" s="16"/>
      <c r="B512" s="16"/>
      <c r="C512" s="16"/>
      <c r="D512" s="16"/>
      <c r="E512" s="16"/>
      <c r="F512" s="16"/>
      <c r="G512" s="42"/>
      <c r="H512" s="16"/>
      <c r="I512" s="42"/>
      <c r="J512" s="44"/>
      <c r="K512" s="44"/>
      <c r="L512" s="44"/>
      <c r="M512" s="46"/>
      <c r="N512" s="42"/>
      <c r="O512" s="42"/>
      <c r="P512" s="16"/>
      <c r="Q512" s="16"/>
    </row>
    <row r="513">
      <c r="A513" s="16"/>
      <c r="B513" s="16"/>
      <c r="C513" s="16"/>
      <c r="D513" s="16"/>
      <c r="E513" s="16"/>
      <c r="F513" s="16"/>
      <c r="G513" s="42"/>
      <c r="H513" s="16"/>
      <c r="I513" s="42"/>
      <c r="J513" s="44"/>
      <c r="K513" s="44"/>
      <c r="L513" s="44"/>
      <c r="M513" s="46"/>
      <c r="N513" s="42"/>
      <c r="O513" s="42"/>
      <c r="P513" s="16"/>
      <c r="Q513" s="16"/>
    </row>
    <row r="514">
      <c r="A514" s="16"/>
      <c r="B514" s="16"/>
      <c r="C514" s="16"/>
      <c r="D514" s="16"/>
      <c r="E514" s="16"/>
      <c r="F514" s="16"/>
      <c r="G514" s="42"/>
      <c r="H514" s="16"/>
      <c r="I514" s="42"/>
      <c r="J514" s="44"/>
      <c r="K514" s="44"/>
      <c r="L514" s="44"/>
      <c r="M514" s="46"/>
      <c r="N514" s="42"/>
      <c r="O514" s="42"/>
      <c r="P514" s="16"/>
      <c r="Q514" s="16"/>
    </row>
    <row r="515">
      <c r="A515" s="16"/>
      <c r="B515" s="16"/>
      <c r="C515" s="16"/>
      <c r="D515" s="16"/>
      <c r="E515" s="16"/>
      <c r="F515" s="16"/>
      <c r="G515" s="42"/>
      <c r="H515" s="16"/>
      <c r="I515" s="42"/>
      <c r="J515" s="44"/>
      <c r="K515" s="44"/>
      <c r="L515" s="44"/>
      <c r="M515" s="46"/>
      <c r="N515" s="42"/>
      <c r="O515" s="42"/>
      <c r="P515" s="16"/>
      <c r="Q515" s="16"/>
    </row>
    <row r="516">
      <c r="A516" s="16"/>
      <c r="B516" s="16"/>
      <c r="C516" s="16"/>
      <c r="D516" s="16"/>
      <c r="E516" s="16"/>
      <c r="F516" s="16"/>
      <c r="G516" s="42"/>
      <c r="H516" s="16"/>
      <c r="I516" s="42"/>
      <c r="J516" s="44"/>
      <c r="K516" s="44"/>
      <c r="L516" s="44"/>
      <c r="M516" s="46"/>
      <c r="N516" s="42"/>
      <c r="O516" s="42"/>
      <c r="P516" s="16"/>
      <c r="Q516" s="16"/>
    </row>
    <row r="517">
      <c r="A517" s="16"/>
      <c r="B517" s="16"/>
      <c r="C517" s="16"/>
      <c r="D517" s="16"/>
      <c r="E517" s="16"/>
      <c r="F517" s="16"/>
      <c r="G517" s="42"/>
      <c r="H517" s="16"/>
      <c r="I517" s="42"/>
      <c r="J517" s="44"/>
      <c r="K517" s="44"/>
      <c r="L517" s="44"/>
      <c r="M517" s="46"/>
      <c r="N517" s="42"/>
      <c r="O517" s="42"/>
      <c r="P517" s="16"/>
      <c r="Q517" s="16"/>
    </row>
    <row r="518">
      <c r="A518" s="16"/>
      <c r="B518" s="16"/>
      <c r="C518" s="16"/>
      <c r="D518" s="16"/>
      <c r="E518" s="16"/>
      <c r="F518" s="16"/>
      <c r="G518" s="42"/>
      <c r="H518" s="16"/>
      <c r="I518" s="42"/>
      <c r="J518" s="44"/>
      <c r="K518" s="44"/>
      <c r="L518" s="44"/>
      <c r="M518" s="46"/>
      <c r="N518" s="42"/>
      <c r="O518" s="42"/>
      <c r="P518" s="16"/>
      <c r="Q518" s="16"/>
    </row>
    <row r="519">
      <c r="A519" s="16"/>
      <c r="B519" s="16"/>
      <c r="C519" s="16"/>
      <c r="D519" s="16"/>
      <c r="E519" s="16"/>
      <c r="F519" s="16"/>
      <c r="G519" s="42"/>
      <c r="H519" s="16"/>
      <c r="I519" s="42"/>
      <c r="J519" s="44"/>
      <c r="K519" s="44"/>
      <c r="L519" s="44"/>
      <c r="M519" s="46"/>
      <c r="N519" s="42"/>
      <c r="O519" s="42"/>
      <c r="P519" s="16"/>
      <c r="Q519" s="16"/>
    </row>
    <row r="520">
      <c r="A520" s="16"/>
      <c r="B520" s="16"/>
      <c r="C520" s="16"/>
      <c r="D520" s="16"/>
      <c r="E520" s="16"/>
      <c r="F520" s="16"/>
      <c r="G520" s="42"/>
      <c r="H520" s="16"/>
      <c r="I520" s="42"/>
      <c r="J520" s="44"/>
      <c r="K520" s="44"/>
      <c r="L520" s="44"/>
      <c r="M520" s="46"/>
      <c r="N520" s="42"/>
      <c r="O520" s="42"/>
      <c r="P520" s="16"/>
      <c r="Q520" s="16"/>
    </row>
    <row r="521">
      <c r="A521" s="16"/>
      <c r="B521" s="16"/>
      <c r="C521" s="16"/>
      <c r="D521" s="16"/>
      <c r="E521" s="16"/>
      <c r="F521" s="16"/>
      <c r="G521" s="42"/>
      <c r="H521" s="16"/>
      <c r="I521" s="42"/>
      <c r="J521" s="44"/>
      <c r="K521" s="44"/>
      <c r="L521" s="44"/>
      <c r="M521" s="46"/>
      <c r="N521" s="42"/>
      <c r="O521" s="42"/>
      <c r="P521" s="16"/>
      <c r="Q521" s="16"/>
    </row>
    <row r="522">
      <c r="A522" s="16"/>
      <c r="B522" s="16"/>
      <c r="C522" s="16"/>
      <c r="D522" s="16"/>
      <c r="E522" s="16"/>
      <c r="F522" s="16"/>
      <c r="G522" s="42"/>
      <c r="H522" s="16"/>
      <c r="I522" s="42"/>
      <c r="J522" s="44"/>
      <c r="K522" s="44"/>
      <c r="L522" s="44"/>
      <c r="M522" s="46"/>
      <c r="N522" s="42"/>
      <c r="O522" s="42"/>
      <c r="P522" s="16"/>
      <c r="Q522" s="16"/>
    </row>
    <row r="523">
      <c r="A523" s="16"/>
      <c r="B523" s="16"/>
      <c r="C523" s="16"/>
      <c r="D523" s="16"/>
      <c r="E523" s="16"/>
      <c r="F523" s="16"/>
      <c r="G523" s="42"/>
      <c r="H523" s="16"/>
      <c r="I523" s="42"/>
      <c r="J523" s="44"/>
      <c r="K523" s="44"/>
      <c r="L523" s="44"/>
      <c r="M523" s="46"/>
      <c r="N523" s="42"/>
      <c r="O523" s="42"/>
      <c r="P523" s="16"/>
      <c r="Q523" s="16"/>
    </row>
    <row r="524">
      <c r="A524" s="16"/>
      <c r="B524" s="16"/>
      <c r="C524" s="16"/>
      <c r="D524" s="16"/>
      <c r="E524" s="16"/>
      <c r="F524" s="16"/>
      <c r="G524" s="42"/>
      <c r="H524" s="16"/>
      <c r="I524" s="42"/>
      <c r="J524" s="44"/>
      <c r="K524" s="44"/>
      <c r="L524" s="44"/>
      <c r="M524" s="46"/>
      <c r="N524" s="42"/>
      <c r="O524" s="42"/>
      <c r="P524" s="16"/>
      <c r="Q524" s="16"/>
    </row>
    <row r="525">
      <c r="A525" s="16"/>
      <c r="B525" s="16"/>
      <c r="C525" s="16"/>
      <c r="D525" s="16"/>
      <c r="E525" s="16"/>
      <c r="F525" s="16"/>
      <c r="G525" s="42"/>
      <c r="H525" s="16"/>
      <c r="I525" s="42"/>
      <c r="J525" s="44"/>
      <c r="K525" s="44"/>
      <c r="L525" s="44"/>
      <c r="M525" s="46"/>
      <c r="N525" s="42"/>
      <c r="O525" s="42"/>
      <c r="P525" s="16"/>
      <c r="Q525" s="16"/>
    </row>
    <row r="526">
      <c r="A526" s="16"/>
      <c r="B526" s="16"/>
      <c r="C526" s="16"/>
      <c r="D526" s="16"/>
      <c r="E526" s="16"/>
      <c r="F526" s="16"/>
      <c r="G526" s="42"/>
      <c r="H526" s="16"/>
      <c r="I526" s="42"/>
      <c r="J526" s="44"/>
      <c r="K526" s="44"/>
      <c r="L526" s="44"/>
      <c r="M526" s="46"/>
      <c r="N526" s="42"/>
      <c r="O526" s="42"/>
      <c r="P526" s="16"/>
      <c r="Q526" s="16"/>
    </row>
    <row r="527">
      <c r="A527" s="16"/>
      <c r="B527" s="16"/>
      <c r="C527" s="16"/>
      <c r="D527" s="16"/>
      <c r="E527" s="16"/>
      <c r="F527" s="16"/>
      <c r="G527" s="42"/>
      <c r="H527" s="16"/>
      <c r="I527" s="42"/>
      <c r="J527" s="44"/>
      <c r="K527" s="44"/>
      <c r="L527" s="44"/>
      <c r="M527" s="46"/>
      <c r="N527" s="42"/>
      <c r="O527" s="42"/>
      <c r="P527" s="16"/>
      <c r="Q527" s="16"/>
    </row>
    <row r="528">
      <c r="A528" s="16"/>
      <c r="B528" s="16"/>
      <c r="C528" s="16"/>
      <c r="D528" s="16"/>
      <c r="E528" s="16"/>
      <c r="F528" s="16"/>
      <c r="G528" s="42"/>
      <c r="H528" s="16"/>
      <c r="I528" s="42"/>
      <c r="J528" s="44"/>
      <c r="K528" s="44"/>
      <c r="L528" s="44"/>
      <c r="M528" s="46"/>
      <c r="N528" s="42"/>
      <c r="O528" s="42"/>
      <c r="P528" s="16"/>
      <c r="Q528" s="16"/>
    </row>
    <row r="529">
      <c r="A529" s="16"/>
      <c r="B529" s="16"/>
      <c r="C529" s="16"/>
      <c r="D529" s="16"/>
      <c r="E529" s="16"/>
      <c r="F529" s="16"/>
      <c r="G529" s="42"/>
      <c r="H529" s="16"/>
      <c r="I529" s="42"/>
      <c r="J529" s="44"/>
      <c r="K529" s="44"/>
      <c r="L529" s="44"/>
      <c r="M529" s="46"/>
      <c r="N529" s="42"/>
      <c r="O529" s="42"/>
      <c r="P529" s="16"/>
      <c r="Q529" s="16"/>
    </row>
    <row r="530">
      <c r="A530" s="16"/>
      <c r="B530" s="16"/>
      <c r="C530" s="16"/>
      <c r="D530" s="16"/>
      <c r="E530" s="16"/>
      <c r="F530" s="16"/>
      <c r="G530" s="42"/>
      <c r="H530" s="16"/>
      <c r="I530" s="42"/>
      <c r="J530" s="44"/>
      <c r="K530" s="44"/>
      <c r="L530" s="44"/>
      <c r="M530" s="46"/>
      <c r="N530" s="42"/>
      <c r="O530" s="42"/>
      <c r="P530" s="16"/>
      <c r="Q530" s="16"/>
    </row>
    <row r="531">
      <c r="A531" s="16"/>
      <c r="B531" s="16"/>
      <c r="C531" s="16"/>
      <c r="D531" s="16"/>
      <c r="E531" s="16"/>
      <c r="F531" s="16"/>
      <c r="G531" s="42"/>
      <c r="H531" s="16"/>
      <c r="I531" s="42"/>
      <c r="J531" s="44"/>
      <c r="K531" s="44"/>
      <c r="L531" s="44"/>
      <c r="M531" s="46"/>
      <c r="N531" s="42"/>
      <c r="O531" s="42"/>
      <c r="P531" s="16"/>
      <c r="Q531" s="16"/>
    </row>
    <row r="532">
      <c r="A532" s="16"/>
      <c r="B532" s="16"/>
      <c r="C532" s="16"/>
      <c r="D532" s="16"/>
      <c r="E532" s="16"/>
      <c r="F532" s="16"/>
      <c r="G532" s="42"/>
      <c r="H532" s="16"/>
      <c r="I532" s="42"/>
      <c r="J532" s="44"/>
      <c r="K532" s="44"/>
      <c r="L532" s="44"/>
      <c r="M532" s="46"/>
      <c r="N532" s="42"/>
      <c r="O532" s="42"/>
      <c r="P532" s="16"/>
      <c r="Q532" s="16"/>
    </row>
    <row r="533">
      <c r="A533" s="16"/>
      <c r="B533" s="16"/>
      <c r="C533" s="16"/>
      <c r="D533" s="16"/>
      <c r="E533" s="16"/>
      <c r="F533" s="16"/>
      <c r="G533" s="42"/>
      <c r="H533" s="16"/>
      <c r="I533" s="42"/>
      <c r="J533" s="44"/>
      <c r="K533" s="44"/>
      <c r="L533" s="44"/>
      <c r="M533" s="46"/>
      <c r="N533" s="42"/>
      <c r="O533" s="42"/>
      <c r="P533" s="16"/>
      <c r="Q533" s="16"/>
    </row>
    <row r="534">
      <c r="A534" s="16"/>
      <c r="B534" s="16"/>
      <c r="C534" s="16"/>
      <c r="D534" s="16"/>
      <c r="E534" s="16"/>
      <c r="F534" s="16"/>
      <c r="G534" s="42"/>
      <c r="H534" s="16"/>
      <c r="I534" s="42"/>
      <c r="J534" s="44"/>
      <c r="K534" s="44"/>
      <c r="L534" s="44"/>
      <c r="M534" s="46"/>
      <c r="N534" s="42"/>
      <c r="O534" s="42"/>
      <c r="P534" s="16"/>
      <c r="Q534" s="16"/>
    </row>
    <row r="535">
      <c r="A535" s="16"/>
      <c r="B535" s="16"/>
      <c r="C535" s="16"/>
      <c r="D535" s="16"/>
      <c r="E535" s="16"/>
      <c r="F535" s="16"/>
      <c r="G535" s="42"/>
      <c r="H535" s="16"/>
      <c r="I535" s="42"/>
      <c r="J535" s="44"/>
      <c r="K535" s="44"/>
      <c r="L535" s="44"/>
      <c r="M535" s="46"/>
      <c r="N535" s="42"/>
      <c r="O535" s="42"/>
      <c r="P535" s="16"/>
      <c r="Q535" s="16"/>
    </row>
    <row r="536">
      <c r="A536" s="16"/>
      <c r="B536" s="16"/>
      <c r="C536" s="16"/>
      <c r="D536" s="16"/>
      <c r="E536" s="16"/>
      <c r="F536" s="16"/>
      <c r="G536" s="42"/>
      <c r="H536" s="16"/>
      <c r="I536" s="42"/>
      <c r="J536" s="44"/>
      <c r="K536" s="44"/>
      <c r="L536" s="44"/>
      <c r="M536" s="46"/>
      <c r="N536" s="42"/>
      <c r="O536" s="42"/>
      <c r="P536" s="16"/>
      <c r="Q536" s="16"/>
    </row>
    <row r="537">
      <c r="A537" s="16"/>
      <c r="B537" s="16"/>
      <c r="C537" s="16"/>
      <c r="D537" s="16"/>
      <c r="E537" s="16"/>
      <c r="F537" s="16"/>
      <c r="G537" s="42"/>
      <c r="H537" s="16"/>
      <c r="I537" s="42"/>
      <c r="J537" s="44"/>
      <c r="K537" s="44"/>
      <c r="L537" s="44"/>
      <c r="M537" s="46"/>
      <c r="N537" s="42"/>
      <c r="O537" s="42"/>
      <c r="P537" s="16"/>
      <c r="Q537" s="16"/>
    </row>
    <row r="538">
      <c r="A538" s="16"/>
      <c r="B538" s="16"/>
      <c r="C538" s="16"/>
      <c r="D538" s="16"/>
      <c r="E538" s="16"/>
      <c r="F538" s="16"/>
      <c r="G538" s="42"/>
      <c r="H538" s="16"/>
      <c r="I538" s="42"/>
      <c r="J538" s="44"/>
      <c r="K538" s="44"/>
      <c r="L538" s="44"/>
      <c r="M538" s="46"/>
      <c r="N538" s="42"/>
      <c r="O538" s="42"/>
      <c r="P538" s="16"/>
      <c r="Q538" s="16"/>
    </row>
    <row r="539">
      <c r="A539" s="16"/>
      <c r="B539" s="16"/>
      <c r="C539" s="16"/>
      <c r="D539" s="16"/>
      <c r="E539" s="16"/>
      <c r="F539" s="16"/>
      <c r="G539" s="42"/>
      <c r="H539" s="16"/>
      <c r="I539" s="42"/>
      <c r="J539" s="44"/>
      <c r="K539" s="44"/>
      <c r="L539" s="44"/>
      <c r="M539" s="46"/>
      <c r="N539" s="42"/>
      <c r="O539" s="42"/>
      <c r="P539" s="16"/>
      <c r="Q539" s="16"/>
    </row>
    <row r="540">
      <c r="A540" s="16"/>
      <c r="B540" s="16"/>
      <c r="C540" s="16"/>
      <c r="D540" s="16"/>
      <c r="E540" s="16"/>
      <c r="F540" s="16"/>
      <c r="G540" s="42"/>
      <c r="H540" s="16"/>
      <c r="I540" s="42"/>
      <c r="J540" s="44"/>
      <c r="K540" s="44"/>
      <c r="L540" s="44"/>
      <c r="M540" s="46"/>
      <c r="N540" s="42"/>
      <c r="O540" s="42"/>
      <c r="P540" s="16"/>
      <c r="Q540" s="16"/>
    </row>
    <row r="541">
      <c r="A541" s="16"/>
      <c r="B541" s="16"/>
      <c r="C541" s="16"/>
      <c r="D541" s="16"/>
      <c r="E541" s="16"/>
      <c r="F541" s="16"/>
      <c r="G541" s="42"/>
      <c r="H541" s="16"/>
      <c r="I541" s="42"/>
      <c r="J541" s="44"/>
      <c r="K541" s="44"/>
      <c r="L541" s="44"/>
      <c r="M541" s="46"/>
      <c r="N541" s="42"/>
      <c r="O541" s="42"/>
      <c r="P541" s="16"/>
      <c r="Q541" s="16"/>
    </row>
    <row r="542">
      <c r="A542" s="16"/>
      <c r="B542" s="16"/>
      <c r="C542" s="16"/>
      <c r="D542" s="16"/>
      <c r="E542" s="16"/>
      <c r="F542" s="16"/>
      <c r="G542" s="42"/>
      <c r="H542" s="16"/>
      <c r="I542" s="42"/>
      <c r="J542" s="44"/>
      <c r="K542" s="44"/>
      <c r="L542" s="44"/>
      <c r="M542" s="46"/>
      <c r="N542" s="42"/>
      <c r="O542" s="42"/>
      <c r="P542" s="16"/>
      <c r="Q542" s="16"/>
    </row>
    <row r="543">
      <c r="A543" s="16"/>
      <c r="B543" s="16"/>
      <c r="C543" s="16"/>
      <c r="D543" s="16"/>
      <c r="E543" s="16"/>
      <c r="F543" s="16"/>
      <c r="G543" s="42"/>
      <c r="H543" s="16"/>
      <c r="I543" s="42"/>
      <c r="J543" s="44"/>
      <c r="K543" s="44"/>
      <c r="L543" s="44"/>
      <c r="M543" s="46"/>
      <c r="N543" s="42"/>
      <c r="O543" s="42"/>
      <c r="P543" s="16"/>
      <c r="Q543" s="16"/>
    </row>
    <row r="544">
      <c r="A544" s="16"/>
      <c r="B544" s="16"/>
      <c r="C544" s="16"/>
      <c r="D544" s="16"/>
      <c r="E544" s="16"/>
      <c r="F544" s="16"/>
      <c r="G544" s="42"/>
      <c r="H544" s="16"/>
      <c r="I544" s="42"/>
      <c r="J544" s="44"/>
      <c r="K544" s="44"/>
      <c r="L544" s="44"/>
      <c r="M544" s="46"/>
      <c r="N544" s="42"/>
      <c r="O544" s="42"/>
      <c r="P544" s="16"/>
      <c r="Q544" s="16"/>
    </row>
    <row r="545">
      <c r="A545" s="16"/>
      <c r="B545" s="16"/>
      <c r="C545" s="16"/>
      <c r="D545" s="16"/>
      <c r="E545" s="16"/>
      <c r="F545" s="16"/>
      <c r="G545" s="42"/>
      <c r="H545" s="16"/>
      <c r="I545" s="42"/>
      <c r="J545" s="44"/>
      <c r="K545" s="44"/>
      <c r="L545" s="44"/>
      <c r="M545" s="46"/>
      <c r="N545" s="42"/>
      <c r="O545" s="42"/>
      <c r="P545" s="16"/>
      <c r="Q545" s="16"/>
    </row>
    <row r="546">
      <c r="A546" s="16"/>
      <c r="B546" s="16"/>
      <c r="C546" s="16"/>
      <c r="D546" s="16"/>
      <c r="E546" s="16"/>
      <c r="F546" s="16"/>
      <c r="G546" s="42"/>
      <c r="H546" s="16"/>
      <c r="I546" s="42"/>
      <c r="J546" s="44"/>
      <c r="K546" s="44"/>
      <c r="L546" s="44"/>
      <c r="M546" s="46"/>
      <c r="N546" s="42"/>
      <c r="O546" s="42"/>
      <c r="P546" s="16"/>
      <c r="Q546" s="16"/>
    </row>
    <row r="547">
      <c r="A547" s="16"/>
      <c r="B547" s="16"/>
      <c r="C547" s="16"/>
      <c r="D547" s="16"/>
      <c r="E547" s="16"/>
      <c r="F547" s="16"/>
      <c r="G547" s="42"/>
      <c r="H547" s="16"/>
      <c r="I547" s="42"/>
      <c r="J547" s="44"/>
      <c r="K547" s="44"/>
      <c r="L547" s="44"/>
      <c r="M547" s="46"/>
      <c r="N547" s="42"/>
      <c r="O547" s="42"/>
      <c r="P547" s="16"/>
      <c r="Q547" s="16"/>
    </row>
    <row r="548">
      <c r="A548" s="16"/>
      <c r="B548" s="16"/>
      <c r="C548" s="16"/>
      <c r="D548" s="16"/>
      <c r="E548" s="16"/>
      <c r="F548" s="16"/>
      <c r="G548" s="42"/>
      <c r="H548" s="16"/>
      <c r="I548" s="42"/>
      <c r="J548" s="44"/>
      <c r="K548" s="44"/>
      <c r="L548" s="44"/>
      <c r="M548" s="46"/>
      <c r="N548" s="42"/>
      <c r="O548" s="42"/>
      <c r="P548" s="16"/>
      <c r="Q548" s="16"/>
    </row>
    <row r="549">
      <c r="A549" s="16"/>
      <c r="B549" s="16"/>
      <c r="C549" s="16"/>
      <c r="D549" s="16"/>
      <c r="E549" s="16"/>
      <c r="F549" s="16"/>
      <c r="G549" s="42"/>
      <c r="H549" s="16"/>
      <c r="I549" s="42"/>
      <c r="J549" s="44"/>
      <c r="K549" s="44"/>
      <c r="L549" s="44"/>
      <c r="M549" s="46"/>
      <c r="N549" s="42"/>
      <c r="O549" s="42"/>
      <c r="P549" s="16"/>
      <c r="Q549" s="16"/>
    </row>
    <row r="550">
      <c r="A550" s="16"/>
      <c r="B550" s="16"/>
      <c r="C550" s="16"/>
      <c r="D550" s="16"/>
      <c r="E550" s="16"/>
      <c r="F550" s="16"/>
      <c r="G550" s="42"/>
      <c r="H550" s="16"/>
      <c r="I550" s="42"/>
      <c r="J550" s="44"/>
      <c r="K550" s="44"/>
      <c r="L550" s="44"/>
      <c r="M550" s="46"/>
      <c r="N550" s="42"/>
      <c r="O550" s="42"/>
      <c r="P550" s="16"/>
      <c r="Q550" s="16"/>
    </row>
    <row r="551">
      <c r="A551" s="16"/>
      <c r="B551" s="16"/>
      <c r="C551" s="16"/>
      <c r="D551" s="16"/>
      <c r="E551" s="16"/>
      <c r="F551" s="16"/>
      <c r="G551" s="42"/>
      <c r="H551" s="16"/>
      <c r="I551" s="42"/>
      <c r="J551" s="44"/>
      <c r="K551" s="44"/>
      <c r="L551" s="44"/>
      <c r="M551" s="46"/>
      <c r="N551" s="42"/>
      <c r="O551" s="42"/>
      <c r="P551" s="16"/>
      <c r="Q551" s="16"/>
    </row>
    <row r="552">
      <c r="A552" s="16"/>
      <c r="B552" s="16"/>
      <c r="C552" s="16"/>
      <c r="D552" s="16"/>
      <c r="E552" s="16"/>
      <c r="F552" s="16"/>
      <c r="G552" s="42"/>
      <c r="H552" s="16"/>
      <c r="I552" s="42"/>
      <c r="J552" s="44"/>
      <c r="K552" s="44"/>
      <c r="L552" s="44"/>
      <c r="M552" s="46"/>
      <c r="N552" s="42"/>
      <c r="O552" s="42"/>
      <c r="P552" s="16"/>
      <c r="Q552" s="16"/>
    </row>
    <row r="553">
      <c r="A553" s="16"/>
      <c r="B553" s="16"/>
      <c r="C553" s="16"/>
      <c r="D553" s="16"/>
      <c r="E553" s="16"/>
      <c r="F553" s="16"/>
      <c r="G553" s="42"/>
      <c r="H553" s="16"/>
      <c r="I553" s="42"/>
      <c r="J553" s="44"/>
      <c r="K553" s="44"/>
      <c r="L553" s="44"/>
      <c r="M553" s="46"/>
      <c r="N553" s="42"/>
      <c r="O553" s="42"/>
      <c r="P553" s="16"/>
      <c r="Q553" s="16"/>
    </row>
    <row r="554">
      <c r="A554" s="16"/>
      <c r="B554" s="16"/>
      <c r="C554" s="16"/>
      <c r="D554" s="16"/>
      <c r="E554" s="16"/>
      <c r="F554" s="16"/>
      <c r="G554" s="42"/>
      <c r="H554" s="16"/>
      <c r="I554" s="42"/>
      <c r="J554" s="44"/>
      <c r="K554" s="44"/>
      <c r="L554" s="44"/>
      <c r="M554" s="46"/>
      <c r="N554" s="42"/>
      <c r="O554" s="42"/>
      <c r="P554" s="16"/>
      <c r="Q554" s="16"/>
    </row>
    <row r="555">
      <c r="A555" s="16"/>
      <c r="B555" s="16"/>
      <c r="C555" s="16"/>
      <c r="D555" s="16"/>
      <c r="E555" s="16"/>
      <c r="F555" s="16"/>
      <c r="G555" s="42"/>
      <c r="H555" s="16"/>
      <c r="I555" s="42"/>
      <c r="J555" s="44"/>
      <c r="K555" s="44"/>
      <c r="L555" s="44"/>
      <c r="M555" s="46"/>
      <c r="N555" s="42"/>
      <c r="O555" s="42"/>
      <c r="P555" s="16"/>
      <c r="Q555" s="16"/>
    </row>
    <row r="556">
      <c r="A556" s="16"/>
      <c r="B556" s="16"/>
      <c r="C556" s="16"/>
      <c r="D556" s="16"/>
      <c r="E556" s="16"/>
      <c r="F556" s="16"/>
      <c r="G556" s="42"/>
      <c r="H556" s="16"/>
      <c r="I556" s="42"/>
      <c r="J556" s="44"/>
      <c r="K556" s="44"/>
      <c r="L556" s="44"/>
      <c r="M556" s="46"/>
      <c r="N556" s="42"/>
      <c r="O556" s="42"/>
      <c r="P556" s="16"/>
      <c r="Q556" s="16"/>
    </row>
    <row r="557">
      <c r="A557" s="16"/>
      <c r="B557" s="16"/>
      <c r="C557" s="16"/>
      <c r="D557" s="16"/>
      <c r="E557" s="16"/>
      <c r="F557" s="16"/>
      <c r="G557" s="42"/>
      <c r="H557" s="16"/>
      <c r="I557" s="42"/>
      <c r="J557" s="44"/>
      <c r="K557" s="44"/>
      <c r="L557" s="44"/>
      <c r="M557" s="46"/>
      <c r="N557" s="42"/>
      <c r="O557" s="42"/>
      <c r="P557" s="16"/>
      <c r="Q557" s="16"/>
    </row>
    <row r="558">
      <c r="A558" s="16"/>
      <c r="B558" s="16"/>
      <c r="C558" s="16"/>
      <c r="D558" s="16"/>
      <c r="E558" s="16"/>
      <c r="F558" s="16"/>
      <c r="G558" s="42"/>
      <c r="H558" s="16"/>
      <c r="I558" s="42"/>
      <c r="J558" s="44"/>
      <c r="K558" s="44"/>
      <c r="L558" s="44"/>
      <c r="M558" s="46"/>
      <c r="N558" s="42"/>
      <c r="O558" s="42"/>
      <c r="P558" s="16"/>
      <c r="Q558" s="16"/>
    </row>
    <row r="559">
      <c r="A559" s="16"/>
      <c r="B559" s="16"/>
      <c r="C559" s="16"/>
      <c r="D559" s="16"/>
      <c r="E559" s="16"/>
      <c r="F559" s="16"/>
      <c r="G559" s="42"/>
      <c r="H559" s="16"/>
      <c r="I559" s="42"/>
      <c r="J559" s="44"/>
      <c r="K559" s="44"/>
      <c r="L559" s="44"/>
      <c r="M559" s="46"/>
      <c r="N559" s="42"/>
      <c r="O559" s="42"/>
      <c r="P559" s="16"/>
      <c r="Q559" s="16"/>
    </row>
    <row r="560">
      <c r="A560" s="16"/>
      <c r="B560" s="16"/>
      <c r="C560" s="16"/>
      <c r="D560" s="16"/>
      <c r="E560" s="16"/>
      <c r="F560" s="16"/>
      <c r="G560" s="42"/>
      <c r="H560" s="16"/>
      <c r="I560" s="42"/>
      <c r="J560" s="44"/>
      <c r="K560" s="44"/>
      <c r="L560" s="44"/>
      <c r="M560" s="46"/>
      <c r="N560" s="42"/>
      <c r="O560" s="42"/>
      <c r="P560" s="16"/>
      <c r="Q560" s="16"/>
    </row>
    <row r="561">
      <c r="A561" s="16"/>
      <c r="B561" s="16"/>
      <c r="C561" s="16"/>
      <c r="D561" s="16"/>
      <c r="E561" s="16"/>
      <c r="F561" s="16"/>
      <c r="G561" s="42"/>
      <c r="H561" s="16"/>
      <c r="I561" s="42"/>
      <c r="J561" s="44"/>
      <c r="K561" s="44"/>
      <c r="L561" s="44"/>
      <c r="M561" s="46"/>
      <c r="N561" s="42"/>
      <c r="O561" s="42"/>
      <c r="P561" s="16"/>
      <c r="Q561" s="16"/>
    </row>
    <row r="562">
      <c r="A562" s="16"/>
      <c r="B562" s="16"/>
      <c r="C562" s="16"/>
      <c r="D562" s="16"/>
      <c r="E562" s="16"/>
      <c r="F562" s="16"/>
      <c r="G562" s="42"/>
      <c r="H562" s="16"/>
      <c r="I562" s="42"/>
      <c r="J562" s="44"/>
      <c r="K562" s="44"/>
      <c r="L562" s="44"/>
      <c r="M562" s="46"/>
      <c r="N562" s="42"/>
      <c r="O562" s="42"/>
      <c r="P562" s="16"/>
      <c r="Q562" s="16"/>
    </row>
    <row r="563">
      <c r="A563" s="16"/>
      <c r="B563" s="16"/>
      <c r="C563" s="16"/>
      <c r="D563" s="16"/>
      <c r="E563" s="16"/>
      <c r="F563" s="16"/>
      <c r="G563" s="42"/>
      <c r="H563" s="16"/>
      <c r="I563" s="42"/>
      <c r="J563" s="44"/>
      <c r="K563" s="44"/>
      <c r="L563" s="44"/>
      <c r="M563" s="46"/>
      <c r="N563" s="42"/>
      <c r="O563" s="42"/>
      <c r="P563" s="16"/>
      <c r="Q563" s="16"/>
    </row>
    <row r="564">
      <c r="A564" s="16"/>
      <c r="B564" s="16"/>
      <c r="C564" s="16"/>
      <c r="D564" s="16"/>
      <c r="E564" s="16"/>
      <c r="F564" s="16"/>
      <c r="G564" s="42"/>
      <c r="H564" s="16"/>
      <c r="I564" s="42"/>
      <c r="J564" s="44"/>
      <c r="K564" s="44"/>
      <c r="L564" s="44"/>
      <c r="M564" s="46"/>
      <c r="N564" s="42"/>
      <c r="O564" s="42"/>
      <c r="P564" s="16"/>
      <c r="Q564" s="16"/>
    </row>
    <row r="565">
      <c r="A565" s="16"/>
      <c r="B565" s="16"/>
      <c r="C565" s="16"/>
      <c r="D565" s="16"/>
      <c r="E565" s="16"/>
      <c r="F565" s="16"/>
      <c r="G565" s="42"/>
      <c r="H565" s="16"/>
      <c r="I565" s="42"/>
      <c r="J565" s="44"/>
      <c r="K565" s="44"/>
      <c r="L565" s="44"/>
      <c r="M565" s="46"/>
      <c r="N565" s="42"/>
      <c r="O565" s="42"/>
      <c r="P565" s="16"/>
      <c r="Q565" s="16"/>
    </row>
    <row r="566">
      <c r="A566" s="16"/>
      <c r="B566" s="16"/>
      <c r="C566" s="16"/>
      <c r="D566" s="16"/>
      <c r="E566" s="16"/>
      <c r="F566" s="16"/>
      <c r="G566" s="42"/>
      <c r="H566" s="16"/>
      <c r="I566" s="42"/>
      <c r="J566" s="44"/>
      <c r="K566" s="44"/>
      <c r="L566" s="44"/>
      <c r="M566" s="46"/>
      <c r="N566" s="42"/>
      <c r="O566" s="42"/>
      <c r="P566" s="16"/>
      <c r="Q566" s="16"/>
    </row>
    <row r="567">
      <c r="A567" s="16"/>
      <c r="B567" s="16"/>
      <c r="C567" s="16"/>
      <c r="D567" s="16"/>
      <c r="E567" s="16"/>
      <c r="F567" s="16"/>
      <c r="G567" s="42"/>
      <c r="H567" s="16"/>
      <c r="I567" s="42"/>
      <c r="J567" s="44"/>
      <c r="K567" s="44"/>
      <c r="L567" s="44"/>
      <c r="M567" s="46"/>
      <c r="N567" s="42"/>
      <c r="O567" s="42"/>
      <c r="P567" s="16"/>
      <c r="Q567" s="16"/>
    </row>
    <row r="568">
      <c r="A568" s="16"/>
      <c r="B568" s="16"/>
      <c r="C568" s="16"/>
      <c r="D568" s="16"/>
      <c r="E568" s="16"/>
      <c r="F568" s="16"/>
      <c r="G568" s="42"/>
      <c r="H568" s="16"/>
      <c r="I568" s="42"/>
      <c r="J568" s="44"/>
      <c r="K568" s="44"/>
      <c r="L568" s="44"/>
      <c r="M568" s="46"/>
      <c r="N568" s="42"/>
      <c r="O568" s="42"/>
      <c r="P568" s="16"/>
      <c r="Q568" s="16"/>
    </row>
    <row r="569">
      <c r="A569" s="16"/>
      <c r="B569" s="16"/>
      <c r="C569" s="16"/>
      <c r="D569" s="16"/>
      <c r="E569" s="16"/>
      <c r="F569" s="16"/>
      <c r="G569" s="42"/>
      <c r="H569" s="16"/>
      <c r="I569" s="42"/>
      <c r="J569" s="44"/>
      <c r="K569" s="44"/>
      <c r="L569" s="44"/>
      <c r="M569" s="46"/>
      <c r="N569" s="42"/>
      <c r="O569" s="42"/>
      <c r="P569" s="16"/>
      <c r="Q569" s="16"/>
    </row>
    <row r="570">
      <c r="A570" s="16"/>
      <c r="B570" s="16"/>
      <c r="C570" s="16"/>
      <c r="D570" s="16"/>
      <c r="E570" s="16"/>
      <c r="F570" s="16"/>
      <c r="G570" s="42"/>
      <c r="H570" s="16"/>
      <c r="I570" s="42"/>
      <c r="J570" s="44"/>
      <c r="K570" s="44"/>
      <c r="L570" s="44"/>
      <c r="M570" s="46"/>
      <c r="N570" s="42"/>
      <c r="O570" s="42"/>
      <c r="P570" s="16"/>
      <c r="Q570" s="16"/>
    </row>
    <row r="571">
      <c r="A571" s="16"/>
      <c r="B571" s="16"/>
      <c r="C571" s="16"/>
      <c r="D571" s="16"/>
      <c r="E571" s="16"/>
      <c r="F571" s="16"/>
      <c r="G571" s="42"/>
      <c r="H571" s="16"/>
      <c r="I571" s="42"/>
      <c r="J571" s="44"/>
      <c r="K571" s="44"/>
      <c r="L571" s="44"/>
      <c r="M571" s="46"/>
      <c r="N571" s="42"/>
      <c r="O571" s="42"/>
      <c r="P571" s="16"/>
      <c r="Q571" s="16"/>
    </row>
    <row r="572">
      <c r="A572" s="16"/>
      <c r="B572" s="16"/>
      <c r="C572" s="16"/>
      <c r="D572" s="16"/>
      <c r="E572" s="16"/>
      <c r="F572" s="16"/>
      <c r="G572" s="42"/>
      <c r="H572" s="16"/>
      <c r="I572" s="42"/>
      <c r="J572" s="44"/>
      <c r="K572" s="44"/>
      <c r="L572" s="44"/>
      <c r="M572" s="46"/>
      <c r="N572" s="42"/>
      <c r="O572" s="42"/>
      <c r="P572" s="16"/>
      <c r="Q572" s="16"/>
    </row>
    <row r="573">
      <c r="A573" s="16"/>
      <c r="B573" s="16"/>
      <c r="C573" s="16"/>
      <c r="D573" s="16"/>
      <c r="E573" s="16"/>
      <c r="F573" s="16"/>
      <c r="G573" s="42"/>
      <c r="H573" s="16"/>
      <c r="I573" s="42"/>
      <c r="J573" s="44"/>
      <c r="K573" s="44"/>
      <c r="L573" s="44"/>
      <c r="M573" s="46"/>
      <c r="N573" s="42"/>
      <c r="O573" s="42"/>
      <c r="P573" s="16"/>
      <c r="Q573" s="16"/>
    </row>
    <row r="574">
      <c r="A574" s="16"/>
      <c r="B574" s="16"/>
      <c r="C574" s="16"/>
      <c r="D574" s="16"/>
      <c r="E574" s="16"/>
      <c r="F574" s="16"/>
      <c r="G574" s="42"/>
      <c r="H574" s="16"/>
      <c r="I574" s="42"/>
      <c r="J574" s="44"/>
      <c r="K574" s="44"/>
      <c r="L574" s="44"/>
      <c r="M574" s="46"/>
      <c r="N574" s="42"/>
      <c r="O574" s="42"/>
      <c r="P574" s="16"/>
      <c r="Q574" s="16"/>
    </row>
    <row r="575">
      <c r="A575" s="16"/>
      <c r="B575" s="16"/>
      <c r="C575" s="16"/>
      <c r="D575" s="16"/>
      <c r="E575" s="16"/>
      <c r="F575" s="16"/>
      <c r="G575" s="42"/>
      <c r="H575" s="16"/>
      <c r="I575" s="42"/>
      <c r="J575" s="44"/>
      <c r="K575" s="44"/>
      <c r="L575" s="44"/>
      <c r="M575" s="46"/>
      <c r="N575" s="42"/>
      <c r="O575" s="42"/>
      <c r="P575" s="16"/>
      <c r="Q575" s="16"/>
    </row>
    <row r="576">
      <c r="A576" s="16"/>
      <c r="B576" s="16"/>
      <c r="C576" s="16"/>
      <c r="D576" s="16"/>
      <c r="E576" s="16"/>
      <c r="F576" s="16"/>
      <c r="G576" s="42"/>
      <c r="H576" s="16"/>
      <c r="I576" s="42"/>
      <c r="J576" s="44"/>
      <c r="K576" s="44"/>
      <c r="L576" s="44"/>
      <c r="M576" s="46"/>
      <c r="N576" s="42"/>
      <c r="O576" s="42"/>
      <c r="P576" s="16"/>
      <c r="Q576" s="16"/>
    </row>
    <row r="577">
      <c r="A577" s="16"/>
      <c r="B577" s="16"/>
      <c r="C577" s="16"/>
      <c r="D577" s="16"/>
      <c r="E577" s="16"/>
      <c r="F577" s="16"/>
      <c r="G577" s="42"/>
      <c r="H577" s="16"/>
      <c r="I577" s="42"/>
      <c r="J577" s="44"/>
      <c r="K577" s="44"/>
      <c r="L577" s="44"/>
      <c r="M577" s="46"/>
      <c r="N577" s="42"/>
      <c r="O577" s="42"/>
      <c r="P577" s="16"/>
      <c r="Q577" s="16"/>
    </row>
    <row r="578">
      <c r="A578" s="16"/>
      <c r="B578" s="16"/>
      <c r="C578" s="16"/>
      <c r="D578" s="16"/>
      <c r="E578" s="16"/>
      <c r="F578" s="16"/>
      <c r="G578" s="42"/>
      <c r="H578" s="16"/>
      <c r="I578" s="42"/>
      <c r="J578" s="44"/>
      <c r="K578" s="44"/>
      <c r="L578" s="44"/>
      <c r="M578" s="46"/>
      <c r="N578" s="42"/>
      <c r="O578" s="42"/>
      <c r="P578" s="16"/>
      <c r="Q578" s="16"/>
    </row>
    <row r="579">
      <c r="A579" s="16"/>
      <c r="B579" s="16"/>
      <c r="C579" s="16"/>
      <c r="D579" s="16"/>
      <c r="E579" s="16"/>
      <c r="F579" s="16"/>
      <c r="G579" s="42"/>
      <c r="H579" s="16"/>
      <c r="I579" s="42"/>
      <c r="J579" s="44"/>
      <c r="K579" s="44"/>
      <c r="L579" s="44"/>
      <c r="M579" s="46"/>
      <c r="N579" s="42"/>
      <c r="O579" s="42"/>
      <c r="P579" s="16"/>
      <c r="Q579" s="16"/>
    </row>
    <row r="580">
      <c r="A580" s="16"/>
      <c r="B580" s="16"/>
      <c r="C580" s="16"/>
      <c r="D580" s="16"/>
      <c r="E580" s="16"/>
      <c r="F580" s="16"/>
      <c r="G580" s="42"/>
      <c r="H580" s="16"/>
      <c r="I580" s="42"/>
      <c r="J580" s="44"/>
      <c r="K580" s="44"/>
      <c r="L580" s="44"/>
      <c r="M580" s="46"/>
      <c r="N580" s="42"/>
      <c r="O580" s="42"/>
      <c r="P580" s="16"/>
      <c r="Q580" s="16"/>
    </row>
    <row r="581">
      <c r="A581" s="16"/>
      <c r="B581" s="16"/>
      <c r="C581" s="16"/>
      <c r="D581" s="16"/>
      <c r="E581" s="16"/>
      <c r="F581" s="16"/>
      <c r="G581" s="42"/>
      <c r="H581" s="16"/>
      <c r="I581" s="42"/>
      <c r="J581" s="44"/>
      <c r="K581" s="44"/>
      <c r="L581" s="44"/>
      <c r="M581" s="46"/>
      <c r="N581" s="42"/>
      <c r="O581" s="42"/>
      <c r="P581" s="16"/>
      <c r="Q581" s="16"/>
    </row>
    <row r="582">
      <c r="A582" s="16"/>
      <c r="B582" s="16"/>
      <c r="C582" s="16"/>
      <c r="D582" s="16"/>
      <c r="E582" s="16"/>
      <c r="F582" s="16"/>
      <c r="G582" s="42"/>
      <c r="H582" s="16"/>
      <c r="I582" s="42"/>
      <c r="J582" s="44"/>
      <c r="K582" s="44"/>
      <c r="L582" s="44"/>
      <c r="M582" s="46"/>
      <c r="N582" s="42"/>
      <c r="O582" s="42"/>
      <c r="P582" s="16"/>
      <c r="Q582" s="16"/>
    </row>
    <row r="583">
      <c r="A583" s="16"/>
      <c r="B583" s="16"/>
      <c r="C583" s="16"/>
      <c r="D583" s="16"/>
      <c r="E583" s="16"/>
      <c r="F583" s="16"/>
      <c r="G583" s="42"/>
      <c r="H583" s="16"/>
      <c r="I583" s="42"/>
      <c r="J583" s="44"/>
      <c r="K583" s="44"/>
      <c r="L583" s="44"/>
      <c r="M583" s="46"/>
      <c r="N583" s="42"/>
      <c r="O583" s="42"/>
      <c r="P583" s="16"/>
      <c r="Q583" s="16"/>
    </row>
    <row r="584">
      <c r="A584" s="16"/>
      <c r="B584" s="16"/>
      <c r="C584" s="16"/>
      <c r="D584" s="16"/>
      <c r="E584" s="16"/>
      <c r="F584" s="16"/>
      <c r="G584" s="42"/>
      <c r="H584" s="16"/>
      <c r="I584" s="42"/>
      <c r="J584" s="44"/>
      <c r="K584" s="44"/>
      <c r="L584" s="44"/>
      <c r="M584" s="46"/>
      <c r="N584" s="42"/>
      <c r="O584" s="42"/>
      <c r="P584" s="16"/>
      <c r="Q584" s="16"/>
    </row>
    <row r="585">
      <c r="A585" s="16"/>
      <c r="B585" s="16"/>
      <c r="C585" s="16"/>
      <c r="D585" s="16"/>
      <c r="E585" s="16"/>
      <c r="F585" s="16"/>
      <c r="G585" s="42"/>
      <c r="H585" s="16"/>
      <c r="I585" s="42"/>
      <c r="J585" s="44"/>
      <c r="K585" s="44"/>
      <c r="L585" s="44"/>
      <c r="M585" s="46"/>
      <c r="N585" s="42"/>
      <c r="O585" s="42"/>
      <c r="P585" s="16"/>
      <c r="Q585" s="16"/>
    </row>
    <row r="586">
      <c r="A586" s="16"/>
      <c r="B586" s="16"/>
      <c r="C586" s="16"/>
      <c r="D586" s="16"/>
      <c r="E586" s="16"/>
      <c r="F586" s="16"/>
      <c r="G586" s="42"/>
      <c r="H586" s="16"/>
      <c r="I586" s="42"/>
      <c r="J586" s="44"/>
      <c r="K586" s="44"/>
      <c r="L586" s="44"/>
      <c r="M586" s="46"/>
      <c r="N586" s="42"/>
      <c r="O586" s="42"/>
      <c r="P586" s="16"/>
      <c r="Q586" s="16"/>
    </row>
    <row r="587">
      <c r="A587" s="16"/>
      <c r="B587" s="16"/>
      <c r="C587" s="16"/>
      <c r="D587" s="16"/>
      <c r="E587" s="16"/>
      <c r="F587" s="16"/>
      <c r="G587" s="42"/>
      <c r="H587" s="16"/>
      <c r="I587" s="42"/>
      <c r="J587" s="44"/>
      <c r="K587" s="44"/>
      <c r="L587" s="44"/>
      <c r="M587" s="46"/>
      <c r="N587" s="42"/>
      <c r="O587" s="42"/>
      <c r="P587" s="16"/>
      <c r="Q587" s="16"/>
    </row>
    <row r="588">
      <c r="A588" s="16"/>
      <c r="B588" s="16"/>
      <c r="C588" s="16"/>
      <c r="D588" s="16"/>
      <c r="E588" s="16"/>
      <c r="F588" s="16"/>
      <c r="G588" s="42"/>
      <c r="H588" s="16"/>
      <c r="I588" s="42"/>
      <c r="J588" s="44"/>
      <c r="K588" s="44"/>
      <c r="L588" s="44"/>
      <c r="M588" s="46"/>
      <c r="N588" s="42"/>
      <c r="O588" s="42"/>
      <c r="P588" s="16"/>
      <c r="Q588" s="16"/>
    </row>
    <row r="589">
      <c r="A589" s="16"/>
      <c r="B589" s="16"/>
      <c r="C589" s="16"/>
      <c r="D589" s="16"/>
      <c r="E589" s="16"/>
      <c r="F589" s="16"/>
      <c r="G589" s="42"/>
      <c r="H589" s="16"/>
      <c r="I589" s="42"/>
      <c r="J589" s="44"/>
      <c r="K589" s="44"/>
      <c r="L589" s="44"/>
      <c r="M589" s="46"/>
      <c r="N589" s="42"/>
      <c r="O589" s="42"/>
      <c r="P589" s="16"/>
      <c r="Q589" s="16"/>
    </row>
    <row r="590">
      <c r="A590" s="16"/>
      <c r="B590" s="16"/>
      <c r="C590" s="16"/>
      <c r="D590" s="16"/>
      <c r="E590" s="16"/>
      <c r="F590" s="16"/>
      <c r="G590" s="42"/>
      <c r="H590" s="16"/>
      <c r="I590" s="42"/>
      <c r="J590" s="44"/>
      <c r="K590" s="44"/>
      <c r="L590" s="44"/>
      <c r="M590" s="46"/>
      <c r="N590" s="42"/>
      <c r="O590" s="42"/>
      <c r="P590" s="16"/>
      <c r="Q590" s="16"/>
    </row>
    <row r="591">
      <c r="A591" s="16"/>
      <c r="B591" s="16"/>
      <c r="C591" s="16"/>
      <c r="D591" s="16"/>
      <c r="E591" s="16"/>
      <c r="F591" s="16"/>
      <c r="G591" s="42"/>
      <c r="H591" s="16"/>
      <c r="I591" s="42"/>
      <c r="J591" s="44"/>
      <c r="K591" s="44"/>
      <c r="L591" s="44"/>
      <c r="M591" s="46"/>
      <c r="N591" s="42"/>
      <c r="O591" s="42"/>
      <c r="P591" s="16"/>
      <c r="Q591" s="16"/>
    </row>
    <row r="592">
      <c r="A592" s="16"/>
      <c r="B592" s="16"/>
      <c r="C592" s="16"/>
      <c r="D592" s="16"/>
      <c r="E592" s="16"/>
      <c r="F592" s="16"/>
      <c r="G592" s="42"/>
      <c r="H592" s="16"/>
      <c r="I592" s="42"/>
      <c r="J592" s="44"/>
      <c r="K592" s="44"/>
      <c r="L592" s="44"/>
      <c r="M592" s="46"/>
      <c r="N592" s="42"/>
      <c r="O592" s="42"/>
      <c r="P592" s="16"/>
      <c r="Q592" s="16"/>
    </row>
    <row r="593">
      <c r="A593" s="16"/>
      <c r="B593" s="16"/>
      <c r="C593" s="16"/>
      <c r="D593" s="16"/>
      <c r="E593" s="16"/>
      <c r="F593" s="16"/>
      <c r="G593" s="42"/>
      <c r="H593" s="16"/>
      <c r="I593" s="42"/>
      <c r="J593" s="44"/>
      <c r="K593" s="44"/>
      <c r="L593" s="44"/>
      <c r="M593" s="46"/>
      <c r="N593" s="42"/>
      <c r="O593" s="42"/>
      <c r="P593" s="16"/>
      <c r="Q593" s="16"/>
    </row>
    <row r="594">
      <c r="A594" s="16"/>
      <c r="B594" s="16"/>
      <c r="C594" s="16"/>
      <c r="D594" s="16"/>
      <c r="E594" s="16"/>
      <c r="F594" s="16"/>
      <c r="G594" s="42"/>
      <c r="H594" s="16"/>
      <c r="I594" s="42"/>
      <c r="J594" s="44"/>
      <c r="K594" s="44"/>
      <c r="L594" s="44"/>
      <c r="M594" s="46"/>
      <c r="N594" s="42"/>
      <c r="O594" s="42"/>
      <c r="P594" s="16"/>
      <c r="Q594" s="16"/>
    </row>
    <row r="595">
      <c r="A595" s="16"/>
      <c r="B595" s="16"/>
      <c r="C595" s="16"/>
      <c r="D595" s="16"/>
      <c r="E595" s="16"/>
      <c r="F595" s="16"/>
      <c r="G595" s="42"/>
      <c r="H595" s="16"/>
      <c r="I595" s="42"/>
      <c r="J595" s="44"/>
      <c r="K595" s="44"/>
      <c r="L595" s="44"/>
      <c r="M595" s="46"/>
      <c r="N595" s="42"/>
      <c r="O595" s="42"/>
      <c r="P595" s="16"/>
      <c r="Q595" s="16"/>
    </row>
    <row r="596">
      <c r="A596" s="16"/>
      <c r="B596" s="16"/>
      <c r="C596" s="16"/>
      <c r="D596" s="16"/>
      <c r="E596" s="16"/>
      <c r="F596" s="16"/>
      <c r="G596" s="42"/>
      <c r="H596" s="16"/>
      <c r="I596" s="42"/>
      <c r="J596" s="44"/>
      <c r="K596" s="44"/>
      <c r="L596" s="44"/>
      <c r="M596" s="46"/>
      <c r="N596" s="42"/>
      <c r="O596" s="42"/>
      <c r="P596" s="16"/>
      <c r="Q596" s="16"/>
    </row>
    <row r="597">
      <c r="A597" s="16"/>
      <c r="B597" s="16"/>
      <c r="C597" s="16"/>
      <c r="D597" s="16"/>
      <c r="E597" s="16"/>
      <c r="F597" s="16"/>
      <c r="G597" s="42"/>
      <c r="H597" s="16"/>
      <c r="I597" s="42"/>
      <c r="J597" s="44"/>
      <c r="K597" s="44"/>
      <c r="L597" s="44"/>
      <c r="M597" s="46"/>
      <c r="N597" s="42"/>
      <c r="O597" s="42"/>
      <c r="P597" s="16"/>
      <c r="Q597" s="16"/>
    </row>
    <row r="598">
      <c r="A598" s="16"/>
      <c r="B598" s="16"/>
      <c r="C598" s="16"/>
      <c r="D598" s="16"/>
      <c r="E598" s="16"/>
      <c r="F598" s="16"/>
      <c r="G598" s="42"/>
      <c r="H598" s="16"/>
      <c r="I598" s="42"/>
      <c r="J598" s="44"/>
      <c r="K598" s="44"/>
      <c r="L598" s="44"/>
      <c r="M598" s="46"/>
      <c r="N598" s="42"/>
      <c r="O598" s="42"/>
      <c r="P598" s="16"/>
      <c r="Q598" s="16"/>
    </row>
    <row r="599">
      <c r="A599" s="16"/>
      <c r="B599" s="16"/>
      <c r="C599" s="16"/>
      <c r="D599" s="16"/>
      <c r="E599" s="16"/>
      <c r="F599" s="16"/>
      <c r="G599" s="42"/>
      <c r="H599" s="16"/>
      <c r="I599" s="42"/>
      <c r="J599" s="44"/>
      <c r="K599" s="44"/>
      <c r="L599" s="44"/>
      <c r="M599" s="46"/>
      <c r="N599" s="42"/>
      <c r="O599" s="42"/>
      <c r="P599" s="16"/>
      <c r="Q599" s="16"/>
    </row>
    <row r="600">
      <c r="A600" s="16"/>
      <c r="B600" s="16"/>
      <c r="C600" s="16"/>
      <c r="D600" s="16"/>
      <c r="E600" s="16"/>
      <c r="F600" s="16"/>
      <c r="G600" s="42"/>
      <c r="H600" s="16"/>
      <c r="I600" s="42"/>
      <c r="J600" s="44"/>
      <c r="K600" s="44"/>
      <c r="L600" s="44"/>
      <c r="M600" s="46"/>
      <c r="N600" s="42"/>
      <c r="O600" s="42"/>
      <c r="P600" s="16"/>
      <c r="Q600" s="16"/>
    </row>
    <row r="601">
      <c r="A601" s="16"/>
      <c r="B601" s="16"/>
      <c r="C601" s="16"/>
      <c r="D601" s="16"/>
      <c r="E601" s="16"/>
      <c r="F601" s="16"/>
      <c r="G601" s="42"/>
      <c r="H601" s="16"/>
      <c r="I601" s="42"/>
      <c r="J601" s="44"/>
      <c r="K601" s="44"/>
      <c r="L601" s="44"/>
      <c r="M601" s="46"/>
      <c r="N601" s="42"/>
      <c r="O601" s="42"/>
      <c r="P601" s="16"/>
      <c r="Q601" s="16"/>
    </row>
    <row r="602">
      <c r="A602" s="16"/>
      <c r="B602" s="16"/>
      <c r="C602" s="16"/>
      <c r="D602" s="16"/>
      <c r="E602" s="16"/>
      <c r="F602" s="16"/>
      <c r="G602" s="42"/>
      <c r="H602" s="16"/>
      <c r="I602" s="42"/>
      <c r="J602" s="44"/>
      <c r="K602" s="44"/>
      <c r="L602" s="44"/>
      <c r="M602" s="46"/>
      <c r="N602" s="42"/>
      <c r="O602" s="42"/>
      <c r="P602" s="16"/>
      <c r="Q602" s="16"/>
    </row>
    <row r="603">
      <c r="A603" s="16"/>
      <c r="B603" s="16"/>
      <c r="C603" s="16"/>
      <c r="D603" s="16"/>
      <c r="E603" s="16"/>
      <c r="F603" s="16"/>
      <c r="G603" s="42"/>
      <c r="H603" s="16"/>
      <c r="I603" s="42"/>
      <c r="J603" s="44"/>
      <c r="K603" s="44"/>
      <c r="L603" s="44"/>
      <c r="M603" s="46"/>
      <c r="N603" s="42"/>
      <c r="O603" s="42"/>
      <c r="P603" s="16"/>
      <c r="Q603" s="16"/>
    </row>
    <row r="604">
      <c r="A604" s="16"/>
      <c r="B604" s="16"/>
      <c r="C604" s="16"/>
      <c r="D604" s="16"/>
      <c r="E604" s="16"/>
      <c r="F604" s="16"/>
      <c r="G604" s="42"/>
      <c r="H604" s="16"/>
      <c r="I604" s="42"/>
      <c r="J604" s="44"/>
      <c r="K604" s="44"/>
      <c r="L604" s="44"/>
      <c r="M604" s="46"/>
      <c r="N604" s="42"/>
      <c r="O604" s="42"/>
      <c r="P604" s="16"/>
      <c r="Q604" s="16"/>
    </row>
    <row r="605">
      <c r="A605" s="16"/>
      <c r="B605" s="16"/>
      <c r="C605" s="16"/>
      <c r="D605" s="16"/>
      <c r="E605" s="16"/>
      <c r="F605" s="16"/>
      <c r="G605" s="42"/>
      <c r="H605" s="16"/>
      <c r="I605" s="42"/>
      <c r="J605" s="44"/>
      <c r="K605" s="44"/>
      <c r="L605" s="44"/>
      <c r="M605" s="46"/>
      <c r="N605" s="42"/>
      <c r="O605" s="42"/>
      <c r="P605" s="16"/>
      <c r="Q605" s="16"/>
    </row>
    <row r="606">
      <c r="A606" s="16"/>
      <c r="B606" s="16"/>
      <c r="C606" s="16"/>
      <c r="D606" s="16"/>
      <c r="E606" s="16"/>
      <c r="F606" s="16"/>
      <c r="G606" s="42"/>
      <c r="H606" s="16"/>
      <c r="I606" s="42"/>
      <c r="J606" s="44"/>
      <c r="K606" s="44"/>
      <c r="L606" s="44"/>
      <c r="M606" s="46"/>
      <c r="N606" s="42"/>
      <c r="O606" s="42"/>
      <c r="P606" s="16"/>
      <c r="Q606" s="16"/>
    </row>
    <row r="607">
      <c r="A607" s="16"/>
      <c r="B607" s="16"/>
      <c r="C607" s="16"/>
      <c r="D607" s="16"/>
      <c r="E607" s="16"/>
      <c r="F607" s="16"/>
      <c r="G607" s="42"/>
      <c r="H607" s="16"/>
      <c r="I607" s="42"/>
      <c r="J607" s="44"/>
      <c r="K607" s="44"/>
      <c r="L607" s="44"/>
      <c r="M607" s="46"/>
      <c r="N607" s="42"/>
      <c r="O607" s="42"/>
      <c r="P607" s="16"/>
      <c r="Q607" s="16"/>
    </row>
    <row r="608">
      <c r="A608" s="16"/>
      <c r="B608" s="16"/>
      <c r="C608" s="16"/>
      <c r="D608" s="16"/>
      <c r="E608" s="16"/>
      <c r="F608" s="16"/>
      <c r="G608" s="42"/>
      <c r="H608" s="16"/>
      <c r="I608" s="42"/>
      <c r="J608" s="44"/>
      <c r="K608" s="44"/>
      <c r="L608" s="44"/>
      <c r="M608" s="46"/>
      <c r="N608" s="42"/>
      <c r="O608" s="42"/>
      <c r="P608" s="16"/>
      <c r="Q608" s="16"/>
    </row>
    <row r="609">
      <c r="A609" s="16"/>
      <c r="B609" s="16"/>
      <c r="C609" s="16"/>
      <c r="D609" s="16"/>
      <c r="E609" s="16"/>
      <c r="F609" s="16"/>
      <c r="G609" s="42"/>
      <c r="H609" s="16"/>
      <c r="I609" s="42"/>
      <c r="J609" s="44"/>
      <c r="K609" s="44"/>
      <c r="L609" s="44"/>
      <c r="M609" s="46"/>
      <c r="N609" s="42"/>
      <c r="O609" s="42"/>
      <c r="P609" s="16"/>
      <c r="Q609" s="16"/>
    </row>
    <row r="610">
      <c r="A610" s="16"/>
      <c r="B610" s="16"/>
      <c r="C610" s="16"/>
      <c r="D610" s="16"/>
      <c r="E610" s="16"/>
      <c r="F610" s="16"/>
      <c r="G610" s="42"/>
      <c r="H610" s="16"/>
      <c r="I610" s="42"/>
      <c r="J610" s="44"/>
      <c r="K610" s="44"/>
      <c r="L610" s="44"/>
      <c r="M610" s="46"/>
      <c r="N610" s="42"/>
      <c r="O610" s="42"/>
      <c r="P610" s="16"/>
      <c r="Q610" s="16"/>
    </row>
    <row r="611">
      <c r="A611" s="16"/>
      <c r="B611" s="16"/>
      <c r="C611" s="16"/>
      <c r="D611" s="16"/>
      <c r="E611" s="16"/>
      <c r="F611" s="16"/>
      <c r="G611" s="42"/>
      <c r="H611" s="16"/>
      <c r="I611" s="42"/>
      <c r="J611" s="44"/>
      <c r="K611" s="44"/>
      <c r="L611" s="44"/>
      <c r="M611" s="46"/>
      <c r="N611" s="42"/>
      <c r="O611" s="42"/>
      <c r="P611" s="16"/>
      <c r="Q611" s="16"/>
    </row>
    <row r="612">
      <c r="A612" s="16"/>
      <c r="B612" s="16"/>
      <c r="C612" s="16"/>
      <c r="D612" s="16"/>
      <c r="E612" s="16"/>
      <c r="F612" s="16"/>
      <c r="G612" s="42"/>
      <c r="H612" s="16"/>
      <c r="I612" s="42"/>
      <c r="J612" s="44"/>
      <c r="K612" s="44"/>
      <c r="L612" s="44"/>
      <c r="M612" s="46"/>
      <c r="N612" s="42"/>
      <c r="O612" s="42"/>
      <c r="P612" s="16"/>
      <c r="Q612" s="16"/>
    </row>
    <row r="613">
      <c r="A613" s="16"/>
      <c r="B613" s="16"/>
      <c r="C613" s="16"/>
      <c r="D613" s="16"/>
      <c r="E613" s="16"/>
      <c r="F613" s="16"/>
      <c r="G613" s="42"/>
      <c r="H613" s="16"/>
      <c r="I613" s="42"/>
      <c r="J613" s="44"/>
      <c r="K613" s="44"/>
      <c r="L613" s="44"/>
      <c r="M613" s="46"/>
      <c r="N613" s="42"/>
      <c r="O613" s="42"/>
      <c r="P613" s="16"/>
      <c r="Q613" s="16"/>
    </row>
    <row r="614">
      <c r="A614" s="16"/>
      <c r="B614" s="16"/>
      <c r="C614" s="16"/>
      <c r="D614" s="16"/>
      <c r="E614" s="16"/>
      <c r="F614" s="16"/>
      <c r="G614" s="42"/>
      <c r="H614" s="16"/>
      <c r="I614" s="42"/>
      <c r="J614" s="44"/>
      <c r="K614" s="44"/>
      <c r="L614" s="44"/>
      <c r="M614" s="46"/>
      <c r="N614" s="42"/>
      <c r="O614" s="42"/>
      <c r="P614" s="16"/>
      <c r="Q614" s="16"/>
    </row>
    <row r="615">
      <c r="A615" s="16"/>
      <c r="B615" s="16"/>
      <c r="C615" s="16"/>
      <c r="D615" s="16"/>
      <c r="E615" s="16"/>
      <c r="F615" s="16"/>
      <c r="G615" s="42"/>
      <c r="H615" s="16"/>
      <c r="I615" s="42"/>
      <c r="J615" s="44"/>
      <c r="K615" s="44"/>
      <c r="L615" s="44"/>
      <c r="M615" s="46"/>
      <c r="N615" s="42"/>
      <c r="O615" s="42"/>
      <c r="P615" s="16"/>
      <c r="Q615" s="16"/>
    </row>
    <row r="616">
      <c r="A616" s="16"/>
      <c r="B616" s="16"/>
      <c r="C616" s="16"/>
      <c r="D616" s="16"/>
      <c r="E616" s="16"/>
      <c r="F616" s="16"/>
      <c r="G616" s="42"/>
      <c r="H616" s="16"/>
      <c r="I616" s="42"/>
      <c r="J616" s="44"/>
      <c r="K616" s="44"/>
      <c r="L616" s="44"/>
      <c r="M616" s="46"/>
      <c r="N616" s="42"/>
      <c r="O616" s="42"/>
      <c r="P616" s="16"/>
      <c r="Q616" s="16"/>
    </row>
    <row r="617">
      <c r="A617" s="16"/>
      <c r="B617" s="16"/>
      <c r="C617" s="16"/>
      <c r="D617" s="16"/>
      <c r="E617" s="16"/>
      <c r="F617" s="16"/>
      <c r="G617" s="42"/>
      <c r="H617" s="16"/>
      <c r="I617" s="42"/>
      <c r="J617" s="44"/>
      <c r="K617" s="44"/>
      <c r="L617" s="44"/>
      <c r="M617" s="46"/>
      <c r="N617" s="42"/>
      <c r="O617" s="42"/>
      <c r="P617" s="16"/>
      <c r="Q617" s="16"/>
    </row>
    <row r="618">
      <c r="A618" s="16"/>
      <c r="B618" s="16"/>
      <c r="C618" s="16"/>
      <c r="D618" s="16"/>
      <c r="E618" s="16"/>
      <c r="F618" s="16"/>
      <c r="G618" s="42"/>
      <c r="H618" s="16"/>
      <c r="I618" s="42"/>
      <c r="J618" s="44"/>
      <c r="K618" s="44"/>
      <c r="L618" s="44"/>
      <c r="M618" s="46"/>
      <c r="N618" s="42"/>
      <c r="O618" s="42"/>
      <c r="P618" s="16"/>
      <c r="Q618" s="16"/>
    </row>
    <row r="619">
      <c r="A619" s="16"/>
      <c r="B619" s="16"/>
      <c r="C619" s="16"/>
      <c r="D619" s="16"/>
      <c r="E619" s="16"/>
      <c r="F619" s="16"/>
      <c r="G619" s="42"/>
      <c r="H619" s="16"/>
      <c r="I619" s="42"/>
      <c r="J619" s="44"/>
      <c r="K619" s="44"/>
      <c r="L619" s="44"/>
      <c r="M619" s="46"/>
      <c r="N619" s="42"/>
      <c r="O619" s="42"/>
      <c r="P619" s="16"/>
      <c r="Q619" s="16"/>
    </row>
    <row r="620">
      <c r="A620" s="16"/>
      <c r="B620" s="16"/>
      <c r="C620" s="16"/>
      <c r="D620" s="16"/>
      <c r="E620" s="16"/>
      <c r="F620" s="16"/>
      <c r="G620" s="42"/>
      <c r="H620" s="16"/>
      <c r="I620" s="42"/>
      <c r="J620" s="44"/>
      <c r="K620" s="44"/>
      <c r="L620" s="44"/>
      <c r="M620" s="46"/>
      <c r="N620" s="42"/>
      <c r="O620" s="42"/>
      <c r="P620" s="16"/>
      <c r="Q620" s="16"/>
    </row>
    <row r="621">
      <c r="A621" s="16"/>
      <c r="B621" s="16"/>
      <c r="C621" s="16"/>
      <c r="D621" s="16"/>
      <c r="E621" s="16"/>
      <c r="F621" s="16"/>
      <c r="G621" s="42"/>
      <c r="H621" s="16"/>
      <c r="I621" s="42"/>
      <c r="J621" s="44"/>
      <c r="K621" s="44"/>
      <c r="L621" s="44"/>
      <c r="M621" s="46"/>
      <c r="N621" s="42"/>
      <c r="O621" s="42"/>
      <c r="P621" s="16"/>
      <c r="Q621" s="16"/>
    </row>
    <row r="622">
      <c r="A622" s="16"/>
      <c r="B622" s="16"/>
      <c r="C622" s="16"/>
      <c r="D622" s="16"/>
      <c r="E622" s="16"/>
      <c r="F622" s="16"/>
      <c r="G622" s="42"/>
      <c r="H622" s="16"/>
      <c r="I622" s="42"/>
      <c r="J622" s="44"/>
      <c r="K622" s="44"/>
      <c r="L622" s="44"/>
      <c r="M622" s="46"/>
      <c r="N622" s="42"/>
      <c r="O622" s="42"/>
      <c r="P622" s="16"/>
      <c r="Q622" s="16"/>
    </row>
    <row r="623">
      <c r="A623" s="16"/>
      <c r="B623" s="16"/>
      <c r="C623" s="16"/>
      <c r="D623" s="16"/>
      <c r="E623" s="16"/>
      <c r="F623" s="16"/>
      <c r="G623" s="42"/>
      <c r="H623" s="16"/>
      <c r="I623" s="42"/>
      <c r="J623" s="44"/>
      <c r="K623" s="44"/>
      <c r="L623" s="44"/>
      <c r="M623" s="46"/>
      <c r="N623" s="42"/>
      <c r="O623" s="42"/>
      <c r="P623" s="16"/>
      <c r="Q623" s="16"/>
    </row>
    <row r="624">
      <c r="A624" s="16"/>
      <c r="B624" s="16"/>
      <c r="C624" s="16"/>
      <c r="D624" s="16"/>
      <c r="E624" s="16"/>
      <c r="F624" s="16"/>
      <c r="G624" s="42"/>
      <c r="H624" s="16"/>
      <c r="I624" s="42"/>
      <c r="J624" s="44"/>
      <c r="K624" s="44"/>
      <c r="L624" s="44"/>
      <c r="M624" s="46"/>
      <c r="N624" s="42"/>
      <c r="O624" s="42"/>
      <c r="P624" s="16"/>
      <c r="Q624" s="16"/>
    </row>
    <row r="625">
      <c r="A625" s="16"/>
      <c r="B625" s="16"/>
      <c r="C625" s="16"/>
      <c r="D625" s="16"/>
      <c r="E625" s="16"/>
      <c r="F625" s="16"/>
      <c r="G625" s="42"/>
      <c r="H625" s="16"/>
      <c r="I625" s="42"/>
      <c r="J625" s="44"/>
      <c r="K625" s="44"/>
      <c r="L625" s="44"/>
      <c r="M625" s="46"/>
      <c r="N625" s="42"/>
      <c r="O625" s="42"/>
      <c r="P625" s="16"/>
      <c r="Q625" s="16"/>
    </row>
    <row r="626">
      <c r="A626" s="16"/>
      <c r="B626" s="16"/>
      <c r="C626" s="16"/>
      <c r="D626" s="16"/>
      <c r="E626" s="16"/>
      <c r="F626" s="16"/>
      <c r="G626" s="42"/>
      <c r="H626" s="16"/>
      <c r="I626" s="42"/>
      <c r="J626" s="44"/>
      <c r="K626" s="44"/>
      <c r="L626" s="44"/>
      <c r="M626" s="46"/>
      <c r="N626" s="42"/>
      <c r="O626" s="42"/>
      <c r="P626" s="16"/>
      <c r="Q626" s="16"/>
    </row>
    <row r="627">
      <c r="A627" s="16"/>
      <c r="B627" s="16"/>
      <c r="C627" s="16"/>
      <c r="D627" s="16"/>
      <c r="E627" s="16"/>
      <c r="F627" s="16"/>
      <c r="G627" s="42"/>
      <c r="H627" s="16"/>
      <c r="I627" s="42"/>
      <c r="J627" s="44"/>
      <c r="K627" s="44"/>
      <c r="L627" s="44"/>
      <c r="M627" s="46"/>
      <c r="N627" s="42"/>
      <c r="O627" s="42"/>
      <c r="P627" s="16"/>
      <c r="Q627" s="16"/>
    </row>
    <row r="628">
      <c r="A628" s="16"/>
      <c r="B628" s="16"/>
      <c r="C628" s="16"/>
      <c r="D628" s="16"/>
      <c r="E628" s="16"/>
      <c r="F628" s="16"/>
      <c r="G628" s="42"/>
      <c r="H628" s="16"/>
      <c r="I628" s="42"/>
      <c r="J628" s="44"/>
      <c r="K628" s="44"/>
      <c r="L628" s="44"/>
      <c r="M628" s="46"/>
      <c r="N628" s="42"/>
      <c r="O628" s="42"/>
      <c r="P628" s="16"/>
      <c r="Q628" s="16"/>
    </row>
    <row r="629">
      <c r="A629" s="16"/>
      <c r="B629" s="16"/>
      <c r="C629" s="16"/>
      <c r="D629" s="16"/>
      <c r="E629" s="16"/>
      <c r="F629" s="16"/>
      <c r="G629" s="42"/>
      <c r="H629" s="16"/>
      <c r="I629" s="42"/>
      <c r="J629" s="44"/>
      <c r="K629" s="44"/>
      <c r="L629" s="44"/>
      <c r="M629" s="46"/>
      <c r="N629" s="42"/>
      <c r="O629" s="42"/>
      <c r="P629" s="16"/>
      <c r="Q629" s="16"/>
    </row>
    <row r="630">
      <c r="A630" s="16"/>
      <c r="B630" s="16"/>
      <c r="C630" s="16"/>
      <c r="D630" s="16"/>
      <c r="E630" s="16"/>
      <c r="F630" s="16"/>
      <c r="G630" s="42"/>
      <c r="H630" s="16"/>
      <c r="I630" s="42"/>
      <c r="J630" s="44"/>
      <c r="K630" s="44"/>
      <c r="L630" s="44"/>
      <c r="M630" s="46"/>
      <c r="N630" s="42"/>
      <c r="O630" s="42"/>
      <c r="P630" s="16"/>
      <c r="Q630" s="16"/>
    </row>
    <row r="631">
      <c r="A631" s="16"/>
      <c r="B631" s="16"/>
      <c r="C631" s="16"/>
      <c r="D631" s="16"/>
      <c r="E631" s="16"/>
      <c r="F631" s="16"/>
      <c r="G631" s="42"/>
      <c r="H631" s="16"/>
      <c r="I631" s="42"/>
      <c r="J631" s="44"/>
      <c r="K631" s="44"/>
      <c r="L631" s="44"/>
      <c r="M631" s="46"/>
      <c r="N631" s="42"/>
      <c r="O631" s="42"/>
      <c r="P631" s="16"/>
      <c r="Q631" s="16"/>
    </row>
    <row r="632">
      <c r="A632" s="16"/>
      <c r="B632" s="16"/>
      <c r="C632" s="16"/>
      <c r="D632" s="16"/>
      <c r="E632" s="16"/>
      <c r="F632" s="16"/>
      <c r="G632" s="42"/>
      <c r="H632" s="16"/>
      <c r="I632" s="42"/>
      <c r="J632" s="44"/>
      <c r="K632" s="44"/>
      <c r="L632" s="44"/>
      <c r="M632" s="46"/>
      <c r="N632" s="42"/>
      <c r="O632" s="42"/>
      <c r="P632" s="16"/>
      <c r="Q632" s="16"/>
    </row>
    <row r="633">
      <c r="A633" s="16"/>
      <c r="B633" s="16"/>
      <c r="C633" s="16"/>
      <c r="D633" s="16"/>
      <c r="E633" s="16"/>
      <c r="F633" s="16"/>
      <c r="G633" s="42"/>
      <c r="H633" s="16"/>
      <c r="I633" s="42"/>
      <c r="J633" s="44"/>
      <c r="K633" s="44"/>
      <c r="L633" s="44"/>
      <c r="M633" s="46"/>
      <c r="N633" s="42"/>
      <c r="O633" s="42"/>
      <c r="P633" s="16"/>
      <c r="Q633" s="16"/>
    </row>
    <row r="634">
      <c r="A634" s="16"/>
      <c r="B634" s="16"/>
      <c r="C634" s="16"/>
      <c r="D634" s="16"/>
      <c r="E634" s="16"/>
      <c r="F634" s="16"/>
      <c r="G634" s="42"/>
      <c r="H634" s="16"/>
      <c r="I634" s="42"/>
      <c r="J634" s="44"/>
      <c r="K634" s="44"/>
      <c r="L634" s="44"/>
      <c r="M634" s="46"/>
      <c r="N634" s="42"/>
      <c r="O634" s="42"/>
      <c r="P634" s="16"/>
      <c r="Q634" s="16"/>
    </row>
    <row r="635">
      <c r="A635" s="16"/>
      <c r="B635" s="16"/>
      <c r="C635" s="16"/>
      <c r="D635" s="16"/>
      <c r="E635" s="16"/>
      <c r="F635" s="16"/>
      <c r="G635" s="42"/>
      <c r="H635" s="16"/>
      <c r="I635" s="42"/>
      <c r="J635" s="44"/>
      <c r="K635" s="44"/>
      <c r="L635" s="44"/>
      <c r="M635" s="46"/>
      <c r="N635" s="42"/>
      <c r="O635" s="42"/>
      <c r="P635" s="16"/>
      <c r="Q635" s="16"/>
    </row>
    <row r="636">
      <c r="A636" s="16"/>
      <c r="B636" s="16"/>
      <c r="C636" s="16"/>
      <c r="D636" s="16"/>
      <c r="E636" s="16"/>
      <c r="F636" s="16"/>
      <c r="G636" s="42"/>
      <c r="H636" s="16"/>
      <c r="I636" s="42"/>
      <c r="J636" s="44"/>
      <c r="K636" s="44"/>
      <c r="L636" s="44"/>
      <c r="M636" s="46"/>
      <c r="N636" s="42"/>
      <c r="O636" s="42"/>
      <c r="P636" s="16"/>
      <c r="Q636" s="16"/>
    </row>
    <row r="637">
      <c r="A637" s="16"/>
      <c r="B637" s="16"/>
      <c r="C637" s="16"/>
      <c r="D637" s="16"/>
      <c r="E637" s="16"/>
      <c r="F637" s="16"/>
      <c r="G637" s="42"/>
      <c r="H637" s="16"/>
      <c r="I637" s="42"/>
      <c r="J637" s="44"/>
      <c r="K637" s="44"/>
      <c r="L637" s="44"/>
      <c r="M637" s="46"/>
      <c r="N637" s="42"/>
      <c r="O637" s="42"/>
      <c r="P637" s="16"/>
      <c r="Q637" s="16"/>
    </row>
    <row r="638">
      <c r="A638" s="16"/>
      <c r="B638" s="16"/>
      <c r="C638" s="16"/>
      <c r="D638" s="16"/>
      <c r="E638" s="16"/>
      <c r="F638" s="16"/>
      <c r="G638" s="42"/>
      <c r="H638" s="16"/>
      <c r="I638" s="42"/>
      <c r="J638" s="44"/>
      <c r="K638" s="44"/>
      <c r="L638" s="44"/>
      <c r="M638" s="46"/>
      <c r="N638" s="42"/>
      <c r="O638" s="42"/>
      <c r="P638" s="16"/>
      <c r="Q638" s="16"/>
    </row>
    <row r="639">
      <c r="A639" s="16"/>
      <c r="B639" s="16"/>
      <c r="C639" s="16"/>
      <c r="D639" s="16"/>
      <c r="E639" s="16"/>
      <c r="F639" s="16"/>
      <c r="G639" s="42"/>
      <c r="H639" s="16"/>
      <c r="I639" s="42"/>
      <c r="J639" s="44"/>
      <c r="K639" s="44"/>
      <c r="L639" s="44"/>
      <c r="M639" s="46"/>
      <c r="N639" s="42"/>
      <c r="O639" s="42"/>
      <c r="P639" s="16"/>
      <c r="Q639" s="16"/>
    </row>
    <row r="640">
      <c r="A640" s="16"/>
      <c r="B640" s="16"/>
      <c r="C640" s="16"/>
      <c r="D640" s="16"/>
      <c r="E640" s="16"/>
      <c r="F640" s="16"/>
      <c r="G640" s="42"/>
      <c r="H640" s="16"/>
      <c r="I640" s="42"/>
      <c r="J640" s="44"/>
      <c r="K640" s="44"/>
      <c r="L640" s="44"/>
      <c r="M640" s="46"/>
      <c r="N640" s="42"/>
      <c r="O640" s="42"/>
      <c r="P640" s="16"/>
      <c r="Q640" s="16"/>
    </row>
    <row r="641">
      <c r="A641" s="16"/>
      <c r="B641" s="16"/>
      <c r="C641" s="16"/>
      <c r="D641" s="16"/>
      <c r="E641" s="16"/>
      <c r="F641" s="16"/>
      <c r="G641" s="42"/>
      <c r="H641" s="16"/>
      <c r="I641" s="42"/>
      <c r="J641" s="44"/>
      <c r="K641" s="44"/>
      <c r="L641" s="44"/>
      <c r="M641" s="46"/>
      <c r="N641" s="42"/>
      <c r="O641" s="42"/>
      <c r="P641" s="16"/>
      <c r="Q641" s="16"/>
    </row>
    <row r="642">
      <c r="A642" s="16"/>
      <c r="B642" s="16"/>
      <c r="C642" s="16"/>
      <c r="D642" s="16"/>
      <c r="E642" s="16"/>
      <c r="F642" s="16"/>
      <c r="G642" s="42"/>
      <c r="H642" s="16"/>
      <c r="I642" s="42"/>
      <c r="J642" s="44"/>
      <c r="K642" s="44"/>
      <c r="L642" s="44"/>
      <c r="M642" s="46"/>
      <c r="N642" s="42"/>
      <c r="O642" s="42"/>
      <c r="P642" s="16"/>
      <c r="Q642" s="16"/>
    </row>
    <row r="643">
      <c r="A643" s="16"/>
      <c r="B643" s="16"/>
      <c r="C643" s="16"/>
      <c r="D643" s="16"/>
      <c r="E643" s="16"/>
      <c r="F643" s="16"/>
      <c r="G643" s="42"/>
      <c r="H643" s="16"/>
      <c r="I643" s="42"/>
      <c r="J643" s="44"/>
      <c r="K643" s="44"/>
      <c r="L643" s="44"/>
      <c r="M643" s="46"/>
      <c r="N643" s="42"/>
      <c r="O643" s="42"/>
      <c r="P643" s="16"/>
      <c r="Q643" s="16"/>
    </row>
    <row r="644">
      <c r="A644" s="16"/>
      <c r="B644" s="16"/>
      <c r="C644" s="16"/>
      <c r="D644" s="16"/>
      <c r="E644" s="16"/>
      <c r="F644" s="16"/>
      <c r="G644" s="42"/>
      <c r="H644" s="16"/>
      <c r="I644" s="42"/>
      <c r="J644" s="44"/>
      <c r="K644" s="44"/>
      <c r="L644" s="44"/>
      <c r="M644" s="46"/>
      <c r="N644" s="42"/>
      <c r="O644" s="42"/>
      <c r="P644" s="16"/>
      <c r="Q644" s="16"/>
    </row>
    <row r="645">
      <c r="A645" s="16"/>
      <c r="B645" s="16"/>
      <c r="C645" s="16"/>
      <c r="D645" s="16"/>
      <c r="E645" s="16"/>
      <c r="F645" s="16"/>
      <c r="G645" s="42"/>
      <c r="H645" s="16"/>
      <c r="I645" s="42"/>
      <c r="J645" s="44"/>
      <c r="K645" s="44"/>
      <c r="L645" s="44"/>
      <c r="M645" s="46"/>
      <c r="N645" s="42"/>
      <c r="O645" s="42"/>
      <c r="P645" s="16"/>
      <c r="Q645" s="16"/>
    </row>
    <row r="646">
      <c r="A646" s="16"/>
      <c r="B646" s="16"/>
      <c r="C646" s="16"/>
      <c r="D646" s="16"/>
      <c r="E646" s="16"/>
      <c r="F646" s="16"/>
      <c r="G646" s="42"/>
      <c r="H646" s="16"/>
      <c r="I646" s="42"/>
      <c r="J646" s="44"/>
      <c r="K646" s="44"/>
      <c r="L646" s="44"/>
      <c r="M646" s="46"/>
      <c r="N646" s="42"/>
      <c r="O646" s="42"/>
      <c r="P646" s="16"/>
      <c r="Q646" s="16"/>
    </row>
    <row r="647">
      <c r="A647" s="16"/>
      <c r="B647" s="16"/>
      <c r="C647" s="16"/>
      <c r="D647" s="16"/>
      <c r="E647" s="16"/>
      <c r="F647" s="16"/>
      <c r="G647" s="42"/>
      <c r="H647" s="16"/>
      <c r="I647" s="42"/>
      <c r="J647" s="44"/>
      <c r="K647" s="44"/>
      <c r="L647" s="44"/>
      <c r="M647" s="46"/>
      <c r="N647" s="42"/>
      <c r="O647" s="42"/>
      <c r="P647" s="16"/>
      <c r="Q647" s="16"/>
    </row>
    <row r="648">
      <c r="A648" s="16"/>
      <c r="B648" s="16"/>
      <c r="C648" s="16"/>
      <c r="D648" s="16"/>
      <c r="E648" s="16"/>
      <c r="F648" s="16"/>
      <c r="G648" s="42"/>
      <c r="H648" s="16"/>
      <c r="I648" s="42"/>
      <c r="J648" s="44"/>
      <c r="K648" s="44"/>
      <c r="L648" s="44"/>
      <c r="M648" s="46"/>
      <c r="N648" s="42"/>
      <c r="O648" s="42"/>
      <c r="P648" s="16"/>
      <c r="Q648" s="16"/>
    </row>
    <row r="649">
      <c r="A649" s="16"/>
      <c r="B649" s="16"/>
      <c r="C649" s="16"/>
      <c r="D649" s="16"/>
      <c r="E649" s="16"/>
      <c r="F649" s="16"/>
      <c r="G649" s="42"/>
      <c r="H649" s="16"/>
      <c r="I649" s="42"/>
      <c r="J649" s="44"/>
      <c r="K649" s="44"/>
      <c r="L649" s="44"/>
      <c r="M649" s="46"/>
      <c r="N649" s="42"/>
      <c r="O649" s="42"/>
      <c r="P649" s="16"/>
      <c r="Q649" s="16"/>
    </row>
    <row r="650">
      <c r="A650" s="16"/>
      <c r="B650" s="16"/>
      <c r="C650" s="16"/>
      <c r="D650" s="16"/>
      <c r="E650" s="16"/>
      <c r="F650" s="16"/>
      <c r="G650" s="42"/>
      <c r="H650" s="16"/>
      <c r="I650" s="42"/>
      <c r="J650" s="44"/>
      <c r="K650" s="44"/>
      <c r="L650" s="44"/>
      <c r="M650" s="46"/>
      <c r="N650" s="42"/>
      <c r="O650" s="42"/>
      <c r="P650" s="16"/>
      <c r="Q650" s="16"/>
    </row>
    <row r="651">
      <c r="A651" s="16"/>
      <c r="B651" s="16"/>
      <c r="C651" s="16"/>
      <c r="D651" s="16"/>
      <c r="E651" s="16"/>
      <c r="F651" s="16"/>
      <c r="G651" s="42"/>
      <c r="H651" s="16"/>
      <c r="I651" s="42"/>
      <c r="J651" s="44"/>
      <c r="K651" s="44"/>
      <c r="L651" s="44"/>
      <c r="M651" s="46"/>
      <c r="N651" s="42"/>
      <c r="O651" s="42"/>
      <c r="P651" s="16"/>
      <c r="Q651" s="16"/>
    </row>
    <row r="652">
      <c r="A652" s="16"/>
      <c r="B652" s="16"/>
      <c r="C652" s="16"/>
      <c r="D652" s="16"/>
      <c r="E652" s="16"/>
      <c r="F652" s="16"/>
      <c r="G652" s="42"/>
      <c r="H652" s="16"/>
      <c r="I652" s="42"/>
      <c r="J652" s="44"/>
      <c r="K652" s="44"/>
      <c r="L652" s="44"/>
      <c r="M652" s="46"/>
      <c r="N652" s="42"/>
      <c r="O652" s="42"/>
      <c r="P652" s="16"/>
      <c r="Q652" s="16"/>
    </row>
    <row r="653">
      <c r="A653" s="16"/>
      <c r="B653" s="16"/>
      <c r="C653" s="16"/>
      <c r="D653" s="16"/>
      <c r="E653" s="16"/>
      <c r="F653" s="16"/>
      <c r="G653" s="42"/>
      <c r="H653" s="16"/>
      <c r="I653" s="42"/>
      <c r="J653" s="44"/>
      <c r="K653" s="44"/>
      <c r="L653" s="44"/>
      <c r="M653" s="46"/>
      <c r="N653" s="42"/>
      <c r="O653" s="42"/>
      <c r="P653" s="16"/>
      <c r="Q653" s="16"/>
    </row>
    <row r="654">
      <c r="A654" s="16"/>
      <c r="B654" s="16"/>
      <c r="C654" s="16"/>
      <c r="D654" s="16"/>
      <c r="E654" s="16"/>
      <c r="F654" s="16"/>
      <c r="G654" s="42"/>
      <c r="H654" s="16"/>
      <c r="I654" s="42"/>
      <c r="J654" s="44"/>
      <c r="K654" s="44"/>
      <c r="L654" s="44"/>
      <c r="M654" s="46"/>
      <c r="N654" s="42"/>
      <c r="O654" s="42"/>
      <c r="P654" s="16"/>
      <c r="Q654" s="16"/>
    </row>
    <row r="655">
      <c r="A655" s="16"/>
      <c r="B655" s="16"/>
      <c r="C655" s="16"/>
      <c r="D655" s="16"/>
      <c r="E655" s="16"/>
      <c r="F655" s="16"/>
      <c r="G655" s="42"/>
      <c r="H655" s="16"/>
      <c r="I655" s="42"/>
      <c r="J655" s="44"/>
      <c r="K655" s="44"/>
      <c r="L655" s="44"/>
      <c r="M655" s="46"/>
      <c r="N655" s="42"/>
      <c r="O655" s="42"/>
      <c r="P655" s="16"/>
      <c r="Q655" s="16"/>
    </row>
    <row r="656">
      <c r="A656" s="16"/>
      <c r="B656" s="16"/>
      <c r="C656" s="16"/>
      <c r="D656" s="16"/>
      <c r="E656" s="16"/>
      <c r="F656" s="16"/>
      <c r="G656" s="42"/>
      <c r="H656" s="16"/>
      <c r="I656" s="42"/>
      <c r="J656" s="44"/>
      <c r="K656" s="44"/>
      <c r="L656" s="44"/>
      <c r="M656" s="46"/>
      <c r="N656" s="42"/>
      <c r="O656" s="42"/>
      <c r="P656" s="16"/>
      <c r="Q656" s="16"/>
    </row>
    <row r="657">
      <c r="A657" s="16"/>
      <c r="B657" s="16"/>
      <c r="C657" s="16"/>
      <c r="D657" s="16"/>
      <c r="E657" s="16"/>
      <c r="F657" s="16"/>
      <c r="G657" s="42"/>
      <c r="H657" s="16"/>
      <c r="I657" s="42"/>
      <c r="J657" s="44"/>
      <c r="K657" s="44"/>
      <c r="L657" s="44"/>
      <c r="M657" s="46"/>
      <c r="N657" s="42"/>
      <c r="O657" s="42"/>
      <c r="P657" s="16"/>
      <c r="Q657" s="16"/>
    </row>
    <row r="658">
      <c r="A658" s="16"/>
      <c r="B658" s="16"/>
      <c r="C658" s="16"/>
      <c r="D658" s="16"/>
      <c r="E658" s="16"/>
      <c r="F658" s="16"/>
      <c r="G658" s="42"/>
      <c r="H658" s="16"/>
      <c r="I658" s="42"/>
      <c r="J658" s="44"/>
      <c r="K658" s="44"/>
      <c r="L658" s="44"/>
      <c r="M658" s="46"/>
      <c r="N658" s="42"/>
      <c r="O658" s="42"/>
      <c r="P658" s="16"/>
      <c r="Q658" s="16"/>
    </row>
    <row r="659">
      <c r="A659" s="16"/>
      <c r="B659" s="16"/>
      <c r="C659" s="16"/>
      <c r="D659" s="16"/>
      <c r="E659" s="16"/>
      <c r="F659" s="16"/>
      <c r="G659" s="42"/>
      <c r="H659" s="16"/>
      <c r="I659" s="42"/>
      <c r="J659" s="44"/>
      <c r="K659" s="44"/>
      <c r="L659" s="44"/>
      <c r="M659" s="46"/>
      <c r="N659" s="42"/>
      <c r="O659" s="42"/>
      <c r="P659" s="16"/>
      <c r="Q659" s="16"/>
    </row>
    <row r="660">
      <c r="A660" s="16"/>
      <c r="B660" s="16"/>
      <c r="C660" s="16"/>
      <c r="D660" s="16"/>
      <c r="E660" s="16"/>
      <c r="F660" s="16"/>
      <c r="G660" s="42"/>
      <c r="H660" s="16"/>
      <c r="I660" s="42"/>
      <c r="J660" s="44"/>
      <c r="K660" s="44"/>
      <c r="L660" s="44"/>
      <c r="M660" s="46"/>
      <c r="N660" s="42"/>
      <c r="O660" s="42"/>
      <c r="P660" s="16"/>
      <c r="Q660" s="16"/>
    </row>
    <row r="661">
      <c r="A661" s="16"/>
      <c r="B661" s="16"/>
      <c r="C661" s="16"/>
      <c r="D661" s="16"/>
      <c r="E661" s="16"/>
      <c r="F661" s="16"/>
      <c r="G661" s="42"/>
      <c r="H661" s="16"/>
      <c r="I661" s="42"/>
      <c r="J661" s="44"/>
      <c r="K661" s="44"/>
      <c r="L661" s="44"/>
      <c r="M661" s="46"/>
      <c r="N661" s="42"/>
      <c r="O661" s="42"/>
      <c r="P661" s="16"/>
      <c r="Q661" s="16"/>
    </row>
    <row r="662">
      <c r="A662" s="16"/>
      <c r="B662" s="16"/>
      <c r="C662" s="16"/>
      <c r="D662" s="16"/>
      <c r="E662" s="16"/>
      <c r="F662" s="16"/>
      <c r="G662" s="42"/>
      <c r="H662" s="16"/>
      <c r="I662" s="42"/>
      <c r="J662" s="44"/>
      <c r="K662" s="44"/>
      <c r="L662" s="44"/>
      <c r="M662" s="46"/>
      <c r="N662" s="42"/>
      <c r="O662" s="42"/>
      <c r="P662" s="16"/>
      <c r="Q662" s="16"/>
    </row>
    <row r="663">
      <c r="A663" s="16"/>
      <c r="B663" s="16"/>
      <c r="C663" s="16"/>
      <c r="D663" s="16"/>
      <c r="E663" s="16"/>
      <c r="F663" s="16"/>
      <c r="G663" s="42"/>
      <c r="H663" s="16"/>
      <c r="I663" s="42"/>
      <c r="J663" s="44"/>
      <c r="K663" s="44"/>
      <c r="L663" s="44"/>
      <c r="M663" s="46"/>
      <c r="N663" s="42"/>
      <c r="O663" s="42"/>
      <c r="P663" s="16"/>
      <c r="Q663" s="16"/>
    </row>
    <row r="664">
      <c r="A664" s="16"/>
      <c r="B664" s="16"/>
      <c r="C664" s="16"/>
      <c r="D664" s="16"/>
      <c r="E664" s="16"/>
      <c r="F664" s="16"/>
      <c r="G664" s="42"/>
      <c r="H664" s="16"/>
      <c r="I664" s="42"/>
      <c r="J664" s="44"/>
      <c r="K664" s="44"/>
      <c r="L664" s="44"/>
      <c r="M664" s="46"/>
      <c r="N664" s="42"/>
      <c r="O664" s="42"/>
      <c r="P664" s="16"/>
      <c r="Q664" s="16"/>
    </row>
    <row r="665">
      <c r="A665" s="16"/>
      <c r="B665" s="16"/>
      <c r="C665" s="16"/>
      <c r="D665" s="16"/>
      <c r="E665" s="16"/>
      <c r="F665" s="16"/>
      <c r="G665" s="42"/>
      <c r="H665" s="16"/>
      <c r="I665" s="42"/>
      <c r="J665" s="44"/>
      <c r="K665" s="44"/>
      <c r="L665" s="44"/>
      <c r="M665" s="46"/>
      <c r="N665" s="42"/>
      <c r="O665" s="42"/>
      <c r="P665" s="16"/>
      <c r="Q665" s="16"/>
    </row>
    <row r="666">
      <c r="A666" s="16"/>
      <c r="B666" s="16"/>
      <c r="C666" s="16"/>
      <c r="D666" s="16"/>
      <c r="E666" s="16"/>
      <c r="F666" s="16"/>
      <c r="G666" s="42"/>
      <c r="H666" s="16"/>
      <c r="I666" s="42"/>
      <c r="J666" s="44"/>
      <c r="K666" s="44"/>
      <c r="L666" s="44"/>
      <c r="M666" s="46"/>
      <c r="N666" s="42"/>
      <c r="O666" s="42"/>
      <c r="P666" s="16"/>
      <c r="Q666" s="16"/>
    </row>
    <row r="667">
      <c r="A667" s="16"/>
      <c r="B667" s="16"/>
      <c r="C667" s="16"/>
      <c r="D667" s="16"/>
      <c r="E667" s="16"/>
      <c r="F667" s="16"/>
      <c r="G667" s="42"/>
      <c r="H667" s="16"/>
      <c r="I667" s="42"/>
      <c r="J667" s="44"/>
      <c r="K667" s="44"/>
      <c r="L667" s="44"/>
      <c r="M667" s="46"/>
      <c r="N667" s="42"/>
      <c r="O667" s="42"/>
      <c r="P667" s="16"/>
      <c r="Q667" s="16"/>
    </row>
    <row r="668">
      <c r="A668" s="16"/>
      <c r="B668" s="16"/>
      <c r="C668" s="16"/>
      <c r="D668" s="16"/>
      <c r="E668" s="16"/>
      <c r="F668" s="16"/>
      <c r="G668" s="42"/>
      <c r="H668" s="16"/>
      <c r="I668" s="42"/>
      <c r="J668" s="44"/>
      <c r="K668" s="44"/>
      <c r="L668" s="44"/>
      <c r="M668" s="46"/>
      <c r="N668" s="42"/>
      <c r="O668" s="42"/>
      <c r="P668" s="16"/>
      <c r="Q668" s="16"/>
    </row>
    <row r="669">
      <c r="A669" s="16"/>
      <c r="B669" s="16"/>
      <c r="C669" s="16"/>
      <c r="D669" s="16"/>
      <c r="E669" s="16"/>
      <c r="F669" s="16"/>
      <c r="G669" s="42"/>
      <c r="H669" s="16"/>
      <c r="I669" s="42"/>
      <c r="J669" s="44"/>
      <c r="K669" s="44"/>
      <c r="L669" s="44"/>
      <c r="M669" s="46"/>
      <c r="N669" s="42"/>
      <c r="O669" s="42"/>
      <c r="P669" s="16"/>
      <c r="Q669" s="16"/>
    </row>
    <row r="670">
      <c r="A670" s="16"/>
      <c r="B670" s="16"/>
      <c r="C670" s="16"/>
      <c r="D670" s="16"/>
      <c r="E670" s="16"/>
      <c r="F670" s="16"/>
      <c r="G670" s="42"/>
      <c r="H670" s="16"/>
      <c r="I670" s="42"/>
      <c r="J670" s="44"/>
      <c r="K670" s="44"/>
      <c r="L670" s="44"/>
      <c r="M670" s="46"/>
      <c r="N670" s="42"/>
      <c r="O670" s="42"/>
      <c r="P670" s="16"/>
      <c r="Q670" s="16"/>
    </row>
    <row r="671">
      <c r="A671" s="16"/>
      <c r="B671" s="16"/>
      <c r="C671" s="16"/>
      <c r="D671" s="16"/>
      <c r="E671" s="16"/>
      <c r="F671" s="16"/>
      <c r="G671" s="42"/>
      <c r="H671" s="16"/>
      <c r="I671" s="42"/>
      <c r="J671" s="44"/>
      <c r="K671" s="44"/>
      <c r="L671" s="44"/>
      <c r="M671" s="46"/>
      <c r="N671" s="42"/>
      <c r="O671" s="42"/>
      <c r="P671" s="16"/>
      <c r="Q671" s="16"/>
    </row>
    <row r="672">
      <c r="A672" s="16"/>
      <c r="B672" s="16"/>
      <c r="C672" s="16"/>
      <c r="D672" s="16"/>
      <c r="E672" s="16"/>
      <c r="F672" s="16"/>
      <c r="G672" s="42"/>
      <c r="H672" s="16"/>
      <c r="I672" s="42"/>
      <c r="J672" s="44"/>
      <c r="K672" s="44"/>
      <c r="L672" s="44"/>
      <c r="M672" s="46"/>
      <c r="N672" s="42"/>
      <c r="O672" s="42"/>
      <c r="P672" s="16"/>
      <c r="Q672" s="16"/>
    </row>
    <row r="673">
      <c r="A673" s="16"/>
      <c r="B673" s="16"/>
      <c r="C673" s="16"/>
      <c r="D673" s="16"/>
      <c r="E673" s="16"/>
      <c r="F673" s="16"/>
      <c r="G673" s="42"/>
      <c r="H673" s="16"/>
      <c r="I673" s="42"/>
      <c r="J673" s="44"/>
      <c r="K673" s="44"/>
      <c r="L673" s="44"/>
      <c r="M673" s="46"/>
      <c r="N673" s="42"/>
      <c r="O673" s="42"/>
      <c r="P673" s="16"/>
      <c r="Q673" s="16"/>
    </row>
    <row r="674">
      <c r="A674" s="16"/>
      <c r="B674" s="16"/>
      <c r="C674" s="16"/>
      <c r="D674" s="16"/>
      <c r="E674" s="16"/>
      <c r="F674" s="16"/>
      <c r="G674" s="42"/>
      <c r="H674" s="16"/>
      <c r="I674" s="42"/>
      <c r="J674" s="44"/>
      <c r="K674" s="44"/>
      <c r="L674" s="44"/>
      <c r="M674" s="46"/>
      <c r="N674" s="42"/>
      <c r="O674" s="42"/>
      <c r="P674" s="16"/>
      <c r="Q674" s="16"/>
    </row>
    <row r="675">
      <c r="A675" s="16"/>
      <c r="B675" s="16"/>
      <c r="C675" s="16"/>
      <c r="D675" s="16"/>
      <c r="E675" s="16"/>
      <c r="F675" s="16"/>
      <c r="G675" s="42"/>
      <c r="H675" s="16"/>
      <c r="I675" s="42"/>
      <c r="J675" s="44"/>
      <c r="K675" s="44"/>
      <c r="L675" s="44"/>
      <c r="M675" s="46"/>
      <c r="N675" s="42"/>
      <c r="O675" s="42"/>
      <c r="P675" s="16"/>
      <c r="Q675" s="16"/>
    </row>
    <row r="676">
      <c r="A676" s="16"/>
      <c r="B676" s="16"/>
      <c r="C676" s="16"/>
      <c r="D676" s="16"/>
      <c r="E676" s="16"/>
      <c r="F676" s="16"/>
      <c r="G676" s="42"/>
      <c r="H676" s="16"/>
      <c r="I676" s="42"/>
      <c r="J676" s="44"/>
      <c r="K676" s="44"/>
      <c r="L676" s="44"/>
      <c r="M676" s="46"/>
      <c r="N676" s="42"/>
      <c r="O676" s="42"/>
      <c r="P676" s="16"/>
      <c r="Q676" s="16"/>
    </row>
    <row r="677">
      <c r="A677" s="16"/>
      <c r="B677" s="16"/>
      <c r="C677" s="16"/>
      <c r="D677" s="16"/>
      <c r="E677" s="16"/>
      <c r="F677" s="16"/>
      <c r="G677" s="42"/>
      <c r="H677" s="16"/>
      <c r="I677" s="42"/>
      <c r="J677" s="44"/>
      <c r="K677" s="44"/>
      <c r="L677" s="44"/>
      <c r="M677" s="46"/>
      <c r="N677" s="42"/>
      <c r="O677" s="42"/>
      <c r="P677" s="16"/>
      <c r="Q677" s="16"/>
    </row>
    <row r="678">
      <c r="A678" s="16"/>
      <c r="B678" s="16"/>
      <c r="C678" s="16"/>
      <c r="D678" s="16"/>
      <c r="E678" s="16"/>
      <c r="F678" s="16"/>
      <c r="G678" s="42"/>
      <c r="H678" s="16"/>
      <c r="I678" s="42"/>
      <c r="J678" s="44"/>
      <c r="K678" s="44"/>
      <c r="L678" s="44"/>
      <c r="M678" s="46"/>
      <c r="N678" s="42"/>
      <c r="O678" s="42"/>
      <c r="P678" s="16"/>
      <c r="Q678" s="16"/>
    </row>
    <row r="679">
      <c r="A679" s="16"/>
      <c r="B679" s="16"/>
      <c r="C679" s="16"/>
      <c r="D679" s="16"/>
      <c r="E679" s="16"/>
      <c r="F679" s="16"/>
      <c r="G679" s="42"/>
      <c r="H679" s="16"/>
      <c r="I679" s="42"/>
      <c r="J679" s="44"/>
      <c r="K679" s="44"/>
      <c r="L679" s="44"/>
      <c r="M679" s="46"/>
      <c r="N679" s="42"/>
      <c r="O679" s="42"/>
      <c r="P679" s="16"/>
      <c r="Q679" s="16"/>
    </row>
    <row r="680">
      <c r="A680" s="16"/>
      <c r="B680" s="16"/>
      <c r="C680" s="16"/>
      <c r="D680" s="16"/>
      <c r="E680" s="16"/>
      <c r="F680" s="16"/>
      <c r="G680" s="42"/>
      <c r="H680" s="16"/>
      <c r="I680" s="42"/>
      <c r="J680" s="44"/>
      <c r="K680" s="44"/>
      <c r="L680" s="44"/>
      <c r="M680" s="46"/>
      <c r="N680" s="42"/>
      <c r="O680" s="42"/>
      <c r="P680" s="16"/>
      <c r="Q680" s="16"/>
    </row>
    <row r="681">
      <c r="A681" s="16"/>
      <c r="B681" s="16"/>
      <c r="C681" s="16"/>
      <c r="D681" s="16"/>
      <c r="E681" s="16"/>
      <c r="F681" s="16"/>
      <c r="G681" s="42"/>
      <c r="H681" s="16"/>
      <c r="I681" s="42"/>
      <c r="J681" s="44"/>
      <c r="K681" s="44"/>
      <c r="L681" s="44"/>
      <c r="M681" s="46"/>
      <c r="N681" s="42"/>
      <c r="O681" s="42"/>
      <c r="P681" s="16"/>
      <c r="Q681" s="16"/>
    </row>
    <row r="682">
      <c r="A682" s="16"/>
      <c r="B682" s="16"/>
      <c r="C682" s="16"/>
      <c r="D682" s="16"/>
      <c r="E682" s="16"/>
      <c r="F682" s="16"/>
      <c r="G682" s="42"/>
      <c r="H682" s="16"/>
      <c r="I682" s="42"/>
      <c r="J682" s="44"/>
      <c r="K682" s="44"/>
      <c r="L682" s="44"/>
      <c r="M682" s="46"/>
      <c r="N682" s="42"/>
      <c r="O682" s="42"/>
      <c r="P682" s="16"/>
      <c r="Q682" s="16"/>
    </row>
    <row r="683">
      <c r="A683" s="16"/>
      <c r="B683" s="16"/>
      <c r="C683" s="16"/>
      <c r="D683" s="16"/>
      <c r="E683" s="16"/>
      <c r="F683" s="16"/>
      <c r="G683" s="42"/>
      <c r="H683" s="16"/>
      <c r="I683" s="42"/>
      <c r="J683" s="44"/>
      <c r="K683" s="44"/>
      <c r="L683" s="44"/>
      <c r="M683" s="46"/>
      <c r="N683" s="42"/>
      <c r="O683" s="42"/>
      <c r="P683" s="16"/>
      <c r="Q683" s="16"/>
    </row>
    <row r="684">
      <c r="A684" s="16"/>
      <c r="B684" s="16"/>
      <c r="C684" s="16"/>
      <c r="D684" s="16"/>
      <c r="E684" s="16"/>
      <c r="F684" s="16"/>
      <c r="G684" s="42"/>
      <c r="H684" s="16"/>
      <c r="I684" s="42"/>
      <c r="J684" s="44"/>
      <c r="K684" s="44"/>
      <c r="L684" s="44"/>
      <c r="M684" s="46"/>
      <c r="N684" s="42"/>
      <c r="O684" s="42"/>
      <c r="P684" s="16"/>
      <c r="Q684" s="16"/>
    </row>
    <row r="685">
      <c r="A685" s="16"/>
      <c r="B685" s="16"/>
      <c r="C685" s="16"/>
      <c r="D685" s="16"/>
      <c r="E685" s="16"/>
      <c r="F685" s="16"/>
      <c r="G685" s="42"/>
      <c r="H685" s="16"/>
      <c r="I685" s="42"/>
      <c r="J685" s="44"/>
      <c r="K685" s="44"/>
      <c r="L685" s="44"/>
      <c r="M685" s="46"/>
      <c r="N685" s="42"/>
      <c r="O685" s="42"/>
      <c r="P685" s="16"/>
      <c r="Q685" s="16"/>
    </row>
    <row r="686">
      <c r="A686" s="16"/>
      <c r="B686" s="16"/>
      <c r="C686" s="16"/>
      <c r="D686" s="16"/>
      <c r="E686" s="16"/>
      <c r="F686" s="16"/>
      <c r="G686" s="42"/>
      <c r="H686" s="16"/>
      <c r="I686" s="42"/>
      <c r="J686" s="44"/>
      <c r="K686" s="44"/>
      <c r="L686" s="44"/>
      <c r="M686" s="46"/>
      <c r="N686" s="42"/>
      <c r="O686" s="42"/>
      <c r="P686" s="16"/>
      <c r="Q686" s="16"/>
    </row>
    <row r="687">
      <c r="A687" s="16"/>
      <c r="B687" s="16"/>
      <c r="C687" s="16"/>
      <c r="D687" s="16"/>
      <c r="E687" s="16"/>
      <c r="F687" s="16"/>
      <c r="G687" s="42"/>
      <c r="H687" s="16"/>
      <c r="I687" s="42"/>
      <c r="J687" s="44"/>
      <c r="K687" s="44"/>
      <c r="L687" s="44"/>
      <c r="M687" s="46"/>
      <c r="N687" s="42"/>
      <c r="O687" s="42"/>
      <c r="P687" s="16"/>
      <c r="Q687" s="16"/>
    </row>
    <row r="688">
      <c r="A688" s="16"/>
      <c r="B688" s="16"/>
      <c r="C688" s="16"/>
      <c r="D688" s="16"/>
      <c r="E688" s="16"/>
      <c r="F688" s="16"/>
      <c r="G688" s="42"/>
      <c r="H688" s="16"/>
      <c r="I688" s="42"/>
      <c r="J688" s="44"/>
      <c r="K688" s="44"/>
      <c r="L688" s="44"/>
      <c r="M688" s="46"/>
      <c r="N688" s="42"/>
      <c r="O688" s="42"/>
      <c r="P688" s="16"/>
      <c r="Q688" s="16"/>
    </row>
    <row r="689">
      <c r="A689" s="16"/>
      <c r="B689" s="16"/>
      <c r="C689" s="16"/>
      <c r="D689" s="16"/>
      <c r="E689" s="16"/>
      <c r="F689" s="16"/>
      <c r="G689" s="42"/>
      <c r="H689" s="16"/>
      <c r="I689" s="42"/>
      <c r="J689" s="44"/>
      <c r="K689" s="44"/>
      <c r="L689" s="44"/>
      <c r="M689" s="46"/>
      <c r="N689" s="42"/>
      <c r="O689" s="42"/>
      <c r="P689" s="16"/>
      <c r="Q689" s="16"/>
    </row>
    <row r="690">
      <c r="A690" s="16"/>
      <c r="B690" s="16"/>
      <c r="C690" s="16"/>
      <c r="D690" s="16"/>
      <c r="E690" s="16"/>
      <c r="F690" s="16"/>
      <c r="G690" s="42"/>
      <c r="H690" s="16"/>
      <c r="I690" s="42"/>
      <c r="J690" s="44"/>
      <c r="K690" s="44"/>
      <c r="L690" s="44"/>
      <c r="M690" s="46"/>
      <c r="N690" s="42"/>
      <c r="O690" s="42"/>
      <c r="P690" s="16"/>
      <c r="Q690" s="16"/>
    </row>
    <row r="691">
      <c r="A691" s="16"/>
      <c r="B691" s="16"/>
      <c r="C691" s="16"/>
      <c r="D691" s="16"/>
      <c r="E691" s="16"/>
      <c r="F691" s="16"/>
      <c r="G691" s="42"/>
      <c r="H691" s="16"/>
      <c r="I691" s="42"/>
      <c r="J691" s="44"/>
      <c r="K691" s="44"/>
      <c r="L691" s="44"/>
      <c r="M691" s="46"/>
      <c r="N691" s="42"/>
      <c r="O691" s="42"/>
      <c r="P691" s="16"/>
      <c r="Q691" s="16"/>
    </row>
    <row r="692">
      <c r="A692" s="16"/>
      <c r="B692" s="16"/>
      <c r="C692" s="16"/>
      <c r="D692" s="16"/>
      <c r="E692" s="16"/>
      <c r="F692" s="16"/>
      <c r="G692" s="42"/>
      <c r="H692" s="16"/>
      <c r="I692" s="42"/>
      <c r="J692" s="44"/>
      <c r="K692" s="44"/>
      <c r="L692" s="44"/>
      <c r="M692" s="46"/>
      <c r="N692" s="42"/>
      <c r="O692" s="42"/>
      <c r="P692" s="16"/>
      <c r="Q692" s="16"/>
    </row>
    <row r="693">
      <c r="A693" s="16"/>
      <c r="B693" s="16"/>
      <c r="C693" s="16"/>
      <c r="D693" s="16"/>
      <c r="E693" s="16"/>
      <c r="F693" s="16"/>
      <c r="G693" s="42"/>
      <c r="H693" s="16"/>
      <c r="I693" s="42"/>
      <c r="J693" s="44"/>
      <c r="K693" s="44"/>
      <c r="L693" s="44"/>
      <c r="M693" s="46"/>
      <c r="N693" s="42"/>
      <c r="O693" s="42"/>
      <c r="P693" s="16"/>
      <c r="Q693" s="16"/>
    </row>
    <row r="694">
      <c r="A694" s="16"/>
      <c r="B694" s="16"/>
      <c r="C694" s="16"/>
      <c r="D694" s="16"/>
      <c r="E694" s="16"/>
      <c r="F694" s="16"/>
      <c r="G694" s="42"/>
      <c r="H694" s="16"/>
      <c r="I694" s="42"/>
      <c r="J694" s="44"/>
      <c r="K694" s="44"/>
      <c r="L694" s="44"/>
      <c r="M694" s="46"/>
      <c r="N694" s="42"/>
      <c r="O694" s="42"/>
      <c r="P694" s="16"/>
      <c r="Q694" s="16"/>
    </row>
    <row r="695">
      <c r="A695" s="16"/>
      <c r="B695" s="16"/>
      <c r="C695" s="16"/>
      <c r="D695" s="16"/>
      <c r="E695" s="16"/>
      <c r="F695" s="16"/>
      <c r="G695" s="42"/>
      <c r="H695" s="16"/>
      <c r="I695" s="42"/>
      <c r="J695" s="44"/>
      <c r="K695" s="44"/>
      <c r="L695" s="44"/>
      <c r="M695" s="46"/>
      <c r="N695" s="42"/>
      <c r="O695" s="42"/>
      <c r="P695" s="16"/>
      <c r="Q695" s="16"/>
    </row>
    <row r="696">
      <c r="A696" s="16"/>
      <c r="B696" s="16"/>
      <c r="C696" s="16"/>
      <c r="D696" s="16"/>
      <c r="E696" s="16"/>
      <c r="F696" s="16"/>
      <c r="G696" s="42"/>
      <c r="H696" s="16"/>
      <c r="I696" s="42"/>
      <c r="J696" s="44"/>
      <c r="K696" s="44"/>
      <c r="L696" s="44"/>
      <c r="M696" s="46"/>
      <c r="N696" s="42"/>
      <c r="O696" s="42"/>
      <c r="P696" s="16"/>
      <c r="Q696" s="16"/>
    </row>
    <row r="697">
      <c r="A697" s="16"/>
      <c r="B697" s="16"/>
      <c r="C697" s="16"/>
      <c r="D697" s="16"/>
      <c r="E697" s="16"/>
      <c r="F697" s="16"/>
      <c r="G697" s="42"/>
      <c r="H697" s="16"/>
      <c r="I697" s="42"/>
      <c r="J697" s="44"/>
      <c r="K697" s="44"/>
      <c r="L697" s="44"/>
      <c r="M697" s="46"/>
      <c r="N697" s="42"/>
      <c r="O697" s="42"/>
      <c r="P697" s="16"/>
      <c r="Q697" s="16"/>
    </row>
    <row r="698">
      <c r="A698" s="16"/>
      <c r="B698" s="16"/>
      <c r="C698" s="16"/>
      <c r="D698" s="16"/>
      <c r="E698" s="16"/>
      <c r="F698" s="16"/>
      <c r="G698" s="42"/>
      <c r="H698" s="16"/>
      <c r="I698" s="42"/>
      <c r="J698" s="44"/>
      <c r="K698" s="44"/>
      <c r="L698" s="44"/>
      <c r="M698" s="46"/>
      <c r="N698" s="42"/>
      <c r="O698" s="42"/>
      <c r="P698" s="16"/>
      <c r="Q698" s="16"/>
    </row>
    <row r="699">
      <c r="A699" s="16"/>
      <c r="B699" s="16"/>
      <c r="C699" s="16"/>
      <c r="D699" s="16"/>
      <c r="E699" s="16"/>
      <c r="F699" s="16"/>
      <c r="G699" s="42"/>
      <c r="H699" s="16"/>
      <c r="I699" s="42"/>
      <c r="J699" s="44"/>
      <c r="K699" s="44"/>
      <c r="L699" s="44"/>
      <c r="M699" s="46"/>
      <c r="N699" s="42"/>
      <c r="O699" s="42"/>
      <c r="P699" s="16"/>
      <c r="Q699" s="16"/>
    </row>
    <row r="700">
      <c r="A700" s="16"/>
      <c r="B700" s="16"/>
      <c r="C700" s="16"/>
      <c r="D700" s="16"/>
      <c r="E700" s="16"/>
      <c r="F700" s="16"/>
      <c r="G700" s="42"/>
      <c r="H700" s="16"/>
      <c r="I700" s="42"/>
      <c r="J700" s="44"/>
      <c r="K700" s="44"/>
      <c r="L700" s="44"/>
      <c r="M700" s="46"/>
      <c r="N700" s="42"/>
      <c r="O700" s="42"/>
      <c r="P700" s="16"/>
      <c r="Q700" s="16"/>
    </row>
    <row r="701">
      <c r="A701" s="16"/>
      <c r="B701" s="16"/>
      <c r="C701" s="16"/>
      <c r="D701" s="16"/>
      <c r="E701" s="16"/>
      <c r="F701" s="16"/>
      <c r="G701" s="42"/>
      <c r="H701" s="16"/>
      <c r="I701" s="42"/>
      <c r="J701" s="44"/>
      <c r="K701" s="44"/>
      <c r="L701" s="44"/>
      <c r="M701" s="46"/>
      <c r="N701" s="42"/>
      <c r="O701" s="42"/>
      <c r="P701" s="16"/>
      <c r="Q701" s="16"/>
    </row>
    <row r="702">
      <c r="A702" s="16"/>
      <c r="B702" s="16"/>
      <c r="C702" s="16"/>
      <c r="D702" s="16"/>
      <c r="E702" s="16"/>
      <c r="F702" s="16"/>
      <c r="G702" s="42"/>
      <c r="H702" s="16"/>
      <c r="I702" s="42"/>
      <c r="J702" s="44"/>
      <c r="K702" s="44"/>
      <c r="L702" s="44"/>
      <c r="M702" s="46"/>
      <c r="N702" s="42"/>
      <c r="O702" s="42"/>
      <c r="P702" s="16"/>
      <c r="Q702" s="16"/>
    </row>
    <row r="703">
      <c r="A703" s="16"/>
      <c r="B703" s="16"/>
      <c r="C703" s="16"/>
      <c r="D703" s="16"/>
      <c r="E703" s="16"/>
      <c r="F703" s="16"/>
      <c r="G703" s="42"/>
      <c r="H703" s="16"/>
      <c r="I703" s="42"/>
      <c r="J703" s="44"/>
      <c r="K703" s="44"/>
      <c r="L703" s="44"/>
      <c r="M703" s="46"/>
      <c r="N703" s="42"/>
      <c r="O703" s="42"/>
      <c r="P703" s="16"/>
      <c r="Q703" s="16"/>
    </row>
    <row r="704">
      <c r="A704" s="16"/>
      <c r="B704" s="16"/>
      <c r="C704" s="16"/>
      <c r="D704" s="16"/>
      <c r="E704" s="16"/>
      <c r="F704" s="16"/>
      <c r="G704" s="42"/>
      <c r="H704" s="16"/>
      <c r="I704" s="42"/>
      <c r="J704" s="44"/>
      <c r="K704" s="44"/>
      <c r="L704" s="44"/>
      <c r="M704" s="46"/>
      <c r="N704" s="42"/>
      <c r="O704" s="42"/>
      <c r="P704" s="16"/>
      <c r="Q704" s="16"/>
    </row>
    <row r="705">
      <c r="A705" s="16"/>
      <c r="B705" s="16"/>
      <c r="C705" s="16"/>
      <c r="D705" s="16"/>
      <c r="E705" s="16"/>
      <c r="F705" s="16"/>
      <c r="G705" s="42"/>
      <c r="H705" s="16"/>
      <c r="I705" s="42"/>
      <c r="J705" s="44"/>
      <c r="K705" s="44"/>
      <c r="L705" s="44"/>
      <c r="M705" s="46"/>
      <c r="N705" s="42"/>
      <c r="O705" s="42"/>
      <c r="P705" s="16"/>
      <c r="Q705" s="16"/>
    </row>
    <row r="706">
      <c r="A706" s="16"/>
      <c r="B706" s="16"/>
      <c r="C706" s="16"/>
      <c r="D706" s="16"/>
      <c r="E706" s="16"/>
      <c r="F706" s="16"/>
      <c r="G706" s="42"/>
      <c r="H706" s="16"/>
      <c r="I706" s="42"/>
      <c r="J706" s="44"/>
      <c r="K706" s="44"/>
      <c r="L706" s="44"/>
      <c r="M706" s="46"/>
      <c r="N706" s="42"/>
      <c r="O706" s="42"/>
      <c r="P706" s="16"/>
      <c r="Q706" s="16"/>
    </row>
    <row r="707">
      <c r="A707" s="16"/>
      <c r="B707" s="16"/>
      <c r="C707" s="16"/>
      <c r="D707" s="16"/>
      <c r="E707" s="16"/>
      <c r="F707" s="16"/>
      <c r="G707" s="42"/>
      <c r="H707" s="16"/>
      <c r="I707" s="42"/>
      <c r="J707" s="44"/>
      <c r="K707" s="44"/>
      <c r="L707" s="44"/>
      <c r="M707" s="46"/>
      <c r="N707" s="42"/>
      <c r="O707" s="42"/>
      <c r="P707" s="16"/>
      <c r="Q707" s="16"/>
    </row>
    <row r="708">
      <c r="A708" s="16"/>
      <c r="B708" s="16"/>
      <c r="C708" s="16"/>
      <c r="D708" s="16"/>
      <c r="E708" s="16"/>
      <c r="F708" s="16"/>
      <c r="G708" s="42"/>
      <c r="H708" s="16"/>
      <c r="I708" s="42"/>
      <c r="J708" s="44"/>
      <c r="K708" s="44"/>
      <c r="L708" s="44"/>
      <c r="M708" s="46"/>
      <c r="N708" s="42"/>
      <c r="O708" s="42"/>
      <c r="P708" s="16"/>
      <c r="Q708" s="16"/>
    </row>
    <row r="709">
      <c r="A709" s="16"/>
      <c r="B709" s="16"/>
      <c r="C709" s="16"/>
      <c r="D709" s="16"/>
      <c r="E709" s="16"/>
      <c r="F709" s="16"/>
      <c r="G709" s="42"/>
      <c r="H709" s="16"/>
      <c r="I709" s="42"/>
      <c r="J709" s="44"/>
      <c r="K709" s="44"/>
      <c r="L709" s="44"/>
      <c r="M709" s="46"/>
      <c r="N709" s="42"/>
      <c r="O709" s="42"/>
      <c r="P709" s="16"/>
      <c r="Q709" s="16"/>
    </row>
    <row r="710">
      <c r="A710" s="16"/>
      <c r="B710" s="16"/>
      <c r="C710" s="16"/>
      <c r="D710" s="16"/>
      <c r="E710" s="16"/>
      <c r="F710" s="16"/>
      <c r="G710" s="42"/>
      <c r="H710" s="16"/>
      <c r="I710" s="42"/>
      <c r="J710" s="44"/>
      <c r="K710" s="44"/>
      <c r="L710" s="44"/>
      <c r="M710" s="46"/>
      <c r="N710" s="42"/>
      <c r="O710" s="42"/>
      <c r="P710" s="16"/>
      <c r="Q710" s="16"/>
    </row>
    <row r="711">
      <c r="A711" s="16"/>
      <c r="B711" s="16"/>
      <c r="C711" s="16"/>
      <c r="D711" s="16"/>
      <c r="E711" s="16"/>
      <c r="F711" s="16"/>
      <c r="G711" s="42"/>
      <c r="H711" s="16"/>
      <c r="I711" s="42"/>
      <c r="J711" s="44"/>
      <c r="K711" s="44"/>
      <c r="L711" s="44"/>
      <c r="M711" s="46"/>
      <c r="N711" s="42"/>
      <c r="O711" s="42"/>
      <c r="P711" s="16"/>
      <c r="Q711" s="16"/>
    </row>
    <row r="712">
      <c r="A712" s="16"/>
      <c r="B712" s="16"/>
      <c r="C712" s="16"/>
      <c r="D712" s="16"/>
      <c r="E712" s="16"/>
      <c r="F712" s="16"/>
      <c r="G712" s="42"/>
      <c r="H712" s="16"/>
      <c r="I712" s="42"/>
      <c r="J712" s="44"/>
      <c r="K712" s="44"/>
      <c r="L712" s="44"/>
      <c r="M712" s="46"/>
      <c r="N712" s="42"/>
      <c r="O712" s="42"/>
      <c r="P712" s="16"/>
      <c r="Q712" s="16"/>
    </row>
    <row r="713">
      <c r="A713" s="16"/>
      <c r="B713" s="16"/>
      <c r="C713" s="16"/>
      <c r="D713" s="16"/>
      <c r="E713" s="16"/>
      <c r="F713" s="16"/>
      <c r="G713" s="42"/>
      <c r="H713" s="16"/>
      <c r="I713" s="42"/>
      <c r="J713" s="44"/>
      <c r="K713" s="44"/>
      <c r="L713" s="44"/>
      <c r="M713" s="46"/>
      <c r="N713" s="42"/>
      <c r="O713" s="42"/>
      <c r="P713" s="16"/>
      <c r="Q713" s="16"/>
    </row>
    <row r="714">
      <c r="A714" s="16"/>
      <c r="B714" s="16"/>
      <c r="C714" s="16"/>
      <c r="D714" s="16"/>
      <c r="E714" s="16"/>
      <c r="F714" s="16"/>
      <c r="G714" s="42"/>
      <c r="H714" s="16"/>
      <c r="I714" s="42"/>
      <c r="J714" s="44"/>
      <c r="K714" s="44"/>
      <c r="L714" s="44"/>
      <c r="M714" s="46"/>
      <c r="N714" s="42"/>
      <c r="O714" s="42"/>
      <c r="P714" s="16"/>
      <c r="Q714" s="16"/>
    </row>
    <row r="715">
      <c r="A715" s="16"/>
      <c r="B715" s="16"/>
      <c r="C715" s="16"/>
      <c r="D715" s="16"/>
      <c r="E715" s="16"/>
      <c r="F715" s="16"/>
      <c r="G715" s="42"/>
      <c r="H715" s="16"/>
      <c r="I715" s="42"/>
      <c r="J715" s="44"/>
      <c r="K715" s="44"/>
      <c r="L715" s="44"/>
      <c r="M715" s="46"/>
      <c r="N715" s="42"/>
      <c r="O715" s="42"/>
      <c r="P715" s="16"/>
      <c r="Q715" s="16"/>
    </row>
    <row r="716">
      <c r="A716" s="16"/>
      <c r="B716" s="16"/>
      <c r="C716" s="16"/>
      <c r="D716" s="16"/>
      <c r="E716" s="16"/>
      <c r="F716" s="16"/>
      <c r="G716" s="42"/>
      <c r="H716" s="16"/>
      <c r="I716" s="42"/>
      <c r="J716" s="44"/>
      <c r="K716" s="44"/>
      <c r="L716" s="44"/>
      <c r="M716" s="46"/>
      <c r="N716" s="42"/>
      <c r="O716" s="42"/>
      <c r="P716" s="16"/>
      <c r="Q716" s="16"/>
    </row>
    <row r="717">
      <c r="A717" s="16"/>
      <c r="B717" s="16"/>
      <c r="C717" s="16"/>
      <c r="D717" s="16"/>
      <c r="E717" s="16"/>
      <c r="F717" s="16"/>
      <c r="G717" s="42"/>
      <c r="H717" s="16"/>
      <c r="I717" s="42"/>
      <c r="J717" s="44"/>
      <c r="K717" s="44"/>
      <c r="L717" s="44"/>
      <c r="M717" s="46"/>
      <c r="N717" s="42"/>
      <c r="O717" s="42"/>
      <c r="P717" s="16"/>
      <c r="Q717" s="16"/>
    </row>
    <row r="718">
      <c r="A718" s="16"/>
      <c r="B718" s="16"/>
      <c r="C718" s="16"/>
      <c r="D718" s="16"/>
      <c r="E718" s="16"/>
      <c r="F718" s="16"/>
      <c r="G718" s="42"/>
      <c r="H718" s="16"/>
      <c r="I718" s="42"/>
      <c r="J718" s="44"/>
      <c r="K718" s="44"/>
      <c r="L718" s="44"/>
      <c r="M718" s="46"/>
      <c r="N718" s="42"/>
      <c r="O718" s="42"/>
      <c r="P718" s="16"/>
      <c r="Q718" s="16"/>
    </row>
    <row r="719">
      <c r="A719" s="16"/>
      <c r="B719" s="16"/>
      <c r="C719" s="16"/>
      <c r="D719" s="16"/>
      <c r="E719" s="16"/>
      <c r="F719" s="16"/>
      <c r="G719" s="42"/>
      <c r="H719" s="16"/>
      <c r="I719" s="42"/>
      <c r="J719" s="44"/>
      <c r="K719" s="44"/>
      <c r="L719" s="44"/>
      <c r="M719" s="46"/>
      <c r="N719" s="42"/>
      <c r="O719" s="42"/>
      <c r="P719" s="16"/>
      <c r="Q719" s="16"/>
    </row>
    <row r="720">
      <c r="A720" s="16"/>
      <c r="B720" s="16"/>
      <c r="C720" s="16"/>
      <c r="D720" s="16"/>
      <c r="E720" s="16"/>
      <c r="F720" s="16"/>
      <c r="G720" s="42"/>
      <c r="H720" s="16"/>
      <c r="I720" s="42"/>
      <c r="J720" s="44"/>
      <c r="K720" s="44"/>
      <c r="L720" s="44"/>
      <c r="M720" s="46"/>
      <c r="N720" s="42"/>
      <c r="O720" s="42"/>
      <c r="P720" s="16"/>
      <c r="Q720" s="16"/>
    </row>
    <row r="721">
      <c r="A721" s="16"/>
      <c r="B721" s="16"/>
      <c r="C721" s="16"/>
      <c r="D721" s="16"/>
      <c r="E721" s="16"/>
      <c r="F721" s="16"/>
      <c r="G721" s="42"/>
      <c r="H721" s="16"/>
      <c r="I721" s="42"/>
      <c r="J721" s="44"/>
      <c r="K721" s="44"/>
      <c r="L721" s="44"/>
      <c r="M721" s="46"/>
      <c r="N721" s="42"/>
      <c r="O721" s="42"/>
      <c r="P721" s="16"/>
      <c r="Q721" s="16"/>
    </row>
    <row r="722">
      <c r="A722" s="16"/>
      <c r="B722" s="16"/>
      <c r="C722" s="16"/>
      <c r="D722" s="16"/>
      <c r="E722" s="16"/>
      <c r="F722" s="16"/>
      <c r="G722" s="42"/>
      <c r="H722" s="16"/>
      <c r="I722" s="42"/>
      <c r="J722" s="44"/>
      <c r="K722" s="44"/>
      <c r="L722" s="44"/>
      <c r="M722" s="46"/>
      <c r="N722" s="42"/>
      <c r="O722" s="42"/>
      <c r="P722" s="16"/>
      <c r="Q722" s="16"/>
    </row>
    <row r="723">
      <c r="A723" s="16"/>
      <c r="B723" s="16"/>
      <c r="C723" s="16"/>
      <c r="D723" s="16"/>
      <c r="E723" s="16"/>
      <c r="F723" s="16"/>
      <c r="G723" s="42"/>
      <c r="H723" s="16"/>
      <c r="I723" s="42"/>
      <c r="J723" s="44"/>
      <c r="K723" s="44"/>
      <c r="L723" s="44"/>
      <c r="M723" s="46"/>
      <c r="N723" s="42"/>
      <c r="O723" s="42"/>
      <c r="P723" s="16"/>
      <c r="Q723" s="16"/>
    </row>
    <row r="724">
      <c r="A724" s="16"/>
      <c r="B724" s="16"/>
      <c r="C724" s="16"/>
      <c r="D724" s="16"/>
      <c r="E724" s="16"/>
      <c r="F724" s="16"/>
      <c r="G724" s="42"/>
      <c r="H724" s="16"/>
      <c r="I724" s="42"/>
      <c r="J724" s="44"/>
      <c r="K724" s="44"/>
      <c r="L724" s="44"/>
      <c r="M724" s="46"/>
      <c r="N724" s="42"/>
      <c r="O724" s="42"/>
      <c r="P724" s="16"/>
      <c r="Q724" s="16"/>
    </row>
    <row r="725">
      <c r="A725" s="16"/>
      <c r="B725" s="16"/>
      <c r="C725" s="16"/>
      <c r="D725" s="16"/>
      <c r="E725" s="16"/>
      <c r="F725" s="16"/>
      <c r="G725" s="42"/>
      <c r="H725" s="16"/>
      <c r="I725" s="42"/>
      <c r="J725" s="44"/>
      <c r="K725" s="44"/>
      <c r="L725" s="44"/>
      <c r="M725" s="46"/>
      <c r="N725" s="42"/>
      <c r="O725" s="42"/>
      <c r="P725" s="16"/>
      <c r="Q725" s="16"/>
    </row>
    <row r="726">
      <c r="A726" s="16"/>
      <c r="B726" s="16"/>
      <c r="C726" s="16"/>
      <c r="D726" s="16"/>
      <c r="E726" s="16"/>
      <c r="F726" s="16"/>
      <c r="G726" s="42"/>
      <c r="H726" s="16"/>
      <c r="I726" s="42"/>
      <c r="J726" s="44"/>
      <c r="K726" s="44"/>
      <c r="L726" s="44"/>
      <c r="M726" s="46"/>
      <c r="N726" s="42"/>
      <c r="O726" s="42"/>
      <c r="P726" s="16"/>
      <c r="Q726" s="16"/>
    </row>
    <row r="727">
      <c r="A727" s="16"/>
      <c r="B727" s="16"/>
      <c r="C727" s="16"/>
      <c r="D727" s="16"/>
      <c r="E727" s="16"/>
      <c r="F727" s="16"/>
      <c r="G727" s="42"/>
      <c r="H727" s="16"/>
      <c r="I727" s="42"/>
      <c r="J727" s="44"/>
      <c r="K727" s="44"/>
      <c r="L727" s="44"/>
      <c r="M727" s="46"/>
      <c r="N727" s="42"/>
      <c r="O727" s="42"/>
      <c r="P727" s="16"/>
      <c r="Q727" s="16"/>
    </row>
    <row r="728">
      <c r="A728" s="16"/>
      <c r="B728" s="16"/>
      <c r="C728" s="16"/>
      <c r="D728" s="16"/>
      <c r="E728" s="16"/>
      <c r="F728" s="16"/>
      <c r="G728" s="42"/>
      <c r="H728" s="16"/>
      <c r="I728" s="42"/>
      <c r="J728" s="44"/>
      <c r="K728" s="44"/>
      <c r="L728" s="44"/>
      <c r="M728" s="46"/>
      <c r="N728" s="42"/>
      <c r="O728" s="42"/>
      <c r="P728" s="16"/>
      <c r="Q728" s="16"/>
    </row>
    <row r="729">
      <c r="A729" s="16"/>
      <c r="B729" s="16"/>
      <c r="C729" s="16"/>
      <c r="D729" s="16"/>
      <c r="E729" s="16"/>
      <c r="F729" s="16"/>
      <c r="G729" s="42"/>
      <c r="H729" s="16"/>
      <c r="I729" s="42"/>
      <c r="J729" s="44"/>
      <c r="K729" s="44"/>
      <c r="L729" s="44"/>
      <c r="M729" s="46"/>
      <c r="N729" s="42"/>
      <c r="O729" s="42"/>
      <c r="P729" s="16"/>
      <c r="Q729" s="16"/>
    </row>
    <row r="730">
      <c r="A730" s="16"/>
      <c r="B730" s="16"/>
      <c r="C730" s="16"/>
      <c r="D730" s="16"/>
      <c r="E730" s="16"/>
      <c r="F730" s="16"/>
      <c r="G730" s="42"/>
      <c r="H730" s="16"/>
      <c r="I730" s="42"/>
      <c r="J730" s="44"/>
      <c r="K730" s="44"/>
      <c r="L730" s="44"/>
      <c r="M730" s="46"/>
      <c r="N730" s="42"/>
      <c r="O730" s="42"/>
      <c r="P730" s="16"/>
      <c r="Q730" s="16"/>
    </row>
    <row r="731">
      <c r="A731" s="16"/>
      <c r="B731" s="16"/>
      <c r="C731" s="16"/>
      <c r="D731" s="16"/>
      <c r="E731" s="16"/>
      <c r="F731" s="16"/>
      <c r="G731" s="42"/>
      <c r="H731" s="16"/>
      <c r="I731" s="42"/>
      <c r="J731" s="44"/>
      <c r="K731" s="44"/>
      <c r="L731" s="44"/>
      <c r="M731" s="46"/>
      <c r="N731" s="42"/>
      <c r="O731" s="42"/>
      <c r="P731" s="16"/>
      <c r="Q731" s="16"/>
    </row>
    <row r="732">
      <c r="A732" s="16"/>
      <c r="B732" s="16"/>
      <c r="C732" s="16"/>
      <c r="D732" s="16"/>
      <c r="E732" s="16"/>
      <c r="F732" s="16"/>
      <c r="G732" s="42"/>
      <c r="H732" s="16"/>
      <c r="I732" s="42"/>
      <c r="J732" s="44"/>
      <c r="K732" s="44"/>
      <c r="L732" s="44"/>
      <c r="M732" s="46"/>
      <c r="N732" s="42"/>
      <c r="O732" s="42"/>
      <c r="P732" s="16"/>
      <c r="Q732" s="16"/>
    </row>
    <row r="733">
      <c r="A733" s="16"/>
      <c r="B733" s="16"/>
      <c r="C733" s="16"/>
      <c r="D733" s="16"/>
      <c r="E733" s="16"/>
      <c r="F733" s="16"/>
      <c r="G733" s="42"/>
      <c r="H733" s="16"/>
      <c r="I733" s="42"/>
      <c r="J733" s="44"/>
      <c r="K733" s="44"/>
      <c r="L733" s="44"/>
      <c r="M733" s="46"/>
      <c r="N733" s="42"/>
      <c r="O733" s="42"/>
      <c r="P733" s="16"/>
      <c r="Q733" s="16"/>
    </row>
    <row r="734">
      <c r="A734" s="16"/>
      <c r="B734" s="16"/>
      <c r="C734" s="16"/>
      <c r="D734" s="16"/>
      <c r="E734" s="16"/>
      <c r="F734" s="16"/>
      <c r="G734" s="42"/>
      <c r="H734" s="16"/>
      <c r="I734" s="42"/>
      <c r="J734" s="44"/>
      <c r="K734" s="44"/>
      <c r="L734" s="44"/>
      <c r="M734" s="46"/>
      <c r="N734" s="42"/>
      <c r="O734" s="42"/>
      <c r="P734" s="16"/>
      <c r="Q734" s="16"/>
    </row>
    <row r="735">
      <c r="A735" s="16"/>
      <c r="B735" s="16"/>
      <c r="C735" s="16"/>
      <c r="D735" s="16"/>
      <c r="E735" s="16"/>
      <c r="F735" s="16"/>
      <c r="G735" s="42"/>
      <c r="H735" s="16"/>
      <c r="I735" s="42"/>
      <c r="J735" s="44"/>
      <c r="K735" s="44"/>
      <c r="L735" s="44"/>
      <c r="M735" s="46"/>
      <c r="N735" s="42"/>
      <c r="O735" s="42"/>
      <c r="P735" s="16"/>
      <c r="Q735" s="16"/>
    </row>
    <row r="736">
      <c r="A736" s="16"/>
      <c r="B736" s="16"/>
      <c r="C736" s="16"/>
      <c r="D736" s="16"/>
      <c r="E736" s="16"/>
      <c r="F736" s="16"/>
      <c r="G736" s="42"/>
      <c r="H736" s="16"/>
      <c r="I736" s="42"/>
      <c r="J736" s="44"/>
      <c r="K736" s="44"/>
      <c r="L736" s="44"/>
      <c r="M736" s="46"/>
      <c r="N736" s="42"/>
      <c r="O736" s="42"/>
      <c r="P736" s="16"/>
      <c r="Q736" s="16"/>
    </row>
    <row r="737">
      <c r="A737" s="16"/>
      <c r="B737" s="16"/>
      <c r="C737" s="16"/>
      <c r="D737" s="16"/>
      <c r="E737" s="16"/>
      <c r="F737" s="16"/>
      <c r="G737" s="42"/>
      <c r="H737" s="16"/>
      <c r="I737" s="42"/>
      <c r="J737" s="44"/>
      <c r="K737" s="44"/>
      <c r="L737" s="44"/>
      <c r="M737" s="46"/>
      <c r="N737" s="42"/>
      <c r="O737" s="42"/>
      <c r="P737" s="16"/>
      <c r="Q737" s="16"/>
    </row>
    <row r="738">
      <c r="A738" s="16"/>
      <c r="B738" s="16"/>
      <c r="C738" s="16"/>
      <c r="D738" s="16"/>
      <c r="E738" s="16"/>
      <c r="F738" s="16"/>
      <c r="G738" s="42"/>
      <c r="H738" s="16"/>
      <c r="I738" s="42"/>
      <c r="J738" s="44"/>
      <c r="K738" s="44"/>
      <c r="L738" s="44"/>
      <c r="M738" s="46"/>
      <c r="N738" s="42"/>
      <c r="O738" s="42"/>
      <c r="P738" s="16"/>
      <c r="Q738" s="16"/>
    </row>
    <row r="739">
      <c r="A739" s="16"/>
      <c r="B739" s="16"/>
      <c r="C739" s="16"/>
      <c r="D739" s="16"/>
      <c r="E739" s="16"/>
      <c r="F739" s="16"/>
      <c r="G739" s="42"/>
      <c r="H739" s="16"/>
      <c r="I739" s="42"/>
      <c r="J739" s="44"/>
      <c r="K739" s="44"/>
      <c r="L739" s="44"/>
      <c r="M739" s="46"/>
      <c r="N739" s="42"/>
      <c r="O739" s="42"/>
      <c r="P739" s="16"/>
      <c r="Q739" s="16"/>
    </row>
    <row r="740">
      <c r="A740" s="16"/>
      <c r="B740" s="16"/>
      <c r="C740" s="16"/>
      <c r="D740" s="16"/>
      <c r="E740" s="16"/>
      <c r="F740" s="16"/>
      <c r="G740" s="42"/>
      <c r="H740" s="16"/>
      <c r="I740" s="42"/>
      <c r="J740" s="44"/>
      <c r="K740" s="44"/>
      <c r="L740" s="44"/>
      <c r="M740" s="46"/>
      <c r="N740" s="42"/>
      <c r="O740" s="42"/>
      <c r="P740" s="16"/>
      <c r="Q740" s="16"/>
    </row>
    <row r="741">
      <c r="A741" s="16"/>
      <c r="B741" s="16"/>
      <c r="C741" s="16"/>
      <c r="D741" s="16"/>
      <c r="E741" s="16"/>
      <c r="F741" s="16"/>
      <c r="G741" s="42"/>
      <c r="H741" s="16"/>
      <c r="I741" s="42"/>
      <c r="J741" s="44"/>
      <c r="K741" s="44"/>
      <c r="L741" s="44"/>
      <c r="M741" s="46"/>
      <c r="N741" s="42"/>
      <c r="O741" s="42"/>
      <c r="P741" s="16"/>
      <c r="Q741" s="16"/>
    </row>
    <row r="742">
      <c r="A742" s="16"/>
      <c r="B742" s="16"/>
      <c r="C742" s="16"/>
      <c r="D742" s="16"/>
      <c r="E742" s="16"/>
      <c r="F742" s="16"/>
      <c r="G742" s="42"/>
      <c r="H742" s="16"/>
      <c r="I742" s="42"/>
      <c r="J742" s="44"/>
      <c r="K742" s="44"/>
      <c r="L742" s="44"/>
      <c r="M742" s="46"/>
      <c r="N742" s="42"/>
      <c r="O742" s="42"/>
      <c r="P742" s="16"/>
      <c r="Q742" s="16"/>
    </row>
    <row r="743">
      <c r="A743" s="16"/>
      <c r="B743" s="16"/>
      <c r="C743" s="16"/>
      <c r="D743" s="16"/>
      <c r="E743" s="16"/>
      <c r="F743" s="16"/>
      <c r="G743" s="42"/>
      <c r="H743" s="16"/>
      <c r="I743" s="42"/>
      <c r="J743" s="44"/>
      <c r="K743" s="44"/>
      <c r="L743" s="44"/>
      <c r="M743" s="46"/>
      <c r="N743" s="42"/>
      <c r="O743" s="42"/>
      <c r="P743" s="16"/>
      <c r="Q743" s="16"/>
    </row>
    <row r="744">
      <c r="A744" s="16"/>
      <c r="B744" s="16"/>
      <c r="C744" s="16"/>
      <c r="D744" s="16"/>
      <c r="E744" s="16"/>
      <c r="F744" s="16"/>
      <c r="G744" s="42"/>
      <c r="H744" s="16"/>
      <c r="I744" s="42"/>
      <c r="J744" s="44"/>
      <c r="K744" s="44"/>
      <c r="L744" s="44"/>
      <c r="M744" s="46"/>
      <c r="N744" s="42"/>
      <c r="O744" s="42"/>
      <c r="P744" s="16"/>
      <c r="Q744" s="16"/>
    </row>
    <row r="745">
      <c r="A745" s="16"/>
      <c r="B745" s="16"/>
      <c r="C745" s="16"/>
      <c r="D745" s="16"/>
      <c r="E745" s="16"/>
      <c r="F745" s="16"/>
      <c r="G745" s="42"/>
      <c r="H745" s="16"/>
      <c r="I745" s="42"/>
      <c r="J745" s="44"/>
      <c r="K745" s="44"/>
      <c r="L745" s="44"/>
      <c r="M745" s="46"/>
      <c r="N745" s="42"/>
      <c r="O745" s="42"/>
      <c r="P745" s="16"/>
      <c r="Q745" s="16"/>
    </row>
    <row r="746">
      <c r="A746" s="16"/>
      <c r="B746" s="16"/>
      <c r="C746" s="16"/>
      <c r="D746" s="16"/>
      <c r="E746" s="16"/>
      <c r="F746" s="16"/>
      <c r="G746" s="42"/>
      <c r="H746" s="16"/>
      <c r="I746" s="42"/>
      <c r="J746" s="44"/>
      <c r="K746" s="44"/>
      <c r="L746" s="44"/>
      <c r="M746" s="46"/>
      <c r="N746" s="42"/>
      <c r="O746" s="42"/>
      <c r="P746" s="16"/>
      <c r="Q746" s="16"/>
    </row>
    <row r="747">
      <c r="A747" s="16"/>
      <c r="B747" s="16"/>
      <c r="C747" s="16"/>
      <c r="D747" s="16"/>
      <c r="E747" s="16"/>
      <c r="F747" s="16"/>
      <c r="G747" s="42"/>
      <c r="H747" s="16"/>
      <c r="I747" s="42"/>
      <c r="J747" s="44"/>
      <c r="K747" s="44"/>
      <c r="L747" s="44"/>
      <c r="M747" s="46"/>
      <c r="N747" s="42"/>
      <c r="O747" s="42"/>
      <c r="P747" s="16"/>
      <c r="Q747" s="16"/>
    </row>
    <row r="748">
      <c r="A748" s="16"/>
      <c r="B748" s="16"/>
      <c r="C748" s="16"/>
      <c r="D748" s="16"/>
      <c r="E748" s="16"/>
      <c r="F748" s="16"/>
      <c r="G748" s="42"/>
      <c r="H748" s="16"/>
      <c r="I748" s="42"/>
      <c r="J748" s="44"/>
      <c r="K748" s="44"/>
      <c r="L748" s="44"/>
      <c r="M748" s="46"/>
      <c r="N748" s="42"/>
      <c r="O748" s="42"/>
      <c r="P748" s="16"/>
      <c r="Q748" s="16"/>
    </row>
    <row r="749">
      <c r="A749" s="16"/>
      <c r="B749" s="16"/>
      <c r="C749" s="16"/>
      <c r="D749" s="16"/>
      <c r="E749" s="16"/>
      <c r="F749" s="16"/>
      <c r="G749" s="42"/>
      <c r="H749" s="16"/>
      <c r="I749" s="42"/>
      <c r="J749" s="44"/>
      <c r="K749" s="44"/>
      <c r="L749" s="44"/>
      <c r="M749" s="46"/>
      <c r="N749" s="42"/>
      <c r="O749" s="42"/>
      <c r="P749" s="16"/>
      <c r="Q749" s="16"/>
    </row>
    <row r="750">
      <c r="A750" s="16"/>
      <c r="B750" s="16"/>
      <c r="C750" s="16"/>
      <c r="D750" s="16"/>
      <c r="E750" s="16"/>
      <c r="F750" s="16"/>
      <c r="G750" s="42"/>
      <c r="H750" s="16"/>
      <c r="I750" s="42"/>
      <c r="J750" s="44"/>
      <c r="K750" s="44"/>
      <c r="L750" s="44"/>
      <c r="M750" s="46"/>
      <c r="N750" s="42"/>
      <c r="O750" s="42"/>
      <c r="P750" s="16"/>
      <c r="Q750" s="16"/>
    </row>
    <row r="751">
      <c r="A751" s="16"/>
      <c r="B751" s="16"/>
      <c r="C751" s="16"/>
      <c r="D751" s="16"/>
      <c r="E751" s="16"/>
      <c r="F751" s="16"/>
      <c r="G751" s="42"/>
      <c r="H751" s="16"/>
      <c r="I751" s="42"/>
      <c r="J751" s="44"/>
      <c r="K751" s="44"/>
      <c r="L751" s="44"/>
      <c r="M751" s="46"/>
      <c r="N751" s="42"/>
      <c r="O751" s="42"/>
      <c r="P751" s="16"/>
      <c r="Q751" s="16"/>
    </row>
    <row r="752">
      <c r="A752" s="16"/>
      <c r="B752" s="16"/>
      <c r="C752" s="16"/>
      <c r="D752" s="16"/>
      <c r="E752" s="16"/>
      <c r="F752" s="16"/>
      <c r="G752" s="42"/>
      <c r="H752" s="16"/>
      <c r="I752" s="42"/>
      <c r="J752" s="44"/>
      <c r="K752" s="44"/>
      <c r="L752" s="44"/>
      <c r="M752" s="46"/>
      <c r="N752" s="42"/>
      <c r="O752" s="42"/>
      <c r="P752" s="16"/>
      <c r="Q752" s="16"/>
    </row>
    <row r="753">
      <c r="A753" s="16"/>
      <c r="B753" s="16"/>
      <c r="C753" s="16"/>
      <c r="D753" s="16"/>
      <c r="E753" s="16"/>
      <c r="F753" s="16"/>
      <c r="G753" s="42"/>
      <c r="H753" s="16"/>
      <c r="I753" s="42"/>
      <c r="J753" s="44"/>
      <c r="K753" s="44"/>
      <c r="L753" s="44"/>
      <c r="M753" s="46"/>
      <c r="N753" s="42"/>
      <c r="O753" s="42"/>
      <c r="P753" s="16"/>
      <c r="Q753" s="16"/>
    </row>
    <row r="754">
      <c r="A754" s="16"/>
      <c r="B754" s="16"/>
      <c r="C754" s="16"/>
      <c r="D754" s="16"/>
      <c r="E754" s="16"/>
      <c r="F754" s="16"/>
      <c r="G754" s="42"/>
      <c r="H754" s="16"/>
      <c r="I754" s="42"/>
      <c r="J754" s="44"/>
      <c r="K754" s="44"/>
      <c r="L754" s="44"/>
      <c r="M754" s="46"/>
      <c r="N754" s="42"/>
      <c r="O754" s="42"/>
      <c r="P754" s="16"/>
      <c r="Q754" s="16"/>
    </row>
    <row r="755">
      <c r="A755" s="16"/>
      <c r="B755" s="16"/>
      <c r="C755" s="16"/>
      <c r="D755" s="16"/>
      <c r="E755" s="16"/>
      <c r="F755" s="16"/>
      <c r="G755" s="42"/>
      <c r="H755" s="16"/>
      <c r="I755" s="42"/>
      <c r="J755" s="44"/>
      <c r="K755" s="44"/>
      <c r="L755" s="44"/>
      <c r="M755" s="46"/>
      <c r="N755" s="42"/>
      <c r="O755" s="42"/>
      <c r="P755" s="16"/>
      <c r="Q755" s="16"/>
    </row>
    <row r="756">
      <c r="A756" s="16"/>
      <c r="B756" s="16"/>
      <c r="C756" s="16"/>
      <c r="D756" s="16"/>
      <c r="E756" s="16"/>
      <c r="F756" s="16"/>
      <c r="G756" s="42"/>
      <c r="H756" s="16"/>
      <c r="I756" s="42"/>
      <c r="J756" s="44"/>
      <c r="K756" s="44"/>
      <c r="L756" s="44"/>
      <c r="M756" s="46"/>
      <c r="N756" s="42"/>
      <c r="O756" s="42"/>
      <c r="P756" s="16"/>
      <c r="Q756" s="16"/>
    </row>
    <row r="757">
      <c r="A757" s="16"/>
      <c r="B757" s="16"/>
      <c r="C757" s="16"/>
      <c r="D757" s="16"/>
      <c r="E757" s="16"/>
      <c r="F757" s="16"/>
      <c r="G757" s="42"/>
      <c r="H757" s="16"/>
      <c r="I757" s="42"/>
      <c r="J757" s="44"/>
      <c r="K757" s="44"/>
      <c r="L757" s="44"/>
      <c r="M757" s="46"/>
      <c r="N757" s="42"/>
      <c r="O757" s="42"/>
      <c r="P757" s="16"/>
      <c r="Q757" s="16"/>
    </row>
    <row r="758">
      <c r="A758" s="16"/>
      <c r="B758" s="16"/>
      <c r="C758" s="16"/>
      <c r="D758" s="16"/>
      <c r="E758" s="16"/>
      <c r="F758" s="16"/>
      <c r="G758" s="42"/>
      <c r="H758" s="16"/>
      <c r="I758" s="42"/>
      <c r="J758" s="44"/>
      <c r="K758" s="44"/>
      <c r="L758" s="44"/>
      <c r="M758" s="46"/>
      <c r="N758" s="42"/>
      <c r="O758" s="42"/>
      <c r="P758" s="16"/>
      <c r="Q758" s="16"/>
    </row>
    <row r="759">
      <c r="A759" s="16"/>
      <c r="B759" s="16"/>
      <c r="C759" s="16"/>
      <c r="D759" s="16"/>
      <c r="E759" s="16"/>
      <c r="F759" s="16"/>
      <c r="G759" s="42"/>
      <c r="H759" s="16"/>
      <c r="I759" s="42"/>
      <c r="J759" s="44"/>
      <c r="K759" s="44"/>
      <c r="L759" s="44"/>
      <c r="M759" s="46"/>
      <c r="N759" s="42"/>
      <c r="O759" s="42"/>
      <c r="P759" s="16"/>
      <c r="Q759" s="16"/>
    </row>
    <row r="760">
      <c r="A760" s="16"/>
      <c r="B760" s="16"/>
      <c r="C760" s="16"/>
      <c r="D760" s="16"/>
      <c r="E760" s="16"/>
      <c r="F760" s="16"/>
      <c r="G760" s="42"/>
      <c r="H760" s="16"/>
      <c r="I760" s="42"/>
      <c r="J760" s="44"/>
      <c r="K760" s="44"/>
      <c r="L760" s="44"/>
      <c r="M760" s="46"/>
      <c r="N760" s="42"/>
      <c r="O760" s="42"/>
      <c r="P760" s="16"/>
      <c r="Q760" s="16"/>
    </row>
    <row r="761">
      <c r="A761" s="16"/>
      <c r="B761" s="16"/>
      <c r="C761" s="16"/>
      <c r="D761" s="16"/>
      <c r="E761" s="16"/>
      <c r="F761" s="16"/>
      <c r="G761" s="42"/>
      <c r="H761" s="16"/>
      <c r="I761" s="42"/>
      <c r="J761" s="44"/>
      <c r="K761" s="44"/>
      <c r="L761" s="44"/>
      <c r="M761" s="46"/>
      <c r="N761" s="42"/>
      <c r="O761" s="42"/>
      <c r="P761" s="16"/>
      <c r="Q761" s="16"/>
    </row>
    <row r="762">
      <c r="A762" s="16"/>
      <c r="B762" s="16"/>
      <c r="C762" s="16"/>
      <c r="D762" s="16"/>
      <c r="E762" s="16"/>
      <c r="F762" s="16"/>
      <c r="G762" s="42"/>
      <c r="H762" s="16"/>
      <c r="I762" s="42"/>
      <c r="J762" s="44"/>
      <c r="K762" s="44"/>
      <c r="L762" s="44"/>
      <c r="M762" s="46"/>
      <c r="N762" s="42"/>
      <c r="O762" s="42"/>
      <c r="P762" s="16"/>
      <c r="Q762" s="16"/>
    </row>
    <row r="763">
      <c r="A763" s="16"/>
      <c r="B763" s="16"/>
      <c r="C763" s="16"/>
      <c r="D763" s="16"/>
      <c r="E763" s="16"/>
      <c r="F763" s="16"/>
      <c r="G763" s="42"/>
      <c r="H763" s="16"/>
      <c r="I763" s="42"/>
      <c r="J763" s="44"/>
      <c r="K763" s="44"/>
      <c r="L763" s="44"/>
      <c r="M763" s="46"/>
      <c r="N763" s="42"/>
      <c r="O763" s="42"/>
      <c r="P763" s="16"/>
      <c r="Q763" s="16"/>
    </row>
    <row r="764">
      <c r="A764" s="16"/>
      <c r="B764" s="16"/>
      <c r="C764" s="16"/>
      <c r="D764" s="16"/>
      <c r="E764" s="16"/>
      <c r="F764" s="16"/>
      <c r="G764" s="42"/>
      <c r="H764" s="16"/>
      <c r="I764" s="42"/>
      <c r="J764" s="44"/>
      <c r="K764" s="44"/>
      <c r="L764" s="44"/>
      <c r="M764" s="46"/>
      <c r="N764" s="42"/>
      <c r="O764" s="42"/>
      <c r="P764" s="16"/>
      <c r="Q764" s="16"/>
    </row>
    <row r="765">
      <c r="A765" s="16"/>
      <c r="B765" s="16"/>
      <c r="C765" s="16"/>
      <c r="D765" s="16"/>
      <c r="E765" s="16"/>
      <c r="F765" s="16"/>
      <c r="G765" s="42"/>
      <c r="H765" s="16"/>
      <c r="I765" s="42"/>
      <c r="J765" s="44"/>
      <c r="K765" s="44"/>
      <c r="L765" s="44"/>
      <c r="M765" s="46"/>
      <c r="N765" s="42"/>
      <c r="O765" s="42"/>
      <c r="P765" s="16"/>
      <c r="Q765" s="16"/>
    </row>
    <row r="766">
      <c r="A766" s="16"/>
      <c r="B766" s="16"/>
      <c r="C766" s="16"/>
      <c r="D766" s="16"/>
      <c r="E766" s="16"/>
      <c r="F766" s="16"/>
      <c r="G766" s="42"/>
      <c r="H766" s="16"/>
      <c r="I766" s="42"/>
      <c r="J766" s="44"/>
      <c r="K766" s="44"/>
      <c r="L766" s="44"/>
      <c r="M766" s="46"/>
      <c r="N766" s="42"/>
      <c r="O766" s="42"/>
      <c r="P766" s="16"/>
      <c r="Q766" s="16"/>
    </row>
    <row r="767">
      <c r="A767" s="16"/>
      <c r="B767" s="16"/>
      <c r="C767" s="16"/>
      <c r="D767" s="16"/>
      <c r="E767" s="16"/>
      <c r="F767" s="16"/>
      <c r="G767" s="42"/>
      <c r="H767" s="16"/>
      <c r="I767" s="42"/>
      <c r="J767" s="44"/>
      <c r="K767" s="44"/>
      <c r="L767" s="44"/>
      <c r="M767" s="46"/>
      <c r="N767" s="42"/>
      <c r="O767" s="42"/>
      <c r="P767" s="16"/>
      <c r="Q767" s="16"/>
    </row>
    <row r="768">
      <c r="A768" s="16"/>
      <c r="B768" s="16"/>
      <c r="C768" s="16"/>
      <c r="D768" s="16"/>
      <c r="E768" s="16"/>
      <c r="F768" s="16"/>
      <c r="G768" s="42"/>
      <c r="H768" s="16"/>
      <c r="I768" s="42"/>
      <c r="J768" s="44"/>
      <c r="K768" s="44"/>
      <c r="L768" s="44"/>
      <c r="M768" s="46"/>
      <c r="N768" s="42"/>
      <c r="O768" s="42"/>
      <c r="P768" s="16"/>
      <c r="Q768" s="16"/>
    </row>
    <row r="769">
      <c r="A769" s="16"/>
      <c r="B769" s="16"/>
      <c r="C769" s="16"/>
      <c r="D769" s="16"/>
      <c r="E769" s="16"/>
      <c r="F769" s="16"/>
      <c r="G769" s="42"/>
      <c r="H769" s="16"/>
      <c r="I769" s="42"/>
      <c r="J769" s="44"/>
      <c r="K769" s="44"/>
      <c r="L769" s="44"/>
      <c r="M769" s="46"/>
      <c r="N769" s="42"/>
      <c r="O769" s="42"/>
      <c r="P769" s="16"/>
      <c r="Q769" s="16"/>
    </row>
    <row r="770">
      <c r="A770" s="16"/>
      <c r="B770" s="16"/>
      <c r="C770" s="16"/>
      <c r="D770" s="16"/>
      <c r="E770" s="16"/>
      <c r="F770" s="16"/>
      <c r="G770" s="42"/>
      <c r="H770" s="16"/>
      <c r="I770" s="42"/>
      <c r="J770" s="44"/>
      <c r="K770" s="44"/>
      <c r="L770" s="44"/>
      <c r="M770" s="46"/>
      <c r="N770" s="42"/>
      <c r="O770" s="42"/>
      <c r="P770" s="16"/>
      <c r="Q770" s="16"/>
    </row>
    <row r="771">
      <c r="A771" s="16"/>
      <c r="B771" s="16"/>
      <c r="C771" s="16"/>
      <c r="D771" s="16"/>
      <c r="E771" s="16"/>
      <c r="F771" s="16"/>
      <c r="G771" s="42"/>
      <c r="H771" s="16"/>
      <c r="I771" s="42"/>
      <c r="J771" s="44"/>
      <c r="K771" s="44"/>
      <c r="L771" s="44"/>
      <c r="M771" s="46"/>
      <c r="N771" s="42"/>
      <c r="O771" s="42"/>
      <c r="P771" s="16"/>
      <c r="Q771" s="16"/>
    </row>
    <row r="772">
      <c r="A772" s="16"/>
      <c r="B772" s="16"/>
      <c r="C772" s="16"/>
      <c r="D772" s="16"/>
      <c r="E772" s="16"/>
      <c r="F772" s="16"/>
      <c r="G772" s="42"/>
      <c r="H772" s="16"/>
      <c r="I772" s="42"/>
      <c r="J772" s="44"/>
      <c r="K772" s="44"/>
      <c r="L772" s="44"/>
      <c r="M772" s="46"/>
      <c r="N772" s="42"/>
      <c r="O772" s="42"/>
      <c r="P772" s="16"/>
      <c r="Q772" s="16"/>
    </row>
    <row r="773">
      <c r="A773" s="16"/>
      <c r="B773" s="16"/>
      <c r="C773" s="16"/>
      <c r="D773" s="16"/>
      <c r="E773" s="16"/>
      <c r="F773" s="16"/>
      <c r="G773" s="42"/>
      <c r="H773" s="16"/>
      <c r="I773" s="42"/>
      <c r="J773" s="44"/>
      <c r="K773" s="44"/>
      <c r="L773" s="44"/>
      <c r="M773" s="46"/>
      <c r="N773" s="42"/>
      <c r="O773" s="42"/>
      <c r="P773" s="16"/>
      <c r="Q773" s="16"/>
    </row>
    <row r="774">
      <c r="A774" s="16"/>
      <c r="B774" s="16"/>
      <c r="C774" s="16"/>
      <c r="D774" s="16"/>
      <c r="E774" s="16"/>
      <c r="F774" s="16"/>
      <c r="G774" s="42"/>
      <c r="H774" s="16"/>
      <c r="I774" s="42"/>
      <c r="J774" s="44"/>
      <c r="K774" s="44"/>
      <c r="L774" s="44"/>
      <c r="M774" s="46"/>
      <c r="N774" s="42"/>
      <c r="O774" s="42"/>
      <c r="P774" s="16"/>
      <c r="Q774" s="16"/>
    </row>
    <row r="775">
      <c r="A775" s="16"/>
      <c r="B775" s="16"/>
      <c r="C775" s="16"/>
      <c r="D775" s="16"/>
      <c r="E775" s="16"/>
      <c r="F775" s="16"/>
      <c r="G775" s="42"/>
      <c r="H775" s="16"/>
      <c r="I775" s="42"/>
      <c r="J775" s="44"/>
      <c r="K775" s="44"/>
      <c r="L775" s="44"/>
      <c r="M775" s="46"/>
      <c r="N775" s="42"/>
      <c r="O775" s="42"/>
      <c r="P775" s="16"/>
      <c r="Q775" s="16"/>
    </row>
    <row r="776">
      <c r="A776" s="16"/>
      <c r="B776" s="16"/>
      <c r="C776" s="16"/>
      <c r="D776" s="16"/>
      <c r="E776" s="16"/>
      <c r="F776" s="16"/>
      <c r="G776" s="42"/>
      <c r="H776" s="16"/>
      <c r="I776" s="42"/>
      <c r="J776" s="44"/>
      <c r="K776" s="44"/>
      <c r="L776" s="44"/>
      <c r="M776" s="46"/>
      <c r="N776" s="42"/>
      <c r="O776" s="42"/>
      <c r="P776" s="16"/>
      <c r="Q776" s="16"/>
    </row>
    <row r="777">
      <c r="A777" s="16"/>
      <c r="B777" s="16"/>
      <c r="C777" s="16"/>
      <c r="D777" s="16"/>
      <c r="E777" s="16"/>
      <c r="F777" s="16"/>
      <c r="G777" s="42"/>
      <c r="H777" s="16"/>
      <c r="I777" s="42"/>
      <c r="J777" s="44"/>
      <c r="K777" s="44"/>
      <c r="L777" s="44"/>
      <c r="M777" s="46"/>
      <c r="N777" s="42"/>
      <c r="O777" s="42"/>
      <c r="P777" s="16"/>
      <c r="Q777" s="16"/>
    </row>
    <row r="778">
      <c r="A778" s="16"/>
      <c r="B778" s="16"/>
      <c r="C778" s="16"/>
      <c r="D778" s="16"/>
      <c r="E778" s="16"/>
      <c r="F778" s="16"/>
      <c r="G778" s="42"/>
      <c r="H778" s="16"/>
      <c r="I778" s="42"/>
      <c r="J778" s="44"/>
      <c r="K778" s="44"/>
      <c r="L778" s="44"/>
      <c r="M778" s="46"/>
      <c r="N778" s="42"/>
      <c r="O778" s="42"/>
      <c r="P778" s="16"/>
      <c r="Q778" s="16"/>
    </row>
    <row r="779">
      <c r="A779" s="16"/>
      <c r="B779" s="16"/>
      <c r="C779" s="16"/>
      <c r="D779" s="16"/>
      <c r="E779" s="16"/>
      <c r="F779" s="16"/>
      <c r="G779" s="42"/>
      <c r="H779" s="16"/>
      <c r="I779" s="42"/>
      <c r="J779" s="44"/>
      <c r="K779" s="44"/>
      <c r="L779" s="44"/>
      <c r="M779" s="46"/>
      <c r="N779" s="42"/>
      <c r="O779" s="42"/>
      <c r="P779" s="16"/>
      <c r="Q779" s="16"/>
    </row>
    <row r="780">
      <c r="A780" s="16"/>
      <c r="B780" s="16"/>
      <c r="C780" s="16"/>
      <c r="D780" s="16"/>
      <c r="E780" s="16"/>
      <c r="F780" s="16"/>
      <c r="G780" s="42"/>
      <c r="H780" s="16"/>
      <c r="I780" s="42"/>
      <c r="J780" s="44"/>
      <c r="K780" s="44"/>
      <c r="L780" s="44"/>
      <c r="M780" s="46"/>
      <c r="N780" s="42"/>
      <c r="O780" s="42"/>
      <c r="P780" s="16"/>
      <c r="Q780" s="16"/>
    </row>
    <row r="781">
      <c r="A781" s="16"/>
      <c r="B781" s="16"/>
      <c r="C781" s="16"/>
      <c r="D781" s="16"/>
      <c r="E781" s="16"/>
      <c r="F781" s="16"/>
      <c r="G781" s="42"/>
      <c r="H781" s="16"/>
      <c r="I781" s="42"/>
      <c r="J781" s="44"/>
      <c r="K781" s="44"/>
      <c r="L781" s="44"/>
      <c r="M781" s="46"/>
      <c r="N781" s="42"/>
      <c r="O781" s="42"/>
      <c r="P781" s="16"/>
      <c r="Q781" s="16"/>
    </row>
    <row r="782">
      <c r="A782" s="16"/>
      <c r="B782" s="16"/>
      <c r="C782" s="16"/>
      <c r="D782" s="16"/>
      <c r="E782" s="16"/>
      <c r="F782" s="16"/>
      <c r="G782" s="42"/>
      <c r="H782" s="16"/>
      <c r="I782" s="42"/>
      <c r="J782" s="44"/>
      <c r="K782" s="44"/>
      <c r="L782" s="44"/>
      <c r="M782" s="46"/>
      <c r="N782" s="42"/>
      <c r="O782" s="42"/>
      <c r="P782" s="16"/>
      <c r="Q782" s="16"/>
    </row>
    <row r="783">
      <c r="A783" s="16"/>
      <c r="B783" s="16"/>
      <c r="C783" s="16"/>
      <c r="D783" s="16"/>
      <c r="E783" s="16"/>
      <c r="F783" s="16"/>
      <c r="G783" s="42"/>
      <c r="H783" s="16"/>
      <c r="I783" s="42"/>
      <c r="J783" s="44"/>
      <c r="K783" s="44"/>
      <c r="L783" s="44"/>
      <c r="M783" s="46"/>
      <c r="N783" s="42"/>
      <c r="O783" s="42"/>
      <c r="P783" s="16"/>
      <c r="Q783" s="16"/>
    </row>
    <row r="784">
      <c r="A784" s="16"/>
      <c r="B784" s="16"/>
      <c r="C784" s="16"/>
      <c r="D784" s="16"/>
      <c r="E784" s="16"/>
      <c r="F784" s="16"/>
      <c r="G784" s="42"/>
      <c r="H784" s="16"/>
      <c r="I784" s="42"/>
      <c r="J784" s="44"/>
      <c r="K784" s="44"/>
      <c r="L784" s="44"/>
      <c r="M784" s="46"/>
      <c r="N784" s="42"/>
      <c r="O784" s="42"/>
      <c r="P784" s="16"/>
      <c r="Q784" s="16"/>
    </row>
    <row r="785">
      <c r="A785" s="16"/>
      <c r="B785" s="16"/>
      <c r="C785" s="16"/>
      <c r="D785" s="16"/>
      <c r="E785" s="16"/>
      <c r="F785" s="16"/>
      <c r="G785" s="42"/>
      <c r="H785" s="16"/>
      <c r="I785" s="42"/>
      <c r="J785" s="44"/>
      <c r="K785" s="44"/>
      <c r="L785" s="44"/>
      <c r="M785" s="46"/>
      <c r="N785" s="42"/>
      <c r="O785" s="42"/>
      <c r="P785" s="16"/>
      <c r="Q785" s="16"/>
    </row>
    <row r="786">
      <c r="A786" s="16"/>
      <c r="B786" s="16"/>
      <c r="C786" s="16"/>
      <c r="D786" s="16"/>
      <c r="E786" s="16"/>
      <c r="F786" s="16"/>
      <c r="G786" s="42"/>
      <c r="H786" s="16"/>
      <c r="I786" s="42"/>
      <c r="J786" s="44"/>
      <c r="K786" s="44"/>
      <c r="L786" s="44"/>
      <c r="M786" s="46"/>
      <c r="N786" s="42"/>
      <c r="O786" s="42"/>
      <c r="P786" s="16"/>
      <c r="Q786" s="16"/>
    </row>
    <row r="787">
      <c r="A787" s="16"/>
      <c r="B787" s="16"/>
      <c r="C787" s="16"/>
      <c r="D787" s="16"/>
      <c r="E787" s="16"/>
      <c r="F787" s="16"/>
      <c r="G787" s="42"/>
      <c r="H787" s="16"/>
      <c r="I787" s="42"/>
      <c r="J787" s="44"/>
      <c r="K787" s="44"/>
      <c r="L787" s="44"/>
      <c r="M787" s="46"/>
      <c r="N787" s="42"/>
      <c r="O787" s="42"/>
      <c r="P787" s="16"/>
      <c r="Q787" s="16"/>
    </row>
    <row r="788">
      <c r="A788" s="16"/>
      <c r="B788" s="16"/>
      <c r="C788" s="16"/>
      <c r="D788" s="16"/>
      <c r="E788" s="16"/>
      <c r="F788" s="16"/>
      <c r="G788" s="42"/>
      <c r="H788" s="16"/>
      <c r="I788" s="42"/>
      <c r="J788" s="44"/>
      <c r="K788" s="44"/>
      <c r="L788" s="44"/>
      <c r="M788" s="46"/>
      <c r="N788" s="42"/>
      <c r="O788" s="42"/>
      <c r="P788" s="16"/>
      <c r="Q788" s="16"/>
    </row>
    <row r="789">
      <c r="A789" s="16"/>
      <c r="B789" s="16"/>
      <c r="C789" s="16"/>
      <c r="D789" s="16"/>
      <c r="E789" s="16"/>
      <c r="F789" s="16"/>
      <c r="G789" s="42"/>
      <c r="H789" s="16"/>
      <c r="I789" s="42"/>
      <c r="J789" s="44"/>
      <c r="K789" s="44"/>
      <c r="L789" s="44"/>
      <c r="M789" s="46"/>
      <c r="N789" s="42"/>
      <c r="O789" s="42"/>
      <c r="P789" s="16"/>
      <c r="Q789" s="16"/>
    </row>
    <row r="790">
      <c r="A790" s="16"/>
      <c r="B790" s="16"/>
      <c r="C790" s="16"/>
      <c r="D790" s="16"/>
      <c r="E790" s="16"/>
      <c r="F790" s="16"/>
      <c r="G790" s="42"/>
      <c r="H790" s="16"/>
      <c r="I790" s="42"/>
      <c r="J790" s="44"/>
      <c r="K790" s="44"/>
      <c r="L790" s="44"/>
      <c r="M790" s="46"/>
      <c r="N790" s="42"/>
      <c r="O790" s="42"/>
      <c r="P790" s="16"/>
      <c r="Q790" s="16"/>
    </row>
    <row r="791">
      <c r="A791" s="16"/>
      <c r="B791" s="16"/>
      <c r="C791" s="16"/>
      <c r="D791" s="16"/>
      <c r="E791" s="16"/>
      <c r="F791" s="16"/>
      <c r="G791" s="42"/>
      <c r="H791" s="16"/>
      <c r="I791" s="42"/>
      <c r="J791" s="44"/>
      <c r="K791" s="44"/>
      <c r="L791" s="44"/>
      <c r="M791" s="46"/>
      <c r="N791" s="42"/>
      <c r="O791" s="42"/>
      <c r="P791" s="16"/>
      <c r="Q791" s="16"/>
    </row>
    <row r="792">
      <c r="A792" s="16"/>
      <c r="B792" s="16"/>
      <c r="C792" s="16"/>
      <c r="D792" s="16"/>
      <c r="E792" s="16"/>
      <c r="F792" s="16"/>
      <c r="G792" s="42"/>
      <c r="H792" s="16"/>
      <c r="I792" s="42"/>
      <c r="J792" s="44"/>
      <c r="K792" s="44"/>
      <c r="L792" s="44"/>
      <c r="M792" s="46"/>
      <c r="N792" s="42"/>
      <c r="O792" s="42"/>
      <c r="P792" s="16"/>
      <c r="Q792" s="16"/>
    </row>
    <row r="793">
      <c r="A793" s="16"/>
      <c r="B793" s="16"/>
      <c r="C793" s="16"/>
      <c r="D793" s="16"/>
      <c r="E793" s="16"/>
      <c r="F793" s="16"/>
      <c r="G793" s="42"/>
      <c r="H793" s="16"/>
      <c r="I793" s="42"/>
      <c r="J793" s="44"/>
      <c r="K793" s="44"/>
      <c r="L793" s="44"/>
      <c r="M793" s="46"/>
      <c r="N793" s="42"/>
      <c r="O793" s="42"/>
      <c r="P793" s="16"/>
      <c r="Q793" s="16"/>
    </row>
    <row r="794">
      <c r="A794" s="16"/>
      <c r="B794" s="16"/>
      <c r="C794" s="16"/>
      <c r="D794" s="16"/>
      <c r="E794" s="16"/>
      <c r="F794" s="16"/>
      <c r="G794" s="42"/>
      <c r="H794" s="16"/>
      <c r="I794" s="42"/>
      <c r="J794" s="44"/>
      <c r="K794" s="44"/>
      <c r="L794" s="44"/>
      <c r="M794" s="46"/>
      <c r="N794" s="42"/>
      <c r="O794" s="42"/>
      <c r="P794" s="16"/>
      <c r="Q794" s="16"/>
    </row>
    <row r="795">
      <c r="A795" s="16"/>
      <c r="B795" s="16"/>
      <c r="C795" s="16"/>
      <c r="D795" s="16"/>
      <c r="E795" s="16"/>
      <c r="F795" s="16"/>
      <c r="G795" s="42"/>
      <c r="H795" s="16"/>
      <c r="I795" s="42"/>
      <c r="J795" s="44"/>
      <c r="K795" s="44"/>
      <c r="L795" s="44"/>
      <c r="M795" s="46"/>
      <c r="N795" s="42"/>
      <c r="O795" s="42"/>
      <c r="P795" s="16"/>
      <c r="Q795" s="16"/>
    </row>
    <row r="796">
      <c r="A796" s="16"/>
      <c r="B796" s="16"/>
      <c r="C796" s="16"/>
      <c r="D796" s="16"/>
      <c r="E796" s="16"/>
      <c r="F796" s="16"/>
      <c r="G796" s="42"/>
      <c r="H796" s="16"/>
      <c r="I796" s="42"/>
      <c r="J796" s="44"/>
      <c r="K796" s="44"/>
      <c r="L796" s="44"/>
      <c r="M796" s="46"/>
      <c r="N796" s="42"/>
      <c r="O796" s="42"/>
      <c r="P796" s="16"/>
      <c r="Q796" s="16"/>
    </row>
    <row r="797">
      <c r="A797" s="16"/>
      <c r="B797" s="16"/>
      <c r="C797" s="16"/>
      <c r="D797" s="16"/>
      <c r="E797" s="16"/>
      <c r="F797" s="16"/>
      <c r="G797" s="42"/>
      <c r="H797" s="16"/>
      <c r="I797" s="42"/>
      <c r="J797" s="44"/>
      <c r="K797" s="44"/>
      <c r="L797" s="44"/>
      <c r="M797" s="46"/>
      <c r="N797" s="42"/>
      <c r="O797" s="42"/>
      <c r="P797" s="16"/>
      <c r="Q797" s="16"/>
    </row>
    <row r="798">
      <c r="A798" s="16"/>
      <c r="B798" s="16"/>
      <c r="C798" s="16"/>
      <c r="D798" s="16"/>
      <c r="E798" s="16"/>
      <c r="F798" s="16"/>
      <c r="G798" s="42"/>
      <c r="H798" s="16"/>
      <c r="I798" s="42"/>
      <c r="J798" s="44"/>
      <c r="K798" s="44"/>
      <c r="L798" s="44"/>
      <c r="M798" s="46"/>
      <c r="N798" s="42"/>
      <c r="O798" s="42"/>
      <c r="P798" s="16"/>
      <c r="Q798" s="16"/>
    </row>
    <row r="799">
      <c r="A799" s="16"/>
      <c r="B799" s="16"/>
      <c r="C799" s="16"/>
      <c r="D799" s="16"/>
      <c r="E799" s="16"/>
      <c r="F799" s="16"/>
      <c r="G799" s="42"/>
      <c r="H799" s="16"/>
      <c r="I799" s="42"/>
      <c r="J799" s="44"/>
      <c r="K799" s="44"/>
      <c r="L799" s="44"/>
      <c r="M799" s="46"/>
      <c r="N799" s="42"/>
      <c r="O799" s="42"/>
      <c r="P799" s="16"/>
      <c r="Q799" s="16"/>
    </row>
    <row r="800">
      <c r="A800" s="16"/>
      <c r="B800" s="16"/>
      <c r="C800" s="16"/>
      <c r="D800" s="16"/>
      <c r="E800" s="16"/>
      <c r="F800" s="16"/>
      <c r="G800" s="42"/>
      <c r="H800" s="16"/>
      <c r="I800" s="42"/>
      <c r="J800" s="44"/>
      <c r="K800" s="44"/>
      <c r="L800" s="44"/>
      <c r="M800" s="46"/>
      <c r="N800" s="42"/>
      <c r="O800" s="42"/>
      <c r="P800" s="16"/>
      <c r="Q800" s="16"/>
    </row>
    <row r="801">
      <c r="A801" s="16"/>
      <c r="B801" s="16"/>
      <c r="C801" s="16"/>
      <c r="D801" s="16"/>
      <c r="E801" s="16"/>
      <c r="F801" s="16"/>
      <c r="G801" s="42"/>
      <c r="H801" s="16"/>
      <c r="I801" s="42"/>
      <c r="J801" s="44"/>
      <c r="K801" s="44"/>
      <c r="L801" s="44"/>
      <c r="M801" s="46"/>
      <c r="N801" s="42"/>
      <c r="O801" s="42"/>
      <c r="P801" s="16"/>
      <c r="Q801" s="16"/>
    </row>
    <row r="802">
      <c r="A802" s="16"/>
      <c r="B802" s="16"/>
      <c r="C802" s="16"/>
      <c r="D802" s="16"/>
      <c r="E802" s="16"/>
      <c r="F802" s="16"/>
      <c r="G802" s="42"/>
      <c r="H802" s="16"/>
      <c r="I802" s="42"/>
      <c r="J802" s="44"/>
      <c r="K802" s="44"/>
      <c r="L802" s="44"/>
      <c r="M802" s="46"/>
      <c r="N802" s="42"/>
      <c r="O802" s="42"/>
      <c r="P802" s="16"/>
      <c r="Q802" s="16"/>
    </row>
    <row r="803">
      <c r="A803" s="16"/>
      <c r="B803" s="16"/>
      <c r="C803" s="16"/>
      <c r="D803" s="16"/>
      <c r="E803" s="16"/>
      <c r="F803" s="16"/>
      <c r="G803" s="42"/>
      <c r="H803" s="16"/>
      <c r="I803" s="42"/>
      <c r="J803" s="44"/>
      <c r="K803" s="44"/>
      <c r="L803" s="44"/>
      <c r="M803" s="46"/>
      <c r="N803" s="42"/>
      <c r="O803" s="42"/>
      <c r="P803" s="16"/>
      <c r="Q803" s="16"/>
    </row>
    <row r="804">
      <c r="A804" s="16"/>
      <c r="B804" s="16"/>
      <c r="C804" s="16"/>
      <c r="D804" s="16"/>
      <c r="E804" s="16"/>
      <c r="F804" s="16"/>
      <c r="G804" s="42"/>
      <c r="H804" s="16"/>
      <c r="I804" s="42"/>
      <c r="J804" s="44"/>
      <c r="K804" s="44"/>
      <c r="L804" s="44"/>
      <c r="M804" s="46"/>
      <c r="N804" s="42"/>
      <c r="O804" s="42"/>
      <c r="P804" s="16"/>
      <c r="Q804" s="16"/>
    </row>
    <row r="805">
      <c r="A805" s="16"/>
      <c r="B805" s="16"/>
      <c r="C805" s="16"/>
      <c r="D805" s="16"/>
      <c r="E805" s="16"/>
      <c r="F805" s="16"/>
      <c r="G805" s="42"/>
      <c r="H805" s="16"/>
      <c r="I805" s="42"/>
      <c r="J805" s="44"/>
      <c r="K805" s="44"/>
      <c r="L805" s="44"/>
      <c r="M805" s="46"/>
      <c r="N805" s="42"/>
      <c r="O805" s="42"/>
      <c r="P805" s="16"/>
      <c r="Q805" s="16"/>
    </row>
    <row r="806">
      <c r="A806" s="16"/>
      <c r="B806" s="16"/>
      <c r="C806" s="16"/>
      <c r="D806" s="16"/>
      <c r="E806" s="16"/>
      <c r="F806" s="16"/>
      <c r="G806" s="42"/>
      <c r="H806" s="16"/>
      <c r="I806" s="42"/>
      <c r="J806" s="44"/>
      <c r="K806" s="44"/>
      <c r="L806" s="44"/>
      <c r="M806" s="46"/>
      <c r="N806" s="42"/>
      <c r="O806" s="42"/>
      <c r="P806" s="16"/>
      <c r="Q806" s="16"/>
    </row>
    <row r="807">
      <c r="A807" s="16"/>
      <c r="B807" s="16"/>
      <c r="C807" s="16"/>
      <c r="D807" s="16"/>
      <c r="E807" s="16"/>
      <c r="F807" s="16"/>
      <c r="G807" s="42"/>
      <c r="H807" s="16"/>
      <c r="I807" s="42"/>
      <c r="J807" s="44"/>
      <c r="K807" s="44"/>
      <c r="L807" s="44"/>
      <c r="M807" s="46"/>
      <c r="N807" s="42"/>
      <c r="O807" s="42"/>
      <c r="P807" s="16"/>
      <c r="Q807" s="16"/>
    </row>
    <row r="808">
      <c r="A808" s="16"/>
      <c r="B808" s="16"/>
      <c r="C808" s="16"/>
      <c r="D808" s="16"/>
      <c r="E808" s="16"/>
      <c r="F808" s="16"/>
      <c r="G808" s="42"/>
      <c r="H808" s="16"/>
      <c r="I808" s="42"/>
      <c r="J808" s="44"/>
      <c r="K808" s="44"/>
      <c r="L808" s="44"/>
      <c r="M808" s="46"/>
      <c r="N808" s="42"/>
      <c r="O808" s="42"/>
      <c r="P808" s="16"/>
      <c r="Q808" s="16"/>
    </row>
    <row r="809">
      <c r="A809" s="16"/>
      <c r="B809" s="16"/>
      <c r="C809" s="16"/>
      <c r="D809" s="16"/>
      <c r="E809" s="16"/>
      <c r="F809" s="16"/>
      <c r="G809" s="42"/>
      <c r="H809" s="16"/>
      <c r="I809" s="42"/>
      <c r="J809" s="44"/>
      <c r="K809" s="44"/>
      <c r="L809" s="44"/>
      <c r="M809" s="46"/>
      <c r="N809" s="42"/>
      <c r="O809" s="42"/>
      <c r="P809" s="16"/>
      <c r="Q809" s="16"/>
    </row>
    <row r="810">
      <c r="A810" s="16"/>
      <c r="B810" s="16"/>
      <c r="C810" s="16"/>
      <c r="D810" s="16"/>
      <c r="E810" s="16"/>
      <c r="F810" s="16"/>
      <c r="G810" s="42"/>
      <c r="H810" s="16"/>
      <c r="I810" s="42"/>
      <c r="J810" s="44"/>
      <c r="K810" s="44"/>
      <c r="L810" s="44"/>
      <c r="M810" s="46"/>
      <c r="N810" s="42"/>
      <c r="O810" s="42"/>
      <c r="P810" s="16"/>
      <c r="Q810" s="16"/>
    </row>
    <row r="811">
      <c r="A811" s="16"/>
      <c r="B811" s="16"/>
      <c r="C811" s="16"/>
      <c r="D811" s="16"/>
      <c r="E811" s="16"/>
      <c r="F811" s="16"/>
      <c r="G811" s="42"/>
      <c r="H811" s="16"/>
      <c r="I811" s="42"/>
      <c r="J811" s="44"/>
      <c r="K811" s="44"/>
      <c r="L811" s="44"/>
      <c r="M811" s="46"/>
      <c r="N811" s="42"/>
      <c r="O811" s="42"/>
      <c r="P811" s="16"/>
      <c r="Q811" s="16"/>
    </row>
    <row r="812">
      <c r="A812" s="16"/>
      <c r="B812" s="16"/>
      <c r="C812" s="16"/>
      <c r="D812" s="16"/>
      <c r="E812" s="16"/>
      <c r="F812" s="16"/>
      <c r="G812" s="42"/>
      <c r="H812" s="16"/>
      <c r="I812" s="42"/>
      <c r="J812" s="44"/>
      <c r="K812" s="44"/>
      <c r="L812" s="44"/>
      <c r="M812" s="46"/>
      <c r="N812" s="42"/>
      <c r="O812" s="42"/>
      <c r="P812" s="16"/>
      <c r="Q812" s="16"/>
    </row>
    <row r="813">
      <c r="A813" s="16"/>
      <c r="B813" s="16"/>
      <c r="C813" s="16"/>
      <c r="D813" s="16"/>
      <c r="E813" s="16"/>
      <c r="F813" s="16"/>
      <c r="G813" s="42"/>
      <c r="H813" s="16"/>
      <c r="I813" s="42"/>
      <c r="J813" s="44"/>
      <c r="K813" s="44"/>
      <c r="L813" s="44"/>
      <c r="M813" s="46"/>
      <c r="N813" s="42"/>
      <c r="O813" s="42"/>
      <c r="P813" s="16"/>
      <c r="Q813" s="16"/>
    </row>
    <row r="814">
      <c r="A814" s="16"/>
      <c r="B814" s="16"/>
      <c r="C814" s="16"/>
      <c r="D814" s="16"/>
      <c r="E814" s="16"/>
      <c r="F814" s="16"/>
      <c r="G814" s="42"/>
      <c r="H814" s="16"/>
      <c r="I814" s="42"/>
      <c r="J814" s="44"/>
      <c r="K814" s="44"/>
      <c r="L814" s="44"/>
      <c r="M814" s="46"/>
      <c r="N814" s="42"/>
      <c r="O814" s="42"/>
      <c r="P814" s="16"/>
      <c r="Q814" s="16"/>
    </row>
    <row r="815">
      <c r="A815" s="16"/>
      <c r="B815" s="16"/>
      <c r="C815" s="16"/>
      <c r="D815" s="16"/>
      <c r="E815" s="16"/>
      <c r="F815" s="16"/>
      <c r="G815" s="42"/>
      <c r="H815" s="16"/>
      <c r="I815" s="42"/>
      <c r="J815" s="44"/>
      <c r="K815" s="44"/>
      <c r="L815" s="44"/>
      <c r="M815" s="46"/>
      <c r="N815" s="42"/>
      <c r="O815" s="42"/>
      <c r="P815" s="16"/>
      <c r="Q815" s="16"/>
    </row>
    <row r="816">
      <c r="A816" s="16"/>
      <c r="B816" s="16"/>
      <c r="C816" s="16"/>
      <c r="D816" s="16"/>
      <c r="E816" s="16"/>
      <c r="F816" s="16"/>
      <c r="G816" s="42"/>
      <c r="H816" s="16"/>
      <c r="I816" s="42"/>
      <c r="J816" s="44"/>
      <c r="K816" s="44"/>
      <c r="L816" s="44"/>
      <c r="M816" s="46"/>
      <c r="N816" s="42"/>
      <c r="O816" s="42"/>
      <c r="P816" s="16"/>
      <c r="Q816" s="16"/>
    </row>
    <row r="817">
      <c r="A817" s="16"/>
      <c r="B817" s="16"/>
      <c r="C817" s="16"/>
      <c r="D817" s="16"/>
      <c r="E817" s="16"/>
      <c r="F817" s="16"/>
      <c r="G817" s="42"/>
      <c r="H817" s="16"/>
      <c r="I817" s="42"/>
      <c r="J817" s="44"/>
      <c r="K817" s="44"/>
      <c r="L817" s="44"/>
      <c r="M817" s="46"/>
      <c r="N817" s="42"/>
      <c r="O817" s="42"/>
      <c r="P817" s="16"/>
      <c r="Q817" s="16"/>
    </row>
    <row r="818">
      <c r="A818" s="16"/>
      <c r="B818" s="16"/>
      <c r="C818" s="16"/>
      <c r="D818" s="16"/>
      <c r="E818" s="16"/>
      <c r="F818" s="16"/>
      <c r="G818" s="42"/>
      <c r="H818" s="16"/>
      <c r="I818" s="42"/>
      <c r="J818" s="44"/>
      <c r="K818" s="44"/>
      <c r="L818" s="44"/>
      <c r="M818" s="46"/>
      <c r="N818" s="42"/>
      <c r="O818" s="42"/>
      <c r="P818" s="16"/>
      <c r="Q818" s="16"/>
    </row>
    <row r="819">
      <c r="A819" s="16"/>
      <c r="B819" s="16"/>
      <c r="C819" s="16"/>
      <c r="D819" s="16"/>
      <c r="E819" s="16"/>
      <c r="F819" s="16"/>
      <c r="G819" s="42"/>
      <c r="H819" s="16"/>
      <c r="I819" s="42"/>
      <c r="J819" s="44"/>
      <c r="K819" s="44"/>
      <c r="L819" s="44"/>
      <c r="M819" s="46"/>
      <c r="N819" s="42"/>
      <c r="O819" s="42"/>
      <c r="P819" s="16"/>
      <c r="Q819" s="16"/>
    </row>
    <row r="820">
      <c r="A820" s="16"/>
      <c r="B820" s="16"/>
      <c r="C820" s="16"/>
      <c r="D820" s="16"/>
      <c r="E820" s="16"/>
      <c r="F820" s="16"/>
      <c r="G820" s="42"/>
      <c r="H820" s="16"/>
      <c r="I820" s="42"/>
      <c r="J820" s="44"/>
      <c r="K820" s="44"/>
      <c r="L820" s="44"/>
      <c r="M820" s="46"/>
      <c r="N820" s="42"/>
      <c r="O820" s="42"/>
      <c r="P820" s="16"/>
      <c r="Q820" s="16"/>
    </row>
    <row r="821">
      <c r="A821" s="16"/>
      <c r="B821" s="16"/>
      <c r="C821" s="16"/>
      <c r="D821" s="16"/>
      <c r="E821" s="16"/>
      <c r="F821" s="16"/>
      <c r="G821" s="42"/>
      <c r="H821" s="16"/>
      <c r="I821" s="42"/>
      <c r="J821" s="44"/>
      <c r="K821" s="44"/>
      <c r="L821" s="44"/>
      <c r="M821" s="46"/>
      <c r="N821" s="42"/>
      <c r="O821" s="42"/>
      <c r="P821" s="16"/>
      <c r="Q821" s="16"/>
    </row>
    <row r="822">
      <c r="A822" s="16"/>
      <c r="B822" s="16"/>
      <c r="C822" s="16"/>
      <c r="D822" s="16"/>
      <c r="E822" s="16"/>
      <c r="F822" s="16"/>
      <c r="G822" s="42"/>
      <c r="H822" s="16"/>
      <c r="I822" s="42"/>
      <c r="J822" s="44"/>
      <c r="K822" s="44"/>
      <c r="L822" s="44"/>
      <c r="M822" s="46"/>
      <c r="N822" s="42"/>
      <c r="O822" s="42"/>
      <c r="P822" s="16"/>
      <c r="Q822" s="16"/>
    </row>
    <row r="823">
      <c r="A823" s="16"/>
      <c r="B823" s="16"/>
      <c r="C823" s="16"/>
      <c r="D823" s="16"/>
      <c r="E823" s="16"/>
      <c r="F823" s="16"/>
      <c r="G823" s="42"/>
      <c r="H823" s="16"/>
      <c r="I823" s="42"/>
      <c r="J823" s="44"/>
      <c r="K823" s="44"/>
      <c r="L823" s="44"/>
      <c r="M823" s="46"/>
      <c r="N823" s="42"/>
      <c r="O823" s="42"/>
      <c r="P823" s="16"/>
      <c r="Q823" s="16"/>
    </row>
    <row r="824">
      <c r="A824" s="16"/>
      <c r="B824" s="16"/>
      <c r="C824" s="16"/>
      <c r="D824" s="16"/>
      <c r="E824" s="16"/>
      <c r="F824" s="16"/>
      <c r="G824" s="42"/>
      <c r="H824" s="16"/>
      <c r="I824" s="42"/>
      <c r="J824" s="44"/>
      <c r="K824" s="44"/>
      <c r="L824" s="44"/>
      <c r="M824" s="46"/>
      <c r="N824" s="42"/>
      <c r="O824" s="42"/>
      <c r="P824" s="16"/>
      <c r="Q824" s="16"/>
    </row>
    <row r="825">
      <c r="A825" s="16"/>
      <c r="B825" s="16"/>
      <c r="C825" s="16"/>
      <c r="D825" s="16"/>
      <c r="E825" s="16"/>
      <c r="F825" s="16"/>
      <c r="G825" s="42"/>
      <c r="H825" s="16"/>
      <c r="I825" s="42"/>
      <c r="J825" s="44"/>
      <c r="K825" s="44"/>
      <c r="L825" s="44"/>
      <c r="M825" s="46"/>
      <c r="N825" s="42"/>
      <c r="O825" s="42"/>
      <c r="P825" s="16"/>
      <c r="Q825" s="16"/>
    </row>
    <row r="826">
      <c r="A826" s="16"/>
      <c r="B826" s="16"/>
      <c r="C826" s="16"/>
      <c r="D826" s="16"/>
      <c r="E826" s="16"/>
      <c r="F826" s="16"/>
      <c r="G826" s="42"/>
      <c r="H826" s="16"/>
      <c r="I826" s="42"/>
      <c r="J826" s="44"/>
      <c r="K826" s="44"/>
      <c r="L826" s="44"/>
      <c r="M826" s="46"/>
      <c r="N826" s="42"/>
      <c r="O826" s="42"/>
      <c r="P826" s="16"/>
      <c r="Q826" s="16"/>
    </row>
    <row r="827">
      <c r="A827" s="16"/>
      <c r="B827" s="16"/>
      <c r="C827" s="16"/>
      <c r="D827" s="16"/>
      <c r="E827" s="16"/>
      <c r="F827" s="16"/>
      <c r="G827" s="42"/>
      <c r="H827" s="16"/>
      <c r="I827" s="42"/>
      <c r="J827" s="44"/>
      <c r="K827" s="44"/>
      <c r="L827" s="44"/>
      <c r="M827" s="46"/>
      <c r="N827" s="42"/>
      <c r="O827" s="42"/>
      <c r="P827" s="16"/>
      <c r="Q827" s="16"/>
    </row>
    <row r="828">
      <c r="A828" s="16"/>
      <c r="B828" s="16"/>
      <c r="C828" s="16"/>
      <c r="D828" s="16"/>
      <c r="E828" s="16"/>
      <c r="F828" s="16"/>
      <c r="G828" s="42"/>
      <c r="H828" s="16"/>
      <c r="I828" s="42"/>
      <c r="J828" s="44"/>
      <c r="K828" s="44"/>
      <c r="L828" s="44"/>
      <c r="M828" s="46"/>
      <c r="N828" s="42"/>
      <c r="O828" s="42"/>
      <c r="P828" s="16"/>
      <c r="Q828" s="16"/>
    </row>
    <row r="829">
      <c r="A829" s="16"/>
      <c r="B829" s="16"/>
      <c r="C829" s="16"/>
      <c r="D829" s="16"/>
      <c r="E829" s="16"/>
      <c r="F829" s="16"/>
      <c r="G829" s="42"/>
      <c r="H829" s="16"/>
      <c r="I829" s="42"/>
      <c r="J829" s="44"/>
      <c r="K829" s="44"/>
      <c r="L829" s="44"/>
      <c r="M829" s="46"/>
      <c r="N829" s="42"/>
      <c r="O829" s="42"/>
      <c r="P829" s="16"/>
      <c r="Q829" s="16"/>
    </row>
    <row r="830">
      <c r="A830" s="16"/>
      <c r="B830" s="16"/>
      <c r="C830" s="16"/>
      <c r="D830" s="16"/>
      <c r="E830" s="16"/>
      <c r="F830" s="16"/>
      <c r="G830" s="42"/>
      <c r="H830" s="16"/>
      <c r="I830" s="42"/>
      <c r="J830" s="44"/>
      <c r="K830" s="44"/>
      <c r="L830" s="44"/>
      <c r="M830" s="46"/>
      <c r="N830" s="42"/>
      <c r="O830" s="42"/>
      <c r="P830" s="16"/>
      <c r="Q830" s="16"/>
    </row>
    <row r="831">
      <c r="A831" s="16"/>
      <c r="B831" s="16"/>
      <c r="C831" s="16"/>
      <c r="D831" s="16"/>
      <c r="E831" s="16"/>
      <c r="F831" s="16"/>
      <c r="G831" s="42"/>
      <c r="H831" s="16"/>
      <c r="I831" s="42"/>
      <c r="J831" s="44"/>
      <c r="K831" s="44"/>
      <c r="L831" s="44"/>
      <c r="M831" s="46"/>
      <c r="N831" s="42"/>
      <c r="O831" s="42"/>
      <c r="P831" s="16"/>
      <c r="Q831" s="16"/>
    </row>
    <row r="832">
      <c r="A832" s="16"/>
      <c r="B832" s="16"/>
      <c r="C832" s="16"/>
      <c r="D832" s="16"/>
      <c r="E832" s="16"/>
      <c r="F832" s="16"/>
      <c r="G832" s="42"/>
      <c r="H832" s="16"/>
      <c r="I832" s="42"/>
      <c r="J832" s="44"/>
      <c r="K832" s="44"/>
      <c r="L832" s="44"/>
      <c r="M832" s="46"/>
      <c r="N832" s="42"/>
      <c r="O832" s="42"/>
      <c r="P832" s="16"/>
      <c r="Q832" s="16"/>
    </row>
    <row r="833">
      <c r="A833" s="16"/>
      <c r="B833" s="16"/>
      <c r="C833" s="16"/>
      <c r="D833" s="16"/>
      <c r="E833" s="16"/>
      <c r="F833" s="16"/>
      <c r="G833" s="42"/>
      <c r="H833" s="16"/>
      <c r="I833" s="42"/>
      <c r="J833" s="44"/>
      <c r="K833" s="44"/>
      <c r="L833" s="44"/>
      <c r="M833" s="46"/>
      <c r="N833" s="42"/>
      <c r="O833" s="42"/>
      <c r="P833" s="16"/>
      <c r="Q833" s="16"/>
    </row>
    <row r="834">
      <c r="A834" s="16"/>
      <c r="B834" s="16"/>
      <c r="C834" s="16"/>
      <c r="D834" s="16"/>
      <c r="E834" s="16"/>
      <c r="F834" s="16"/>
      <c r="G834" s="42"/>
      <c r="H834" s="16"/>
      <c r="I834" s="42"/>
      <c r="J834" s="44"/>
      <c r="K834" s="44"/>
      <c r="L834" s="44"/>
      <c r="M834" s="46"/>
      <c r="N834" s="42"/>
      <c r="O834" s="42"/>
      <c r="P834" s="16"/>
      <c r="Q834" s="16"/>
    </row>
    <row r="835">
      <c r="A835" s="16"/>
      <c r="B835" s="16"/>
      <c r="C835" s="16"/>
      <c r="D835" s="16"/>
      <c r="E835" s="16"/>
      <c r="F835" s="16"/>
      <c r="G835" s="42"/>
      <c r="H835" s="16"/>
      <c r="I835" s="42"/>
      <c r="J835" s="44"/>
      <c r="K835" s="44"/>
      <c r="L835" s="44"/>
      <c r="M835" s="46"/>
      <c r="N835" s="42"/>
      <c r="O835" s="42"/>
      <c r="P835" s="16"/>
      <c r="Q835" s="16"/>
    </row>
    <row r="836">
      <c r="A836" s="16"/>
      <c r="B836" s="16"/>
      <c r="C836" s="16"/>
      <c r="D836" s="16"/>
      <c r="E836" s="16"/>
      <c r="F836" s="16"/>
      <c r="G836" s="42"/>
      <c r="H836" s="16"/>
      <c r="I836" s="42"/>
      <c r="J836" s="44"/>
      <c r="K836" s="44"/>
      <c r="L836" s="44"/>
      <c r="M836" s="46"/>
      <c r="N836" s="42"/>
      <c r="O836" s="42"/>
      <c r="P836" s="16"/>
      <c r="Q836" s="16"/>
    </row>
    <row r="837">
      <c r="A837" s="16"/>
      <c r="B837" s="16"/>
      <c r="C837" s="16"/>
      <c r="D837" s="16"/>
      <c r="E837" s="16"/>
      <c r="F837" s="16"/>
      <c r="G837" s="42"/>
      <c r="H837" s="16"/>
      <c r="I837" s="42"/>
      <c r="J837" s="44"/>
      <c r="K837" s="44"/>
      <c r="L837" s="44"/>
      <c r="M837" s="46"/>
      <c r="N837" s="42"/>
      <c r="O837" s="42"/>
      <c r="P837" s="16"/>
      <c r="Q837" s="16"/>
    </row>
    <row r="838">
      <c r="A838" s="16"/>
      <c r="B838" s="16"/>
      <c r="C838" s="16"/>
      <c r="D838" s="16"/>
      <c r="E838" s="16"/>
      <c r="F838" s="16"/>
      <c r="G838" s="42"/>
      <c r="H838" s="16"/>
      <c r="I838" s="42"/>
      <c r="J838" s="44"/>
      <c r="K838" s="44"/>
      <c r="L838" s="44"/>
      <c r="M838" s="46"/>
      <c r="N838" s="42"/>
      <c r="O838" s="42"/>
      <c r="P838" s="16"/>
      <c r="Q838" s="16"/>
    </row>
    <row r="839">
      <c r="A839" s="16"/>
      <c r="B839" s="16"/>
      <c r="C839" s="16"/>
      <c r="D839" s="16"/>
      <c r="E839" s="16"/>
      <c r="F839" s="16"/>
      <c r="G839" s="42"/>
      <c r="H839" s="16"/>
      <c r="I839" s="42"/>
      <c r="J839" s="44"/>
      <c r="K839" s="44"/>
      <c r="L839" s="44"/>
      <c r="M839" s="46"/>
      <c r="N839" s="42"/>
      <c r="O839" s="42"/>
      <c r="P839" s="16"/>
      <c r="Q839" s="16"/>
    </row>
    <row r="840">
      <c r="A840" s="16"/>
      <c r="B840" s="16"/>
      <c r="C840" s="16"/>
      <c r="D840" s="16"/>
      <c r="E840" s="16"/>
      <c r="F840" s="16"/>
      <c r="G840" s="42"/>
      <c r="H840" s="16"/>
      <c r="I840" s="42"/>
      <c r="J840" s="44"/>
      <c r="K840" s="44"/>
      <c r="L840" s="44"/>
      <c r="M840" s="46"/>
      <c r="N840" s="42"/>
      <c r="O840" s="42"/>
      <c r="P840" s="16"/>
      <c r="Q840" s="16"/>
    </row>
    <row r="841">
      <c r="A841" s="16"/>
      <c r="B841" s="16"/>
      <c r="C841" s="16"/>
      <c r="D841" s="16"/>
      <c r="E841" s="16"/>
      <c r="F841" s="16"/>
      <c r="G841" s="42"/>
      <c r="H841" s="16"/>
      <c r="I841" s="42"/>
      <c r="J841" s="44"/>
      <c r="K841" s="44"/>
      <c r="L841" s="44"/>
      <c r="M841" s="46"/>
      <c r="N841" s="42"/>
      <c r="O841" s="42"/>
      <c r="P841" s="16"/>
      <c r="Q841" s="16"/>
    </row>
    <row r="842">
      <c r="A842" s="16"/>
      <c r="B842" s="16"/>
      <c r="C842" s="16"/>
      <c r="D842" s="16"/>
      <c r="E842" s="16"/>
      <c r="F842" s="16"/>
      <c r="G842" s="42"/>
      <c r="H842" s="16"/>
      <c r="I842" s="42"/>
      <c r="J842" s="44"/>
      <c r="K842" s="44"/>
      <c r="L842" s="44"/>
      <c r="M842" s="46"/>
      <c r="N842" s="42"/>
      <c r="O842" s="42"/>
      <c r="P842" s="16"/>
      <c r="Q842" s="16"/>
    </row>
    <row r="843">
      <c r="A843" s="16"/>
      <c r="B843" s="16"/>
      <c r="C843" s="16"/>
      <c r="D843" s="16"/>
      <c r="E843" s="16"/>
      <c r="F843" s="16"/>
      <c r="G843" s="42"/>
      <c r="H843" s="16"/>
      <c r="I843" s="42"/>
      <c r="J843" s="44"/>
      <c r="K843" s="44"/>
      <c r="L843" s="44"/>
      <c r="M843" s="46"/>
      <c r="N843" s="42"/>
      <c r="O843" s="42"/>
      <c r="P843" s="16"/>
      <c r="Q843" s="16"/>
    </row>
    <row r="844">
      <c r="A844" s="16"/>
      <c r="B844" s="16"/>
      <c r="C844" s="16"/>
      <c r="D844" s="16"/>
      <c r="E844" s="16"/>
      <c r="F844" s="16"/>
      <c r="G844" s="42"/>
      <c r="H844" s="16"/>
      <c r="I844" s="42"/>
      <c r="J844" s="44"/>
      <c r="K844" s="44"/>
      <c r="L844" s="44"/>
      <c r="M844" s="46"/>
      <c r="N844" s="42"/>
      <c r="O844" s="42"/>
      <c r="P844" s="16"/>
      <c r="Q844" s="16"/>
    </row>
    <row r="845">
      <c r="A845" s="16"/>
      <c r="B845" s="16"/>
      <c r="C845" s="16"/>
      <c r="D845" s="16"/>
      <c r="E845" s="16"/>
      <c r="F845" s="16"/>
      <c r="G845" s="42"/>
      <c r="H845" s="16"/>
      <c r="I845" s="42"/>
      <c r="J845" s="44"/>
      <c r="K845" s="44"/>
      <c r="L845" s="44"/>
      <c r="M845" s="46"/>
      <c r="N845" s="42"/>
      <c r="O845" s="42"/>
      <c r="P845" s="16"/>
      <c r="Q845" s="16"/>
    </row>
    <row r="846">
      <c r="A846" s="16"/>
      <c r="B846" s="16"/>
      <c r="C846" s="16"/>
      <c r="D846" s="16"/>
      <c r="E846" s="16"/>
      <c r="F846" s="16"/>
      <c r="G846" s="42"/>
      <c r="H846" s="16"/>
      <c r="I846" s="42"/>
      <c r="J846" s="44"/>
      <c r="K846" s="44"/>
      <c r="L846" s="44"/>
      <c r="M846" s="46"/>
      <c r="N846" s="42"/>
      <c r="O846" s="42"/>
      <c r="P846" s="16"/>
      <c r="Q846" s="16"/>
    </row>
    <row r="847">
      <c r="A847" s="16"/>
      <c r="B847" s="16"/>
      <c r="C847" s="16"/>
      <c r="D847" s="16"/>
      <c r="E847" s="16"/>
      <c r="F847" s="16"/>
      <c r="G847" s="42"/>
      <c r="H847" s="16"/>
      <c r="I847" s="42"/>
      <c r="J847" s="44"/>
      <c r="K847" s="44"/>
      <c r="L847" s="44"/>
      <c r="M847" s="46"/>
      <c r="N847" s="42"/>
      <c r="O847" s="42"/>
      <c r="P847" s="16"/>
      <c r="Q847" s="16"/>
    </row>
    <row r="848">
      <c r="A848" s="16"/>
      <c r="B848" s="16"/>
      <c r="C848" s="16"/>
      <c r="D848" s="16"/>
      <c r="E848" s="16"/>
      <c r="F848" s="16"/>
      <c r="G848" s="42"/>
      <c r="H848" s="16"/>
      <c r="I848" s="42"/>
      <c r="J848" s="44"/>
      <c r="K848" s="44"/>
      <c r="L848" s="44"/>
      <c r="M848" s="46"/>
      <c r="N848" s="42"/>
      <c r="O848" s="42"/>
      <c r="P848" s="16"/>
      <c r="Q848" s="16"/>
    </row>
    <row r="849">
      <c r="A849" s="16"/>
      <c r="B849" s="16"/>
      <c r="C849" s="16"/>
      <c r="D849" s="16"/>
      <c r="E849" s="16"/>
      <c r="F849" s="16"/>
      <c r="G849" s="42"/>
      <c r="H849" s="16"/>
      <c r="I849" s="42"/>
      <c r="J849" s="44"/>
      <c r="K849" s="44"/>
      <c r="L849" s="44"/>
      <c r="M849" s="46"/>
      <c r="N849" s="42"/>
      <c r="O849" s="42"/>
      <c r="P849" s="16"/>
      <c r="Q849" s="16"/>
    </row>
    <row r="850">
      <c r="A850" s="16"/>
      <c r="B850" s="16"/>
      <c r="C850" s="16"/>
      <c r="D850" s="16"/>
      <c r="E850" s="16"/>
      <c r="F850" s="16"/>
      <c r="G850" s="42"/>
      <c r="H850" s="16"/>
      <c r="I850" s="42"/>
      <c r="J850" s="44"/>
      <c r="K850" s="44"/>
      <c r="L850" s="44"/>
      <c r="M850" s="46"/>
      <c r="N850" s="42"/>
      <c r="O850" s="42"/>
      <c r="P850" s="16"/>
      <c r="Q850" s="16"/>
    </row>
    <row r="851">
      <c r="A851" s="16"/>
      <c r="B851" s="16"/>
      <c r="C851" s="16"/>
      <c r="D851" s="16"/>
      <c r="E851" s="16"/>
      <c r="F851" s="16"/>
      <c r="G851" s="42"/>
      <c r="H851" s="16"/>
      <c r="I851" s="42"/>
      <c r="J851" s="44"/>
      <c r="K851" s="44"/>
      <c r="L851" s="44"/>
      <c r="M851" s="46"/>
      <c r="N851" s="42"/>
      <c r="O851" s="42"/>
      <c r="P851" s="16"/>
      <c r="Q851" s="16"/>
    </row>
    <row r="852">
      <c r="A852" s="16"/>
      <c r="B852" s="16"/>
      <c r="C852" s="16"/>
      <c r="D852" s="16"/>
      <c r="E852" s="16"/>
      <c r="F852" s="16"/>
      <c r="G852" s="42"/>
      <c r="H852" s="16"/>
      <c r="I852" s="42"/>
      <c r="J852" s="44"/>
      <c r="K852" s="44"/>
      <c r="L852" s="44"/>
      <c r="M852" s="46"/>
      <c r="N852" s="42"/>
      <c r="O852" s="42"/>
      <c r="P852" s="16"/>
      <c r="Q852" s="16"/>
    </row>
    <row r="853">
      <c r="A853" s="16"/>
      <c r="B853" s="16"/>
      <c r="C853" s="16"/>
      <c r="D853" s="16"/>
      <c r="E853" s="16"/>
      <c r="F853" s="16"/>
      <c r="G853" s="42"/>
      <c r="H853" s="16"/>
      <c r="I853" s="42"/>
      <c r="J853" s="44"/>
      <c r="K853" s="44"/>
      <c r="L853" s="44"/>
      <c r="M853" s="46"/>
      <c r="N853" s="42"/>
      <c r="O853" s="42"/>
      <c r="P853" s="16"/>
      <c r="Q853" s="16"/>
    </row>
    <row r="854">
      <c r="A854" s="16"/>
      <c r="B854" s="16"/>
      <c r="C854" s="16"/>
      <c r="D854" s="16"/>
      <c r="E854" s="16"/>
      <c r="F854" s="16"/>
      <c r="G854" s="42"/>
      <c r="H854" s="16"/>
      <c r="I854" s="42"/>
      <c r="J854" s="44"/>
      <c r="K854" s="44"/>
      <c r="L854" s="44"/>
      <c r="M854" s="46"/>
      <c r="N854" s="42"/>
      <c r="O854" s="42"/>
      <c r="P854" s="16"/>
      <c r="Q854" s="16"/>
    </row>
    <row r="855">
      <c r="A855" s="16"/>
      <c r="B855" s="16"/>
      <c r="C855" s="16"/>
      <c r="D855" s="16"/>
      <c r="E855" s="16"/>
      <c r="F855" s="16"/>
      <c r="G855" s="42"/>
      <c r="H855" s="16"/>
      <c r="I855" s="42"/>
      <c r="J855" s="44"/>
      <c r="K855" s="44"/>
      <c r="L855" s="44"/>
      <c r="M855" s="46"/>
      <c r="N855" s="42"/>
      <c r="O855" s="42"/>
      <c r="P855" s="16"/>
      <c r="Q855" s="16"/>
    </row>
    <row r="856">
      <c r="A856" s="16"/>
      <c r="B856" s="16"/>
      <c r="C856" s="16"/>
      <c r="D856" s="16"/>
      <c r="E856" s="16"/>
      <c r="F856" s="16"/>
      <c r="G856" s="42"/>
      <c r="H856" s="16"/>
      <c r="I856" s="42"/>
      <c r="J856" s="44"/>
      <c r="K856" s="44"/>
      <c r="L856" s="44"/>
      <c r="M856" s="46"/>
      <c r="N856" s="42"/>
      <c r="O856" s="42"/>
      <c r="P856" s="16"/>
      <c r="Q856" s="16"/>
    </row>
    <row r="857">
      <c r="A857" s="16"/>
      <c r="B857" s="16"/>
      <c r="C857" s="16"/>
      <c r="D857" s="16"/>
      <c r="E857" s="16"/>
      <c r="F857" s="16"/>
      <c r="G857" s="42"/>
      <c r="H857" s="16"/>
      <c r="I857" s="42"/>
      <c r="J857" s="44"/>
      <c r="K857" s="44"/>
      <c r="L857" s="44"/>
      <c r="M857" s="46"/>
      <c r="N857" s="42"/>
      <c r="O857" s="42"/>
      <c r="P857" s="16"/>
      <c r="Q857" s="16"/>
    </row>
    <row r="858">
      <c r="A858" s="16"/>
      <c r="B858" s="16"/>
      <c r="C858" s="16"/>
      <c r="D858" s="16"/>
      <c r="E858" s="16"/>
      <c r="F858" s="16"/>
      <c r="G858" s="42"/>
      <c r="H858" s="16"/>
      <c r="I858" s="42"/>
      <c r="J858" s="44"/>
      <c r="K858" s="44"/>
      <c r="L858" s="44"/>
      <c r="M858" s="46"/>
      <c r="N858" s="42"/>
      <c r="O858" s="42"/>
      <c r="P858" s="16"/>
      <c r="Q858" s="16"/>
    </row>
    <row r="859">
      <c r="A859" s="16"/>
      <c r="B859" s="16"/>
      <c r="C859" s="16"/>
      <c r="D859" s="16"/>
      <c r="E859" s="16"/>
      <c r="F859" s="16"/>
      <c r="G859" s="42"/>
      <c r="H859" s="16"/>
      <c r="I859" s="42"/>
      <c r="J859" s="44"/>
      <c r="K859" s="44"/>
      <c r="L859" s="44"/>
      <c r="M859" s="46"/>
      <c r="N859" s="42"/>
      <c r="O859" s="42"/>
      <c r="P859" s="16"/>
      <c r="Q859" s="16"/>
    </row>
    <row r="860">
      <c r="A860" s="16"/>
      <c r="B860" s="16"/>
      <c r="C860" s="16"/>
      <c r="D860" s="16"/>
      <c r="E860" s="16"/>
      <c r="F860" s="16"/>
      <c r="G860" s="42"/>
      <c r="H860" s="16"/>
      <c r="I860" s="42"/>
      <c r="J860" s="44"/>
      <c r="K860" s="44"/>
      <c r="L860" s="44"/>
      <c r="M860" s="46"/>
      <c r="N860" s="42"/>
      <c r="O860" s="42"/>
      <c r="P860" s="16"/>
      <c r="Q860" s="16"/>
    </row>
    <row r="861">
      <c r="A861" s="16"/>
      <c r="B861" s="16"/>
      <c r="C861" s="16"/>
      <c r="D861" s="16"/>
      <c r="E861" s="16"/>
      <c r="F861" s="16"/>
      <c r="G861" s="42"/>
      <c r="H861" s="16"/>
      <c r="I861" s="42"/>
      <c r="J861" s="44"/>
      <c r="K861" s="44"/>
      <c r="L861" s="44"/>
      <c r="M861" s="46"/>
      <c r="N861" s="42"/>
      <c r="O861" s="42"/>
      <c r="P861" s="16"/>
      <c r="Q861" s="16"/>
    </row>
    <row r="862">
      <c r="A862" s="16"/>
      <c r="B862" s="16"/>
      <c r="C862" s="16"/>
      <c r="D862" s="16"/>
      <c r="E862" s="16"/>
      <c r="F862" s="16"/>
      <c r="G862" s="42"/>
      <c r="H862" s="16"/>
      <c r="I862" s="42"/>
      <c r="J862" s="44"/>
      <c r="K862" s="44"/>
      <c r="L862" s="44"/>
      <c r="M862" s="46"/>
      <c r="N862" s="42"/>
      <c r="O862" s="42"/>
      <c r="P862" s="16"/>
      <c r="Q862" s="16"/>
    </row>
    <row r="863">
      <c r="A863" s="16"/>
      <c r="B863" s="16"/>
      <c r="C863" s="16"/>
      <c r="D863" s="16"/>
      <c r="E863" s="16"/>
      <c r="F863" s="16"/>
      <c r="G863" s="42"/>
      <c r="H863" s="16"/>
      <c r="I863" s="42"/>
      <c r="J863" s="44"/>
      <c r="K863" s="44"/>
      <c r="L863" s="44"/>
      <c r="M863" s="46"/>
      <c r="N863" s="42"/>
      <c r="O863" s="42"/>
      <c r="P863" s="16"/>
      <c r="Q863" s="16"/>
    </row>
    <row r="864">
      <c r="A864" s="16"/>
      <c r="B864" s="16"/>
      <c r="C864" s="16"/>
      <c r="D864" s="16"/>
      <c r="E864" s="16"/>
      <c r="F864" s="16"/>
      <c r="G864" s="42"/>
      <c r="H864" s="16"/>
      <c r="I864" s="42"/>
      <c r="J864" s="44"/>
      <c r="K864" s="44"/>
      <c r="L864" s="44"/>
      <c r="M864" s="46"/>
      <c r="N864" s="42"/>
      <c r="O864" s="42"/>
      <c r="P864" s="16"/>
      <c r="Q864" s="16"/>
    </row>
    <row r="865">
      <c r="A865" s="16"/>
      <c r="B865" s="16"/>
      <c r="C865" s="16"/>
      <c r="D865" s="16"/>
      <c r="E865" s="16"/>
      <c r="F865" s="16"/>
      <c r="G865" s="42"/>
      <c r="H865" s="16"/>
      <c r="I865" s="42"/>
      <c r="J865" s="44"/>
      <c r="K865" s="44"/>
      <c r="L865" s="44"/>
      <c r="M865" s="46"/>
      <c r="N865" s="42"/>
      <c r="O865" s="42"/>
      <c r="P865" s="16"/>
      <c r="Q865" s="16"/>
    </row>
    <row r="866">
      <c r="A866" s="16"/>
      <c r="B866" s="16"/>
      <c r="C866" s="16"/>
      <c r="D866" s="16"/>
      <c r="E866" s="16"/>
      <c r="F866" s="16"/>
      <c r="G866" s="42"/>
      <c r="H866" s="16"/>
      <c r="I866" s="42"/>
      <c r="J866" s="44"/>
      <c r="K866" s="44"/>
      <c r="L866" s="44"/>
      <c r="M866" s="46"/>
      <c r="N866" s="42"/>
      <c r="O866" s="42"/>
      <c r="P866" s="16"/>
      <c r="Q866" s="16"/>
    </row>
    <row r="867">
      <c r="A867" s="16"/>
      <c r="B867" s="16"/>
      <c r="C867" s="16"/>
      <c r="D867" s="16"/>
      <c r="E867" s="16"/>
      <c r="F867" s="16"/>
      <c r="G867" s="42"/>
      <c r="H867" s="16"/>
      <c r="I867" s="42"/>
      <c r="J867" s="44"/>
      <c r="K867" s="44"/>
      <c r="L867" s="44"/>
      <c r="M867" s="46"/>
      <c r="N867" s="42"/>
      <c r="O867" s="42"/>
      <c r="P867" s="16"/>
      <c r="Q867" s="16"/>
    </row>
    <row r="868">
      <c r="A868" s="16"/>
      <c r="B868" s="16"/>
      <c r="C868" s="16"/>
      <c r="D868" s="16"/>
      <c r="E868" s="16"/>
      <c r="F868" s="16"/>
      <c r="G868" s="42"/>
      <c r="H868" s="16"/>
      <c r="I868" s="42"/>
      <c r="J868" s="44"/>
      <c r="K868" s="44"/>
      <c r="L868" s="44"/>
      <c r="M868" s="46"/>
      <c r="N868" s="42"/>
      <c r="O868" s="42"/>
      <c r="P868" s="16"/>
      <c r="Q868" s="16"/>
    </row>
    <row r="869">
      <c r="A869" s="16"/>
      <c r="B869" s="16"/>
      <c r="C869" s="16"/>
      <c r="D869" s="16"/>
      <c r="E869" s="16"/>
      <c r="F869" s="16"/>
      <c r="G869" s="42"/>
      <c r="H869" s="16"/>
      <c r="I869" s="42"/>
      <c r="J869" s="44"/>
      <c r="K869" s="44"/>
      <c r="L869" s="44"/>
      <c r="M869" s="46"/>
      <c r="N869" s="42"/>
      <c r="O869" s="42"/>
      <c r="P869" s="16"/>
      <c r="Q869" s="16"/>
    </row>
    <row r="870">
      <c r="A870" s="16"/>
      <c r="B870" s="16"/>
      <c r="C870" s="16"/>
      <c r="D870" s="16"/>
      <c r="E870" s="16"/>
      <c r="F870" s="16"/>
      <c r="G870" s="42"/>
      <c r="H870" s="16"/>
      <c r="I870" s="42"/>
      <c r="J870" s="44"/>
      <c r="K870" s="44"/>
      <c r="L870" s="44"/>
      <c r="M870" s="46"/>
      <c r="N870" s="42"/>
      <c r="O870" s="42"/>
      <c r="P870" s="16"/>
      <c r="Q870" s="16"/>
    </row>
    <row r="871">
      <c r="A871" s="16"/>
      <c r="B871" s="16"/>
      <c r="C871" s="16"/>
      <c r="D871" s="16"/>
      <c r="E871" s="16"/>
      <c r="F871" s="16"/>
      <c r="G871" s="42"/>
      <c r="H871" s="16"/>
      <c r="I871" s="42"/>
      <c r="J871" s="44"/>
      <c r="K871" s="44"/>
      <c r="L871" s="44"/>
      <c r="M871" s="46"/>
      <c r="N871" s="42"/>
      <c r="O871" s="42"/>
      <c r="P871" s="16"/>
      <c r="Q871" s="16"/>
    </row>
    <row r="872">
      <c r="A872" s="16"/>
      <c r="B872" s="16"/>
      <c r="C872" s="16"/>
      <c r="D872" s="16"/>
      <c r="E872" s="16"/>
      <c r="F872" s="16"/>
      <c r="G872" s="42"/>
      <c r="H872" s="16"/>
      <c r="I872" s="42"/>
      <c r="J872" s="44"/>
      <c r="K872" s="44"/>
      <c r="L872" s="44"/>
      <c r="M872" s="46"/>
      <c r="N872" s="42"/>
      <c r="O872" s="42"/>
      <c r="P872" s="16"/>
      <c r="Q872" s="16"/>
    </row>
    <row r="873">
      <c r="A873" s="16"/>
      <c r="B873" s="16"/>
      <c r="C873" s="16"/>
      <c r="D873" s="16"/>
      <c r="E873" s="16"/>
      <c r="F873" s="16"/>
      <c r="G873" s="42"/>
      <c r="H873" s="16"/>
      <c r="I873" s="42"/>
      <c r="J873" s="44"/>
      <c r="K873" s="44"/>
      <c r="L873" s="44"/>
      <c r="M873" s="46"/>
      <c r="N873" s="42"/>
      <c r="O873" s="42"/>
      <c r="P873" s="16"/>
      <c r="Q873" s="16"/>
    </row>
    <row r="874">
      <c r="A874" s="16"/>
      <c r="B874" s="16"/>
      <c r="C874" s="16"/>
      <c r="D874" s="16"/>
      <c r="E874" s="16"/>
      <c r="F874" s="16"/>
      <c r="G874" s="42"/>
      <c r="H874" s="16"/>
      <c r="I874" s="42"/>
      <c r="J874" s="44"/>
      <c r="K874" s="44"/>
      <c r="L874" s="44"/>
      <c r="M874" s="46"/>
      <c r="N874" s="42"/>
      <c r="O874" s="42"/>
      <c r="P874" s="16"/>
      <c r="Q874" s="16"/>
    </row>
    <row r="875">
      <c r="A875" s="16"/>
      <c r="B875" s="16"/>
      <c r="C875" s="16"/>
      <c r="D875" s="16"/>
      <c r="E875" s="16"/>
      <c r="F875" s="16"/>
      <c r="G875" s="42"/>
      <c r="H875" s="16"/>
      <c r="I875" s="42"/>
      <c r="J875" s="44"/>
      <c r="K875" s="44"/>
      <c r="L875" s="44"/>
      <c r="M875" s="46"/>
      <c r="N875" s="42"/>
      <c r="O875" s="42"/>
      <c r="P875" s="16"/>
      <c r="Q875" s="16"/>
    </row>
    <row r="876">
      <c r="A876" s="16"/>
      <c r="B876" s="16"/>
      <c r="C876" s="16"/>
      <c r="D876" s="16"/>
      <c r="E876" s="16"/>
      <c r="F876" s="16"/>
      <c r="G876" s="42"/>
      <c r="H876" s="16"/>
      <c r="I876" s="42"/>
      <c r="J876" s="44"/>
      <c r="K876" s="44"/>
      <c r="L876" s="44"/>
      <c r="M876" s="46"/>
      <c r="N876" s="42"/>
      <c r="O876" s="42"/>
      <c r="P876" s="16"/>
      <c r="Q876" s="16"/>
    </row>
    <row r="877">
      <c r="A877" s="16"/>
      <c r="B877" s="16"/>
      <c r="C877" s="16"/>
      <c r="D877" s="16"/>
      <c r="E877" s="16"/>
      <c r="F877" s="16"/>
      <c r="G877" s="42"/>
      <c r="H877" s="16"/>
      <c r="I877" s="42"/>
      <c r="J877" s="44"/>
      <c r="K877" s="44"/>
      <c r="L877" s="44"/>
      <c r="M877" s="46"/>
      <c r="N877" s="42"/>
      <c r="O877" s="42"/>
      <c r="P877" s="16"/>
      <c r="Q877" s="16"/>
    </row>
    <row r="878">
      <c r="A878" s="16"/>
      <c r="B878" s="16"/>
      <c r="C878" s="16"/>
      <c r="D878" s="16"/>
      <c r="E878" s="16"/>
      <c r="F878" s="16"/>
      <c r="G878" s="42"/>
      <c r="H878" s="16"/>
      <c r="I878" s="42"/>
      <c r="J878" s="44"/>
      <c r="K878" s="44"/>
      <c r="L878" s="44"/>
      <c r="M878" s="46"/>
      <c r="N878" s="42"/>
      <c r="O878" s="42"/>
      <c r="P878" s="16"/>
      <c r="Q878" s="16"/>
    </row>
    <row r="879">
      <c r="A879" s="16"/>
      <c r="B879" s="16"/>
      <c r="C879" s="16"/>
      <c r="D879" s="16"/>
      <c r="E879" s="16"/>
      <c r="F879" s="16"/>
      <c r="G879" s="42"/>
      <c r="H879" s="16"/>
      <c r="I879" s="42"/>
      <c r="J879" s="44"/>
      <c r="K879" s="44"/>
      <c r="L879" s="44"/>
      <c r="M879" s="46"/>
      <c r="N879" s="42"/>
      <c r="O879" s="42"/>
      <c r="P879" s="16"/>
      <c r="Q879" s="16"/>
    </row>
    <row r="880">
      <c r="A880" s="16"/>
      <c r="B880" s="16"/>
      <c r="C880" s="16"/>
      <c r="D880" s="16"/>
      <c r="E880" s="16"/>
      <c r="F880" s="16"/>
      <c r="G880" s="42"/>
      <c r="H880" s="16"/>
      <c r="I880" s="42"/>
      <c r="J880" s="44"/>
      <c r="K880" s="44"/>
      <c r="L880" s="44"/>
      <c r="M880" s="46"/>
      <c r="N880" s="42"/>
      <c r="O880" s="42"/>
      <c r="P880" s="16"/>
      <c r="Q880" s="16"/>
    </row>
    <row r="881">
      <c r="A881" s="16"/>
      <c r="B881" s="16"/>
      <c r="C881" s="16"/>
      <c r="D881" s="16"/>
      <c r="E881" s="16"/>
      <c r="F881" s="16"/>
      <c r="G881" s="42"/>
      <c r="H881" s="16"/>
      <c r="I881" s="42"/>
      <c r="J881" s="44"/>
      <c r="K881" s="44"/>
      <c r="L881" s="44"/>
      <c r="M881" s="46"/>
      <c r="N881" s="42"/>
      <c r="O881" s="42"/>
      <c r="P881" s="16"/>
      <c r="Q881" s="16"/>
    </row>
    <row r="882">
      <c r="A882" s="16"/>
      <c r="B882" s="16"/>
      <c r="C882" s="16"/>
      <c r="D882" s="16"/>
      <c r="E882" s="16"/>
      <c r="F882" s="16"/>
      <c r="G882" s="42"/>
      <c r="H882" s="16"/>
      <c r="I882" s="42"/>
      <c r="J882" s="44"/>
      <c r="K882" s="44"/>
      <c r="L882" s="44"/>
      <c r="M882" s="46"/>
      <c r="N882" s="42"/>
      <c r="O882" s="42"/>
      <c r="P882" s="16"/>
      <c r="Q882" s="16"/>
    </row>
    <row r="883">
      <c r="A883" s="16"/>
      <c r="B883" s="16"/>
      <c r="C883" s="16"/>
      <c r="D883" s="16"/>
      <c r="E883" s="16"/>
      <c r="F883" s="16"/>
      <c r="G883" s="42"/>
      <c r="H883" s="16"/>
      <c r="I883" s="42"/>
      <c r="J883" s="44"/>
      <c r="K883" s="44"/>
      <c r="L883" s="44"/>
      <c r="M883" s="46"/>
      <c r="N883" s="42"/>
      <c r="O883" s="42"/>
      <c r="P883" s="16"/>
      <c r="Q883" s="16"/>
    </row>
    <row r="884">
      <c r="A884" s="16"/>
      <c r="B884" s="16"/>
      <c r="C884" s="16"/>
      <c r="D884" s="16"/>
      <c r="E884" s="16"/>
      <c r="F884" s="16"/>
      <c r="G884" s="42"/>
      <c r="H884" s="16"/>
      <c r="I884" s="42"/>
      <c r="J884" s="44"/>
      <c r="K884" s="44"/>
      <c r="L884" s="44"/>
      <c r="M884" s="46"/>
      <c r="N884" s="42"/>
      <c r="O884" s="42"/>
      <c r="P884" s="16"/>
      <c r="Q884" s="16"/>
    </row>
    <row r="885">
      <c r="A885" s="16"/>
      <c r="B885" s="16"/>
      <c r="C885" s="16"/>
      <c r="D885" s="16"/>
      <c r="E885" s="16"/>
      <c r="F885" s="16"/>
      <c r="G885" s="42"/>
      <c r="H885" s="16"/>
      <c r="I885" s="42"/>
      <c r="J885" s="44"/>
      <c r="K885" s="44"/>
      <c r="L885" s="44"/>
      <c r="M885" s="46"/>
      <c r="N885" s="42"/>
      <c r="O885" s="42"/>
      <c r="P885" s="16"/>
      <c r="Q885" s="16"/>
    </row>
    <row r="886">
      <c r="A886" s="16"/>
      <c r="B886" s="16"/>
      <c r="C886" s="16"/>
      <c r="D886" s="16"/>
      <c r="E886" s="16"/>
      <c r="F886" s="16"/>
      <c r="G886" s="42"/>
      <c r="H886" s="16"/>
      <c r="I886" s="42"/>
      <c r="J886" s="44"/>
      <c r="K886" s="44"/>
      <c r="L886" s="44"/>
      <c r="M886" s="46"/>
      <c r="N886" s="42"/>
      <c r="O886" s="42"/>
      <c r="P886" s="16"/>
      <c r="Q886" s="16"/>
    </row>
    <row r="887">
      <c r="A887" s="16"/>
      <c r="B887" s="16"/>
      <c r="C887" s="16"/>
      <c r="D887" s="16"/>
      <c r="E887" s="16"/>
      <c r="F887" s="16"/>
      <c r="G887" s="42"/>
      <c r="H887" s="16"/>
      <c r="I887" s="42"/>
      <c r="J887" s="44"/>
      <c r="K887" s="44"/>
      <c r="L887" s="44"/>
      <c r="M887" s="46"/>
      <c r="N887" s="42"/>
      <c r="O887" s="42"/>
      <c r="P887" s="16"/>
      <c r="Q887" s="16"/>
    </row>
    <row r="888">
      <c r="A888" s="16"/>
      <c r="B888" s="16"/>
      <c r="C888" s="16"/>
      <c r="D888" s="16"/>
      <c r="E888" s="16"/>
      <c r="F888" s="16"/>
      <c r="G888" s="42"/>
      <c r="H888" s="16"/>
      <c r="I888" s="42"/>
      <c r="J888" s="44"/>
      <c r="K888" s="44"/>
      <c r="L888" s="44"/>
      <c r="M888" s="46"/>
      <c r="N888" s="42"/>
      <c r="O888" s="42"/>
      <c r="P888" s="16"/>
      <c r="Q888" s="16"/>
    </row>
    <row r="889">
      <c r="A889" s="16"/>
      <c r="B889" s="16"/>
      <c r="C889" s="16"/>
      <c r="D889" s="16"/>
      <c r="E889" s="16"/>
      <c r="F889" s="16"/>
      <c r="G889" s="42"/>
      <c r="H889" s="16"/>
      <c r="I889" s="42"/>
      <c r="J889" s="44"/>
      <c r="K889" s="44"/>
      <c r="L889" s="44"/>
      <c r="M889" s="46"/>
      <c r="N889" s="42"/>
      <c r="O889" s="42"/>
      <c r="P889" s="16"/>
      <c r="Q889" s="16"/>
    </row>
    <row r="890">
      <c r="A890" s="16"/>
      <c r="B890" s="16"/>
      <c r="C890" s="16"/>
      <c r="D890" s="16"/>
      <c r="E890" s="16"/>
      <c r="F890" s="16"/>
      <c r="G890" s="42"/>
      <c r="H890" s="16"/>
      <c r="I890" s="42"/>
      <c r="J890" s="44"/>
      <c r="K890" s="44"/>
      <c r="L890" s="44"/>
      <c r="M890" s="46"/>
      <c r="N890" s="42"/>
      <c r="O890" s="42"/>
      <c r="P890" s="16"/>
      <c r="Q890" s="16"/>
    </row>
    <row r="891">
      <c r="A891" s="16"/>
      <c r="B891" s="16"/>
      <c r="C891" s="16"/>
      <c r="D891" s="16"/>
      <c r="E891" s="16"/>
      <c r="F891" s="16"/>
      <c r="G891" s="42"/>
      <c r="H891" s="16"/>
      <c r="I891" s="42"/>
      <c r="J891" s="44"/>
      <c r="K891" s="44"/>
      <c r="L891" s="44"/>
      <c r="M891" s="46"/>
      <c r="N891" s="42"/>
      <c r="O891" s="42"/>
      <c r="P891" s="16"/>
      <c r="Q891" s="16"/>
    </row>
    <row r="892">
      <c r="A892" s="16"/>
      <c r="B892" s="16"/>
      <c r="C892" s="16"/>
      <c r="D892" s="16"/>
      <c r="E892" s="16"/>
      <c r="F892" s="16"/>
      <c r="G892" s="42"/>
      <c r="H892" s="16"/>
      <c r="I892" s="42"/>
      <c r="J892" s="44"/>
      <c r="K892" s="44"/>
      <c r="L892" s="44"/>
      <c r="M892" s="46"/>
      <c r="N892" s="42"/>
      <c r="O892" s="42"/>
      <c r="P892" s="16"/>
      <c r="Q892" s="16"/>
    </row>
    <row r="893">
      <c r="A893" s="16"/>
      <c r="B893" s="16"/>
      <c r="C893" s="16"/>
      <c r="D893" s="16"/>
      <c r="E893" s="16"/>
      <c r="F893" s="16"/>
      <c r="G893" s="42"/>
      <c r="H893" s="16"/>
      <c r="I893" s="42"/>
      <c r="J893" s="44"/>
      <c r="K893" s="44"/>
      <c r="L893" s="44"/>
      <c r="M893" s="46"/>
      <c r="N893" s="42"/>
      <c r="O893" s="42"/>
      <c r="P893" s="16"/>
      <c r="Q893" s="16"/>
    </row>
    <row r="894">
      <c r="A894" s="16"/>
      <c r="B894" s="16"/>
      <c r="C894" s="16"/>
      <c r="D894" s="16"/>
      <c r="E894" s="16"/>
      <c r="F894" s="16"/>
      <c r="G894" s="42"/>
      <c r="H894" s="16"/>
      <c r="I894" s="42"/>
      <c r="J894" s="44"/>
      <c r="K894" s="44"/>
      <c r="L894" s="44"/>
      <c r="M894" s="46"/>
      <c r="N894" s="42"/>
      <c r="O894" s="42"/>
      <c r="P894" s="16"/>
      <c r="Q894" s="16"/>
    </row>
    <row r="895">
      <c r="A895" s="16"/>
      <c r="B895" s="16"/>
      <c r="C895" s="16"/>
      <c r="D895" s="16"/>
      <c r="E895" s="16"/>
      <c r="F895" s="16"/>
      <c r="G895" s="42"/>
      <c r="H895" s="16"/>
      <c r="I895" s="42"/>
      <c r="J895" s="44"/>
      <c r="K895" s="44"/>
      <c r="L895" s="44"/>
      <c r="M895" s="46"/>
      <c r="N895" s="42"/>
      <c r="O895" s="42"/>
      <c r="P895" s="16"/>
      <c r="Q895" s="16"/>
    </row>
    <row r="896">
      <c r="A896" s="16"/>
      <c r="B896" s="16"/>
      <c r="C896" s="16"/>
      <c r="D896" s="16"/>
      <c r="E896" s="16"/>
      <c r="F896" s="16"/>
      <c r="G896" s="42"/>
      <c r="H896" s="16"/>
      <c r="I896" s="42"/>
      <c r="J896" s="44"/>
      <c r="K896" s="44"/>
      <c r="L896" s="44"/>
      <c r="M896" s="46"/>
      <c r="N896" s="42"/>
      <c r="O896" s="42"/>
      <c r="P896" s="16"/>
      <c r="Q896" s="16"/>
    </row>
    <row r="897">
      <c r="A897" s="16"/>
      <c r="B897" s="16"/>
      <c r="C897" s="16"/>
      <c r="D897" s="16"/>
      <c r="E897" s="16"/>
      <c r="F897" s="16"/>
      <c r="G897" s="42"/>
      <c r="H897" s="16"/>
      <c r="I897" s="42"/>
      <c r="J897" s="44"/>
      <c r="K897" s="44"/>
      <c r="L897" s="44"/>
      <c r="M897" s="46"/>
      <c r="N897" s="42"/>
      <c r="O897" s="42"/>
      <c r="P897" s="16"/>
      <c r="Q897" s="16"/>
    </row>
    <row r="898">
      <c r="A898" s="16"/>
      <c r="B898" s="16"/>
      <c r="C898" s="16"/>
      <c r="D898" s="16"/>
      <c r="E898" s="16"/>
      <c r="F898" s="16"/>
      <c r="G898" s="42"/>
      <c r="H898" s="16"/>
      <c r="I898" s="42"/>
      <c r="J898" s="44"/>
      <c r="K898" s="44"/>
      <c r="L898" s="44"/>
      <c r="M898" s="46"/>
      <c r="N898" s="42"/>
      <c r="O898" s="42"/>
      <c r="P898" s="16"/>
      <c r="Q898" s="16"/>
    </row>
    <row r="899">
      <c r="A899" s="16"/>
      <c r="B899" s="16"/>
      <c r="C899" s="16"/>
      <c r="D899" s="16"/>
      <c r="E899" s="16"/>
      <c r="F899" s="16"/>
      <c r="G899" s="42"/>
      <c r="H899" s="16"/>
      <c r="I899" s="42"/>
      <c r="J899" s="44"/>
      <c r="K899" s="44"/>
      <c r="L899" s="44"/>
      <c r="M899" s="46"/>
      <c r="N899" s="42"/>
      <c r="O899" s="42"/>
      <c r="P899" s="16"/>
      <c r="Q899" s="16"/>
    </row>
    <row r="900">
      <c r="A900" s="16"/>
      <c r="B900" s="16"/>
      <c r="C900" s="16"/>
      <c r="D900" s="16"/>
      <c r="E900" s="16"/>
      <c r="F900" s="16"/>
      <c r="G900" s="42"/>
      <c r="H900" s="16"/>
      <c r="I900" s="42"/>
      <c r="J900" s="44"/>
      <c r="K900" s="44"/>
      <c r="L900" s="44"/>
      <c r="M900" s="46"/>
      <c r="N900" s="42"/>
      <c r="O900" s="42"/>
      <c r="P900" s="16"/>
      <c r="Q900" s="16"/>
    </row>
    <row r="901">
      <c r="A901" s="16"/>
      <c r="B901" s="16"/>
      <c r="C901" s="16"/>
      <c r="D901" s="16"/>
      <c r="E901" s="16"/>
      <c r="F901" s="16"/>
      <c r="G901" s="42"/>
      <c r="H901" s="16"/>
      <c r="I901" s="42"/>
      <c r="J901" s="44"/>
      <c r="K901" s="44"/>
      <c r="L901" s="44"/>
      <c r="M901" s="46"/>
      <c r="N901" s="42"/>
      <c r="O901" s="42"/>
      <c r="P901" s="16"/>
      <c r="Q901" s="16"/>
    </row>
    <row r="902">
      <c r="A902" s="16"/>
      <c r="B902" s="16"/>
      <c r="C902" s="16"/>
      <c r="D902" s="16"/>
      <c r="E902" s="16"/>
      <c r="F902" s="16"/>
      <c r="G902" s="42"/>
      <c r="H902" s="16"/>
      <c r="I902" s="42"/>
      <c r="J902" s="44"/>
      <c r="K902" s="44"/>
      <c r="L902" s="44"/>
      <c r="M902" s="46"/>
      <c r="N902" s="42"/>
      <c r="O902" s="42"/>
      <c r="P902" s="16"/>
      <c r="Q902" s="16"/>
    </row>
    <row r="903">
      <c r="A903" s="16"/>
      <c r="B903" s="16"/>
      <c r="C903" s="16"/>
      <c r="D903" s="16"/>
      <c r="E903" s="16"/>
      <c r="F903" s="16"/>
      <c r="G903" s="42"/>
      <c r="H903" s="16"/>
      <c r="I903" s="42"/>
      <c r="J903" s="44"/>
      <c r="K903" s="44"/>
      <c r="L903" s="44"/>
      <c r="M903" s="46"/>
      <c r="N903" s="42"/>
      <c r="O903" s="42"/>
      <c r="P903" s="16"/>
      <c r="Q903" s="16"/>
    </row>
    <row r="904">
      <c r="A904" s="16"/>
      <c r="B904" s="16"/>
      <c r="C904" s="16"/>
      <c r="D904" s="16"/>
      <c r="E904" s="16"/>
      <c r="F904" s="16"/>
      <c r="G904" s="42"/>
      <c r="H904" s="16"/>
      <c r="I904" s="42"/>
      <c r="J904" s="44"/>
      <c r="K904" s="44"/>
      <c r="L904" s="44"/>
      <c r="M904" s="46"/>
      <c r="N904" s="42"/>
      <c r="O904" s="42"/>
      <c r="P904" s="16"/>
      <c r="Q904" s="16"/>
    </row>
    <row r="905">
      <c r="A905" s="16"/>
      <c r="B905" s="16"/>
      <c r="C905" s="16"/>
      <c r="D905" s="16"/>
      <c r="E905" s="16"/>
      <c r="F905" s="16"/>
      <c r="G905" s="42"/>
      <c r="H905" s="16"/>
      <c r="I905" s="42"/>
      <c r="J905" s="44"/>
      <c r="K905" s="44"/>
      <c r="L905" s="44"/>
      <c r="M905" s="46"/>
      <c r="N905" s="42"/>
      <c r="O905" s="42"/>
      <c r="P905" s="16"/>
      <c r="Q905" s="16"/>
    </row>
    <row r="906">
      <c r="A906" s="16"/>
      <c r="B906" s="16"/>
      <c r="C906" s="16"/>
      <c r="D906" s="16"/>
      <c r="E906" s="16"/>
      <c r="F906" s="16"/>
      <c r="G906" s="42"/>
      <c r="H906" s="16"/>
      <c r="I906" s="42"/>
      <c r="J906" s="44"/>
      <c r="K906" s="44"/>
      <c r="L906" s="44"/>
      <c r="M906" s="46"/>
      <c r="N906" s="42"/>
      <c r="O906" s="42"/>
      <c r="P906" s="16"/>
      <c r="Q906" s="16"/>
    </row>
    <row r="907">
      <c r="A907" s="16"/>
      <c r="B907" s="16"/>
      <c r="C907" s="16"/>
      <c r="D907" s="16"/>
      <c r="E907" s="16"/>
      <c r="F907" s="16"/>
      <c r="G907" s="42"/>
      <c r="H907" s="16"/>
      <c r="I907" s="42"/>
      <c r="J907" s="44"/>
      <c r="K907" s="44"/>
      <c r="L907" s="44"/>
      <c r="M907" s="46"/>
      <c r="N907" s="42"/>
      <c r="O907" s="42"/>
      <c r="P907" s="16"/>
      <c r="Q907" s="16"/>
    </row>
    <row r="908">
      <c r="A908" s="16"/>
      <c r="B908" s="16"/>
      <c r="C908" s="16"/>
      <c r="D908" s="16"/>
      <c r="E908" s="16"/>
      <c r="F908" s="16"/>
      <c r="G908" s="42"/>
      <c r="H908" s="16"/>
      <c r="I908" s="42"/>
      <c r="J908" s="44"/>
      <c r="K908" s="44"/>
      <c r="L908" s="44"/>
      <c r="M908" s="46"/>
      <c r="N908" s="42"/>
      <c r="O908" s="42"/>
      <c r="P908" s="16"/>
      <c r="Q908" s="16"/>
    </row>
    <row r="909">
      <c r="A909" s="16"/>
      <c r="B909" s="16"/>
      <c r="C909" s="16"/>
      <c r="D909" s="16"/>
      <c r="E909" s="16"/>
      <c r="F909" s="16"/>
      <c r="G909" s="42"/>
      <c r="H909" s="16"/>
      <c r="I909" s="42"/>
      <c r="J909" s="44"/>
      <c r="K909" s="44"/>
      <c r="L909" s="44"/>
      <c r="M909" s="46"/>
      <c r="N909" s="42"/>
      <c r="O909" s="42"/>
      <c r="P909" s="16"/>
      <c r="Q909" s="16"/>
    </row>
    <row r="910">
      <c r="A910" s="16"/>
      <c r="B910" s="16"/>
      <c r="C910" s="16"/>
      <c r="D910" s="16"/>
      <c r="E910" s="16"/>
      <c r="F910" s="16"/>
      <c r="G910" s="42"/>
      <c r="H910" s="16"/>
      <c r="I910" s="42"/>
      <c r="J910" s="44"/>
      <c r="K910" s="44"/>
      <c r="L910" s="44"/>
      <c r="M910" s="46"/>
      <c r="N910" s="42"/>
      <c r="O910" s="42"/>
      <c r="P910" s="16"/>
      <c r="Q910" s="16"/>
    </row>
    <row r="911">
      <c r="A911" s="16"/>
      <c r="B911" s="16"/>
      <c r="C911" s="16"/>
      <c r="D911" s="16"/>
      <c r="E911" s="16"/>
      <c r="F911" s="16"/>
      <c r="G911" s="42"/>
      <c r="H911" s="16"/>
      <c r="I911" s="42"/>
      <c r="J911" s="44"/>
      <c r="K911" s="44"/>
      <c r="L911" s="44"/>
      <c r="M911" s="46"/>
      <c r="N911" s="42"/>
      <c r="O911" s="42"/>
      <c r="P911" s="16"/>
      <c r="Q911" s="16"/>
    </row>
    <row r="912">
      <c r="A912" s="16"/>
      <c r="B912" s="16"/>
      <c r="C912" s="16"/>
      <c r="D912" s="16"/>
      <c r="E912" s="16"/>
      <c r="F912" s="16"/>
      <c r="G912" s="42"/>
      <c r="H912" s="16"/>
      <c r="I912" s="42"/>
      <c r="J912" s="44"/>
      <c r="K912" s="44"/>
      <c r="L912" s="44"/>
      <c r="M912" s="46"/>
      <c r="N912" s="42"/>
      <c r="O912" s="42"/>
      <c r="P912" s="16"/>
      <c r="Q912" s="16"/>
    </row>
    <row r="913">
      <c r="A913" s="16"/>
      <c r="B913" s="16"/>
      <c r="C913" s="16"/>
      <c r="D913" s="16"/>
      <c r="E913" s="16"/>
      <c r="F913" s="16"/>
      <c r="G913" s="42"/>
      <c r="H913" s="16"/>
      <c r="I913" s="42"/>
      <c r="J913" s="44"/>
      <c r="K913" s="44"/>
      <c r="L913" s="44"/>
      <c r="M913" s="46"/>
      <c r="N913" s="42"/>
      <c r="O913" s="42"/>
      <c r="P913" s="16"/>
      <c r="Q913" s="16"/>
    </row>
    <row r="914">
      <c r="A914" s="16"/>
      <c r="B914" s="16"/>
      <c r="C914" s="16"/>
      <c r="D914" s="16"/>
      <c r="E914" s="16"/>
      <c r="F914" s="16"/>
      <c r="G914" s="42"/>
      <c r="H914" s="16"/>
      <c r="I914" s="42"/>
      <c r="J914" s="44"/>
      <c r="K914" s="44"/>
      <c r="L914" s="44"/>
      <c r="M914" s="46"/>
      <c r="N914" s="42"/>
      <c r="O914" s="42"/>
      <c r="P914" s="16"/>
      <c r="Q914" s="16"/>
    </row>
    <row r="915">
      <c r="A915" s="16"/>
      <c r="B915" s="16"/>
      <c r="C915" s="16"/>
      <c r="D915" s="16"/>
      <c r="E915" s="16"/>
      <c r="F915" s="16"/>
      <c r="G915" s="42"/>
      <c r="H915" s="16"/>
      <c r="I915" s="42"/>
      <c r="J915" s="44"/>
      <c r="K915" s="44"/>
      <c r="L915" s="44"/>
      <c r="M915" s="46"/>
      <c r="N915" s="42"/>
      <c r="O915" s="42"/>
      <c r="P915" s="16"/>
      <c r="Q915" s="16"/>
    </row>
    <row r="916">
      <c r="A916" s="16"/>
      <c r="B916" s="16"/>
      <c r="C916" s="16"/>
      <c r="D916" s="16"/>
      <c r="E916" s="16"/>
      <c r="F916" s="16"/>
      <c r="G916" s="42"/>
      <c r="H916" s="16"/>
      <c r="I916" s="42"/>
      <c r="J916" s="44"/>
      <c r="K916" s="44"/>
      <c r="L916" s="44"/>
      <c r="M916" s="46"/>
      <c r="N916" s="42"/>
      <c r="O916" s="42"/>
      <c r="P916" s="16"/>
      <c r="Q916" s="16"/>
    </row>
    <row r="917">
      <c r="A917" s="16"/>
      <c r="B917" s="16"/>
      <c r="C917" s="16"/>
      <c r="D917" s="16"/>
      <c r="E917" s="16"/>
      <c r="F917" s="16"/>
      <c r="G917" s="42"/>
      <c r="H917" s="16"/>
      <c r="I917" s="42"/>
      <c r="J917" s="44"/>
      <c r="K917" s="44"/>
      <c r="L917" s="44"/>
      <c r="M917" s="46"/>
      <c r="N917" s="42"/>
      <c r="O917" s="42"/>
      <c r="P917" s="16"/>
      <c r="Q917" s="16"/>
    </row>
    <row r="918">
      <c r="A918" s="16"/>
      <c r="B918" s="16"/>
      <c r="C918" s="16"/>
      <c r="D918" s="16"/>
      <c r="E918" s="16"/>
      <c r="F918" s="16"/>
      <c r="G918" s="42"/>
      <c r="H918" s="16"/>
      <c r="I918" s="42"/>
      <c r="J918" s="44"/>
      <c r="K918" s="44"/>
      <c r="L918" s="44"/>
      <c r="M918" s="46"/>
      <c r="N918" s="42"/>
      <c r="O918" s="42"/>
      <c r="P918" s="16"/>
      <c r="Q918" s="16"/>
    </row>
    <row r="919">
      <c r="A919" s="16"/>
      <c r="B919" s="16"/>
      <c r="C919" s="16"/>
      <c r="D919" s="16"/>
      <c r="E919" s="16"/>
      <c r="F919" s="16"/>
      <c r="G919" s="42"/>
      <c r="H919" s="16"/>
      <c r="I919" s="42"/>
      <c r="J919" s="44"/>
      <c r="K919" s="44"/>
      <c r="L919" s="44"/>
      <c r="M919" s="46"/>
      <c r="N919" s="42"/>
      <c r="O919" s="42"/>
      <c r="P919" s="16"/>
      <c r="Q919" s="16"/>
    </row>
    <row r="920">
      <c r="A920" s="16"/>
      <c r="B920" s="16"/>
      <c r="C920" s="16"/>
      <c r="D920" s="16"/>
      <c r="E920" s="16"/>
      <c r="F920" s="16"/>
      <c r="G920" s="42"/>
      <c r="H920" s="16"/>
      <c r="I920" s="42"/>
      <c r="J920" s="44"/>
      <c r="K920" s="44"/>
      <c r="L920" s="44"/>
      <c r="M920" s="46"/>
      <c r="N920" s="42"/>
      <c r="O920" s="42"/>
      <c r="P920" s="16"/>
      <c r="Q920" s="16"/>
    </row>
    <row r="921">
      <c r="A921" s="16"/>
      <c r="B921" s="16"/>
      <c r="C921" s="16"/>
      <c r="D921" s="16"/>
      <c r="E921" s="16"/>
      <c r="F921" s="16"/>
      <c r="G921" s="42"/>
      <c r="H921" s="16"/>
      <c r="I921" s="42"/>
      <c r="J921" s="44"/>
      <c r="K921" s="44"/>
      <c r="L921" s="44"/>
      <c r="M921" s="46"/>
      <c r="N921" s="42"/>
      <c r="O921" s="42"/>
      <c r="P921" s="16"/>
      <c r="Q921" s="16"/>
    </row>
    <row r="922">
      <c r="A922" s="16"/>
      <c r="B922" s="16"/>
      <c r="C922" s="16"/>
      <c r="D922" s="16"/>
      <c r="E922" s="16"/>
      <c r="F922" s="16"/>
      <c r="G922" s="42"/>
      <c r="H922" s="16"/>
      <c r="I922" s="42"/>
      <c r="J922" s="44"/>
      <c r="K922" s="44"/>
      <c r="L922" s="44"/>
      <c r="M922" s="46"/>
      <c r="N922" s="42"/>
      <c r="O922" s="42"/>
      <c r="P922" s="16"/>
      <c r="Q922" s="16"/>
    </row>
    <row r="923">
      <c r="A923" s="16"/>
      <c r="B923" s="16"/>
      <c r="C923" s="16"/>
      <c r="D923" s="16"/>
      <c r="E923" s="16"/>
      <c r="F923" s="16"/>
      <c r="G923" s="42"/>
      <c r="H923" s="16"/>
      <c r="I923" s="42"/>
      <c r="J923" s="44"/>
      <c r="K923" s="44"/>
      <c r="L923" s="44"/>
      <c r="M923" s="46"/>
      <c r="N923" s="42"/>
      <c r="O923" s="42"/>
      <c r="P923" s="16"/>
      <c r="Q923" s="16"/>
    </row>
    <row r="924">
      <c r="A924" s="16"/>
      <c r="B924" s="16"/>
      <c r="C924" s="16"/>
      <c r="D924" s="16"/>
      <c r="E924" s="16"/>
      <c r="F924" s="16"/>
      <c r="G924" s="42"/>
      <c r="H924" s="16"/>
      <c r="I924" s="42"/>
      <c r="J924" s="44"/>
      <c r="K924" s="44"/>
      <c r="L924" s="44"/>
      <c r="M924" s="46"/>
      <c r="N924" s="42"/>
      <c r="O924" s="42"/>
      <c r="P924" s="16"/>
      <c r="Q924" s="16"/>
    </row>
    <row r="925">
      <c r="A925" s="16"/>
      <c r="B925" s="16"/>
      <c r="C925" s="16"/>
      <c r="D925" s="16"/>
      <c r="E925" s="16"/>
      <c r="F925" s="16"/>
      <c r="G925" s="42"/>
      <c r="H925" s="16"/>
      <c r="I925" s="42"/>
      <c r="J925" s="44"/>
      <c r="K925" s="44"/>
      <c r="L925" s="44"/>
      <c r="M925" s="46"/>
      <c r="N925" s="42"/>
      <c r="O925" s="42"/>
      <c r="P925" s="16"/>
      <c r="Q925" s="16"/>
    </row>
    <row r="926">
      <c r="A926" s="16"/>
      <c r="B926" s="16"/>
      <c r="C926" s="16"/>
      <c r="D926" s="16"/>
      <c r="E926" s="16"/>
      <c r="F926" s="16"/>
      <c r="G926" s="42"/>
      <c r="H926" s="16"/>
      <c r="I926" s="42"/>
      <c r="J926" s="44"/>
      <c r="K926" s="44"/>
      <c r="L926" s="44"/>
      <c r="M926" s="46"/>
      <c r="N926" s="42"/>
      <c r="O926" s="42"/>
      <c r="P926" s="16"/>
      <c r="Q926" s="16"/>
    </row>
    <row r="927">
      <c r="A927" s="16"/>
      <c r="B927" s="16"/>
      <c r="C927" s="16"/>
      <c r="D927" s="16"/>
      <c r="E927" s="16"/>
      <c r="F927" s="16"/>
      <c r="G927" s="42"/>
      <c r="H927" s="16"/>
      <c r="I927" s="42"/>
      <c r="J927" s="44"/>
      <c r="K927" s="44"/>
      <c r="L927" s="44"/>
      <c r="M927" s="46"/>
      <c r="N927" s="42"/>
      <c r="O927" s="42"/>
      <c r="P927" s="16"/>
      <c r="Q927" s="16"/>
    </row>
    <row r="928">
      <c r="A928" s="16"/>
      <c r="B928" s="16"/>
      <c r="C928" s="16"/>
      <c r="D928" s="16"/>
      <c r="E928" s="16"/>
      <c r="F928" s="16"/>
      <c r="G928" s="42"/>
      <c r="H928" s="16"/>
      <c r="I928" s="42"/>
      <c r="J928" s="44"/>
      <c r="K928" s="44"/>
      <c r="L928" s="44"/>
      <c r="M928" s="46"/>
      <c r="N928" s="42"/>
      <c r="O928" s="42"/>
      <c r="P928" s="16"/>
      <c r="Q928" s="16"/>
    </row>
    <row r="929">
      <c r="A929" s="16"/>
      <c r="B929" s="16"/>
      <c r="C929" s="16"/>
      <c r="D929" s="16"/>
      <c r="E929" s="16"/>
      <c r="F929" s="16"/>
      <c r="G929" s="42"/>
      <c r="H929" s="16"/>
      <c r="I929" s="42"/>
      <c r="J929" s="44"/>
      <c r="K929" s="44"/>
      <c r="L929" s="44"/>
      <c r="M929" s="46"/>
      <c r="N929" s="42"/>
      <c r="O929" s="42"/>
      <c r="P929" s="16"/>
      <c r="Q929" s="16"/>
    </row>
    <row r="930">
      <c r="A930" s="16"/>
      <c r="B930" s="16"/>
      <c r="C930" s="16"/>
      <c r="D930" s="16"/>
      <c r="E930" s="16"/>
      <c r="F930" s="16"/>
      <c r="G930" s="42"/>
      <c r="H930" s="16"/>
      <c r="I930" s="42"/>
      <c r="J930" s="44"/>
      <c r="K930" s="44"/>
      <c r="L930" s="44"/>
      <c r="M930" s="46"/>
      <c r="N930" s="42"/>
      <c r="O930" s="42"/>
      <c r="P930" s="16"/>
      <c r="Q930" s="16"/>
    </row>
    <row r="931">
      <c r="A931" s="16"/>
      <c r="B931" s="16"/>
      <c r="C931" s="16"/>
      <c r="D931" s="16"/>
      <c r="E931" s="16"/>
      <c r="F931" s="16"/>
      <c r="G931" s="42"/>
      <c r="H931" s="16"/>
      <c r="I931" s="42"/>
      <c r="J931" s="44"/>
      <c r="K931" s="44"/>
      <c r="L931" s="44"/>
      <c r="M931" s="46"/>
      <c r="N931" s="42"/>
      <c r="O931" s="42"/>
      <c r="P931" s="16"/>
      <c r="Q931" s="16"/>
    </row>
    <row r="932">
      <c r="A932" s="16"/>
      <c r="B932" s="16"/>
      <c r="C932" s="16"/>
      <c r="D932" s="16"/>
      <c r="E932" s="16"/>
      <c r="F932" s="16"/>
      <c r="G932" s="42"/>
      <c r="H932" s="16"/>
      <c r="I932" s="42"/>
      <c r="J932" s="44"/>
      <c r="K932" s="44"/>
      <c r="L932" s="44"/>
      <c r="M932" s="46"/>
      <c r="N932" s="42"/>
      <c r="O932" s="42"/>
      <c r="P932" s="16"/>
      <c r="Q932" s="16"/>
    </row>
    <row r="933">
      <c r="A933" s="16"/>
      <c r="B933" s="16"/>
      <c r="C933" s="16"/>
      <c r="D933" s="16"/>
      <c r="E933" s="16"/>
      <c r="F933" s="16"/>
      <c r="G933" s="42"/>
      <c r="H933" s="16"/>
      <c r="I933" s="42"/>
      <c r="J933" s="44"/>
      <c r="K933" s="44"/>
      <c r="L933" s="44"/>
      <c r="M933" s="46"/>
      <c r="N933" s="42"/>
      <c r="O933" s="42"/>
      <c r="P933" s="16"/>
      <c r="Q933" s="16"/>
    </row>
    <row r="934">
      <c r="A934" s="16"/>
      <c r="B934" s="16"/>
      <c r="C934" s="16"/>
      <c r="D934" s="16"/>
      <c r="E934" s="16"/>
      <c r="F934" s="16"/>
      <c r="G934" s="42"/>
      <c r="H934" s="16"/>
      <c r="I934" s="42"/>
      <c r="J934" s="44"/>
      <c r="K934" s="44"/>
      <c r="L934" s="44"/>
      <c r="M934" s="46"/>
      <c r="N934" s="42"/>
      <c r="O934" s="42"/>
      <c r="P934" s="16"/>
      <c r="Q934" s="16"/>
    </row>
    <row r="935">
      <c r="A935" s="16"/>
      <c r="B935" s="16"/>
      <c r="C935" s="16"/>
      <c r="D935" s="16"/>
      <c r="E935" s="16"/>
      <c r="F935" s="16"/>
      <c r="G935" s="42"/>
      <c r="H935" s="16"/>
      <c r="I935" s="42"/>
      <c r="J935" s="44"/>
      <c r="K935" s="44"/>
      <c r="L935" s="44"/>
      <c r="M935" s="46"/>
      <c r="N935" s="42"/>
      <c r="O935" s="42"/>
      <c r="P935" s="16"/>
      <c r="Q935" s="16"/>
    </row>
    <row r="936">
      <c r="A936" s="16"/>
      <c r="B936" s="16"/>
      <c r="C936" s="16"/>
      <c r="D936" s="16"/>
      <c r="E936" s="16"/>
      <c r="F936" s="16"/>
      <c r="G936" s="42"/>
      <c r="H936" s="16"/>
      <c r="I936" s="42"/>
      <c r="J936" s="44"/>
      <c r="K936" s="44"/>
      <c r="L936" s="44"/>
      <c r="M936" s="46"/>
      <c r="N936" s="42"/>
      <c r="O936" s="42"/>
      <c r="P936" s="16"/>
      <c r="Q936" s="16"/>
    </row>
    <row r="937">
      <c r="A937" s="16"/>
      <c r="B937" s="16"/>
      <c r="C937" s="16"/>
      <c r="D937" s="16"/>
      <c r="E937" s="16"/>
      <c r="F937" s="16"/>
      <c r="G937" s="42"/>
      <c r="H937" s="16"/>
      <c r="I937" s="42"/>
      <c r="J937" s="44"/>
      <c r="K937" s="44"/>
      <c r="L937" s="44"/>
      <c r="M937" s="46"/>
      <c r="N937" s="42"/>
      <c r="O937" s="42"/>
      <c r="P937" s="16"/>
      <c r="Q937" s="16"/>
    </row>
    <row r="938">
      <c r="A938" s="16"/>
      <c r="B938" s="16"/>
      <c r="C938" s="16"/>
      <c r="D938" s="16"/>
      <c r="E938" s="16"/>
      <c r="F938" s="16"/>
      <c r="G938" s="42"/>
      <c r="H938" s="16"/>
      <c r="I938" s="42"/>
      <c r="J938" s="44"/>
      <c r="K938" s="44"/>
      <c r="L938" s="44"/>
      <c r="M938" s="46"/>
      <c r="N938" s="42"/>
      <c r="O938" s="42"/>
      <c r="P938" s="16"/>
      <c r="Q938" s="16"/>
    </row>
    <row r="939">
      <c r="A939" s="16"/>
      <c r="B939" s="16"/>
      <c r="C939" s="16"/>
      <c r="D939" s="16"/>
      <c r="E939" s="16"/>
      <c r="F939" s="16"/>
      <c r="G939" s="42"/>
      <c r="H939" s="16"/>
      <c r="I939" s="42"/>
      <c r="J939" s="44"/>
      <c r="K939" s="44"/>
      <c r="L939" s="44"/>
      <c r="M939" s="46"/>
      <c r="N939" s="42"/>
      <c r="O939" s="42"/>
      <c r="P939" s="16"/>
      <c r="Q939" s="16"/>
    </row>
    <row r="940">
      <c r="A940" s="16"/>
      <c r="B940" s="16"/>
      <c r="C940" s="16"/>
      <c r="D940" s="16"/>
      <c r="E940" s="16"/>
      <c r="F940" s="16"/>
      <c r="G940" s="42"/>
      <c r="H940" s="16"/>
      <c r="I940" s="42"/>
      <c r="J940" s="44"/>
      <c r="K940" s="44"/>
      <c r="L940" s="44"/>
      <c r="M940" s="46"/>
      <c r="N940" s="42"/>
      <c r="O940" s="42"/>
      <c r="P940" s="16"/>
      <c r="Q940" s="16"/>
    </row>
    <row r="941">
      <c r="A941" s="16"/>
      <c r="B941" s="16"/>
      <c r="C941" s="16"/>
      <c r="D941" s="16"/>
      <c r="E941" s="16"/>
      <c r="F941" s="16"/>
      <c r="G941" s="42"/>
      <c r="H941" s="16"/>
      <c r="I941" s="42"/>
      <c r="J941" s="44"/>
      <c r="K941" s="44"/>
      <c r="L941" s="44"/>
      <c r="M941" s="46"/>
      <c r="N941" s="42"/>
      <c r="O941" s="42"/>
      <c r="P941" s="16"/>
      <c r="Q941" s="16"/>
    </row>
    <row r="942">
      <c r="A942" s="16"/>
      <c r="B942" s="16"/>
      <c r="C942" s="16"/>
      <c r="D942" s="16"/>
      <c r="E942" s="16"/>
      <c r="F942" s="16"/>
      <c r="G942" s="42"/>
      <c r="H942" s="16"/>
      <c r="I942" s="42"/>
      <c r="J942" s="44"/>
      <c r="K942" s="44"/>
      <c r="L942" s="44"/>
      <c r="M942" s="46"/>
      <c r="N942" s="42"/>
      <c r="O942" s="42"/>
      <c r="P942" s="16"/>
      <c r="Q942" s="16"/>
    </row>
    <row r="943">
      <c r="A943" s="16"/>
      <c r="B943" s="16"/>
      <c r="C943" s="16"/>
      <c r="D943" s="16"/>
      <c r="E943" s="16"/>
      <c r="F943" s="16"/>
      <c r="G943" s="42"/>
      <c r="H943" s="16"/>
      <c r="I943" s="42"/>
      <c r="J943" s="44"/>
      <c r="K943" s="44"/>
      <c r="L943" s="44"/>
      <c r="M943" s="46"/>
      <c r="N943" s="42"/>
      <c r="O943" s="42"/>
      <c r="P943" s="16"/>
      <c r="Q943" s="16"/>
    </row>
    <row r="944">
      <c r="A944" s="16"/>
      <c r="B944" s="16"/>
      <c r="C944" s="16"/>
      <c r="D944" s="16"/>
      <c r="E944" s="16"/>
      <c r="F944" s="16"/>
      <c r="G944" s="42"/>
      <c r="H944" s="16"/>
      <c r="I944" s="42"/>
      <c r="J944" s="44"/>
      <c r="K944" s="44"/>
      <c r="L944" s="44"/>
      <c r="M944" s="46"/>
      <c r="N944" s="42"/>
      <c r="O944" s="42"/>
      <c r="P944" s="16"/>
      <c r="Q944" s="16"/>
    </row>
    <row r="945">
      <c r="A945" s="16"/>
      <c r="B945" s="16"/>
      <c r="C945" s="16"/>
      <c r="D945" s="16"/>
      <c r="E945" s="16"/>
      <c r="F945" s="16"/>
      <c r="G945" s="42"/>
      <c r="H945" s="16"/>
      <c r="I945" s="42"/>
      <c r="J945" s="44"/>
      <c r="K945" s="44"/>
      <c r="L945" s="44"/>
      <c r="M945" s="46"/>
      <c r="N945" s="42"/>
      <c r="O945" s="42"/>
      <c r="P945" s="16"/>
      <c r="Q945" s="16"/>
    </row>
    <row r="946">
      <c r="A946" s="16"/>
      <c r="B946" s="16"/>
      <c r="C946" s="16"/>
      <c r="D946" s="16"/>
      <c r="E946" s="16"/>
      <c r="F946" s="16"/>
      <c r="G946" s="42"/>
      <c r="H946" s="16"/>
      <c r="I946" s="42"/>
      <c r="J946" s="44"/>
      <c r="K946" s="44"/>
      <c r="L946" s="44"/>
      <c r="M946" s="46"/>
      <c r="N946" s="42"/>
      <c r="O946" s="42"/>
      <c r="P946" s="16"/>
      <c r="Q946" s="16"/>
    </row>
    <row r="947">
      <c r="A947" s="16"/>
      <c r="B947" s="16"/>
      <c r="C947" s="16"/>
      <c r="D947" s="16"/>
      <c r="E947" s="16"/>
      <c r="F947" s="16"/>
      <c r="G947" s="42"/>
      <c r="H947" s="16"/>
      <c r="I947" s="42"/>
      <c r="J947" s="44"/>
      <c r="K947" s="44"/>
      <c r="L947" s="44"/>
      <c r="M947" s="46"/>
      <c r="N947" s="42"/>
      <c r="O947" s="42"/>
      <c r="P947" s="16"/>
      <c r="Q947" s="16"/>
    </row>
    <row r="948">
      <c r="A948" s="16"/>
      <c r="B948" s="16"/>
      <c r="C948" s="16"/>
      <c r="D948" s="16"/>
      <c r="E948" s="16"/>
      <c r="F948" s="16"/>
      <c r="G948" s="42"/>
      <c r="H948" s="16"/>
      <c r="I948" s="42"/>
      <c r="J948" s="44"/>
      <c r="K948" s="44"/>
      <c r="L948" s="44"/>
      <c r="M948" s="46"/>
      <c r="N948" s="42"/>
      <c r="O948" s="42"/>
      <c r="P948" s="16"/>
      <c r="Q948" s="16"/>
    </row>
    <row r="949">
      <c r="A949" s="16"/>
      <c r="B949" s="16"/>
      <c r="C949" s="16"/>
      <c r="D949" s="16"/>
      <c r="E949" s="16"/>
      <c r="F949" s="16"/>
      <c r="G949" s="42"/>
      <c r="H949" s="16"/>
      <c r="I949" s="42"/>
      <c r="J949" s="44"/>
      <c r="K949" s="44"/>
      <c r="L949" s="44"/>
      <c r="M949" s="46"/>
      <c r="N949" s="42"/>
      <c r="O949" s="42"/>
      <c r="P949" s="16"/>
      <c r="Q949" s="16"/>
    </row>
    <row r="950">
      <c r="A950" s="16"/>
      <c r="B950" s="16"/>
      <c r="C950" s="16"/>
      <c r="D950" s="16"/>
      <c r="E950" s="16"/>
      <c r="F950" s="16"/>
      <c r="G950" s="42"/>
      <c r="H950" s="16"/>
      <c r="I950" s="42"/>
      <c r="J950" s="44"/>
      <c r="K950" s="44"/>
      <c r="L950" s="44"/>
      <c r="M950" s="46"/>
      <c r="N950" s="42"/>
      <c r="O950" s="42"/>
      <c r="P950" s="16"/>
      <c r="Q950" s="16"/>
    </row>
    <row r="951">
      <c r="A951" s="16"/>
      <c r="B951" s="16"/>
      <c r="C951" s="16"/>
      <c r="D951" s="16"/>
      <c r="E951" s="16"/>
      <c r="F951" s="16"/>
      <c r="G951" s="42"/>
      <c r="H951" s="16"/>
      <c r="I951" s="42"/>
      <c r="J951" s="44"/>
      <c r="K951" s="44"/>
      <c r="L951" s="44"/>
      <c r="M951" s="46"/>
      <c r="N951" s="42"/>
      <c r="O951" s="42"/>
      <c r="P951" s="16"/>
      <c r="Q951" s="16"/>
    </row>
    <row r="952">
      <c r="A952" s="16"/>
      <c r="B952" s="16"/>
      <c r="C952" s="16"/>
      <c r="D952" s="16"/>
      <c r="E952" s="16"/>
      <c r="F952" s="16"/>
      <c r="G952" s="42"/>
      <c r="H952" s="16"/>
      <c r="I952" s="42"/>
      <c r="J952" s="44"/>
      <c r="K952" s="44"/>
      <c r="L952" s="44"/>
      <c r="M952" s="46"/>
      <c r="N952" s="42"/>
      <c r="O952" s="42"/>
      <c r="P952" s="16"/>
      <c r="Q952" s="16"/>
    </row>
    <row r="953">
      <c r="A953" s="16"/>
      <c r="B953" s="16"/>
      <c r="C953" s="16"/>
      <c r="D953" s="16"/>
      <c r="E953" s="16"/>
      <c r="F953" s="16"/>
      <c r="G953" s="42"/>
      <c r="H953" s="16"/>
      <c r="I953" s="42"/>
      <c r="J953" s="44"/>
      <c r="K953" s="44"/>
      <c r="L953" s="44"/>
      <c r="M953" s="46"/>
      <c r="N953" s="42"/>
      <c r="O953" s="42"/>
      <c r="P953" s="16"/>
      <c r="Q953" s="16"/>
    </row>
    <row r="954">
      <c r="A954" s="16"/>
      <c r="B954" s="16"/>
      <c r="C954" s="16"/>
      <c r="D954" s="16"/>
      <c r="E954" s="16"/>
      <c r="F954" s="16"/>
      <c r="G954" s="42"/>
      <c r="H954" s="16"/>
      <c r="I954" s="42"/>
      <c r="J954" s="44"/>
      <c r="K954" s="44"/>
      <c r="L954" s="44"/>
      <c r="M954" s="46"/>
      <c r="N954" s="42"/>
      <c r="O954" s="42"/>
      <c r="P954" s="16"/>
      <c r="Q954" s="16"/>
    </row>
    <row r="955">
      <c r="A955" s="16"/>
      <c r="B955" s="16"/>
      <c r="C955" s="16"/>
      <c r="D955" s="16"/>
      <c r="E955" s="16"/>
      <c r="F955" s="16"/>
      <c r="G955" s="42"/>
      <c r="H955" s="16"/>
      <c r="I955" s="42"/>
      <c r="J955" s="44"/>
      <c r="K955" s="44"/>
      <c r="L955" s="44"/>
      <c r="M955" s="46"/>
      <c r="N955" s="42"/>
      <c r="O955" s="42"/>
      <c r="P955" s="16"/>
      <c r="Q955" s="16"/>
    </row>
    <row r="956">
      <c r="A956" s="16"/>
      <c r="B956" s="16"/>
      <c r="C956" s="16"/>
      <c r="D956" s="16"/>
      <c r="E956" s="16"/>
      <c r="F956" s="16"/>
      <c r="G956" s="42"/>
      <c r="H956" s="16"/>
      <c r="I956" s="42"/>
      <c r="J956" s="44"/>
      <c r="K956" s="44"/>
      <c r="L956" s="44"/>
      <c r="M956" s="46"/>
      <c r="N956" s="42"/>
      <c r="O956" s="42"/>
      <c r="P956" s="16"/>
      <c r="Q956" s="16"/>
    </row>
    <row r="957">
      <c r="A957" s="16"/>
      <c r="B957" s="16"/>
      <c r="C957" s="16"/>
      <c r="D957" s="16"/>
      <c r="E957" s="16"/>
      <c r="F957" s="16"/>
      <c r="G957" s="42"/>
      <c r="H957" s="16"/>
      <c r="I957" s="42"/>
      <c r="J957" s="44"/>
      <c r="K957" s="44"/>
      <c r="L957" s="44"/>
      <c r="M957" s="46"/>
      <c r="N957" s="42"/>
      <c r="O957" s="42"/>
      <c r="P957" s="16"/>
      <c r="Q957" s="16"/>
    </row>
    <row r="958">
      <c r="A958" s="16"/>
      <c r="B958" s="16"/>
      <c r="C958" s="16"/>
      <c r="D958" s="16"/>
      <c r="E958" s="16"/>
      <c r="F958" s="16"/>
      <c r="G958" s="42"/>
      <c r="H958" s="16"/>
      <c r="I958" s="42"/>
      <c r="J958" s="44"/>
      <c r="K958" s="44"/>
      <c r="L958" s="44"/>
      <c r="M958" s="46"/>
      <c r="N958" s="42"/>
      <c r="O958" s="42"/>
      <c r="P958" s="16"/>
      <c r="Q958" s="16"/>
    </row>
    <row r="959">
      <c r="A959" s="16"/>
      <c r="B959" s="16"/>
      <c r="C959" s="16"/>
      <c r="D959" s="16"/>
      <c r="E959" s="16"/>
      <c r="F959" s="16"/>
      <c r="G959" s="42"/>
      <c r="H959" s="16"/>
      <c r="I959" s="42"/>
      <c r="J959" s="44"/>
      <c r="K959" s="44"/>
      <c r="L959" s="44"/>
      <c r="M959" s="46"/>
      <c r="N959" s="42"/>
      <c r="O959" s="42"/>
      <c r="P959" s="16"/>
      <c r="Q959" s="16"/>
    </row>
    <row r="960">
      <c r="A960" s="16"/>
      <c r="B960" s="16"/>
      <c r="C960" s="16"/>
      <c r="D960" s="16"/>
      <c r="E960" s="16"/>
      <c r="F960" s="16"/>
      <c r="G960" s="42"/>
      <c r="H960" s="16"/>
      <c r="I960" s="42"/>
      <c r="J960" s="44"/>
      <c r="K960" s="44"/>
      <c r="L960" s="44"/>
      <c r="M960" s="46"/>
      <c r="N960" s="42"/>
      <c r="O960" s="42"/>
      <c r="P960" s="16"/>
      <c r="Q960" s="16"/>
    </row>
    <row r="961">
      <c r="A961" s="16"/>
      <c r="B961" s="16"/>
      <c r="C961" s="16"/>
      <c r="D961" s="16"/>
      <c r="E961" s="16"/>
      <c r="F961" s="16"/>
      <c r="G961" s="42"/>
      <c r="H961" s="16"/>
      <c r="I961" s="42"/>
      <c r="J961" s="44"/>
      <c r="K961" s="44"/>
      <c r="L961" s="44"/>
      <c r="M961" s="46"/>
      <c r="N961" s="42"/>
      <c r="O961" s="42"/>
      <c r="P961" s="16"/>
      <c r="Q961" s="16"/>
    </row>
    <row r="962">
      <c r="A962" s="16"/>
      <c r="B962" s="16"/>
      <c r="C962" s="16"/>
      <c r="D962" s="16"/>
      <c r="E962" s="16"/>
      <c r="F962" s="16"/>
      <c r="G962" s="42"/>
      <c r="H962" s="16"/>
      <c r="I962" s="42"/>
      <c r="J962" s="44"/>
      <c r="K962" s="44"/>
      <c r="L962" s="44"/>
      <c r="M962" s="46"/>
      <c r="N962" s="42"/>
      <c r="O962" s="42"/>
      <c r="P962" s="16"/>
      <c r="Q962" s="16"/>
    </row>
    <row r="963">
      <c r="A963" s="16"/>
      <c r="B963" s="16"/>
      <c r="C963" s="16"/>
      <c r="D963" s="16"/>
      <c r="E963" s="16"/>
      <c r="F963" s="16"/>
      <c r="G963" s="42"/>
      <c r="H963" s="16"/>
      <c r="I963" s="42"/>
      <c r="J963" s="44"/>
      <c r="K963" s="44"/>
      <c r="L963" s="44"/>
      <c r="M963" s="46"/>
      <c r="N963" s="42"/>
      <c r="O963" s="42"/>
      <c r="P963" s="16"/>
      <c r="Q963" s="16"/>
    </row>
    <row r="964">
      <c r="A964" s="16"/>
      <c r="B964" s="16"/>
      <c r="C964" s="16"/>
      <c r="D964" s="16"/>
      <c r="E964" s="16"/>
      <c r="F964" s="16"/>
      <c r="G964" s="42"/>
      <c r="H964" s="16"/>
      <c r="I964" s="42"/>
      <c r="J964" s="44"/>
      <c r="K964" s="44"/>
      <c r="L964" s="44"/>
      <c r="M964" s="46"/>
      <c r="N964" s="42"/>
      <c r="O964" s="42"/>
      <c r="P964" s="16"/>
      <c r="Q964" s="16"/>
    </row>
    <row r="965">
      <c r="A965" s="16"/>
      <c r="B965" s="16"/>
      <c r="C965" s="16"/>
      <c r="D965" s="16"/>
      <c r="E965" s="16"/>
      <c r="F965" s="16"/>
      <c r="G965" s="42"/>
      <c r="H965" s="16"/>
      <c r="I965" s="42"/>
      <c r="J965" s="44"/>
      <c r="K965" s="44"/>
      <c r="L965" s="44"/>
      <c r="M965" s="46"/>
      <c r="N965" s="42"/>
      <c r="O965" s="42"/>
      <c r="P965" s="16"/>
      <c r="Q965" s="16"/>
    </row>
    <row r="966">
      <c r="A966" s="16"/>
      <c r="B966" s="16"/>
      <c r="C966" s="16"/>
      <c r="D966" s="16"/>
      <c r="E966" s="16"/>
      <c r="F966" s="16"/>
      <c r="G966" s="42"/>
      <c r="H966" s="16"/>
      <c r="I966" s="42"/>
      <c r="J966" s="44"/>
      <c r="K966" s="44"/>
      <c r="L966" s="44"/>
      <c r="M966" s="46"/>
      <c r="N966" s="42"/>
      <c r="O966" s="42"/>
      <c r="P966" s="16"/>
      <c r="Q966" s="16"/>
    </row>
    <row r="967">
      <c r="A967" s="16"/>
      <c r="B967" s="16"/>
      <c r="C967" s="16"/>
      <c r="D967" s="16"/>
      <c r="E967" s="16"/>
      <c r="F967" s="16"/>
      <c r="G967" s="42"/>
      <c r="H967" s="16"/>
      <c r="I967" s="42"/>
      <c r="J967" s="44"/>
      <c r="K967" s="44"/>
      <c r="L967" s="44"/>
      <c r="M967" s="46"/>
      <c r="N967" s="42"/>
      <c r="O967" s="42"/>
      <c r="P967" s="16"/>
      <c r="Q967" s="16"/>
    </row>
    <row r="968">
      <c r="A968" s="16"/>
      <c r="B968" s="16"/>
      <c r="C968" s="16"/>
      <c r="D968" s="16"/>
      <c r="E968" s="16"/>
      <c r="F968" s="16"/>
      <c r="G968" s="42"/>
      <c r="H968" s="16"/>
      <c r="I968" s="42"/>
      <c r="J968" s="44"/>
      <c r="K968" s="44"/>
      <c r="L968" s="44"/>
      <c r="M968" s="46"/>
      <c r="N968" s="42"/>
      <c r="O968" s="42"/>
      <c r="P968" s="16"/>
      <c r="Q968" s="16"/>
    </row>
    <row r="969">
      <c r="A969" s="16"/>
      <c r="B969" s="16"/>
      <c r="C969" s="16"/>
      <c r="D969" s="16"/>
      <c r="E969" s="16"/>
      <c r="F969" s="16"/>
      <c r="G969" s="42"/>
      <c r="H969" s="16"/>
      <c r="I969" s="42"/>
      <c r="J969" s="44"/>
      <c r="K969" s="44"/>
      <c r="L969" s="44"/>
      <c r="M969" s="46"/>
      <c r="N969" s="42"/>
      <c r="O969" s="42"/>
      <c r="P969" s="16"/>
      <c r="Q969" s="16"/>
    </row>
    <row r="970">
      <c r="A970" s="16"/>
      <c r="B970" s="16"/>
      <c r="C970" s="16"/>
      <c r="D970" s="16"/>
      <c r="E970" s="16"/>
      <c r="F970" s="16"/>
      <c r="G970" s="42"/>
      <c r="H970" s="16"/>
      <c r="I970" s="42"/>
      <c r="J970" s="44"/>
      <c r="K970" s="44"/>
      <c r="L970" s="44"/>
      <c r="M970" s="46"/>
      <c r="N970" s="42"/>
      <c r="O970" s="42"/>
      <c r="P970" s="16"/>
      <c r="Q970" s="16"/>
    </row>
    <row r="971">
      <c r="A971" s="16"/>
      <c r="B971" s="16"/>
      <c r="C971" s="16"/>
      <c r="D971" s="16"/>
      <c r="E971" s="16"/>
      <c r="F971" s="16"/>
      <c r="G971" s="42"/>
      <c r="H971" s="16"/>
      <c r="I971" s="42"/>
      <c r="J971" s="44"/>
      <c r="K971" s="44"/>
      <c r="L971" s="44"/>
      <c r="M971" s="46"/>
      <c r="N971" s="42"/>
      <c r="O971" s="42"/>
      <c r="P971" s="16"/>
      <c r="Q971" s="16"/>
    </row>
    <row r="972">
      <c r="A972" s="16"/>
      <c r="B972" s="16"/>
      <c r="C972" s="16"/>
      <c r="D972" s="16"/>
      <c r="E972" s="16"/>
      <c r="F972" s="16"/>
      <c r="G972" s="42"/>
      <c r="H972" s="16"/>
      <c r="I972" s="42"/>
      <c r="J972" s="44"/>
      <c r="K972" s="44"/>
      <c r="L972" s="44"/>
      <c r="M972" s="46"/>
      <c r="N972" s="42"/>
      <c r="O972" s="42"/>
      <c r="P972" s="16"/>
      <c r="Q972" s="16"/>
    </row>
    <row r="973">
      <c r="A973" s="16"/>
      <c r="B973" s="16"/>
      <c r="C973" s="16"/>
      <c r="D973" s="16"/>
      <c r="E973" s="16"/>
      <c r="F973" s="16"/>
      <c r="G973" s="42"/>
      <c r="H973" s="16"/>
      <c r="I973" s="42"/>
      <c r="J973" s="44"/>
      <c r="K973" s="44"/>
      <c r="L973" s="44"/>
      <c r="M973" s="46"/>
      <c r="N973" s="42"/>
      <c r="O973" s="42"/>
      <c r="P973" s="16"/>
      <c r="Q973" s="16"/>
    </row>
    <row r="974">
      <c r="A974" s="16"/>
      <c r="B974" s="16"/>
      <c r="C974" s="16"/>
      <c r="D974" s="16"/>
      <c r="E974" s="16"/>
      <c r="F974" s="16"/>
      <c r="G974" s="42"/>
      <c r="H974" s="16"/>
      <c r="I974" s="42"/>
      <c r="J974" s="44"/>
      <c r="K974" s="44"/>
      <c r="L974" s="44"/>
      <c r="M974" s="46"/>
      <c r="N974" s="42"/>
      <c r="O974" s="42"/>
      <c r="P974" s="16"/>
      <c r="Q974" s="16"/>
    </row>
    <row r="975">
      <c r="A975" s="16"/>
      <c r="B975" s="16"/>
      <c r="C975" s="16"/>
      <c r="D975" s="16"/>
      <c r="E975" s="16"/>
      <c r="F975" s="16"/>
      <c r="G975" s="42"/>
      <c r="H975" s="16"/>
      <c r="I975" s="42"/>
      <c r="J975" s="44"/>
      <c r="K975" s="44"/>
      <c r="L975" s="44"/>
      <c r="M975" s="46"/>
      <c r="N975" s="42"/>
      <c r="O975" s="42"/>
      <c r="P975" s="16"/>
      <c r="Q975" s="16"/>
    </row>
    <row r="976">
      <c r="A976" s="16"/>
      <c r="B976" s="16"/>
      <c r="C976" s="16"/>
      <c r="D976" s="16"/>
      <c r="E976" s="16"/>
      <c r="F976" s="16"/>
      <c r="G976" s="42"/>
      <c r="H976" s="16"/>
      <c r="I976" s="42"/>
      <c r="J976" s="44"/>
      <c r="K976" s="44"/>
      <c r="L976" s="44"/>
      <c r="M976" s="46"/>
      <c r="N976" s="42"/>
      <c r="O976" s="42"/>
      <c r="P976" s="16"/>
      <c r="Q976" s="16"/>
    </row>
    <row r="977">
      <c r="A977" s="16"/>
      <c r="B977" s="16"/>
      <c r="C977" s="16"/>
      <c r="D977" s="16"/>
      <c r="E977" s="16"/>
      <c r="F977" s="16"/>
      <c r="G977" s="42"/>
      <c r="H977" s="16"/>
      <c r="I977" s="42"/>
      <c r="J977" s="44"/>
      <c r="K977" s="44"/>
      <c r="L977" s="44"/>
      <c r="M977" s="46"/>
      <c r="N977" s="42"/>
      <c r="O977" s="42"/>
      <c r="P977" s="16"/>
      <c r="Q977" s="16"/>
    </row>
    <row r="978">
      <c r="A978" s="16"/>
      <c r="B978" s="16"/>
      <c r="C978" s="16"/>
      <c r="D978" s="16"/>
      <c r="E978" s="16"/>
      <c r="F978" s="16"/>
      <c r="G978" s="42"/>
      <c r="H978" s="16"/>
      <c r="I978" s="42"/>
      <c r="J978" s="44"/>
      <c r="K978" s="44"/>
      <c r="L978" s="44"/>
      <c r="M978" s="46"/>
      <c r="N978" s="42"/>
      <c r="O978" s="42"/>
      <c r="P978" s="16"/>
      <c r="Q978" s="16"/>
    </row>
    <row r="979">
      <c r="A979" s="16"/>
      <c r="B979" s="16"/>
      <c r="C979" s="16"/>
      <c r="D979" s="16"/>
      <c r="E979" s="16"/>
      <c r="F979" s="16"/>
      <c r="G979" s="42"/>
      <c r="H979" s="16"/>
      <c r="I979" s="42"/>
      <c r="J979" s="44"/>
      <c r="K979" s="44"/>
      <c r="L979" s="44"/>
      <c r="M979" s="46"/>
      <c r="N979" s="42"/>
      <c r="O979" s="42"/>
      <c r="P979" s="16"/>
      <c r="Q979" s="16"/>
    </row>
    <row r="980">
      <c r="A980" s="16"/>
      <c r="B980" s="16"/>
      <c r="C980" s="16"/>
      <c r="D980" s="16"/>
      <c r="E980" s="16"/>
      <c r="F980" s="16"/>
      <c r="G980" s="42"/>
      <c r="H980" s="16"/>
      <c r="I980" s="42"/>
      <c r="J980" s="44"/>
      <c r="K980" s="44"/>
      <c r="L980" s="44"/>
      <c r="M980" s="46"/>
      <c r="N980" s="42"/>
      <c r="O980" s="42"/>
      <c r="P980" s="16"/>
      <c r="Q980" s="16"/>
    </row>
    <row r="981">
      <c r="A981" s="16"/>
      <c r="B981" s="16"/>
      <c r="C981" s="16"/>
      <c r="D981" s="16"/>
      <c r="E981" s="16"/>
      <c r="F981" s="16"/>
      <c r="G981" s="42"/>
      <c r="H981" s="16"/>
      <c r="I981" s="42"/>
      <c r="J981" s="44"/>
      <c r="K981" s="44"/>
      <c r="L981" s="44"/>
      <c r="M981" s="46"/>
      <c r="N981" s="42"/>
      <c r="O981" s="42"/>
      <c r="P981" s="16"/>
      <c r="Q981" s="16"/>
    </row>
    <row r="982">
      <c r="A982" s="16"/>
      <c r="B982" s="16"/>
      <c r="C982" s="16"/>
      <c r="D982" s="16"/>
      <c r="E982" s="16"/>
      <c r="F982" s="16"/>
      <c r="G982" s="42"/>
      <c r="H982" s="16"/>
      <c r="I982" s="42"/>
      <c r="J982" s="44"/>
      <c r="K982" s="44"/>
      <c r="L982" s="44"/>
      <c r="M982" s="46"/>
      <c r="N982" s="42"/>
      <c r="O982" s="42"/>
      <c r="P982" s="16"/>
      <c r="Q982" s="16"/>
    </row>
    <row r="983">
      <c r="A983" s="16"/>
      <c r="B983" s="16"/>
      <c r="C983" s="16"/>
      <c r="D983" s="16"/>
      <c r="E983" s="16"/>
      <c r="F983" s="16"/>
      <c r="G983" s="42"/>
      <c r="H983" s="16"/>
      <c r="I983" s="42"/>
      <c r="J983" s="44"/>
      <c r="K983" s="44"/>
      <c r="L983" s="44"/>
      <c r="M983" s="46"/>
      <c r="N983" s="42"/>
      <c r="O983" s="42"/>
      <c r="P983" s="16"/>
      <c r="Q983" s="16"/>
    </row>
    <row r="984">
      <c r="A984" s="16"/>
      <c r="B984" s="16"/>
      <c r="C984" s="16"/>
      <c r="D984" s="16"/>
      <c r="E984" s="16"/>
      <c r="F984" s="16"/>
      <c r="G984" s="42"/>
      <c r="H984" s="16"/>
      <c r="I984" s="42"/>
      <c r="J984" s="44"/>
      <c r="K984" s="44"/>
      <c r="L984" s="44"/>
      <c r="M984" s="46"/>
      <c r="N984" s="42"/>
      <c r="O984" s="42"/>
      <c r="P984" s="16"/>
      <c r="Q984" s="16"/>
    </row>
    <row r="985">
      <c r="A985" s="16"/>
      <c r="B985" s="16"/>
      <c r="C985" s="16"/>
      <c r="D985" s="16"/>
      <c r="E985" s="16"/>
      <c r="F985" s="16"/>
      <c r="G985" s="42"/>
      <c r="H985" s="16"/>
      <c r="I985" s="42"/>
      <c r="J985" s="44"/>
      <c r="K985" s="44"/>
      <c r="L985" s="44"/>
      <c r="M985" s="46"/>
      <c r="N985" s="42"/>
      <c r="O985" s="42"/>
      <c r="P985" s="16"/>
      <c r="Q985" s="16"/>
    </row>
    <row r="986">
      <c r="A986" s="16"/>
      <c r="B986" s="16"/>
      <c r="C986" s="16"/>
      <c r="D986" s="16"/>
      <c r="E986" s="16"/>
      <c r="F986" s="16"/>
      <c r="G986" s="42"/>
      <c r="H986" s="16"/>
      <c r="I986" s="42"/>
      <c r="J986" s="44"/>
      <c r="K986" s="44"/>
      <c r="L986" s="44"/>
      <c r="M986" s="46"/>
      <c r="N986" s="42"/>
      <c r="O986" s="42"/>
      <c r="P986" s="16"/>
      <c r="Q986" s="16"/>
    </row>
    <row r="987">
      <c r="A987" s="16"/>
      <c r="B987" s="16"/>
      <c r="C987" s="16"/>
      <c r="D987" s="16"/>
      <c r="E987" s="16"/>
      <c r="F987" s="16"/>
      <c r="G987" s="42"/>
      <c r="H987" s="16"/>
      <c r="I987" s="42"/>
      <c r="J987" s="44"/>
      <c r="K987" s="44"/>
      <c r="L987" s="44"/>
      <c r="M987" s="46"/>
      <c r="N987" s="42"/>
      <c r="O987" s="42"/>
      <c r="P987" s="16"/>
      <c r="Q987" s="16"/>
    </row>
    <row r="988">
      <c r="A988" s="16"/>
      <c r="B988" s="16"/>
      <c r="C988" s="16"/>
      <c r="D988" s="16"/>
      <c r="E988" s="16"/>
      <c r="F988" s="16"/>
      <c r="G988" s="42"/>
      <c r="H988" s="16"/>
      <c r="I988" s="42"/>
      <c r="J988" s="44"/>
      <c r="K988" s="44"/>
      <c r="L988" s="44"/>
      <c r="M988" s="46"/>
      <c r="N988" s="42"/>
      <c r="O988" s="42"/>
      <c r="P988" s="16"/>
      <c r="Q988" s="16"/>
    </row>
    <row r="989">
      <c r="A989" s="16"/>
      <c r="B989" s="16"/>
      <c r="C989" s="16"/>
      <c r="D989" s="16"/>
      <c r="E989" s="16"/>
      <c r="F989" s="16"/>
      <c r="G989" s="42"/>
      <c r="H989" s="16"/>
      <c r="I989" s="42"/>
      <c r="J989" s="44"/>
      <c r="K989" s="44"/>
      <c r="L989" s="44"/>
      <c r="M989" s="46"/>
      <c r="N989" s="42"/>
      <c r="O989" s="42"/>
      <c r="P989" s="16"/>
      <c r="Q989" s="16"/>
    </row>
    <row r="990">
      <c r="A990" s="16"/>
      <c r="B990" s="16"/>
      <c r="C990" s="16"/>
      <c r="D990" s="16"/>
      <c r="E990" s="16"/>
      <c r="F990" s="16"/>
      <c r="G990" s="42"/>
      <c r="H990" s="16"/>
      <c r="I990" s="42"/>
      <c r="J990" s="44"/>
      <c r="K990" s="44"/>
      <c r="L990" s="44"/>
      <c r="M990" s="46"/>
      <c r="N990" s="42"/>
      <c r="O990" s="42"/>
      <c r="P990" s="16"/>
      <c r="Q990" s="16"/>
    </row>
    <row r="991">
      <c r="A991" s="16"/>
      <c r="B991" s="16"/>
      <c r="C991" s="16"/>
      <c r="D991" s="16"/>
      <c r="E991" s="16"/>
      <c r="F991" s="16"/>
      <c r="G991" s="42"/>
      <c r="H991" s="16"/>
      <c r="I991" s="42"/>
      <c r="J991" s="44"/>
      <c r="K991" s="44"/>
      <c r="L991" s="44"/>
      <c r="M991" s="46"/>
      <c r="N991" s="42"/>
      <c r="O991" s="42"/>
      <c r="P991" s="16"/>
      <c r="Q991" s="16"/>
    </row>
    <row r="992">
      <c r="A992" s="16"/>
      <c r="B992" s="16"/>
      <c r="C992" s="16"/>
      <c r="D992" s="16"/>
      <c r="E992" s="16"/>
      <c r="F992" s="16"/>
      <c r="G992" s="42"/>
      <c r="H992" s="16"/>
      <c r="I992" s="42"/>
      <c r="J992" s="44"/>
      <c r="K992" s="44"/>
      <c r="L992" s="44"/>
      <c r="M992" s="46"/>
      <c r="N992" s="42"/>
      <c r="O992" s="42"/>
      <c r="P992" s="16"/>
      <c r="Q992" s="16"/>
    </row>
    <row r="993">
      <c r="A993" s="16"/>
      <c r="B993" s="16"/>
      <c r="C993" s="16"/>
      <c r="D993" s="16"/>
      <c r="E993" s="16"/>
      <c r="F993" s="16"/>
      <c r="G993" s="42"/>
      <c r="H993" s="16"/>
      <c r="I993" s="42"/>
      <c r="J993" s="44"/>
      <c r="K993" s="44"/>
      <c r="L993" s="44"/>
      <c r="M993" s="46"/>
      <c r="N993" s="42"/>
      <c r="O993" s="42"/>
      <c r="P993" s="16"/>
      <c r="Q993" s="16"/>
    </row>
    <row r="994">
      <c r="A994" s="16"/>
      <c r="B994" s="16"/>
      <c r="C994" s="16"/>
      <c r="D994" s="16"/>
      <c r="E994" s="16"/>
      <c r="F994" s="16"/>
      <c r="G994" s="42"/>
      <c r="H994" s="16"/>
      <c r="I994" s="42"/>
      <c r="J994" s="44"/>
      <c r="K994" s="44"/>
      <c r="L994" s="44"/>
      <c r="M994" s="46"/>
      <c r="N994" s="42"/>
      <c r="O994" s="42"/>
      <c r="P994" s="16"/>
      <c r="Q994" s="16"/>
    </row>
    <row r="995">
      <c r="A995" s="16"/>
      <c r="B995" s="16"/>
      <c r="C995" s="16"/>
      <c r="D995" s="16"/>
      <c r="E995" s="16"/>
      <c r="F995" s="16"/>
      <c r="G995" s="42"/>
      <c r="H995" s="16"/>
      <c r="I995" s="42"/>
      <c r="J995" s="44"/>
      <c r="K995" s="44"/>
      <c r="L995" s="44"/>
      <c r="M995" s="46"/>
      <c r="N995" s="42"/>
      <c r="O995" s="42"/>
      <c r="P995" s="16"/>
      <c r="Q995" s="16"/>
    </row>
    <row r="996">
      <c r="A996" s="16"/>
      <c r="B996" s="16"/>
      <c r="C996" s="16"/>
      <c r="D996" s="16"/>
      <c r="E996" s="16"/>
      <c r="F996" s="16"/>
      <c r="G996" s="42"/>
      <c r="H996" s="16"/>
      <c r="I996" s="42"/>
      <c r="J996" s="44"/>
      <c r="K996" s="44"/>
      <c r="L996" s="44"/>
      <c r="M996" s="46"/>
      <c r="N996" s="42"/>
      <c r="O996" s="42"/>
      <c r="P996" s="16"/>
      <c r="Q996" s="16"/>
    </row>
    <row r="997">
      <c r="A997" s="16"/>
      <c r="B997" s="16"/>
      <c r="C997" s="16"/>
      <c r="D997" s="16"/>
      <c r="E997" s="16"/>
      <c r="F997" s="16"/>
      <c r="G997" s="42"/>
      <c r="H997" s="16"/>
      <c r="I997" s="42"/>
      <c r="J997" s="44"/>
      <c r="K997" s="44"/>
      <c r="L997" s="44"/>
      <c r="M997" s="46"/>
      <c r="N997" s="42"/>
      <c r="O997" s="42"/>
      <c r="P997" s="16"/>
      <c r="Q997" s="16"/>
    </row>
    <row r="998">
      <c r="A998" s="16"/>
      <c r="B998" s="16"/>
      <c r="C998" s="16"/>
      <c r="D998" s="16"/>
      <c r="E998" s="16"/>
      <c r="F998" s="16"/>
      <c r="G998" s="42"/>
      <c r="H998" s="16"/>
      <c r="I998" s="42"/>
      <c r="J998" s="44"/>
      <c r="K998" s="44"/>
      <c r="L998" s="44"/>
      <c r="M998" s="46"/>
      <c r="N998" s="42"/>
      <c r="O998" s="42"/>
      <c r="P998" s="16"/>
      <c r="Q998" s="16"/>
    </row>
    <row r="999">
      <c r="A999" s="16"/>
      <c r="B999" s="16"/>
      <c r="C999" s="16"/>
      <c r="D999" s="16"/>
      <c r="E999" s="16"/>
      <c r="F999" s="16"/>
      <c r="G999" s="42"/>
      <c r="H999" s="16"/>
      <c r="I999" s="42"/>
      <c r="J999" s="44"/>
      <c r="K999" s="44"/>
      <c r="L999" s="44"/>
      <c r="M999" s="46"/>
      <c r="N999" s="42"/>
      <c r="O999" s="42"/>
      <c r="P999" s="16"/>
      <c r="Q999" s="16"/>
    </row>
    <row r="1000">
      <c r="A1000" s="16"/>
      <c r="B1000" s="16"/>
      <c r="C1000" s="16"/>
      <c r="D1000" s="16"/>
      <c r="E1000" s="16"/>
      <c r="F1000" s="16"/>
      <c r="G1000" s="42"/>
      <c r="H1000" s="16"/>
      <c r="I1000" s="42"/>
      <c r="J1000" s="44"/>
      <c r="K1000" s="44"/>
      <c r="L1000" s="44"/>
      <c r="M1000" s="46"/>
      <c r="N1000" s="42"/>
      <c r="O1000" s="42"/>
      <c r="P1000" s="16"/>
      <c r="Q1000" s="16"/>
    </row>
  </sheetData>
  <mergeCells count="3">
    <mergeCell ref="C1:E1"/>
    <mergeCell ref="F1:I1"/>
    <mergeCell ref="J1:O1"/>
  </mergeCells>
  <conditionalFormatting sqref="H3:I1000">
    <cfRule type="expression" dxfId="6" priority="1">
      <formula>$I3&lt;1</formula>
    </cfRule>
  </conditionalFormatting>
  <conditionalFormatting sqref="D3:E37">
    <cfRule type="expression" dxfId="7" priority="2">
      <formula> D:D - #REF! &gt; 2</formula>
    </cfRule>
  </conditionalFormatting>
  <conditionalFormatting sqref="C3:E37">
    <cfRule type="expression" dxfId="7" priority="3">
      <formula>" = D:D - C:C &gt; 1"</formula>
    </cfRule>
  </conditionalFormatting>
  <conditionalFormatting sqref="L3:M1000">
    <cfRule type="expression" dxfId="6" priority="4">
      <formula>$M3&lt;0</formula>
    </cfRule>
  </conditionalFormatting>
  <conditionalFormatting sqref="L3:M1000">
    <cfRule type="expression" dxfId="8" priority="5">
      <formula>$M3&lt;0.1</formula>
    </cfRule>
  </conditionalFormatting>
  <conditionalFormatting sqref="F3:G1000">
    <cfRule type="expression" dxfId="6" priority="6">
      <formula>$G3&lt;1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E1" s="49" t="s">
        <v>36</v>
      </c>
      <c r="F1" s="50" t="s">
        <v>21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2">
      <c r="E2" s="54">
        <f t="shared" ref="E2:E8" si="1">1-F2</f>
        <v>0</v>
      </c>
      <c r="F2" s="54">
        <f t="shared" ref="F2:F8" si="2">D2/B2</f>
        <v>1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</row>
    <row r="3">
      <c r="E3" s="54">
        <f t="shared" si="1"/>
        <v>0.6614392518</v>
      </c>
      <c r="F3" s="54">
        <f t="shared" si="2"/>
        <v>0.3385607482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>
      <c r="E4" s="54">
        <f t="shared" si="1"/>
        <v>0.9944281245</v>
      </c>
      <c r="F4" s="54">
        <f t="shared" si="2"/>
        <v>0.005571875461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</row>
    <row r="5">
      <c r="E5" s="54">
        <f t="shared" si="1"/>
        <v>0.5891885905</v>
      </c>
      <c r="F5" s="54">
        <f t="shared" si="2"/>
        <v>0.4108114095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>
      <c r="E6" s="54">
        <f t="shared" si="1"/>
        <v>0.5497575228</v>
      </c>
      <c r="F6" s="54">
        <f t="shared" si="2"/>
        <v>0.4502424772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</row>
    <row r="7">
      <c r="E7" s="54">
        <f t="shared" si="1"/>
        <v>0.2447416737</v>
      </c>
      <c r="F7" s="54">
        <f t="shared" si="2"/>
        <v>0.7552583263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</row>
    <row r="8">
      <c r="E8" s="59">
        <f t="shared" si="1"/>
        <v>0.4651011744</v>
      </c>
      <c r="F8" s="59">
        <f t="shared" si="2"/>
        <v>0.5348988256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</row>
    <row r="9">
      <c r="A9" s="55"/>
      <c r="B9" s="55"/>
      <c r="C9" s="55"/>
      <c r="D9" s="55"/>
      <c r="E9" s="54"/>
      <c r="F9" s="5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</row>
    <row r="10">
      <c r="A10" s="55"/>
      <c r="B10" s="55"/>
      <c r="C10" s="55"/>
      <c r="D10" s="55"/>
      <c r="E10" s="54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</row>
    <row r="11">
      <c r="A11" s="55"/>
      <c r="B11" s="55"/>
      <c r="C11" s="55"/>
      <c r="D11" s="55"/>
      <c r="E11" s="54"/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</row>
    <row r="12">
      <c r="A12" s="55"/>
      <c r="B12" s="55"/>
      <c r="C12" s="55"/>
      <c r="D12" s="55"/>
      <c r="E12" s="54"/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</row>
    <row r="13">
      <c r="A13" s="55"/>
      <c r="B13" s="55"/>
      <c r="C13" s="55"/>
      <c r="D13" s="55"/>
      <c r="E13" s="54"/>
      <c r="F13" s="54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</row>
    <row r="14">
      <c r="A14" s="55"/>
      <c r="B14" s="55"/>
      <c r="C14" s="55"/>
      <c r="D14" s="55"/>
      <c r="E14" s="54"/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>
      <c r="A15" s="55"/>
      <c r="B15" s="55"/>
      <c r="C15" s="55"/>
      <c r="D15" s="55"/>
      <c r="E15" s="54"/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>
      <c r="A16" s="55"/>
      <c r="B16" s="55"/>
      <c r="C16" s="55"/>
      <c r="D16" s="55"/>
      <c r="E16" s="54"/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>
      <c r="A17" s="55"/>
      <c r="B17" s="55"/>
      <c r="C17" s="55"/>
      <c r="D17" s="55"/>
      <c r="E17" s="54"/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>
      <c r="A18" s="55"/>
      <c r="B18" s="55"/>
      <c r="C18" s="55"/>
      <c r="D18" s="55"/>
      <c r="E18" s="54"/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</row>
    <row r="19">
      <c r="A19" s="55"/>
      <c r="B19" s="55"/>
      <c r="C19" s="55"/>
      <c r="D19" s="55"/>
      <c r="E19" s="54"/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</row>
    <row r="20">
      <c r="A20" s="55"/>
      <c r="B20" s="55"/>
      <c r="C20" s="55"/>
      <c r="D20" s="55"/>
      <c r="E20" s="54"/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</row>
    <row r="21">
      <c r="A21" s="55"/>
      <c r="B21" s="55"/>
      <c r="C21" s="55"/>
      <c r="D21" s="55"/>
      <c r="E21" s="54"/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</row>
    <row r="22">
      <c r="A22" s="55"/>
      <c r="B22" s="55"/>
      <c r="C22" s="55"/>
      <c r="D22" s="55"/>
      <c r="E22" s="54"/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</row>
    <row r="23">
      <c r="A23" s="55"/>
      <c r="B23" s="55"/>
      <c r="C23" s="55"/>
      <c r="D23" s="55"/>
      <c r="E23" s="54"/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</row>
    <row r="24">
      <c r="A24" s="55"/>
      <c r="B24" s="55"/>
      <c r="C24" s="55"/>
      <c r="D24" s="55"/>
      <c r="E24" s="54"/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</row>
    <row r="25">
      <c r="A25" s="55"/>
      <c r="B25" s="55"/>
      <c r="C25" s="55"/>
      <c r="D25" s="55"/>
      <c r="E25" s="54"/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</row>
    <row r="26">
      <c r="A26" s="55"/>
      <c r="B26" s="55"/>
      <c r="C26" s="55"/>
      <c r="D26" s="55"/>
      <c r="E26" s="54"/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</row>
    <row r="27">
      <c r="A27" s="55"/>
      <c r="B27" s="55"/>
      <c r="C27" s="55"/>
      <c r="D27" s="55"/>
      <c r="E27" s="54"/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</row>
    <row r="28">
      <c r="A28" s="55"/>
      <c r="B28" s="55"/>
      <c r="C28" s="55"/>
      <c r="D28" s="55"/>
      <c r="E28" s="54"/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</row>
    <row r="29">
      <c r="A29" s="55"/>
      <c r="B29" s="55"/>
      <c r="C29" s="55"/>
      <c r="D29" s="55"/>
      <c r="E29" s="54"/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</row>
    <row r="30">
      <c r="A30" s="55"/>
      <c r="B30" s="55"/>
      <c r="C30" s="55"/>
      <c r="D30" s="55"/>
      <c r="E30" s="54"/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>
      <c r="A31" s="55"/>
      <c r="B31" s="55"/>
      <c r="C31" s="55"/>
      <c r="D31" s="55"/>
      <c r="E31" s="54"/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>
      <c r="A32" s="55"/>
      <c r="B32" s="55"/>
      <c r="C32" s="55"/>
      <c r="D32" s="55"/>
      <c r="E32" s="54"/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>
      <c r="A33" s="55"/>
      <c r="B33" s="55"/>
      <c r="C33" s="55"/>
      <c r="D33" s="55"/>
      <c r="E33" s="54"/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>
      <c r="A34" s="55"/>
      <c r="B34" s="55"/>
      <c r="C34" s="55"/>
      <c r="D34" s="55"/>
      <c r="E34" s="54"/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</row>
    <row r="35">
      <c r="A35" s="55"/>
      <c r="B35" s="55"/>
      <c r="C35" s="55"/>
      <c r="D35" s="55"/>
      <c r="E35" s="54"/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</row>
    <row r="36">
      <c r="A36" s="55"/>
      <c r="B36" s="55"/>
      <c r="C36" s="55"/>
      <c r="D36" s="55"/>
      <c r="E36" s="54"/>
      <c r="F36" s="54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</row>
    <row r="37">
      <c r="A37" s="55"/>
      <c r="B37" s="55"/>
      <c r="C37" s="55"/>
      <c r="D37" s="55"/>
      <c r="E37" s="54"/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</row>
    <row r="38">
      <c r="A38" s="55"/>
      <c r="B38" s="55"/>
      <c r="C38" s="55"/>
      <c r="D38" s="55"/>
      <c r="E38" s="54"/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</row>
    <row r="39">
      <c r="A39" s="55"/>
      <c r="B39" s="55"/>
      <c r="C39" s="55"/>
      <c r="D39" s="55"/>
      <c r="E39" s="54"/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</row>
    <row r="40">
      <c r="A40" s="55"/>
      <c r="B40" s="55"/>
      <c r="C40" s="55"/>
      <c r="D40" s="55"/>
      <c r="E40" s="54"/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</row>
    <row r="41">
      <c r="A41" s="55"/>
      <c r="B41" s="55"/>
      <c r="C41" s="55"/>
      <c r="D41" s="55"/>
      <c r="E41" s="54"/>
      <c r="F41" s="54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</row>
    <row r="42">
      <c r="A42" s="55"/>
      <c r="B42" s="55"/>
      <c r="C42" s="55"/>
      <c r="D42" s="55"/>
      <c r="E42" s="54"/>
      <c r="F42" s="54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</row>
    <row r="43">
      <c r="A43" s="55"/>
      <c r="B43" s="55"/>
      <c r="C43" s="55"/>
      <c r="D43" s="55"/>
      <c r="E43" s="54"/>
      <c r="F43" s="54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</row>
    <row r="44">
      <c r="A44" s="55"/>
      <c r="B44" s="55"/>
      <c r="C44" s="55"/>
      <c r="D44" s="55"/>
      <c r="E44" s="54"/>
      <c r="F44" s="54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</row>
    <row r="45">
      <c r="A45" s="55"/>
      <c r="B45" s="55"/>
      <c r="C45" s="55"/>
      <c r="D45" s="55"/>
      <c r="E45" s="54"/>
      <c r="F45" s="54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</row>
    <row r="46">
      <c r="A46" s="55"/>
      <c r="B46" s="55"/>
      <c r="C46" s="55"/>
      <c r="D46" s="55"/>
      <c r="E46" s="54"/>
      <c r="F46" s="54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</row>
    <row r="47">
      <c r="A47" s="55"/>
      <c r="B47" s="55"/>
      <c r="C47" s="55"/>
      <c r="D47" s="55"/>
      <c r="E47" s="54"/>
      <c r="F47" s="54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</row>
    <row r="48">
      <c r="A48" s="55"/>
      <c r="B48" s="55"/>
      <c r="C48" s="55"/>
      <c r="D48" s="55"/>
      <c r="E48" s="54"/>
      <c r="F48" s="54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</row>
    <row r="49">
      <c r="A49" s="55"/>
      <c r="B49" s="55"/>
      <c r="C49" s="55"/>
      <c r="D49" s="55"/>
      <c r="E49" s="54"/>
      <c r="F49" s="54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</row>
    <row r="50">
      <c r="A50" s="55"/>
      <c r="B50" s="55"/>
      <c r="C50" s="55"/>
      <c r="D50" s="55"/>
      <c r="E50" s="54"/>
      <c r="F50" s="54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</row>
    <row r="51">
      <c r="A51" s="55"/>
      <c r="B51" s="55"/>
      <c r="C51" s="55"/>
      <c r="D51" s="55"/>
      <c r="E51" s="54"/>
      <c r="F51" s="54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</row>
    <row r="52">
      <c r="A52" s="55"/>
      <c r="B52" s="55"/>
      <c r="C52" s="55"/>
      <c r="D52" s="55"/>
      <c r="E52" s="54"/>
      <c r="F52" s="54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</row>
    <row r="53">
      <c r="A53" s="55"/>
      <c r="B53" s="55"/>
      <c r="C53" s="55"/>
      <c r="D53" s="55"/>
      <c r="E53" s="54"/>
      <c r="F53" s="54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</row>
    <row r="54">
      <c r="A54" s="55"/>
      <c r="B54" s="55"/>
      <c r="C54" s="55"/>
      <c r="D54" s="55"/>
      <c r="E54" s="54"/>
      <c r="F54" s="54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</row>
    <row r="55">
      <c r="A55" s="55"/>
      <c r="B55" s="55"/>
      <c r="C55" s="55"/>
      <c r="D55" s="55"/>
      <c r="E55" s="54"/>
      <c r="F55" s="54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</row>
    <row r="56">
      <c r="A56" s="55"/>
      <c r="B56" s="55"/>
      <c r="C56" s="55"/>
      <c r="D56" s="55"/>
      <c r="E56" s="54"/>
      <c r="F56" s="54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</row>
    <row r="57">
      <c r="A57" s="55"/>
      <c r="B57" s="55"/>
      <c r="C57" s="55"/>
      <c r="D57" s="55"/>
      <c r="E57" s="54"/>
      <c r="F57" s="54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</row>
    <row r="58">
      <c r="A58" s="55"/>
      <c r="B58" s="55"/>
      <c r="C58" s="55"/>
      <c r="D58" s="55"/>
      <c r="E58" s="54"/>
      <c r="F58" s="54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</row>
    <row r="59">
      <c r="A59" s="55"/>
      <c r="B59" s="55"/>
      <c r="C59" s="55"/>
      <c r="D59" s="55"/>
      <c r="E59" s="54"/>
      <c r="F59" s="54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</row>
    <row r="60">
      <c r="A60" s="55"/>
      <c r="B60" s="55"/>
      <c r="C60" s="55"/>
      <c r="D60" s="55"/>
      <c r="E60" s="54"/>
      <c r="F60" s="54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</row>
    <row r="61">
      <c r="A61" s="55"/>
      <c r="B61" s="55"/>
      <c r="C61" s="55"/>
      <c r="D61" s="55"/>
      <c r="E61" s="54"/>
      <c r="F61" s="54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</row>
    <row r="62">
      <c r="A62" s="55"/>
      <c r="B62" s="55"/>
      <c r="C62" s="55"/>
      <c r="D62" s="55"/>
      <c r="E62" s="54"/>
      <c r="F62" s="54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</row>
    <row r="63">
      <c r="A63" s="55"/>
      <c r="B63" s="55"/>
      <c r="C63" s="55"/>
      <c r="D63" s="55"/>
      <c r="E63" s="54"/>
      <c r="F63" s="54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</row>
    <row r="64">
      <c r="A64" s="55"/>
      <c r="B64" s="55"/>
      <c r="C64" s="55"/>
      <c r="D64" s="55"/>
      <c r="E64" s="54"/>
      <c r="F64" s="54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</row>
    <row r="65">
      <c r="A65" s="55"/>
      <c r="B65" s="55"/>
      <c r="C65" s="55"/>
      <c r="D65" s="55"/>
      <c r="E65" s="54"/>
      <c r="F65" s="54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</row>
    <row r="66">
      <c r="A66" s="55"/>
      <c r="B66" s="55"/>
      <c r="C66" s="55"/>
      <c r="D66" s="55"/>
      <c r="E66" s="54"/>
      <c r="F66" s="54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</row>
    <row r="67">
      <c r="A67" s="55"/>
      <c r="B67" s="55"/>
      <c r="C67" s="55"/>
      <c r="D67" s="55"/>
      <c r="E67" s="54"/>
      <c r="F67" s="54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</row>
    <row r="68">
      <c r="A68" s="55"/>
      <c r="B68" s="55"/>
      <c r="C68" s="55"/>
      <c r="D68" s="55"/>
      <c r="E68" s="54"/>
      <c r="F68" s="54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</row>
    <row r="69">
      <c r="A69" s="55"/>
      <c r="B69" s="55"/>
      <c r="C69" s="55"/>
      <c r="D69" s="55"/>
      <c r="E69" s="54"/>
      <c r="F69" s="54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</row>
    <row r="70">
      <c r="A70" s="55"/>
      <c r="B70" s="55"/>
      <c r="C70" s="55"/>
      <c r="D70" s="55"/>
      <c r="E70" s="54"/>
      <c r="F70" s="54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</row>
    <row r="71">
      <c r="A71" s="55"/>
      <c r="B71" s="55"/>
      <c r="C71" s="55"/>
      <c r="D71" s="55"/>
      <c r="E71" s="54"/>
      <c r="F71" s="54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</row>
    <row r="72">
      <c r="A72" s="55"/>
      <c r="B72" s="55"/>
      <c r="C72" s="55"/>
      <c r="D72" s="55"/>
      <c r="E72" s="54"/>
      <c r="F72" s="54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</row>
    <row r="73">
      <c r="A73" s="55"/>
      <c r="B73" s="55"/>
      <c r="C73" s="55"/>
      <c r="D73" s="55"/>
      <c r="E73" s="54"/>
      <c r="F73" s="54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</row>
    <row r="74">
      <c r="A74" s="55"/>
      <c r="B74" s="55"/>
      <c r="C74" s="55"/>
      <c r="D74" s="55"/>
      <c r="E74" s="54"/>
      <c r="F74" s="54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</row>
    <row r="75">
      <c r="A75" s="55"/>
      <c r="B75" s="55"/>
      <c r="C75" s="55"/>
      <c r="D75" s="55"/>
      <c r="E75" s="54"/>
      <c r="F75" s="54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</row>
    <row r="76">
      <c r="A76" s="55"/>
      <c r="B76" s="55"/>
      <c r="C76" s="55"/>
      <c r="D76" s="55"/>
      <c r="E76" s="54"/>
      <c r="F76" s="54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</row>
    <row r="77">
      <c r="A77" s="55"/>
      <c r="B77" s="55"/>
      <c r="C77" s="55"/>
      <c r="D77" s="55"/>
      <c r="E77" s="54"/>
      <c r="F77" s="54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</row>
    <row r="78">
      <c r="A78" s="55"/>
      <c r="B78" s="55"/>
      <c r="C78" s="55"/>
      <c r="D78" s="55"/>
      <c r="E78" s="54"/>
      <c r="F78" s="54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</row>
    <row r="79">
      <c r="A79" s="55"/>
      <c r="B79" s="55"/>
      <c r="C79" s="55"/>
      <c r="D79" s="55"/>
      <c r="E79" s="54"/>
      <c r="F79" s="54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</row>
    <row r="80">
      <c r="A80" s="55"/>
      <c r="B80" s="55"/>
      <c r="C80" s="55"/>
      <c r="D80" s="55"/>
      <c r="E80" s="54"/>
      <c r="F80" s="54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</row>
    <row r="81">
      <c r="A81" s="55"/>
      <c r="B81" s="55"/>
      <c r="C81" s="55"/>
      <c r="D81" s="55"/>
      <c r="E81" s="54"/>
      <c r="F81" s="54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</row>
    <row r="82">
      <c r="A82" s="55"/>
      <c r="B82" s="55"/>
      <c r="C82" s="55"/>
      <c r="D82" s="55"/>
      <c r="E82" s="54"/>
      <c r="F82" s="54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</row>
    <row r="83">
      <c r="A83" s="55"/>
      <c r="B83" s="55"/>
      <c r="C83" s="55"/>
      <c r="D83" s="55"/>
      <c r="E83" s="54"/>
      <c r="F83" s="54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</row>
    <row r="84">
      <c r="A84" s="55"/>
      <c r="B84" s="55"/>
      <c r="C84" s="55"/>
      <c r="D84" s="55"/>
      <c r="E84" s="54"/>
      <c r="F84" s="54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</row>
    <row r="85">
      <c r="A85" s="55"/>
      <c r="B85" s="55"/>
      <c r="C85" s="55"/>
      <c r="D85" s="55"/>
      <c r="E85" s="54"/>
      <c r="F85" s="54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</row>
    <row r="86">
      <c r="A86" s="55"/>
      <c r="B86" s="55"/>
      <c r="C86" s="55"/>
      <c r="D86" s="55"/>
      <c r="E86" s="54"/>
      <c r="F86" s="54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</row>
    <row r="87">
      <c r="A87" s="55"/>
      <c r="B87" s="55"/>
      <c r="C87" s="55"/>
      <c r="D87" s="55"/>
      <c r="E87" s="54"/>
      <c r="F87" s="54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</row>
    <row r="88">
      <c r="A88" s="55"/>
      <c r="B88" s="55"/>
      <c r="C88" s="55"/>
      <c r="D88" s="55"/>
      <c r="E88" s="54"/>
      <c r="F88" s="54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</row>
    <row r="89">
      <c r="A89" s="55"/>
      <c r="B89" s="55"/>
      <c r="C89" s="55"/>
      <c r="D89" s="55"/>
      <c r="E89" s="54"/>
      <c r="F89" s="54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</row>
    <row r="90">
      <c r="A90" s="55"/>
      <c r="B90" s="55"/>
      <c r="C90" s="55"/>
      <c r="D90" s="55"/>
      <c r="E90" s="54"/>
      <c r="F90" s="54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</row>
    <row r="91">
      <c r="A91" s="55"/>
      <c r="B91" s="55"/>
      <c r="C91" s="55"/>
      <c r="D91" s="55"/>
      <c r="E91" s="54"/>
      <c r="F91" s="54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</row>
    <row r="92">
      <c r="A92" s="55"/>
      <c r="B92" s="55"/>
      <c r="C92" s="55"/>
      <c r="D92" s="55"/>
      <c r="E92" s="54"/>
      <c r="F92" s="54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</row>
    <row r="93">
      <c r="A93" s="55"/>
      <c r="B93" s="55"/>
      <c r="C93" s="55"/>
      <c r="D93" s="55"/>
      <c r="E93" s="54"/>
      <c r="F93" s="54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</row>
    <row r="94">
      <c r="A94" s="55"/>
      <c r="B94" s="55"/>
      <c r="C94" s="55"/>
      <c r="D94" s="55"/>
      <c r="E94" s="54"/>
      <c r="F94" s="54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</row>
    <row r="95">
      <c r="A95" s="55"/>
      <c r="B95" s="55"/>
      <c r="C95" s="55"/>
      <c r="D95" s="55"/>
      <c r="E95" s="54"/>
      <c r="F95" s="54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</row>
    <row r="96">
      <c r="A96" s="55"/>
      <c r="B96" s="55"/>
      <c r="C96" s="55"/>
      <c r="D96" s="55"/>
      <c r="E96" s="54"/>
      <c r="F96" s="54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</row>
    <row r="97">
      <c r="A97" s="55"/>
      <c r="B97" s="55"/>
      <c r="C97" s="55"/>
      <c r="D97" s="55"/>
      <c r="E97" s="54"/>
      <c r="F97" s="54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</row>
    <row r="98">
      <c r="A98" s="55"/>
      <c r="B98" s="55"/>
      <c r="C98" s="55"/>
      <c r="D98" s="55"/>
      <c r="E98" s="54"/>
      <c r="F98" s="54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</row>
    <row r="99">
      <c r="A99" s="55"/>
      <c r="B99" s="55"/>
      <c r="C99" s="55"/>
      <c r="D99" s="55"/>
      <c r="E99" s="54"/>
      <c r="F99" s="54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</row>
    <row r="100">
      <c r="A100" s="55"/>
      <c r="B100" s="55"/>
      <c r="C100" s="55"/>
      <c r="D100" s="55"/>
      <c r="E100" s="54"/>
      <c r="F100" s="54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</row>
    <row r="101">
      <c r="A101" s="55"/>
      <c r="B101" s="55"/>
      <c r="C101" s="55"/>
      <c r="D101" s="55"/>
      <c r="E101" s="54"/>
      <c r="F101" s="54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</row>
    <row r="102">
      <c r="A102" s="55"/>
      <c r="B102" s="55"/>
      <c r="C102" s="55"/>
      <c r="D102" s="55"/>
      <c r="E102" s="54"/>
      <c r="F102" s="54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</row>
    <row r="103">
      <c r="A103" s="55"/>
      <c r="B103" s="55"/>
      <c r="C103" s="55"/>
      <c r="D103" s="55"/>
      <c r="E103" s="54"/>
      <c r="F103" s="54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</row>
    <row r="104">
      <c r="A104" s="55"/>
      <c r="B104" s="55"/>
      <c r="C104" s="55"/>
      <c r="D104" s="55"/>
      <c r="E104" s="54"/>
      <c r="F104" s="54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</row>
    <row r="105">
      <c r="A105" s="55"/>
      <c r="B105" s="55"/>
      <c r="C105" s="55"/>
      <c r="D105" s="55"/>
      <c r="E105" s="54"/>
      <c r="F105" s="54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</row>
    <row r="106">
      <c r="A106" s="55"/>
      <c r="B106" s="55"/>
      <c r="C106" s="55"/>
      <c r="D106" s="55"/>
      <c r="E106" s="54"/>
      <c r="F106" s="54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</row>
    <row r="107">
      <c r="A107" s="55"/>
      <c r="B107" s="55"/>
      <c r="C107" s="55"/>
      <c r="D107" s="55"/>
      <c r="E107" s="54"/>
      <c r="F107" s="54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</row>
    <row r="108">
      <c r="A108" s="55"/>
      <c r="B108" s="55"/>
      <c r="C108" s="55"/>
      <c r="D108" s="55"/>
      <c r="E108" s="54"/>
      <c r="F108" s="54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</row>
    <row r="109">
      <c r="A109" s="55"/>
      <c r="B109" s="55"/>
      <c r="C109" s="55"/>
      <c r="D109" s="55"/>
      <c r="E109" s="54"/>
      <c r="F109" s="54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</row>
    <row r="110">
      <c r="A110" s="55"/>
      <c r="B110" s="55"/>
      <c r="C110" s="55"/>
      <c r="D110" s="55"/>
      <c r="E110" s="54"/>
      <c r="F110" s="54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</row>
    <row r="111">
      <c r="A111" s="55"/>
      <c r="B111" s="55"/>
      <c r="C111" s="55"/>
      <c r="D111" s="55"/>
      <c r="E111" s="54"/>
      <c r="F111" s="54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</row>
    <row r="112">
      <c r="A112" s="55"/>
      <c r="B112" s="55"/>
      <c r="C112" s="55"/>
      <c r="D112" s="55"/>
      <c r="E112" s="54"/>
      <c r="F112" s="54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</row>
    <row r="113">
      <c r="A113" s="55"/>
      <c r="B113" s="55"/>
      <c r="C113" s="55"/>
      <c r="D113" s="55"/>
      <c r="E113" s="54"/>
      <c r="F113" s="54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</row>
    <row r="114">
      <c r="A114" s="55"/>
      <c r="B114" s="55"/>
      <c r="C114" s="55"/>
      <c r="D114" s="55"/>
      <c r="E114" s="54"/>
      <c r="F114" s="54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</row>
    <row r="115">
      <c r="A115" s="55"/>
      <c r="B115" s="55"/>
      <c r="C115" s="55"/>
      <c r="D115" s="55"/>
      <c r="E115" s="54"/>
      <c r="F115" s="54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</row>
    <row r="116">
      <c r="A116" s="55"/>
      <c r="B116" s="55"/>
      <c r="C116" s="55"/>
      <c r="D116" s="55"/>
      <c r="E116" s="54"/>
      <c r="F116" s="54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</row>
    <row r="117">
      <c r="A117" s="55"/>
      <c r="B117" s="55"/>
      <c r="C117" s="55"/>
      <c r="D117" s="55"/>
      <c r="E117" s="54"/>
      <c r="F117" s="54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</row>
    <row r="118">
      <c r="A118" s="55"/>
      <c r="B118" s="55"/>
      <c r="C118" s="55"/>
      <c r="D118" s="55"/>
      <c r="E118" s="54"/>
      <c r="F118" s="54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</row>
    <row r="119">
      <c r="A119" s="55"/>
      <c r="B119" s="55"/>
      <c r="C119" s="55"/>
      <c r="D119" s="55"/>
      <c r="E119" s="54"/>
      <c r="F119" s="54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</row>
    <row r="120">
      <c r="A120" s="55"/>
      <c r="B120" s="55"/>
      <c r="C120" s="55"/>
      <c r="D120" s="55"/>
      <c r="E120" s="54"/>
      <c r="F120" s="54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</row>
    <row r="121">
      <c r="A121" s="55"/>
      <c r="B121" s="55"/>
      <c r="C121" s="55"/>
      <c r="D121" s="55"/>
      <c r="E121" s="54"/>
      <c r="F121" s="54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</row>
    <row r="122">
      <c r="A122" s="55"/>
      <c r="B122" s="55"/>
      <c r="C122" s="55"/>
      <c r="D122" s="55"/>
      <c r="E122" s="54"/>
      <c r="F122" s="54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</row>
    <row r="123">
      <c r="A123" s="55"/>
      <c r="B123" s="55"/>
      <c r="C123" s="55"/>
      <c r="D123" s="55"/>
      <c r="E123" s="54"/>
      <c r="F123" s="54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</row>
    <row r="124">
      <c r="A124" s="55"/>
      <c r="B124" s="55"/>
      <c r="C124" s="55"/>
      <c r="D124" s="55"/>
      <c r="E124" s="54"/>
      <c r="F124" s="54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</row>
    <row r="125">
      <c r="A125" s="55"/>
      <c r="B125" s="55"/>
      <c r="C125" s="55"/>
      <c r="D125" s="55"/>
      <c r="E125" s="54"/>
      <c r="F125" s="54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</row>
    <row r="126">
      <c r="A126" s="55"/>
      <c r="B126" s="55"/>
      <c r="C126" s="55"/>
      <c r="D126" s="55"/>
      <c r="E126" s="54"/>
      <c r="F126" s="54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</row>
    <row r="127">
      <c r="A127" s="55"/>
      <c r="B127" s="55"/>
      <c r="C127" s="55"/>
      <c r="D127" s="55"/>
      <c r="E127" s="54"/>
      <c r="F127" s="54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</row>
    <row r="128">
      <c r="A128" s="55"/>
      <c r="B128" s="55"/>
      <c r="C128" s="55"/>
      <c r="D128" s="55"/>
      <c r="E128" s="54"/>
      <c r="F128" s="54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</row>
    <row r="129">
      <c r="A129" s="55"/>
      <c r="B129" s="55"/>
      <c r="C129" s="55"/>
      <c r="D129" s="55"/>
      <c r="E129" s="54"/>
      <c r="F129" s="54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</row>
    <row r="130">
      <c r="A130" s="55"/>
      <c r="B130" s="55"/>
      <c r="C130" s="55"/>
      <c r="D130" s="55"/>
      <c r="E130" s="54"/>
      <c r="F130" s="54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</row>
    <row r="131">
      <c r="A131" s="55"/>
      <c r="B131" s="55"/>
      <c r="C131" s="55"/>
      <c r="D131" s="55"/>
      <c r="E131" s="54"/>
      <c r="F131" s="54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</row>
    <row r="132">
      <c r="A132" s="55"/>
      <c r="B132" s="55"/>
      <c r="C132" s="55"/>
      <c r="D132" s="55"/>
      <c r="E132" s="54"/>
      <c r="F132" s="54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</row>
    <row r="133">
      <c r="A133" s="55"/>
      <c r="B133" s="55"/>
      <c r="C133" s="55"/>
      <c r="D133" s="55"/>
      <c r="E133" s="54"/>
      <c r="F133" s="54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</row>
    <row r="134">
      <c r="A134" s="55"/>
      <c r="B134" s="55"/>
      <c r="C134" s="55"/>
      <c r="D134" s="55"/>
      <c r="E134" s="54"/>
      <c r="F134" s="54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</row>
    <row r="135">
      <c r="A135" s="55"/>
      <c r="B135" s="55"/>
      <c r="C135" s="55"/>
      <c r="D135" s="55"/>
      <c r="E135" s="54"/>
      <c r="F135" s="54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</row>
    <row r="136">
      <c r="A136" s="55"/>
      <c r="B136" s="55"/>
      <c r="C136" s="55"/>
      <c r="D136" s="55"/>
      <c r="E136" s="54"/>
      <c r="F136" s="54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</row>
    <row r="137">
      <c r="A137" s="55"/>
      <c r="B137" s="55"/>
      <c r="C137" s="55"/>
      <c r="D137" s="55"/>
      <c r="E137" s="54"/>
      <c r="F137" s="54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</row>
    <row r="138">
      <c r="A138" s="55"/>
      <c r="B138" s="55"/>
      <c r="C138" s="55"/>
      <c r="D138" s="55"/>
      <c r="E138" s="54"/>
      <c r="F138" s="54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</row>
    <row r="139">
      <c r="A139" s="55"/>
      <c r="B139" s="55"/>
      <c r="C139" s="55"/>
      <c r="D139" s="55"/>
      <c r="E139" s="54"/>
      <c r="F139" s="54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</row>
    <row r="140">
      <c r="A140" s="55"/>
      <c r="B140" s="55"/>
      <c r="C140" s="55"/>
      <c r="D140" s="55"/>
      <c r="E140" s="54"/>
      <c r="F140" s="54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</row>
    <row r="141">
      <c r="A141" s="55"/>
      <c r="B141" s="55"/>
      <c r="C141" s="55"/>
      <c r="D141" s="55"/>
      <c r="E141" s="54"/>
      <c r="F141" s="54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</row>
    <row r="142">
      <c r="A142" s="55"/>
      <c r="B142" s="55"/>
      <c r="C142" s="55"/>
      <c r="D142" s="55"/>
      <c r="E142" s="54"/>
      <c r="F142" s="54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</row>
    <row r="143">
      <c r="A143" s="55"/>
      <c r="B143" s="55"/>
      <c r="C143" s="55"/>
      <c r="D143" s="55"/>
      <c r="E143" s="54"/>
      <c r="F143" s="54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</row>
    <row r="144">
      <c r="A144" s="55"/>
      <c r="B144" s="55"/>
      <c r="C144" s="55"/>
      <c r="D144" s="55"/>
      <c r="E144" s="54"/>
      <c r="F144" s="54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</row>
    <row r="145">
      <c r="A145" s="55"/>
      <c r="B145" s="55"/>
      <c r="C145" s="55"/>
      <c r="D145" s="55"/>
      <c r="E145" s="54"/>
      <c r="F145" s="54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</row>
    <row r="146">
      <c r="A146" s="55"/>
      <c r="B146" s="55"/>
      <c r="C146" s="55"/>
      <c r="D146" s="55"/>
      <c r="E146" s="54"/>
      <c r="F146" s="54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</row>
    <row r="147">
      <c r="A147" s="55"/>
      <c r="B147" s="55"/>
      <c r="C147" s="55"/>
      <c r="D147" s="55"/>
      <c r="E147" s="54"/>
      <c r="F147" s="54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</row>
    <row r="148">
      <c r="A148" s="55"/>
      <c r="B148" s="55"/>
      <c r="C148" s="55"/>
      <c r="D148" s="55"/>
      <c r="E148" s="54"/>
      <c r="F148" s="54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</row>
    <row r="149">
      <c r="A149" s="55"/>
      <c r="B149" s="55"/>
      <c r="C149" s="55"/>
      <c r="D149" s="55"/>
      <c r="E149" s="54"/>
      <c r="F149" s="54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</row>
    <row r="150">
      <c r="A150" s="55"/>
      <c r="B150" s="55"/>
      <c r="C150" s="55"/>
      <c r="D150" s="55"/>
      <c r="E150" s="54"/>
      <c r="F150" s="54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</row>
    <row r="151">
      <c r="A151" s="55"/>
      <c r="B151" s="55"/>
      <c r="C151" s="55"/>
      <c r="D151" s="55"/>
      <c r="E151" s="54"/>
      <c r="F151" s="54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</row>
    <row r="152">
      <c r="A152" s="55"/>
      <c r="B152" s="55"/>
      <c r="C152" s="55"/>
      <c r="D152" s="55"/>
      <c r="E152" s="54"/>
      <c r="F152" s="54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</row>
    <row r="153">
      <c r="A153" s="55"/>
      <c r="B153" s="55"/>
      <c r="C153" s="55"/>
      <c r="D153" s="55"/>
      <c r="E153" s="54"/>
      <c r="F153" s="54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</row>
    <row r="154">
      <c r="A154" s="55"/>
      <c r="B154" s="55"/>
      <c r="C154" s="55"/>
      <c r="D154" s="55"/>
      <c r="E154" s="54"/>
      <c r="F154" s="54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</row>
    <row r="155">
      <c r="A155" s="55"/>
      <c r="B155" s="55"/>
      <c r="C155" s="55"/>
      <c r="D155" s="55"/>
      <c r="E155" s="54"/>
      <c r="F155" s="54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</row>
    <row r="156">
      <c r="A156" s="55"/>
      <c r="B156" s="55"/>
      <c r="C156" s="55"/>
      <c r="D156" s="55"/>
      <c r="E156" s="54"/>
      <c r="F156" s="54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</row>
    <row r="157">
      <c r="A157" s="55"/>
      <c r="B157" s="55"/>
      <c r="C157" s="55"/>
      <c r="D157" s="55"/>
      <c r="E157" s="54"/>
      <c r="F157" s="54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</row>
    <row r="158">
      <c r="A158" s="55"/>
      <c r="B158" s="55"/>
      <c r="C158" s="55"/>
      <c r="D158" s="55"/>
      <c r="E158" s="54"/>
      <c r="F158" s="54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</row>
    <row r="159">
      <c r="A159" s="55"/>
      <c r="B159" s="55"/>
      <c r="C159" s="55"/>
      <c r="D159" s="55"/>
      <c r="E159" s="54"/>
      <c r="F159" s="54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</row>
    <row r="160">
      <c r="A160" s="55"/>
      <c r="B160" s="55"/>
      <c r="C160" s="55"/>
      <c r="D160" s="55"/>
      <c r="E160" s="54"/>
      <c r="F160" s="54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</row>
    <row r="161">
      <c r="A161" s="55"/>
      <c r="B161" s="55"/>
      <c r="C161" s="55"/>
      <c r="D161" s="55"/>
      <c r="E161" s="54"/>
      <c r="F161" s="54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</row>
    <row r="162">
      <c r="A162" s="55"/>
      <c r="B162" s="55"/>
      <c r="C162" s="55"/>
      <c r="D162" s="55"/>
      <c r="E162" s="54"/>
      <c r="F162" s="54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</row>
    <row r="163">
      <c r="A163" s="55"/>
      <c r="B163" s="55"/>
      <c r="C163" s="55"/>
      <c r="D163" s="55"/>
      <c r="E163" s="54"/>
      <c r="F163" s="54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</row>
    <row r="164">
      <c r="A164" s="55"/>
      <c r="B164" s="55"/>
      <c r="C164" s="55"/>
      <c r="D164" s="55"/>
      <c r="E164" s="54"/>
      <c r="F164" s="54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</row>
    <row r="165">
      <c r="A165" s="55"/>
      <c r="B165" s="55"/>
      <c r="C165" s="55"/>
      <c r="D165" s="55"/>
      <c r="E165" s="54"/>
      <c r="F165" s="54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</row>
    <row r="166">
      <c r="A166" s="55"/>
      <c r="B166" s="55"/>
      <c r="C166" s="55"/>
      <c r="D166" s="55"/>
      <c r="E166" s="54"/>
      <c r="F166" s="54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</row>
    <row r="167">
      <c r="A167" s="55"/>
      <c r="B167" s="55"/>
      <c r="C167" s="55"/>
      <c r="D167" s="55"/>
      <c r="E167" s="54"/>
      <c r="F167" s="54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</row>
    <row r="168">
      <c r="A168" s="55"/>
      <c r="B168" s="55"/>
      <c r="C168" s="55"/>
      <c r="D168" s="55"/>
      <c r="E168" s="54"/>
      <c r="F168" s="54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</row>
    <row r="169">
      <c r="A169" s="55"/>
      <c r="B169" s="55"/>
      <c r="C169" s="55"/>
      <c r="D169" s="55"/>
      <c r="E169" s="54"/>
      <c r="F169" s="54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</row>
    <row r="170">
      <c r="A170" s="55"/>
      <c r="B170" s="55"/>
      <c r="C170" s="55"/>
      <c r="D170" s="55"/>
      <c r="E170" s="54"/>
      <c r="F170" s="54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</row>
    <row r="171">
      <c r="A171" s="55"/>
      <c r="B171" s="55"/>
      <c r="C171" s="55"/>
      <c r="D171" s="55"/>
      <c r="E171" s="54"/>
      <c r="F171" s="54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</row>
    <row r="172">
      <c r="A172" s="55"/>
      <c r="B172" s="55"/>
      <c r="C172" s="55"/>
      <c r="D172" s="55"/>
      <c r="E172" s="54"/>
      <c r="F172" s="54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</row>
    <row r="173">
      <c r="A173" s="55"/>
      <c r="B173" s="55"/>
      <c r="C173" s="55"/>
      <c r="D173" s="55"/>
      <c r="E173" s="54"/>
      <c r="F173" s="54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</row>
    <row r="174">
      <c r="A174" s="55"/>
      <c r="B174" s="55"/>
      <c r="C174" s="55"/>
      <c r="D174" s="55"/>
      <c r="E174" s="54"/>
      <c r="F174" s="54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</row>
    <row r="175">
      <c r="A175" s="55"/>
      <c r="B175" s="55"/>
      <c r="C175" s="55"/>
      <c r="D175" s="55"/>
      <c r="E175" s="54"/>
      <c r="F175" s="54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</row>
    <row r="176">
      <c r="A176" s="55"/>
      <c r="B176" s="55"/>
      <c r="C176" s="55"/>
      <c r="D176" s="55"/>
      <c r="E176" s="54"/>
      <c r="F176" s="54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</row>
    <row r="177">
      <c r="A177" s="55"/>
      <c r="B177" s="55"/>
      <c r="C177" s="55"/>
      <c r="D177" s="55"/>
      <c r="E177" s="54"/>
      <c r="F177" s="54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</row>
    <row r="178">
      <c r="A178" s="55"/>
      <c r="B178" s="55"/>
      <c r="C178" s="55"/>
      <c r="D178" s="55"/>
      <c r="E178" s="54"/>
      <c r="F178" s="54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</row>
    <row r="179">
      <c r="A179" s="55"/>
      <c r="B179" s="55"/>
      <c r="C179" s="55"/>
      <c r="D179" s="55"/>
      <c r="E179" s="54"/>
      <c r="F179" s="54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</row>
    <row r="180">
      <c r="A180" s="55"/>
      <c r="B180" s="55"/>
      <c r="C180" s="55"/>
      <c r="D180" s="55"/>
      <c r="E180" s="54"/>
      <c r="F180" s="54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</row>
    <row r="181">
      <c r="A181" s="55"/>
      <c r="B181" s="55"/>
      <c r="C181" s="55"/>
      <c r="D181" s="55"/>
      <c r="E181" s="54"/>
      <c r="F181" s="54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</row>
    <row r="182">
      <c r="A182" s="55"/>
      <c r="B182" s="55"/>
      <c r="C182" s="55"/>
      <c r="D182" s="55"/>
      <c r="E182" s="54"/>
      <c r="F182" s="54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</row>
    <row r="183">
      <c r="A183" s="55"/>
      <c r="B183" s="55"/>
      <c r="C183" s="55"/>
      <c r="D183" s="55"/>
      <c r="E183" s="54"/>
      <c r="F183" s="54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</row>
    <row r="184">
      <c r="A184" s="55"/>
      <c r="B184" s="55"/>
      <c r="C184" s="55"/>
      <c r="D184" s="55"/>
      <c r="E184" s="54"/>
      <c r="F184" s="54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</row>
    <row r="185">
      <c r="A185" s="55"/>
      <c r="B185" s="55"/>
      <c r="C185" s="55"/>
      <c r="D185" s="55"/>
      <c r="E185" s="54"/>
      <c r="F185" s="54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</row>
    <row r="186">
      <c r="A186" s="55"/>
      <c r="B186" s="55"/>
      <c r="C186" s="55"/>
      <c r="D186" s="55"/>
      <c r="E186" s="54"/>
      <c r="F186" s="54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</row>
    <row r="187">
      <c r="A187" s="55"/>
      <c r="B187" s="55"/>
      <c r="C187" s="55"/>
      <c r="D187" s="55"/>
      <c r="E187" s="54"/>
      <c r="F187" s="54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</row>
    <row r="188">
      <c r="A188" s="55"/>
      <c r="B188" s="55"/>
      <c r="C188" s="55"/>
      <c r="D188" s="55"/>
      <c r="E188" s="54"/>
      <c r="F188" s="54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</row>
    <row r="189">
      <c r="A189" s="55"/>
      <c r="B189" s="55"/>
      <c r="C189" s="55"/>
      <c r="D189" s="55"/>
      <c r="E189" s="54"/>
      <c r="F189" s="54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</row>
    <row r="190">
      <c r="A190" s="55"/>
      <c r="B190" s="55"/>
      <c r="C190" s="55"/>
      <c r="D190" s="55"/>
      <c r="E190" s="54"/>
      <c r="F190" s="54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</row>
    <row r="191">
      <c r="A191" s="55"/>
      <c r="B191" s="55"/>
      <c r="C191" s="55"/>
      <c r="D191" s="55"/>
      <c r="E191" s="54"/>
      <c r="F191" s="54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</row>
    <row r="192">
      <c r="A192" s="55"/>
      <c r="B192" s="55"/>
      <c r="C192" s="55"/>
      <c r="D192" s="55"/>
      <c r="E192" s="54"/>
      <c r="F192" s="54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</row>
    <row r="193">
      <c r="A193" s="55"/>
      <c r="B193" s="55"/>
      <c r="C193" s="55"/>
      <c r="D193" s="55"/>
      <c r="E193" s="54"/>
      <c r="F193" s="54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</row>
    <row r="194">
      <c r="A194" s="55"/>
      <c r="B194" s="55"/>
      <c r="C194" s="55"/>
      <c r="D194" s="55"/>
      <c r="E194" s="54"/>
      <c r="F194" s="54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</row>
    <row r="195">
      <c r="A195" s="55"/>
      <c r="B195" s="55"/>
      <c r="C195" s="55"/>
      <c r="D195" s="55"/>
      <c r="E195" s="54"/>
      <c r="F195" s="54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</row>
    <row r="196">
      <c r="A196" s="55"/>
      <c r="B196" s="55"/>
      <c r="C196" s="55"/>
      <c r="D196" s="55"/>
      <c r="E196" s="54"/>
      <c r="F196" s="54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</row>
    <row r="197">
      <c r="A197" s="55"/>
      <c r="B197" s="55"/>
      <c r="C197" s="55"/>
      <c r="D197" s="55"/>
      <c r="E197" s="54"/>
      <c r="F197" s="54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</row>
    <row r="198">
      <c r="A198" s="55"/>
      <c r="B198" s="55"/>
      <c r="C198" s="55"/>
      <c r="D198" s="55"/>
      <c r="E198" s="54"/>
      <c r="F198" s="54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</row>
    <row r="199">
      <c r="A199" s="55"/>
      <c r="B199" s="55"/>
      <c r="C199" s="55"/>
      <c r="D199" s="55"/>
      <c r="E199" s="54"/>
      <c r="F199" s="54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</row>
    <row r="200">
      <c r="A200" s="55"/>
      <c r="B200" s="55"/>
      <c r="C200" s="55"/>
      <c r="D200" s="55"/>
      <c r="E200" s="54"/>
      <c r="F200" s="54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</row>
    <row r="201">
      <c r="A201" s="55"/>
      <c r="B201" s="55"/>
      <c r="C201" s="55"/>
      <c r="D201" s="55"/>
      <c r="E201" s="54"/>
      <c r="F201" s="54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</row>
    <row r="202">
      <c r="A202" s="55"/>
      <c r="B202" s="55"/>
      <c r="C202" s="55"/>
      <c r="D202" s="55"/>
      <c r="E202" s="54"/>
      <c r="F202" s="54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</row>
    <row r="203">
      <c r="A203" s="55"/>
      <c r="B203" s="55"/>
      <c r="C203" s="55"/>
      <c r="D203" s="55"/>
      <c r="E203" s="54"/>
      <c r="F203" s="54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</row>
    <row r="204">
      <c r="A204" s="55"/>
      <c r="B204" s="55"/>
      <c r="C204" s="55"/>
      <c r="D204" s="55"/>
      <c r="E204" s="54"/>
      <c r="F204" s="54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</row>
    <row r="205">
      <c r="A205" s="55"/>
      <c r="B205" s="55"/>
      <c r="C205" s="55"/>
      <c r="D205" s="55"/>
      <c r="E205" s="54"/>
      <c r="F205" s="54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</row>
    <row r="206">
      <c r="A206" s="55"/>
      <c r="B206" s="55"/>
      <c r="C206" s="55"/>
      <c r="D206" s="55"/>
      <c r="E206" s="54"/>
      <c r="F206" s="54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</row>
    <row r="207">
      <c r="A207" s="55"/>
      <c r="B207" s="55"/>
      <c r="C207" s="55"/>
      <c r="D207" s="55"/>
      <c r="E207" s="54"/>
      <c r="F207" s="54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</row>
    <row r="208">
      <c r="A208" s="55"/>
      <c r="B208" s="55"/>
      <c r="C208" s="55"/>
      <c r="D208" s="55"/>
      <c r="E208" s="54"/>
      <c r="F208" s="54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</row>
    <row r="209">
      <c r="A209" s="55"/>
      <c r="B209" s="55"/>
      <c r="C209" s="55"/>
      <c r="D209" s="55"/>
      <c r="E209" s="54"/>
      <c r="F209" s="54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</row>
    <row r="210">
      <c r="A210" s="55"/>
      <c r="B210" s="55"/>
      <c r="C210" s="55"/>
      <c r="D210" s="55"/>
      <c r="E210" s="54"/>
      <c r="F210" s="54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</row>
    <row r="211">
      <c r="A211" s="55"/>
      <c r="B211" s="55"/>
      <c r="C211" s="55"/>
      <c r="D211" s="55"/>
      <c r="E211" s="54"/>
      <c r="F211" s="54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</row>
    <row r="212">
      <c r="A212" s="55"/>
      <c r="B212" s="55"/>
      <c r="C212" s="55"/>
      <c r="D212" s="55"/>
      <c r="E212" s="54"/>
      <c r="F212" s="54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</row>
    <row r="213">
      <c r="A213" s="55"/>
      <c r="B213" s="55"/>
      <c r="C213" s="55"/>
      <c r="D213" s="55"/>
      <c r="E213" s="54"/>
      <c r="F213" s="54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</row>
    <row r="214">
      <c r="A214" s="55"/>
      <c r="B214" s="55"/>
      <c r="C214" s="55"/>
      <c r="D214" s="55"/>
      <c r="E214" s="54"/>
      <c r="F214" s="54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</row>
    <row r="215">
      <c r="A215" s="55"/>
      <c r="B215" s="55"/>
      <c r="C215" s="55"/>
      <c r="D215" s="55"/>
      <c r="E215" s="54"/>
      <c r="F215" s="54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</row>
    <row r="216">
      <c r="A216" s="55"/>
      <c r="B216" s="55"/>
      <c r="C216" s="55"/>
      <c r="D216" s="55"/>
      <c r="E216" s="54"/>
      <c r="F216" s="54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</row>
    <row r="217">
      <c r="A217" s="55"/>
      <c r="B217" s="55"/>
      <c r="C217" s="55"/>
      <c r="D217" s="55"/>
      <c r="E217" s="54"/>
      <c r="F217" s="54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</row>
    <row r="218">
      <c r="A218" s="55"/>
      <c r="B218" s="55"/>
      <c r="C218" s="55"/>
      <c r="D218" s="55"/>
      <c r="E218" s="54"/>
      <c r="F218" s="54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</row>
    <row r="219">
      <c r="A219" s="55"/>
      <c r="B219" s="55"/>
      <c r="C219" s="55"/>
      <c r="D219" s="55"/>
      <c r="E219" s="54"/>
      <c r="F219" s="54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</row>
    <row r="220">
      <c r="A220" s="55"/>
      <c r="B220" s="55"/>
      <c r="C220" s="55"/>
      <c r="D220" s="55"/>
      <c r="E220" s="54"/>
      <c r="F220" s="54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</row>
    <row r="221">
      <c r="A221" s="55"/>
      <c r="B221" s="55"/>
      <c r="C221" s="55"/>
      <c r="D221" s="55"/>
      <c r="E221" s="54"/>
      <c r="F221" s="54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</row>
    <row r="222">
      <c r="A222" s="55"/>
      <c r="B222" s="55"/>
      <c r="C222" s="55"/>
      <c r="D222" s="55"/>
      <c r="E222" s="54"/>
      <c r="F222" s="54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</row>
    <row r="223">
      <c r="A223" s="55"/>
      <c r="B223" s="55"/>
      <c r="C223" s="55"/>
      <c r="D223" s="55"/>
      <c r="E223" s="54"/>
      <c r="F223" s="54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</row>
    <row r="224">
      <c r="A224" s="55"/>
      <c r="B224" s="55"/>
      <c r="C224" s="55"/>
      <c r="D224" s="55"/>
      <c r="E224" s="54"/>
      <c r="F224" s="54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</row>
    <row r="225">
      <c r="A225" s="55"/>
      <c r="B225" s="55"/>
      <c r="C225" s="55"/>
      <c r="D225" s="55"/>
      <c r="E225" s="54"/>
      <c r="F225" s="54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</row>
    <row r="226">
      <c r="A226" s="55"/>
      <c r="B226" s="55"/>
      <c r="C226" s="55"/>
      <c r="D226" s="55"/>
      <c r="E226" s="54"/>
      <c r="F226" s="54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</row>
    <row r="227">
      <c r="A227" s="55"/>
      <c r="B227" s="55"/>
      <c r="C227" s="55"/>
      <c r="D227" s="55"/>
      <c r="E227" s="54"/>
      <c r="F227" s="54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</row>
    <row r="228">
      <c r="A228" s="55"/>
      <c r="B228" s="55"/>
      <c r="C228" s="55"/>
      <c r="D228" s="55"/>
      <c r="E228" s="54"/>
      <c r="F228" s="54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</row>
    <row r="229">
      <c r="A229" s="55"/>
      <c r="B229" s="55"/>
      <c r="C229" s="55"/>
      <c r="D229" s="55"/>
      <c r="E229" s="54"/>
      <c r="F229" s="54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</row>
    <row r="230">
      <c r="A230" s="55"/>
      <c r="B230" s="55"/>
      <c r="C230" s="55"/>
      <c r="D230" s="55"/>
      <c r="E230" s="54"/>
      <c r="F230" s="54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</row>
    <row r="231">
      <c r="A231" s="55"/>
      <c r="B231" s="55"/>
      <c r="C231" s="55"/>
      <c r="D231" s="55"/>
      <c r="E231" s="54"/>
      <c r="F231" s="54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</row>
    <row r="232">
      <c r="A232" s="55"/>
      <c r="B232" s="55"/>
      <c r="C232" s="55"/>
      <c r="D232" s="55"/>
      <c r="E232" s="54"/>
      <c r="F232" s="54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</row>
    <row r="233">
      <c r="A233" s="55"/>
      <c r="B233" s="55"/>
      <c r="C233" s="55"/>
      <c r="D233" s="55"/>
      <c r="E233" s="54"/>
      <c r="F233" s="54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</row>
    <row r="234">
      <c r="A234" s="55"/>
      <c r="B234" s="55"/>
      <c r="C234" s="55"/>
      <c r="D234" s="55"/>
      <c r="E234" s="54"/>
      <c r="F234" s="54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</row>
    <row r="235">
      <c r="A235" s="55"/>
      <c r="B235" s="55"/>
      <c r="C235" s="55"/>
      <c r="D235" s="55"/>
      <c r="E235" s="54"/>
      <c r="F235" s="54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</row>
    <row r="236">
      <c r="A236" s="55"/>
      <c r="B236" s="55"/>
      <c r="C236" s="55"/>
      <c r="D236" s="55"/>
      <c r="E236" s="54"/>
      <c r="F236" s="54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</row>
    <row r="237">
      <c r="A237" s="55"/>
      <c r="B237" s="55"/>
      <c r="C237" s="55"/>
      <c r="D237" s="55"/>
      <c r="E237" s="54"/>
      <c r="F237" s="54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</row>
    <row r="238">
      <c r="A238" s="55"/>
      <c r="B238" s="55"/>
      <c r="C238" s="55"/>
      <c r="D238" s="55"/>
      <c r="E238" s="54"/>
      <c r="F238" s="54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</row>
    <row r="239">
      <c r="A239" s="55"/>
      <c r="B239" s="55"/>
      <c r="C239" s="55"/>
      <c r="D239" s="55"/>
      <c r="E239" s="54"/>
      <c r="F239" s="54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</row>
    <row r="240">
      <c r="A240" s="55"/>
      <c r="B240" s="55"/>
      <c r="C240" s="55"/>
      <c r="D240" s="55"/>
      <c r="E240" s="54"/>
      <c r="F240" s="54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</row>
    <row r="241">
      <c r="A241" s="55"/>
      <c r="B241" s="55"/>
      <c r="C241" s="55"/>
      <c r="D241" s="55"/>
      <c r="E241" s="54"/>
      <c r="F241" s="54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</row>
    <row r="242">
      <c r="A242" s="55"/>
      <c r="B242" s="55"/>
      <c r="C242" s="55"/>
      <c r="D242" s="55"/>
      <c r="E242" s="54"/>
      <c r="F242" s="54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</row>
    <row r="243">
      <c r="A243" s="55"/>
      <c r="B243" s="55"/>
      <c r="C243" s="55"/>
      <c r="D243" s="55"/>
      <c r="E243" s="54"/>
      <c r="F243" s="54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</row>
    <row r="244">
      <c r="A244" s="55"/>
      <c r="B244" s="55"/>
      <c r="C244" s="55"/>
      <c r="D244" s="55"/>
      <c r="E244" s="54"/>
      <c r="F244" s="54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</row>
    <row r="245">
      <c r="A245" s="55"/>
      <c r="B245" s="55"/>
      <c r="C245" s="55"/>
      <c r="D245" s="55"/>
      <c r="E245" s="54"/>
      <c r="F245" s="54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</row>
    <row r="246">
      <c r="A246" s="55"/>
      <c r="B246" s="55"/>
      <c r="C246" s="55"/>
      <c r="D246" s="55"/>
      <c r="E246" s="54"/>
      <c r="F246" s="54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</row>
    <row r="247">
      <c r="A247" s="55"/>
      <c r="B247" s="55"/>
      <c r="C247" s="55"/>
      <c r="D247" s="55"/>
      <c r="E247" s="54"/>
      <c r="F247" s="54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</row>
    <row r="248">
      <c r="A248" s="55"/>
      <c r="B248" s="55"/>
      <c r="C248" s="55"/>
      <c r="D248" s="55"/>
      <c r="E248" s="54"/>
      <c r="F248" s="54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</row>
    <row r="249">
      <c r="A249" s="55"/>
      <c r="B249" s="55"/>
      <c r="C249" s="55"/>
      <c r="D249" s="55"/>
      <c r="E249" s="54"/>
      <c r="F249" s="54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</row>
    <row r="250">
      <c r="A250" s="55"/>
      <c r="B250" s="55"/>
      <c r="C250" s="55"/>
      <c r="D250" s="55"/>
      <c r="E250" s="54"/>
      <c r="F250" s="54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</row>
    <row r="251">
      <c r="A251" s="55"/>
      <c r="B251" s="55"/>
      <c r="C251" s="55"/>
      <c r="D251" s="55"/>
      <c r="E251" s="54"/>
      <c r="F251" s="54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</row>
    <row r="252">
      <c r="A252" s="55"/>
      <c r="B252" s="55"/>
      <c r="C252" s="55"/>
      <c r="D252" s="55"/>
      <c r="E252" s="54"/>
      <c r="F252" s="54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</row>
    <row r="253">
      <c r="A253" s="55"/>
      <c r="B253" s="55"/>
      <c r="C253" s="55"/>
      <c r="D253" s="55"/>
      <c r="E253" s="54"/>
      <c r="F253" s="54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</row>
    <row r="254">
      <c r="A254" s="55"/>
      <c r="B254" s="55"/>
      <c r="C254" s="55"/>
      <c r="D254" s="55"/>
      <c r="E254" s="54"/>
      <c r="F254" s="54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</row>
    <row r="255">
      <c r="A255" s="55"/>
      <c r="B255" s="55"/>
      <c r="C255" s="55"/>
      <c r="D255" s="55"/>
      <c r="E255" s="54"/>
      <c r="F255" s="54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</row>
    <row r="256">
      <c r="A256" s="55"/>
      <c r="B256" s="55"/>
      <c r="C256" s="55"/>
      <c r="D256" s="55"/>
      <c r="E256" s="54"/>
      <c r="F256" s="54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</row>
    <row r="257">
      <c r="A257" s="55"/>
      <c r="B257" s="55"/>
      <c r="C257" s="55"/>
      <c r="D257" s="55"/>
      <c r="E257" s="54"/>
      <c r="F257" s="54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</row>
    <row r="258">
      <c r="A258" s="55"/>
      <c r="B258" s="55"/>
      <c r="C258" s="55"/>
      <c r="D258" s="55"/>
      <c r="E258" s="54"/>
      <c r="F258" s="54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</row>
    <row r="259">
      <c r="A259" s="55"/>
      <c r="B259" s="55"/>
      <c r="C259" s="55"/>
      <c r="D259" s="55"/>
      <c r="E259" s="54"/>
      <c r="F259" s="54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</row>
    <row r="260">
      <c r="A260" s="55"/>
      <c r="B260" s="55"/>
      <c r="C260" s="55"/>
      <c r="D260" s="55"/>
      <c r="E260" s="54"/>
      <c r="F260" s="54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</row>
    <row r="261">
      <c r="A261" s="55"/>
      <c r="B261" s="55"/>
      <c r="C261" s="55"/>
      <c r="D261" s="55"/>
      <c r="E261" s="54"/>
      <c r="F261" s="54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</row>
    <row r="262">
      <c r="A262" s="55"/>
      <c r="B262" s="55"/>
      <c r="C262" s="55"/>
      <c r="D262" s="55"/>
      <c r="E262" s="54"/>
      <c r="F262" s="54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</row>
    <row r="263">
      <c r="A263" s="55"/>
      <c r="B263" s="55"/>
      <c r="C263" s="55"/>
      <c r="D263" s="55"/>
      <c r="E263" s="54"/>
      <c r="F263" s="54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</row>
    <row r="264">
      <c r="A264" s="55"/>
      <c r="B264" s="55"/>
      <c r="C264" s="55"/>
      <c r="D264" s="55"/>
      <c r="E264" s="54"/>
      <c r="F264" s="54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</row>
    <row r="265">
      <c r="A265" s="55"/>
      <c r="B265" s="55"/>
      <c r="C265" s="55"/>
      <c r="D265" s="55"/>
      <c r="E265" s="54"/>
      <c r="F265" s="54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</row>
    <row r="266">
      <c r="A266" s="55"/>
      <c r="B266" s="55"/>
      <c r="C266" s="55"/>
      <c r="D266" s="55"/>
      <c r="E266" s="54"/>
      <c r="F266" s="54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</row>
    <row r="267">
      <c r="A267" s="55"/>
      <c r="B267" s="55"/>
      <c r="C267" s="55"/>
      <c r="D267" s="55"/>
      <c r="E267" s="54"/>
      <c r="F267" s="54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</row>
    <row r="268">
      <c r="A268" s="55"/>
      <c r="B268" s="55"/>
      <c r="C268" s="55"/>
      <c r="D268" s="55"/>
      <c r="E268" s="54"/>
      <c r="F268" s="54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</row>
    <row r="269">
      <c r="A269" s="55"/>
      <c r="B269" s="55"/>
      <c r="C269" s="55"/>
      <c r="D269" s="55"/>
      <c r="E269" s="54"/>
      <c r="F269" s="54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</row>
    <row r="270">
      <c r="A270" s="55"/>
      <c r="B270" s="55"/>
      <c r="C270" s="55"/>
      <c r="D270" s="55"/>
      <c r="E270" s="54"/>
      <c r="F270" s="54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</row>
    <row r="271">
      <c r="A271" s="55"/>
      <c r="B271" s="55"/>
      <c r="C271" s="55"/>
      <c r="D271" s="55"/>
      <c r="E271" s="54"/>
      <c r="F271" s="54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</row>
    <row r="272">
      <c r="A272" s="55"/>
      <c r="B272" s="55"/>
      <c r="C272" s="55"/>
      <c r="D272" s="55"/>
      <c r="E272" s="54"/>
      <c r="F272" s="54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</row>
    <row r="273">
      <c r="A273" s="55"/>
      <c r="B273" s="55"/>
      <c r="C273" s="55"/>
      <c r="D273" s="55"/>
      <c r="E273" s="54"/>
      <c r="F273" s="54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</row>
    <row r="274">
      <c r="A274" s="55"/>
      <c r="B274" s="55"/>
      <c r="C274" s="55"/>
      <c r="D274" s="55"/>
      <c r="E274" s="54"/>
      <c r="F274" s="54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</row>
    <row r="275">
      <c r="A275" s="55"/>
      <c r="B275" s="55"/>
      <c r="C275" s="55"/>
      <c r="D275" s="55"/>
      <c r="E275" s="54"/>
      <c r="F275" s="54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</row>
    <row r="276">
      <c r="A276" s="55"/>
      <c r="B276" s="55"/>
      <c r="C276" s="55"/>
      <c r="D276" s="55"/>
      <c r="E276" s="54"/>
      <c r="F276" s="54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</row>
    <row r="277">
      <c r="A277" s="55"/>
      <c r="B277" s="55"/>
      <c r="C277" s="55"/>
      <c r="D277" s="55"/>
      <c r="E277" s="54"/>
      <c r="F277" s="54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</row>
    <row r="278">
      <c r="A278" s="55"/>
      <c r="B278" s="55"/>
      <c r="C278" s="55"/>
      <c r="D278" s="55"/>
      <c r="E278" s="54"/>
      <c r="F278" s="54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</row>
    <row r="279">
      <c r="A279" s="55"/>
      <c r="B279" s="55"/>
      <c r="C279" s="55"/>
      <c r="D279" s="55"/>
      <c r="E279" s="54"/>
      <c r="F279" s="54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</row>
    <row r="280">
      <c r="A280" s="55"/>
      <c r="B280" s="55"/>
      <c r="C280" s="55"/>
      <c r="D280" s="55"/>
      <c r="E280" s="54"/>
      <c r="F280" s="54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</row>
    <row r="281">
      <c r="A281" s="55"/>
      <c r="B281" s="55"/>
      <c r="C281" s="55"/>
      <c r="D281" s="55"/>
      <c r="E281" s="54"/>
      <c r="F281" s="54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</row>
    <row r="282">
      <c r="A282" s="55"/>
      <c r="B282" s="55"/>
      <c r="C282" s="55"/>
      <c r="D282" s="55"/>
      <c r="E282" s="54"/>
      <c r="F282" s="54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</row>
    <row r="283">
      <c r="A283" s="55"/>
      <c r="B283" s="55"/>
      <c r="C283" s="55"/>
      <c r="D283" s="55"/>
      <c r="E283" s="54"/>
      <c r="F283" s="54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</row>
    <row r="284">
      <c r="A284" s="55"/>
      <c r="B284" s="55"/>
      <c r="C284" s="55"/>
      <c r="D284" s="55"/>
      <c r="E284" s="54"/>
      <c r="F284" s="54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</row>
    <row r="285">
      <c r="A285" s="55"/>
      <c r="B285" s="55"/>
      <c r="C285" s="55"/>
      <c r="D285" s="55"/>
      <c r="E285" s="54"/>
      <c r="F285" s="54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</row>
    <row r="286">
      <c r="A286" s="55"/>
      <c r="B286" s="55"/>
      <c r="C286" s="55"/>
      <c r="D286" s="55"/>
      <c r="E286" s="54"/>
      <c r="F286" s="54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</row>
    <row r="287">
      <c r="A287" s="55"/>
      <c r="B287" s="55"/>
      <c r="C287" s="55"/>
      <c r="D287" s="55"/>
      <c r="E287" s="54"/>
      <c r="F287" s="54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</row>
    <row r="288">
      <c r="A288" s="55"/>
      <c r="B288" s="55"/>
      <c r="C288" s="55"/>
      <c r="D288" s="55"/>
      <c r="E288" s="54"/>
      <c r="F288" s="54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</row>
    <row r="289">
      <c r="A289" s="55"/>
      <c r="B289" s="55"/>
      <c r="C289" s="55"/>
      <c r="D289" s="55"/>
      <c r="E289" s="54"/>
      <c r="F289" s="54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</row>
    <row r="290">
      <c r="A290" s="55"/>
      <c r="B290" s="55"/>
      <c r="C290" s="55"/>
      <c r="D290" s="55"/>
      <c r="E290" s="54"/>
      <c r="F290" s="54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</row>
    <row r="291">
      <c r="A291" s="55"/>
      <c r="B291" s="55"/>
      <c r="C291" s="55"/>
      <c r="D291" s="55"/>
      <c r="E291" s="54"/>
      <c r="F291" s="54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</row>
    <row r="292">
      <c r="A292" s="55"/>
      <c r="B292" s="55"/>
      <c r="C292" s="55"/>
      <c r="D292" s="55"/>
      <c r="E292" s="54"/>
      <c r="F292" s="54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</row>
    <row r="293">
      <c r="A293" s="55"/>
      <c r="B293" s="55"/>
      <c r="C293" s="55"/>
      <c r="D293" s="55"/>
      <c r="E293" s="54"/>
      <c r="F293" s="54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</row>
    <row r="294">
      <c r="A294" s="55"/>
      <c r="B294" s="55"/>
      <c r="C294" s="55"/>
      <c r="D294" s="55"/>
      <c r="E294" s="54"/>
      <c r="F294" s="54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</row>
    <row r="295">
      <c r="A295" s="55"/>
      <c r="B295" s="55"/>
      <c r="C295" s="55"/>
      <c r="D295" s="55"/>
      <c r="E295" s="54"/>
      <c r="F295" s="54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</row>
    <row r="296">
      <c r="A296" s="55"/>
      <c r="B296" s="55"/>
      <c r="C296" s="55"/>
      <c r="D296" s="55"/>
      <c r="E296" s="54"/>
      <c r="F296" s="54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</row>
    <row r="297">
      <c r="A297" s="55"/>
      <c r="B297" s="55"/>
      <c r="C297" s="55"/>
      <c r="D297" s="55"/>
      <c r="E297" s="54"/>
      <c r="F297" s="54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</row>
    <row r="298">
      <c r="A298" s="55"/>
      <c r="B298" s="55"/>
      <c r="C298" s="55"/>
      <c r="D298" s="55"/>
      <c r="E298" s="54"/>
      <c r="F298" s="54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</row>
    <row r="299">
      <c r="A299" s="55"/>
      <c r="B299" s="55"/>
      <c r="C299" s="55"/>
      <c r="D299" s="55"/>
      <c r="E299" s="54"/>
      <c r="F299" s="54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</row>
    <row r="300">
      <c r="A300" s="55"/>
      <c r="B300" s="55"/>
      <c r="C300" s="55"/>
      <c r="D300" s="55"/>
      <c r="E300" s="54"/>
      <c r="F300" s="54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</row>
    <row r="301">
      <c r="A301" s="55"/>
      <c r="B301" s="55"/>
      <c r="C301" s="55"/>
      <c r="D301" s="55"/>
      <c r="E301" s="54"/>
      <c r="F301" s="54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</row>
    <row r="302">
      <c r="A302" s="55"/>
      <c r="B302" s="55"/>
      <c r="C302" s="55"/>
      <c r="D302" s="55"/>
      <c r="E302" s="54"/>
      <c r="F302" s="54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</row>
    <row r="303">
      <c r="A303" s="55"/>
      <c r="B303" s="55"/>
      <c r="C303" s="55"/>
      <c r="D303" s="55"/>
      <c r="E303" s="54"/>
      <c r="F303" s="54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</row>
    <row r="304">
      <c r="A304" s="55"/>
      <c r="B304" s="55"/>
      <c r="C304" s="55"/>
      <c r="D304" s="55"/>
      <c r="E304" s="54"/>
      <c r="F304" s="54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</row>
    <row r="305">
      <c r="A305" s="55"/>
      <c r="B305" s="55"/>
      <c r="C305" s="55"/>
      <c r="D305" s="55"/>
      <c r="E305" s="54"/>
      <c r="F305" s="54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</row>
    <row r="306">
      <c r="A306" s="55"/>
      <c r="B306" s="55"/>
      <c r="C306" s="55"/>
      <c r="D306" s="55"/>
      <c r="E306" s="54"/>
      <c r="F306" s="54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</row>
    <row r="307">
      <c r="A307" s="55"/>
      <c r="B307" s="55"/>
      <c r="C307" s="55"/>
      <c r="D307" s="55"/>
      <c r="E307" s="54"/>
      <c r="F307" s="54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</row>
    <row r="308">
      <c r="A308" s="55"/>
      <c r="B308" s="55"/>
      <c r="C308" s="55"/>
      <c r="D308" s="55"/>
      <c r="E308" s="54"/>
      <c r="F308" s="54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</row>
    <row r="309">
      <c r="A309" s="55"/>
      <c r="B309" s="55"/>
      <c r="C309" s="55"/>
      <c r="D309" s="55"/>
      <c r="E309" s="54"/>
      <c r="F309" s="54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</row>
    <row r="310">
      <c r="A310" s="55"/>
      <c r="B310" s="55"/>
      <c r="C310" s="55"/>
      <c r="D310" s="55"/>
      <c r="E310" s="54"/>
      <c r="F310" s="54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</row>
    <row r="311">
      <c r="A311" s="55"/>
      <c r="B311" s="55"/>
      <c r="C311" s="55"/>
      <c r="D311" s="55"/>
      <c r="E311" s="54"/>
      <c r="F311" s="54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</row>
    <row r="312">
      <c r="A312" s="55"/>
      <c r="B312" s="55"/>
      <c r="C312" s="55"/>
      <c r="D312" s="55"/>
      <c r="E312" s="54"/>
      <c r="F312" s="54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</row>
    <row r="313">
      <c r="A313" s="55"/>
      <c r="B313" s="55"/>
      <c r="C313" s="55"/>
      <c r="D313" s="55"/>
      <c r="E313" s="54"/>
      <c r="F313" s="54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</row>
    <row r="314">
      <c r="A314" s="55"/>
      <c r="B314" s="55"/>
      <c r="C314" s="55"/>
      <c r="D314" s="55"/>
      <c r="E314" s="54"/>
      <c r="F314" s="54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</row>
    <row r="315">
      <c r="A315" s="55"/>
      <c r="B315" s="55"/>
      <c r="C315" s="55"/>
      <c r="D315" s="55"/>
      <c r="E315" s="54"/>
      <c r="F315" s="54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</row>
    <row r="316">
      <c r="A316" s="55"/>
      <c r="B316" s="55"/>
      <c r="C316" s="55"/>
      <c r="D316" s="55"/>
      <c r="E316" s="54"/>
      <c r="F316" s="54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</row>
    <row r="317">
      <c r="A317" s="55"/>
      <c r="B317" s="55"/>
      <c r="C317" s="55"/>
      <c r="D317" s="55"/>
      <c r="E317" s="54"/>
      <c r="F317" s="54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</row>
    <row r="318">
      <c r="A318" s="55"/>
      <c r="B318" s="55"/>
      <c r="C318" s="55"/>
      <c r="D318" s="55"/>
      <c r="E318" s="54"/>
      <c r="F318" s="54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</row>
    <row r="319">
      <c r="A319" s="55"/>
      <c r="B319" s="55"/>
      <c r="C319" s="55"/>
      <c r="D319" s="55"/>
      <c r="E319" s="54"/>
      <c r="F319" s="54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</row>
    <row r="320">
      <c r="A320" s="55"/>
      <c r="B320" s="55"/>
      <c r="C320" s="55"/>
      <c r="D320" s="55"/>
      <c r="E320" s="54"/>
      <c r="F320" s="54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</row>
    <row r="321">
      <c r="A321" s="55"/>
      <c r="B321" s="55"/>
      <c r="C321" s="55"/>
      <c r="D321" s="55"/>
      <c r="E321" s="54"/>
      <c r="F321" s="54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</row>
    <row r="322">
      <c r="A322" s="55"/>
      <c r="B322" s="55"/>
      <c r="C322" s="55"/>
      <c r="D322" s="55"/>
      <c r="E322" s="54"/>
      <c r="F322" s="54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</row>
    <row r="323">
      <c r="A323" s="55"/>
      <c r="B323" s="55"/>
      <c r="C323" s="55"/>
      <c r="D323" s="55"/>
      <c r="E323" s="54"/>
      <c r="F323" s="54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</row>
    <row r="324">
      <c r="A324" s="55"/>
      <c r="B324" s="55"/>
      <c r="C324" s="55"/>
      <c r="D324" s="55"/>
      <c r="E324" s="54"/>
      <c r="F324" s="54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</row>
    <row r="325">
      <c r="A325" s="55"/>
      <c r="B325" s="55"/>
      <c r="C325" s="55"/>
      <c r="D325" s="55"/>
      <c r="E325" s="54"/>
      <c r="F325" s="54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</row>
    <row r="326">
      <c r="A326" s="55"/>
      <c r="B326" s="55"/>
      <c r="C326" s="55"/>
      <c r="D326" s="55"/>
      <c r="E326" s="54"/>
      <c r="F326" s="54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</row>
    <row r="327">
      <c r="A327" s="55"/>
      <c r="B327" s="55"/>
      <c r="C327" s="55"/>
      <c r="D327" s="55"/>
      <c r="E327" s="54"/>
      <c r="F327" s="54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</row>
    <row r="328">
      <c r="A328" s="55"/>
      <c r="B328" s="55"/>
      <c r="C328" s="55"/>
      <c r="D328" s="55"/>
      <c r="E328" s="54"/>
      <c r="F328" s="54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</row>
    <row r="329">
      <c r="A329" s="55"/>
      <c r="B329" s="55"/>
      <c r="C329" s="55"/>
      <c r="D329" s="55"/>
      <c r="E329" s="54"/>
      <c r="F329" s="54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</row>
    <row r="330">
      <c r="A330" s="55"/>
      <c r="B330" s="55"/>
      <c r="C330" s="55"/>
      <c r="D330" s="55"/>
      <c r="E330" s="54"/>
      <c r="F330" s="54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</row>
    <row r="331">
      <c r="A331" s="55"/>
      <c r="B331" s="55"/>
      <c r="C331" s="55"/>
      <c r="D331" s="55"/>
      <c r="E331" s="54"/>
      <c r="F331" s="54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</row>
    <row r="332">
      <c r="A332" s="55"/>
      <c r="B332" s="55"/>
      <c r="C332" s="55"/>
      <c r="D332" s="55"/>
      <c r="E332" s="54"/>
      <c r="F332" s="54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</row>
    <row r="333">
      <c r="A333" s="55"/>
      <c r="B333" s="55"/>
      <c r="C333" s="55"/>
      <c r="D333" s="55"/>
      <c r="E333" s="54"/>
      <c r="F333" s="54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</row>
    <row r="334">
      <c r="A334" s="55"/>
      <c r="B334" s="55"/>
      <c r="C334" s="55"/>
      <c r="D334" s="55"/>
      <c r="E334" s="54"/>
      <c r="F334" s="54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</row>
    <row r="335">
      <c r="A335" s="55"/>
      <c r="B335" s="55"/>
      <c r="C335" s="55"/>
      <c r="D335" s="55"/>
      <c r="E335" s="54"/>
      <c r="F335" s="54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</row>
    <row r="336">
      <c r="A336" s="55"/>
      <c r="B336" s="55"/>
      <c r="C336" s="55"/>
      <c r="D336" s="55"/>
      <c r="E336" s="54"/>
      <c r="F336" s="54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</row>
    <row r="337">
      <c r="A337" s="55"/>
      <c r="B337" s="55"/>
      <c r="C337" s="55"/>
      <c r="D337" s="55"/>
      <c r="E337" s="54"/>
      <c r="F337" s="54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</row>
    <row r="338">
      <c r="A338" s="55"/>
      <c r="B338" s="55"/>
      <c r="C338" s="55"/>
      <c r="D338" s="55"/>
      <c r="E338" s="54"/>
      <c r="F338" s="54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</row>
    <row r="339">
      <c r="A339" s="55"/>
      <c r="B339" s="55"/>
      <c r="C339" s="55"/>
      <c r="D339" s="55"/>
      <c r="E339" s="54"/>
      <c r="F339" s="54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</row>
    <row r="340">
      <c r="A340" s="55"/>
      <c r="B340" s="55"/>
      <c r="C340" s="55"/>
      <c r="D340" s="55"/>
      <c r="E340" s="54"/>
      <c r="F340" s="54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</row>
    <row r="341">
      <c r="A341" s="55"/>
      <c r="B341" s="55"/>
      <c r="C341" s="55"/>
      <c r="D341" s="55"/>
      <c r="E341" s="54"/>
      <c r="F341" s="54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</row>
    <row r="342">
      <c r="A342" s="55"/>
      <c r="B342" s="55"/>
      <c r="C342" s="55"/>
      <c r="D342" s="55"/>
      <c r="E342" s="54"/>
      <c r="F342" s="54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</row>
    <row r="343">
      <c r="A343" s="55"/>
      <c r="B343" s="55"/>
      <c r="C343" s="55"/>
      <c r="D343" s="55"/>
      <c r="E343" s="54"/>
      <c r="F343" s="54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</row>
    <row r="344">
      <c r="A344" s="55"/>
      <c r="B344" s="55"/>
      <c r="C344" s="55"/>
      <c r="D344" s="55"/>
      <c r="E344" s="54"/>
      <c r="F344" s="54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</row>
    <row r="345">
      <c r="A345" s="55"/>
      <c r="B345" s="55"/>
      <c r="C345" s="55"/>
      <c r="D345" s="55"/>
      <c r="E345" s="54"/>
      <c r="F345" s="54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</row>
    <row r="346">
      <c r="A346" s="55"/>
      <c r="B346" s="55"/>
      <c r="C346" s="55"/>
      <c r="D346" s="55"/>
      <c r="E346" s="54"/>
      <c r="F346" s="54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</row>
    <row r="347">
      <c r="A347" s="55"/>
      <c r="B347" s="55"/>
      <c r="C347" s="55"/>
      <c r="D347" s="55"/>
      <c r="E347" s="54"/>
      <c r="F347" s="54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</row>
    <row r="348">
      <c r="A348" s="55"/>
      <c r="B348" s="55"/>
      <c r="C348" s="55"/>
      <c r="D348" s="55"/>
      <c r="E348" s="54"/>
      <c r="F348" s="54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</row>
    <row r="349">
      <c r="A349" s="55"/>
      <c r="B349" s="55"/>
      <c r="C349" s="55"/>
      <c r="D349" s="55"/>
      <c r="E349" s="54"/>
      <c r="F349" s="54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</row>
    <row r="350">
      <c r="A350" s="55"/>
      <c r="B350" s="55"/>
      <c r="C350" s="55"/>
      <c r="D350" s="55"/>
      <c r="E350" s="54"/>
      <c r="F350" s="54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</row>
    <row r="351">
      <c r="A351" s="55"/>
      <c r="B351" s="55"/>
      <c r="C351" s="55"/>
      <c r="D351" s="55"/>
      <c r="E351" s="54"/>
      <c r="F351" s="54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</row>
    <row r="352">
      <c r="A352" s="55"/>
      <c r="B352" s="55"/>
      <c r="C352" s="55"/>
      <c r="D352" s="55"/>
      <c r="E352" s="54"/>
      <c r="F352" s="54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</row>
    <row r="353">
      <c r="A353" s="55"/>
      <c r="B353" s="55"/>
      <c r="C353" s="55"/>
      <c r="D353" s="55"/>
      <c r="E353" s="54"/>
      <c r="F353" s="54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</row>
    <row r="354">
      <c r="A354" s="55"/>
      <c r="B354" s="55"/>
      <c r="C354" s="55"/>
      <c r="D354" s="55"/>
      <c r="E354" s="54"/>
      <c r="F354" s="54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</row>
    <row r="355">
      <c r="A355" s="55"/>
      <c r="B355" s="55"/>
      <c r="C355" s="55"/>
      <c r="D355" s="55"/>
      <c r="E355" s="54"/>
      <c r="F355" s="54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</row>
    <row r="356">
      <c r="A356" s="55"/>
      <c r="B356" s="55"/>
      <c r="C356" s="55"/>
      <c r="D356" s="55"/>
      <c r="E356" s="54"/>
      <c r="F356" s="54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</row>
    <row r="357">
      <c r="A357" s="55"/>
      <c r="B357" s="55"/>
      <c r="C357" s="55"/>
      <c r="D357" s="55"/>
      <c r="E357" s="54"/>
      <c r="F357" s="54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</row>
    <row r="358">
      <c r="A358" s="55"/>
      <c r="B358" s="55"/>
      <c r="C358" s="55"/>
      <c r="D358" s="55"/>
      <c r="E358" s="54"/>
      <c r="F358" s="54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</row>
    <row r="359">
      <c r="A359" s="55"/>
      <c r="B359" s="55"/>
      <c r="C359" s="55"/>
      <c r="D359" s="55"/>
      <c r="E359" s="54"/>
      <c r="F359" s="54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</row>
    <row r="360">
      <c r="A360" s="55"/>
      <c r="B360" s="55"/>
      <c r="C360" s="55"/>
      <c r="D360" s="55"/>
      <c r="E360" s="54"/>
      <c r="F360" s="54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</row>
    <row r="361">
      <c r="A361" s="55"/>
      <c r="B361" s="55"/>
      <c r="C361" s="55"/>
      <c r="D361" s="55"/>
      <c r="E361" s="54"/>
      <c r="F361" s="54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</row>
    <row r="362">
      <c r="A362" s="55"/>
      <c r="B362" s="55"/>
      <c r="C362" s="55"/>
      <c r="D362" s="55"/>
      <c r="E362" s="54"/>
      <c r="F362" s="54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</row>
    <row r="363">
      <c r="A363" s="55"/>
      <c r="B363" s="55"/>
      <c r="C363" s="55"/>
      <c r="D363" s="55"/>
      <c r="E363" s="54"/>
      <c r="F363" s="54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</row>
    <row r="364">
      <c r="A364" s="55"/>
      <c r="B364" s="55"/>
      <c r="C364" s="55"/>
      <c r="D364" s="55"/>
      <c r="E364" s="54"/>
      <c r="F364" s="54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</row>
    <row r="365">
      <c r="A365" s="55"/>
      <c r="B365" s="55"/>
      <c r="C365" s="55"/>
      <c r="D365" s="55"/>
      <c r="E365" s="54"/>
      <c r="F365" s="54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</row>
    <row r="366">
      <c r="A366" s="55"/>
      <c r="B366" s="55"/>
      <c r="C366" s="55"/>
      <c r="D366" s="55"/>
      <c r="E366" s="54"/>
      <c r="F366" s="54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</row>
    <row r="367">
      <c r="A367" s="55"/>
      <c r="B367" s="55"/>
      <c r="C367" s="55"/>
      <c r="D367" s="55"/>
      <c r="E367" s="54"/>
      <c r="F367" s="54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</row>
    <row r="368">
      <c r="A368" s="55"/>
      <c r="B368" s="55"/>
      <c r="C368" s="55"/>
      <c r="D368" s="55"/>
      <c r="E368" s="54"/>
      <c r="F368" s="54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</row>
    <row r="369">
      <c r="A369" s="55"/>
      <c r="B369" s="55"/>
      <c r="C369" s="55"/>
      <c r="D369" s="55"/>
      <c r="E369" s="54"/>
      <c r="F369" s="54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</row>
    <row r="370">
      <c r="A370" s="55"/>
      <c r="B370" s="55"/>
      <c r="C370" s="55"/>
      <c r="D370" s="55"/>
      <c r="E370" s="54"/>
      <c r="F370" s="54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</row>
    <row r="371">
      <c r="A371" s="55"/>
      <c r="B371" s="55"/>
      <c r="C371" s="55"/>
      <c r="D371" s="55"/>
      <c r="E371" s="54"/>
      <c r="F371" s="54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</row>
    <row r="372">
      <c r="A372" s="55"/>
      <c r="B372" s="55"/>
      <c r="C372" s="55"/>
      <c r="D372" s="55"/>
      <c r="E372" s="54"/>
      <c r="F372" s="54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</row>
    <row r="373">
      <c r="A373" s="55"/>
      <c r="B373" s="55"/>
      <c r="C373" s="55"/>
      <c r="D373" s="55"/>
      <c r="E373" s="54"/>
      <c r="F373" s="54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</row>
    <row r="374">
      <c r="A374" s="55"/>
      <c r="B374" s="55"/>
      <c r="C374" s="55"/>
      <c r="D374" s="55"/>
      <c r="E374" s="54"/>
      <c r="F374" s="54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</row>
    <row r="375">
      <c r="A375" s="55"/>
      <c r="B375" s="55"/>
      <c r="C375" s="55"/>
      <c r="D375" s="55"/>
      <c r="E375" s="54"/>
      <c r="F375" s="54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</row>
    <row r="376">
      <c r="A376" s="55"/>
      <c r="B376" s="55"/>
      <c r="C376" s="55"/>
      <c r="D376" s="55"/>
      <c r="E376" s="54"/>
      <c r="F376" s="54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</row>
    <row r="377">
      <c r="A377" s="55"/>
      <c r="B377" s="55"/>
      <c r="C377" s="55"/>
      <c r="D377" s="55"/>
      <c r="E377" s="54"/>
      <c r="F377" s="54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</row>
    <row r="378">
      <c r="A378" s="55"/>
      <c r="B378" s="55"/>
      <c r="C378" s="55"/>
      <c r="D378" s="55"/>
      <c r="E378" s="54"/>
      <c r="F378" s="54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</row>
    <row r="379">
      <c r="A379" s="55"/>
      <c r="B379" s="55"/>
      <c r="C379" s="55"/>
      <c r="D379" s="55"/>
      <c r="E379" s="54"/>
      <c r="F379" s="54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</row>
    <row r="380">
      <c r="A380" s="55"/>
      <c r="B380" s="55"/>
      <c r="C380" s="55"/>
      <c r="D380" s="55"/>
      <c r="E380" s="54"/>
      <c r="F380" s="54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</row>
    <row r="381">
      <c r="A381" s="55"/>
      <c r="B381" s="55"/>
      <c r="C381" s="55"/>
      <c r="D381" s="55"/>
      <c r="E381" s="54"/>
      <c r="F381" s="54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</row>
    <row r="382">
      <c r="A382" s="55"/>
      <c r="B382" s="55"/>
      <c r="C382" s="55"/>
      <c r="D382" s="55"/>
      <c r="E382" s="54"/>
      <c r="F382" s="54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</row>
    <row r="383">
      <c r="A383" s="55"/>
      <c r="B383" s="55"/>
      <c r="C383" s="55"/>
      <c r="D383" s="55"/>
      <c r="E383" s="54"/>
      <c r="F383" s="54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</row>
    <row r="384">
      <c r="A384" s="55"/>
      <c r="B384" s="55"/>
      <c r="C384" s="55"/>
      <c r="D384" s="55"/>
      <c r="E384" s="54"/>
      <c r="F384" s="54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</row>
    <row r="385">
      <c r="A385" s="55"/>
      <c r="B385" s="55"/>
      <c r="C385" s="55"/>
      <c r="D385" s="55"/>
      <c r="E385" s="54"/>
      <c r="F385" s="54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</row>
    <row r="386">
      <c r="A386" s="55"/>
      <c r="B386" s="55"/>
      <c r="C386" s="55"/>
      <c r="D386" s="55"/>
      <c r="E386" s="54"/>
      <c r="F386" s="54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</row>
    <row r="387">
      <c r="A387" s="55"/>
      <c r="B387" s="55"/>
      <c r="C387" s="55"/>
      <c r="D387" s="55"/>
      <c r="E387" s="54"/>
      <c r="F387" s="54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</row>
    <row r="388">
      <c r="A388" s="55"/>
      <c r="B388" s="55"/>
      <c r="C388" s="55"/>
      <c r="D388" s="55"/>
      <c r="E388" s="54"/>
      <c r="F388" s="54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</row>
    <row r="389">
      <c r="A389" s="55"/>
      <c r="B389" s="55"/>
      <c r="C389" s="55"/>
      <c r="D389" s="55"/>
      <c r="E389" s="54"/>
      <c r="F389" s="54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</row>
    <row r="390">
      <c r="A390" s="55"/>
      <c r="B390" s="55"/>
      <c r="C390" s="55"/>
      <c r="D390" s="55"/>
      <c r="E390" s="54"/>
      <c r="F390" s="54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</row>
    <row r="391">
      <c r="A391" s="55"/>
      <c r="B391" s="55"/>
      <c r="C391" s="55"/>
      <c r="D391" s="55"/>
      <c r="E391" s="54"/>
      <c r="F391" s="54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</row>
    <row r="392">
      <c r="A392" s="55"/>
      <c r="B392" s="55"/>
      <c r="C392" s="55"/>
      <c r="D392" s="55"/>
      <c r="E392" s="54"/>
      <c r="F392" s="54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</row>
    <row r="393">
      <c r="A393" s="55"/>
      <c r="B393" s="55"/>
      <c r="C393" s="55"/>
      <c r="D393" s="55"/>
      <c r="E393" s="54"/>
      <c r="F393" s="54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</row>
    <row r="394">
      <c r="A394" s="55"/>
      <c r="B394" s="55"/>
      <c r="C394" s="55"/>
      <c r="D394" s="55"/>
      <c r="E394" s="54"/>
      <c r="F394" s="54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</row>
    <row r="395">
      <c r="A395" s="55"/>
      <c r="B395" s="55"/>
      <c r="C395" s="55"/>
      <c r="D395" s="55"/>
      <c r="E395" s="54"/>
      <c r="F395" s="54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</row>
    <row r="396">
      <c r="A396" s="55"/>
      <c r="B396" s="55"/>
      <c r="C396" s="55"/>
      <c r="D396" s="55"/>
      <c r="E396" s="54"/>
      <c r="F396" s="54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</row>
    <row r="397">
      <c r="A397" s="55"/>
      <c r="B397" s="55"/>
      <c r="C397" s="55"/>
      <c r="D397" s="55"/>
      <c r="E397" s="54"/>
      <c r="F397" s="54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</row>
    <row r="398">
      <c r="A398" s="55"/>
      <c r="B398" s="55"/>
      <c r="C398" s="55"/>
      <c r="D398" s="55"/>
      <c r="E398" s="54"/>
      <c r="F398" s="54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</row>
    <row r="399">
      <c r="A399" s="55"/>
      <c r="B399" s="55"/>
      <c r="C399" s="55"/>
      <c r="D399" s="55"/>
      <c r="E399" s="54"/>
      <c r="F399" s="54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</row>
    <row r="400">
      <c r="A400" s="55"/>
      <c r="B400" s="55"/>
      <c r="C400" s="55"/>
      <c r="D400" s="55"/>
      <c r="E400" s="54"/>
      <c r="F400" s="54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</row>
    <row r="401">
      <c r="A401" s="55"/>
      <c r="B401" s="55"/>
      <c r="C401" s="55"/>
      <c r="D401" s="55"/>
      <c r="E401" s="54"/>
      <c r="F401" s="54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</row>
    <row r="402">
      <c r="A402" s="55"/>
      <c r="B402" s="55"/>
      <c r="C402" s="55"/>
      <c r="D402" s="55"/>
      <c r="E402" s="54"/>
      <c r="F402" s="54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</row>
    <row r="403">
      <c r="A403" s="55"/>
      <c r="B403" s="55"/>
      <c r="C403" s="55"/>
      <c r="D403" s="55"/>
      <c r="E403" s="54"/>
      <c r="F403" s="54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</row>
    <row r="404">
      <c r="A404" s="55"/>
      <c r="B404" s="55"/>
      <c r="C404" s="55"/>
      <c r="D404" s="55"/>
      <c r="E404" s="54"/>
      <c r="F404" s="54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</row>
    <row r="405">
      <c r="A405" s="55"/>
      <c r="B405" s="55"/>
      <c r="C405" s="55"/>
      <c r="D405" s="55"/>
      <c r="E405" s="54"/>
      <c r="F405" s="54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</row>
    <row r="406">
      <c r="A406" s="55"/>
      <c r="B406" s="55"/>
      <c r="C406" s="55"/>
      <c r="D406" s="55"/>
      <c r="E406" s="54"/>
      <c r="F406" s="54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</row>
    <row r="407">
      <c r="A407" s="55"/>
      <c r="B407" s="55"/>
      <c r="C407" s="55"/>
      <c r="D407" s="55"/>
      <c r="E407" s="54"/>
      <c r="F407" s="54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</row>
    <row r="408">
      <c r="A408" s="55"/>
      <c r="B408" s="55"/>
      <c r="C408" s="55"/>
      <c r="D408" s="55"/>
      <c r="E408" s="54"/>
      <c r="F408" s="54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</row>
    <row r="409">
      <c r="A409" s="55"/>
      <c r="B409" s="55"/>
      <c r="C409" s="55"/>
      <c r="D409" s="55"/>
      <c r="E409" s="54"/>
      <c r="F409" s="54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</row>
    <row r="410">
      <c r="A410" s="55"/>
      <c r="B410" s="55"/>
      <c r="C410" s="55"/>
      <c r="D410" s="55"/>
      <c r="E410" s="54"/>
      <c r="F410" s="54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</row>
    <row r="411">
      <c r="A411" s="55"/>
      <c r="B411" s="55"/>
      <c r="C411" s="55"/>
      <c r="D411" s="55"/>
      <c r="E411" s="54"/>
      <c r="F411" s="54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</row>
    <row r="412">
      <c r="A412" s="55"/>
      <c r="B412" s="55"/>
      <c r="C412" s="55"/>
      <c r="D412" s="55"/>
      <c r="E412" s="54"/>
      <c r="F412" s="54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</row>
    <row r="413">
      <c r="A413" s="55"/>
      <c r="B413" s="55"/>
      <c r="C413" s="55"/>
      <c r="D413" s="55"/>
      <c r="E413" s="54"/>
      <c r="F413" s="54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</row>
    <row r="414">
      <c r="A414" s="55"/>
      <c r="B414" s="55"/>
      <c r="C414" s="55"/>
      <c r="D414" s="55"/>
      <c r="E414" s="54"/>
      <c r="F414" s="54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</row>
    <row r="415">
      <c r="A415" s="55"/>
      <c r="B415" s="55"/>
      <c r="C415" s="55"/>
      <c r="D415" s="55"/>
      <c r="E415" s="54"/>
      <c r="F415" s="54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</row>
    <row r="416">
      <c r="A416" s="55"/>
      <c r="B416" s="55"/>
      <c r="C416" s="55"/>
      <c r="D416" s="55"/>
      <c r="E416" s="54"/>
      <c r="F416" s="54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</row>
    <row r="417">
      <c r="A417" s="55"/>
      <c r="B417" s="55"/>
      <c r="C417" s="55"/>
      <c r="D417" s="55"/>
      <c r="E417" s="54"/>
      <c r="F417" s="54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</row>
    <row r="418">
      <c r="A418" s="55"/>
      <c r="B418" s="55"/>
      <c r="C418" s="55"/>
      <c r="D418" s="55"/>
      <c r="E418" s="54"/>
      <c r="F418" s="54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</row>
    <row r="419">
      <c r="A419" s="55"/>
      <c r="B419" s="55"/>
      <c r="C419" s="55"/>
      <c r="D419" s="55"/>
      <c r="E419" s="54"/>
      <c r="F419" s="54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</row>
    <row r="420">
      <c r="A420" s="55"/>
      <c r="B420" s="55"/>
      <c r="C420" s="55"/>
      <c r="D420" s="55"/>
      <c r="E420" s="54"/>
      <c r="F420" s="54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</row>
    <row r="421">
      <c r="A421" s="55"/>
      <c r="B421" s="55"/>
      <c r="C421" s="55"/>
      <c r="D421" s="55"/>
      <c r="E421" s="54"/>
      <c r="F421" s="54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</row>
    <row r="422">
      <c r="A422" s="55"/>
      <c r="B422" s="55"/>
      <c r="C422" s="55"/>
      <c r="D422" s="55"/>
      <c r="E422" s="54"/>
      <c r="F422" s="54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</row>
    <row r="423">
      <c r="A423" s="55"/>
      <c r="B423" s="55"/>
      <c r="C423" s="55"/>
      <c r="D423" s="55"/>
      <c r="E423" s="54"/>
      <c r="F423" s="54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</row>
    <row r="424">
      <c r="A424" s="55"/>
      <c r="B424" s="55"/>
      <c r="C424" s="55"/>
      <c r="D424" s="55"/>
      <c r="E424" s="54"/>
      <c r="F424" s="54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</row>
    <row r="425">
      <c r="A425" s="55"/>
      <c r="B425" s="55"/>
      <c r="C425" s="55"/>
      <c r="D425" s="55"/>
      <c r="E425" s="54"/>
      <c r="F425" s="54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</row>
    <row r="426">
      <c r="A426" s="55"/>
      <c r="B426" s="55"/>
      <c r="C426" s="55"/>
      <c r="D426" s="55"/>
      <c r="E426" s="54"/>
      <c r="F426" s="54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</row>
    <row r="427">
      <c r="A427" s="55"/>
      <c r="B427" s="55"/>
      <c r="C427" s="55"/>
      <c r="D427" s="55"/>
      <c r="E427" s="54"/>
      <c r="F427" s="54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</row>
    <row r="428">
      <c r="A428" s="55"/>
      <c r="B428" s="55"/>
      <c r="C428" s="55"/>
      <c r="D428" s="55"/>
      <c r="E428" s="54"/>
      <c r="F428" s="54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</row>
    <row r="429">
      <c r="A429" s="55"/>
      <c r="B429" s="55"/>
      <c r="C429" s="55"/>
      <c r="D429" s="55"/>
      <c r="E429" s="54"/>
      <c r="F429" s="54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</row>
    <row r="430">
      <c r="A430" s="55"/>
      <c r="B430" s="55"/>
      <c r="C430" s="55"/>
      <c r="D430" s="55"/>
      <c r="E430" s="54"/>
      <c r="F430" s="54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</row>
    <row r="431">
      <c r="A431" s="55"/>
      <c r="B431" s="55"/>
      <c r="C431" s="55"/>
      <c r="D431" s="55"/>
      <c r="E431" s="54"/>
      <c r="F431" s="54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</row>
    <row r="432">
      <c r="A432" s="55"/>
      <c r="B432" s="55"/>
      <c r="C432" s="55"/>
      <c r="D432" s="55"/>
      <c r="E432" s="54"/>
      <c r="F432" s="54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</row>
    <row r="433">
      <c r="A433" s="55"/>
      <c r="B433" s="55"/>
      <c r="C433" s="55"/>
      <c r="D433" s="55"/>
      <c r="E433" s="54"/>
      <c r="F433" s="54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</row>
    <row r="434">
      <c r="A434" s="55"/>
      <c r="B434" s="55"/>
      <c r="C434" s="55"/>
      <c r="D434" s="55"/>
      <c r="E434" s="54"/>
      <c r="F434" s="54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</row>
    <row r="435">
      <c r="A435" s="55"/>
      <c r="B435" s="55"/>
      <c r="C435" s="55"/>
      <c r="D435" s="55"/>
      <c r="E435" s="54"/>
      <c r="F435" s="54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</row>
    <row r="436">
      <c r="A436" s="55"/>
      <c r="B436" s="55"/>
      <c r="C436" s="55"/>
      <c r="D436" s="55"/>
      <c r="E436" s="54"/>
      <c r="F436" s="54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</row>
    <row r="437">
      <c r="A437" s="55"/>
      <c r="B437" s="55"/>
      <c r="C437" s="55"/>
      <c r="D437" s="55"/>
      <c r="E437" s="54"/>
      <c r="F437" s="54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</row>
    <row r="438">
      <c r="A438" s="55"/>
      <c r="B438" s="55"/>
      <c r="C438" s="55"/>
      <c r="D438" s="55"/>
      <c r="E438" s="54"/>
      <c r="F438" s="54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</row>
    <row r="439">
      <c r="A439" s="55"/>
      <c r="B439" s="55"/>
      <c r="C439" s="55"/>
      <c r="D439" s="55"/>
      <c r="E439" s="54"/>
      <c r="F439" s="54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</row>
    <row r="440">
      <c r="A440" s="55"/>
      <c r="B440" s="55"/>
      <c r="C440" s="55"/>
      <c r="D440" s="55"/>
      <c r="E440" s="54"/>
      <c r="F440" s="54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</row>
    <row r="441">
      <c r="A441" s="55"/>
      <c r="B441" s="55"/>
      <c r="C441" s="55"/>
      <c r="D441" s="55"/>
      <c r="E441" s="54"/>
      <c r="F441" s="54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</row>
    <row r="442">
      <c r="A442" s="55"/>
      <c r="B442" s="55"/>
      <c r="C442" s="55"/>
      <c r="D442" s="55"/>
      <c r="E442" s="54"/>
      <c r="F442" s="54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</row>
    <row r="443">
      <c r="A443" s="55"/>
      <c r="B443" s="55"/>
      <c r="C443" s="55"/>
      <c r="D443" s="55"/>
      <c r="E443" s="54"/>
      <c r="F443" s="54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</row>
    <row r="444">
      <c r="A444" s="55"/>
      <c r="B444" s="55"/>
      <c r="C444" s="55"/>
      <c r="D444" s="55"/>
      <c r="E444" s="54"/>
      <c r="F444" s="54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</row>
    <row r="445">
      <c r="A445" s="55"/>
      <c r="B445" s="55"/>
      <c r="C445" s="55"/>
      <c r="D445" s="55"/>
      <c r="E445" s="54"/>
      <c r="F445" s="54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</row>
    <row r="446">
      <c r="A446" s="55"/>
      <c r="B446" s="55"/>
      <c r="C446" s="55"/>
      <c r="D446" s="55"/>
      <c r="E446" s="54"/>
      <c r="F446" s="54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</row>
    <row r="447">
      <c r="A447" s="55"/>
      <c r="B447" s="55"/>
      <c r="C447" s="55"/>
      <c r="D447" s="55"/>
      <c r="E447" s="54"/>
      <c r="F447" s="54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</row>
    <row r="448">
      <c r="A448" s="55"/>
      <c r="B448" s="55"/>
      <c r="C448" s="55"/>
      <c r="D448" s="55"/>
      <c r="E448" s="54"/>
      <c r="F448" s="54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</row>
    <row r="449">
      <c r="A449" s="55"/>
      <c r="B449" s="55"/>
      <c r="C449" s="55"/>
      <c r="D449" s="55"/>
      <c r="E449" s="54"/>
      <c r="F449" s="54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</row>
    <row r="450">
      <c r="A450" s="55"/>
      <c r="B450" s="55"/>
      <c r="C450" s="55"/>
      <c r="D450" s="55"/>
      <c r="E450" s="54"/>
      <c r="F450" s="54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</row>
    <row r="451">
      <c r="A451" s="55"/>
      <c r="B451" s="55"/>
      <c r="C451" s="55"/>
      <c r="D451" s="55"/>
      <c r="E451" s="54"/>
      <c r="F451" s="54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</row>
    <row r="452">
      <c r="A452" s="55"/>
      <c r="B452" s="55"/>
      <c r="C452" s="55"/>
      <c r="D452" s="55"/>
      <c r="E452" s="54"/>
      <c r="F452" s="54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</row>
    <row r="453">
      <c r="A453" s="55"/>
      <c r="B453" s="55"/>
      <c r="C453" s="55"/>
      <c r="D453" s="55"/>
      <c r="E453" s="54"/>
      <c r="F453" s="54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</row>
    <row r="454">
      <c r="A454" s="55"/>
      <c r="B454" s="55"/>
      <c r="C454" s="55"/>
      <c r="D454" s="55"/>
      <c r="E454" s="54"/>
      <c r="F454" s="54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</row>
    <row r="455">
      <c r="A455" s="55"/>
      <c r="B455" s="55"/>
      <c r="C455" s="55"/>
      <c r="D455" s="55"/>
      <c r="E455" s="54"/>
      <c r="F455" s="54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</row>
    <row r="456">
      <c r="A456" s="55"/>
      <c r="B456" s="55"/>
      <c r="C456" s="55"/>
      <c r="D456" s="55"/>
      <c r="E456" s="54"/>
      <c r="F456" s="54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</row>
    <row r="457">
      <c r="A457" s="55"/>
      <c r="B457" s="55"/>
      <c r="C457" s="55"/>
      <c r="D457" s="55"/>
      <c r="E457" s="54"/>
      <c r="F457" s="54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</row>
    <row r="458">
      <c r="A458" s="55"/>
      <c r="B458" s="55"/>
      <c r="C458" s="55"/>
      <c r="D458" s="55"/>
      <c r="E458" s="54"/>
      <c r="F458" s="54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</row>
    <row r="459">
      <c r="A459" s="55"/>
      <c r="B459" s="55"/>
      <c r="C459" s="55"/>
      <c r="D459" s="55"/>
      <c r="E459" s="54"/>
      <c r="F459" s="54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</row>
    <row r="460">
      <c r="A460" s="55"/>
      <c r="B460" s="55"/>
      <c r="C460" s="55"/>
      <c r="D460" s="55"/>
      <c r="E460" s="54"/>
      <c r="F460" s="54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</row>
    <row r="461">
      <c r="A461" s="55"/>
      <c r="B461" s="55"/>
      <c r="C461" s="55"/>
      <c r="D461" s="55"/>
      <c r="E461" s="54"/>
      <c r="F461" s="54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</row>
    <row r="462">
      <c r="A462" s="55"/>
      <c r="B462" s="55"/>
      <c r="C462" s="55"/>
      <c r="D462" s="55"/>
      <c r="E462" s="54"/>
      <c r="F462" s="54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</row>
    <row r="463">
      <c r="A463" s="55"/>
      <c r="B463" s="55"/>
      <c r="C463" s="55"/>
      <c r="D463" s="55"/>
      <c r="E463" s="54"/>
      <c r="F463" s="54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</row>
    <row r="464">
      <c r="A464" s="55"/>
      <c r="B464" s="55"/>
      <c r="C464" s="55"/>
      <c r="D464" s="55"/>
      <c r="E464" s="54"/>
      <c r="F464" s="54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</row>
    <row r="465">
      <c r="A465" s="55"/>
      <c r="B465" s="55"/>
      <c r="C465" s="55"/>
      <c r="D465" s="55"/>
      <c r="E465" s="54"/>
      <c r="F465" s="54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</row>
    <row r="466">
      <c r="A466" s="55"/>
      <c r="B466" s="55"/>
      <c r="C466" s="55"/>
      <c r="D466" s="55"/>
      <c r="E466" s="54"/>
      <c r="F466" s="54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</row>
    <row r="467">
      <c r="A467" s="55"/>
      <c r="B467" s="55"/>
      <c r="C467" s="55"/>
      <c r="D467" s="55"/>
      <c r="E467" s="54"/>
      <c r="F467" s="54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</row>
    <row r="468">
      <c r="A468" s="55"/>
      <c r="B468" s="55"/>
      <c r="C468" s="55"/>
      <c r="D468" s="55"/>
      <c r="E468" s="54"/>
      <c r="F468" s="54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</row>
    <row r="469">
      <c r="A469" s="55"/>
      <c r="B469" s="55"/>
      <c r="C469" s="55"/>
      <c r="D469" s="55"/>
      <c r="E469" s="54"/>
      <c r="F469" s="54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</row>
    <row r="470">
      <c r="A470" s="55"/>
      <c r="B470" s="55"/>
      <c r="C470" s="55"/>
      <c r="D470" s="55"/>
      <c r="E470" s="54"/>
      <c r="F470" s="54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</row>
    <row r="471">
      <c r="A471" s="55"/>
      <c r="B471" s="55"/>
      <c r="C471" s="55"/>
      <c r="D471" s="55"/>
      <c r="E471" s="54"/>
      <c r="F471" s="54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</row>
    <row r="472">
      <c r="A472" s="55"/>
      <c r="B472" s="55"/>
      <c r="C472" s="55"/>
      <c r="D472" s="55"/>
      <c r="E472" s="54"/>
      <c r="F472" s="54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</row>
    <row r="473">
      <c r="A473" s="55"/>
      <c r="B473" s="55"/>
      <c r="C473" s="55"/>
      <c r="D473" s="55"/>
      <c r="E473" s="54"/>
      <c r="F473" s="54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</row>
    <row r="474">
      <c r="A474" s="55"/>
      <c r="B474" s="55"/>
      <c r="C474" s="55"/>
      <c r="D474" s="55"/>
      <c r="E474" s="54"/>
      <c r="F474" s="54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</row>
    <row r="475">
      <c r="A475" s="55"/>
      <c r="B475" s="55"/>
      <c r="C475" s="55"/>
      <c r="D475" s="55"/>
      <c r="E475" s="54"/>
      <c r="F475" s="54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</row>
    <row r="476">
      <c r="A476" s="55"/>
      <c r="B476" s="55"/>
      <c r="C476" s="55"/>
      <c r="D476" s="55"/>
      <c r="E476" s="54"/>
      <c r="F476" s="54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</row>
    <row r="477">
      <c r="A477" s="55"/>
      <c r="B477" s="55"/>
      <c r="C477" s="55"/>
      <c r="D477" s="55"/>
      <c r="E477" s="54"/>
      <c r="F477" s="54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</row>
    <row r="478">
      <c r="A478" s="55"/>
      <c r="B478" s="55"/>
      <c r="C478" s="55"/>
      <c r="D478" s="55"/>
      <c r="E478" s="54"/>
      <c r="F478" s="54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</row>
    <row r="479">
      <c r="A479" s="55"/>
      <c r="B479" s="55"/>
      <c r="C479" s="55"/>
      <c r="D479" s="55"/>
      <c r="E479" s="54"/>
      <c r="F479" s="54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</row>
    <row r="480">
      <c r="A480" s="55"/>
      <c r="B480" s="55"/>
      <c r="C480" s="55"/>
      <c r="D480" s="55"/>
      <c r="E480" s="54"/>
      <c r="F480" s="54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</row>
    <row r="481">
      <c r="A481" s="55"/>
      <c r="B481" s="55"/>
      <c r="C481" s="55"/>
      <c r="D481" s="55"/>
      <c r="E481" s="54"/>
      <c r="F481" s="54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</row>
    <row r="482">
      <c r="A482" s="55"/>
      <c r="B482" s="55"/>
      <c r="C482" s="55"/>
      <c r="D482" s="55"/>
      <c r="E482" s="54"/>
      <c r="F482" s="54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</row>
    <row r="483">
      <c r="A483" s="55"/>
      <c r="B483" s="55"/>
      <c r="C483" s="55"/>
      <c r="D483" s="55"/>
      <c r="E483" s="54"/>
      <c r="F483" s="54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</row>
    <row r="484">
      <c r="A484" s="55"/>
      <c r="B484" s="55"/>
      <c r="C484" s="55"/>
      <c r="D484" s="55"/>
      <c r="E484" s="54"/>
      <c r="F484" s="54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</row>
    <row r="485">
      <c r="A485" s="55"/>
      <c r="B485" s="55"/>
      <c r="C485" s="55"/>
      <c r="D485" s="55"/>
      <c r="E485" s="54"/>
      <c r="F485" s="54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</row>
    <row r="486">
      <c r="A486" s="55"/>
      <c r="B486" s="55"/>
      <c r="C486" s="55"/>
      <c r="D486" s="55"/>
      <c r="E486" s="54"/>
      <c r="F486" s="54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</row>
    <row r="487">
      <c r="A487" s="55"/>
      <c r="B487" s="55"/>
      <c r="C487" s="55"/>
      <c r="D487" s="55"/>
      <c r="E487" s="54"/>
      <c r="F487" s="54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</row>
    <row r="488">
      <c r="A488" s="55"/>
      <c r="B488" s="55"/>
      <c r="C488" s="55"/>
      <c r="D488" s="55"/>
      <c r="E488" s="54"/>
      <c r="F488" s="54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</row>
    <row r="489">
      <c r="A489" s="55"/>
      <c r="B489" s="55"/>
      <c r="C489" s="55"/>
      <c r="D489" s="55"/>
      <c r="E489" s="54"/>
      <c r="F489" s="54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</row>
    <row r="490">
      <c r="A490" s="55"/>
      <c r="B490" s="55"/>
      <c r="C490" s="55"/>
      <c r="D490" s="55"/>
      <c r="E490" s="54"/>
      <c r="F490" s="54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</row>
    <row r="491">
      <c r="A491" s="55"/>
      <c r="B491" s="55"/>
      <c r="C491" s="55"/>
      <c r="D491" s="55"/>
      <c r="E491" s="54"/>
      <c r="F491" s="54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</row>
    <row r="492">
      <c r="A492" s="55"/>
      <c r="B492" s="55"/>
      <c r="C492" s="55"/>
      <c r="D492" s="55"/>
      <c r="E492" s="54"/>
      <c r="F492" s="54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</row>
    <row r="493">
      <c r="A493" s="55"/>
      <c r="B493" s="55"/>
      <c r="C493" s="55"/>
      <c r="D493" s="55"/>
      <c r="E493" s="54"/>
      <c r="F493" s="54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</row>
    <row r="494">
      <c r="A494" s="55"/>
      <c r="B494" s="55"/>
      <c r="C494" s="55"/>
      <c r="D494" s="55"/>
      <c r="E494" s="54"/>
      <c r="F494" s="54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</row>
    <row r="495">
      <c r="A495" s="55"/>
      <c r="B495" s="55"/>
      <c r="C495" s="55"/>
      <c r="D495" s="55"/>
      <c r="E495" s="54"/>
      <c r="F495" s="54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</row>
    <row r="496">
      <c r="A496" s="55"/>
      <c r="B496" s="55"/>
      <c r="C496" s="55"/>
      <c r="D496" s="55"/>
      <c r="E496" s="54"/>
      <c r="F496" s="54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</row>
    <row r="497">
      <c r="A497" s="55"/>
      <c r="B497" s="55"/>
      <c r="C497" s="55"/>
      <c r="D497" s="55"/>
      <c r="E497" s="54"/>
      <c r="F497" s="54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</row>
    <row r="498">
      <c r="A498" s="55"/>
      <c r="B498" s="55"/>
      <c r="C498" s="55"/>
      <c r="D498" s="55"/>
      <c r="E498" s="54"/>
      <c r="F498" s="54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</row>
    <row r="499">
      <c r="A499" s="55"/>
      <c r="B499" s="55"/>
      <c r="C499" s="55"/>
      <c r="D499" s="55"/>
      <c r="E499" s="54"/>
      <c r="F499" s="54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</row>
    <row r="500">
      <c r="A500" s="55"/>
      <c r="B500" s="55"/>
      <c r="C500" s="55"/>
      <c r="D500" s="55"/>
      <c r="E500" s="54"/>
      <c r="F500" s="54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</row>
    <row r="501">
      <c r="A501" s="55"/>
      <c r="B501" s="55"/>
      <c r="C501" s="55"/>
      <c r="D501" s="55"/>
      <c r="E501" s="54"/>
      <c r="F501" s="54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</row>
    <row r="502">
      <c r="A502" s="55"/>
      <c r="B502" s="55"/>
      <c r="C502" s="55"/>
      <c r="D502" s="55"/>
      <c r="E502" s="54"/>
      <c r="F502" s="54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</row>
    <row r="503">
      <c r="A503" s="55"/>
      <c r="B503" s="55"/>
      <c r="C503" s="55"/>
      <c r="D503" s="55"/>
      <c r="E503" s="54"/>
      <c r="F503" s="54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</row>
    <row r="504">
      <c r="A504" s="55"/>
      <c r="B504" s="55"/>
      <c r="C504" s="55"/>
      <c r="D504" s="55"/>
      <c r="E504" s="54"/>
      <c r="F504" s="54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</row>
    <row r="505">
      <c r="A505" s="55"/>
      <c r="B505" s="55"/>
      <c r="C505" s="55"/>
      <c r="D505" s="55"/>
      <c r="E505" s="54"/>
      <c r="F505" s="54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</row>
    <row r="506">
      <c r="A506" s="55"/>
      <c r="B506" s="55"/>
      <c r="C506" s="55"/>
      <c r="D506" s="55"/>
      <c r="E506" s="54"/>
      <c r="F506" s="54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</row>
    <row r="507">
      <c r="A507" s="55"/>
      <c r="B507" s="55"/>
      <c r="C507" s="55"/>
      <c r="D507" s="55"/>
      <c r="E507" s="54"/>
      <c r="F507" s="54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</row>
    <row r="508">
      <c r="A508" s="55"/>
      <c r="B508" s="55"/>
      <c r="C508" s="55"/>
      <c r="D508" s="55"/>
      <c r="E508" s="54"/>
      <c r="F508" s="54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</row>
    <row r="509">
      <c r="A509" s="55"/>
      <c r="B509" s="55"/>
      <c r="C509" s="55"/>
      <c r="D509" s="55"/>
      <c r="E509" s="54"/>
      <c r="F509" s="54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</row>
    <row r="510">
      <c r="A510" s="55"/>
      <c r="B510" s="55"/>
      <c r="C510" s="55"/>
      <c r="D510" s="55"/>
      <c r="E510" s="54"/>
      <c r="F510" s="54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</row>
    <row r="511">
      <c r="A511" s="55"/>
      <c r="B511" s="55"/>
      <c r="C511" s="55"/>
      <c r="D511" s="55"/>
      <c r="E511" s="54"/>
      <c r="F511" s="54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</row>
    <row r="512">
      <c r="A512" s="55"/>
      <c r="B512" s="55"/>
      <c r="C512" s="55"/>
      <c r="D512" s="55"/>
      <c r="E512" s="54"/>
      <c r="F512" s="54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</row>
    <row r="513">
      <c r="A513" s="55"/>
      <c r="B513" s="55"/>
      <c r="C513" s="55"/>
      <c r="D513" s="55"/>
      <c r="E513" s="54"/>
      <c r="F513" s="54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</row>
    <row r="514">
      <c r="A514" s="55"/>
      <c r="B514" s="55"/>
      <c r="C514" s="55"/>
      <c r="D514" s="55"/>
      <c r="E514" s="54"/>
      <c r="F514" s="54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</row>
    <row r="515">
      <c r="A515" s="55"/>
      <c r="B515" s="55"/>
      <c r="C515" s="55"/>
      <c r="D515" s="55"/>
      <c r="E515" s="54"/>
      <c r="F515" s="54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</row>
    <row r="516">
      <c r="A516" s="55"/>
      <c r="B516" s="55"/>
      <c r="C516" s="55"/>
      <c r="D516" s="55"/>
      <c r="E516" s="54"/>
      <c r="F516" s="54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</row>
    <row r="517">
      <c r="A517" s="55"/>
      <c r="B517" s="55"/>
      <c r="C517" s="55"/>
      <c r="D517" s="55"/>
      <c r="E517" s="54"/>
      <c r="F517" s="54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</row>
    <row r="518">
      <c r="A518" s="55"/>
      <c r="B518" s="55"/>
      <c r="C518" s="55"/>
      <c r="D518" s="55"/>
      <c r="E518" s="54"/>
      <c r="F518" s="54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</row>
    <row r="519">
      <c r="A519" s="55"/>
      <c r="B519" s="55"/>
      <c r="C519" s="55"/>
      <c r="D519" s="55"/>
      <c r="E519" s="54"/>
      <c r="F519" s="54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</row>
    <row r="520">
      <c r="A520" s="55"/>
      <c r="B520" s="55"/>
      <c r="C520" s="55"/>
      <c r="D520" s="55"/>
      <c r="E520" s="54"/>
      <c r="F520" s="54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</row>
    <row r="521">
      <c r="A521" s="55"/>
      <c r="B521" s="55"/>
      <c r="C521" s="55"/>
      <c r="D521" s="55"/>
      <c r="E521" s="54"/>
      <c r="F521" s="54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</row>
    <row r="522">
      <c r="A522" s="55"/>
      <c r="B522" s="55"/>
      <c r="C522" s="55"/>
      <c r="D522" s="55"/>
      <c r="E522" s="54"/>
      <c r="F522" s="54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</row>
    <row r="523">
      <c r="A523" s="55"/>
      <c r="B523" s="55"/>
      <c r="C523" s="55"/>
      <c r="D523" s="55"/>
      <c r="E523" s="54"/>
      <c r="F523" s="54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</row>
    <row r="524">
      <c r="A524" s="55"/>
      <c r="B524" s="55"/>
      <c r="C524" s="55"/>
      <c r="D524" s="55"/>
      <c r="E524" s="54"/>
      <c r="F524" s="54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</row>
    <row r="525">
      <c r="A525" s="55"/>
      <c r="B525" s="55"/>
      <c r="C525" s="55"/>
      <c r="D525" s="55"/>
      <c r="E525" s="54"/>
      <c r="F525" s="54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</row>
    <row r="526">
      <c r="A526" s="55"/>
      <c r="B526" s="55"/>
      <c r="C526" s="55"/>
      <c r="D526" s="55"/>
      <c r="E526" s="54"/>
      <c r="F526" s="54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</row>
    <row r="527">
      <c r="A527" s="55"/>
      <c r="B527" s="55"/>
      <c r="C527" s="55"/>
      <c r="D527" s="55"/>
      <c r="E527" s="54"/>
      <c r="F527" s="54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</row>
    <row r="528">
      <c r="A528" s="55"/>
      <c r="B528" s="55"/>
      <c r="C528" s="55"/>
      <c r="D528" s="55"/>
      <c r="E528" s="54"/>
      <c r="F528" s="54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</row>
    <row r="529">
      <c r="A529" s="55"/>
      <c r="B529" s="55"/>
      <c r="C529" s="55"/>
      <c r="D529" s="55"/>
      <c r="E529" s="54"/>
      <c r="F529" s="54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</row>
    <row r="530">
      <c r="A530" s="55"/>
      <c r="B530" s="55"/>
      <c r="C530" s="55"/>
      <c r="D530" s="55"/>
      <c r="E530" s="54"/>
      <c r="F530" s="54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</row>
    <row r="531">
      <c r="A531" s="55"/>
      <c r="B531" s="55"/>
      <c r="C531" s="55"/>
      <c r="D531" s="55"/>
      <c r="E531" s="54"/>
      <c r="F531" s="54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</row>
    <row r="532">
      <c r="A532" s="55"/>
      <c r="B532" s="55"/>
      <c r="C532" s="55"/>
      <c r="D532" s="55"/>
      <c r="E532" s="54"/>
      <c r="F532" s="54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</row>
    <row r="533">
      <c r="A533" s="55"/>
      <c r="B533" s="55"/>
      <c r="C533" s="55"/>
      <c r="D533" s="55"/>
      <c r="E533" s="54"/>
      <c r="F533" s="54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</row>
    <row r="534">
      <c r="A534" s="55"/>
      <c r="B534" s="55"/>
      <c r="C534" s="55"/>
      <c r="D534" s="55"/>
      <c r="E534" s="54"/>
      <c r="F534" s="54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</row>
    <row r="535">
      <c r="A535" s="55"/>
      <c r="B535" s="55"/>
      <c r="C535" s="55"/>
      <c r="D535" s="55"/>
      <c r="E535" s="54"/>
      <c r="F535" s="54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</row>
    <row r="536">
      <c r="A536" s="55"/>
      <c r="B536" s="55"/>
      <c r="C536" s="55"/>
      <c r="D536" s="55"/>
      <c r="E536" s="54"/>
      <c r="F536" s="54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</row>
    <row r="537">
      <c r="A537" s="55"/>
      <c r="B537" s="55"/>
      <c r="C537" s="55"/>
      <c r="D537" s="55"/>
      <c r="E537" s="54"/>
      <c r="F537" s="54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</row>
    <row r="538">
      <c r="A538" s="55"/>
      <c r="B538" s="55"/>
      <c r="C538" s="55"/>
      <c r="D538" s="55"/>
      <c r="E538" s="54"/>
      <c r="F538" s="54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</row>
    <row r="539">
      <c r="A539" s="55"/>
      <c r="B539" s="55"/>
      <c r="C539" s="55"/>
      <c r="D539" s="55"/>
      <c r="E539" s="54"/>
      <c r="F539" s="54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</row>
    <row r="540">
      <c r="A540" s="55"/>
      <c r="B540" s="55"/>
      <c r="C540" s="55"/>
      <c r="D540" s="55"/>
      <c r="E540" s="54"/>
      <c r="F540" s="54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</row>
    <row r="541">
      <c r="A541" s="55"/>
      <c r="B541" s="55"/>
      <c r="C541" s="55"/>
      <c r="D541" s="55"/>
      <c r="E541" s="54"/>
      <c r="F541" s="54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</row>
    <row r="542">
      <c r="A542" s="55"/>
      <c r="B542" s="55"/>
      <c r="C542" s="55"/>
      <c r="D542" s="55"/>
      <c r="E542" s="54"/>
      <c r="F542" s="54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</row>
    <row r="543">
      <c r="A543" s="55"/>
      <c r="B543" s="55"/>
      <c r="C543" s="55"/>
      <c r="D543" s="55"/>
      <c r="E543" s="54"/>
      <c r="F543" s="54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</row>
    <row r="544">
      <c r="A544" s="55"/>
      <c r="B544" s="55"/>
      <c r="C544" s="55"/>
      <c r="D544" s="55"/>
      <c r="E544" s="54"/>
      <c r="F544" s="54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</row>
    <row r="545">
      <c r="A545" s="55"/>
      <c r="B545" s="55"/>
      <c r="C545" s="55"/>
      <c r="D545" s="55"/>
      <c r="E545" s="54"/>
      <c r="F545" s="54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</row>
    <row r="546">
      <c r="A546" s="55"/>
      <c r="B546" s="55"/>
      <c r="C546" s="55"/>
      <c r="D546" s="55"/>
      <c r="E546" s="54"/>
      <c r="F546" s="54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</row>
    <row r="547">
      <c r="A547" s="55"/>
      <c r="B547" s="55"/>
      <c r="C547" s="55"/>
      <c r="D547" s="55"/>
      <c r="E547" s="54"/>
      <c r="F547" s="54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</row>
    <row r="548">
      <c r="A548" s="55"/>
      <c r="B548" s="55"/>
      <c r="C548" s="55"/>
      <c r="D548" s="55"/>
      <c r="E548" s="54"/>
      <c r="F548" s="54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</row>
    <row r="549">
      <c r="A549" s="55"/>
      <c r="B549" s="55"/>
      <c r="C549" s="55"/>
      <c r="D549" s="55"/>
      <c r="E549" s="54"/>
      <c r="F549" s="54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</row>
    <row r="550">
      <c r="A550" s="55"/>
      <c r="B550" s="55"/>
      <c r="C550" s="55"/>
      <c r="D550" s="55"/>
      <c r="E550" s="54"/>
      <c r="F550" s="54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</row>
    <row r="551">
      <c r="A551" s="55"/>
      <c r="B551" s="55"/>
      <c r="C551" s="55"/>
      <c r="D551" s="55"/>
      <c r="E551" s="54"/>
      <c r="F551" s="54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</row>
    <row r="552">
      <c r="A552" s="55"/>
      <c r="B552" s="55"/>
      <c r="C552" s="55"/>
      <c r="D552" s="55"/>
      <c r="E552" s="54"/>
      <c r="F552" s="54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</row>
    <row r="553">
      <c r="A553" s="55"/>
      <c r="B553" s="55"/>
      <c r="C553" s="55"/>
      <c r="D553" s="55"/>
      <c r="E553" s="54"/>
      <c r="F553" s="54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</row>
    <row r="554">
      <c r="A554" s="55"/>
      <c r="B554" s="55"/>
      <c r="C554" s="55"/>
      <c r="D554" s="55"/>
      <c r="E554" s="54"/>
      <c r="F554" s="54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</row>
    <row r="555">
      <c r="A555" s="55"/>
      <c r="B555" s="55"/>
      <c r="C555" s="55"/>
      <c r="D555" s="55"/>
      <c r="E555" s="54"/>
      <c r="F555" s="54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</row>
    <row r="556">
      <c r="A556" s="55"/>
      <c r="B556" s="55"/>
      <c r="C556" s="55"/>
      <c r="D556" s="55"/>
      <c r="E556" s="54"/>
      <c r="F556" s="54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</row>
    <row r="557">
      <c r="A557" s="55"/>
      <c r="B557" s="55"/>
      <c r="C557" s="55"/>
      <c r="D557" s="55"/>
      <c r="E557" s="54"/>
      <c r="F557" s="54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</row>
    <row r="558">
      <c r="A558" s="55"/>
      <c r="B558" s="55"/>
      <c r="C558" s="55"/>
      <c r="D558" s="55"/>
      <c r="E558" s="54"/>
      <c r="F558" s="54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</row>
    <row r="559">
      <c r="A559" s="55"/>
      <c r="B559" s="55"/>
      <c r="C559" s="55"/>
      <c r="D559" s="55"/>
      <c r="E559" s="54"/>
      <c r="F559" s="54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</row>
    <row r="560">
      <c r="A560" s="55"/>
      <c r="B560" s="55"/>
      <c r="C560" s="55"/>
      <c r="D560" s="55"/>
      <c r="E560" s="54"/>
      <c r="F560" s="54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</row>
    <row r="561">
      <c r="A561" s="55"/>
      <c r="B561" s="55"/>
      <c r="C561" s="55"/>
      <c r="D561" s="55"/>
      <c r="E561" s="54"/>
      <c r="F561" s="54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</row>
    <row r="562">
      <c r="A562" s="55"/>
      <c r="B562" s="55"/>
      <c r="C562" s="55"/>
      <c r="D562" s="55"/>
      <c r="E562" s="54"/>
      <c r="F562" s="54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</row>
    <row r="563">
      <c r="A563" s="55"/>
      <c r="B563" s="55"/>
      <c r="C563" s="55"/>
      <c r="D563" s="55"/>
      <c r="E563" s="54"/>
      <c r="F563" s="54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</row>
    <row r="564">
      <c r="A564" s="55"/>
      <c r="B564" s="55"/>
      <c r="C564" s="55"/>
      <c r="D564" s="55"/>
      <c r="E564" s="54"/>
      <c r="F564" s="54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</row>
    <row r="565">
      <c r="A565" s="55"/>
      <c r="B565" s="55"/>
      <c r="C565" s="55"/>
      <c r="D565" s="55"/>
      <c r="E565" s="54"/>
      <c r="F565" s="54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</row>
    <row r="566">
      <c r="A566" s="55"/>
      <c r="B566" s="55"/>
      <c r="C566" s="55"/>
      <c r="D566" s="55"/>
      <c r="E566" s="54"/>
      <c r="F566" s="54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</row>
    <row r="567">
      <c r="A567" s="55"/>
      <c r="B567" s="55"/>
      <c r="C567" s="55"/>
      <c r="D567" s="55"/>
      <c r="E567" s="54"/>
      <c r="F567" s="54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</row>
    <row r="568">
      <c r="A568" s="55"/>
      <c r="B568" s="55"/>
      <c r="C568" s="55"/>
      <c r="D568" s="55"/>
      <c r="E568" s="54"/>
      <c r="F568" s="54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</row>
    <row r="569">
      <c r="A569" s="55"/>
      <c r="B569" s="55"/>
      <c r="C569" s="55"/>
      <c r="D569" s="55"/>
      <c r="E569" s="54"/>
      <c r="F569" s="54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</row>
    <row r="570">
      <c r="A570" s="55"/>
      <c r="B570" s="55"/>
      <c r="C570" s="55"/>
      <c r="D570" s="55"/>
      <c r="E570" s="54"/>
      <c r="F570" s="54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</row>
    <row r="571">
      <c r="A571" s="55"/>
      <c r="B571" s="55"/>
      <c r="C571" s="55"/>
      <c r="D571" s="55"/>
      <c r="E571" s="54"/>
      <c r="F571" s="54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</row>
    <row r="572">
      <c r="A572" s="55"/>
      <c r="B572" s="55"/>
      <c r="C572" s="55"/>
      <c r="D572" s="55"/>
      <c r="E572" s="54"/>
      <c r="F572" s="54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</row>
    <row r="573">
      <c r="A573" s="55"/>
      <c r="B573" s="55"/>
      <c r="C573" s="55"/>
      <c r="D573" s="55"/>
      <c r="E573" s="54"/>
      <c r="F573" s="54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</row>
    <row r="574">
      <c r="A574" s="55"/>
      <c r="B574" s="55"/>
      <c r="C574" s="55"/>
      <c r="D574" s="55"/>
      <c r="E574" s="54"/>
      <c r="F574" s="54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</row>
    <row r="575">
      <c r="A575" s="55"/>
      <c r="B575" s="55"/>
      <c r="C575" s="55"/>
      <c r="D575" s="55"/>
      <c r="E575" s="54"/>
      <c r="F575" s="54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</row>
    <row r="576">
      <c r="A576" s="55"/>
      <c r="B576" s="55"/>
      <c r="C576" s="55"/>
      <c r="D576" s="55"/>
      <c r="E576" s="54"/>
      <c r="F576" s="54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</row>
    <row r="577">
      <c r="A577" s="55"/>
      <c r="B577" s="55"/>
      <c r="C577" s="55"/>
      <c r="D577" s="55"/>
      <c r="E577" s="54"/>
      <c r="F577" s="54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</row>
    <row r="578">
      <c r="A578" s="55"/>
      <c r="B578" s="55"/>
      <c r="C578" s="55"/>
      <c r="D578" s="55"/>
      <c r="E578" s="54"/>
      <c r="F578" s="54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</row>
    <row r="579">
      <c r="A579" s="55"/>
      <c r="B579" s="55"/>
      <c r="C579" s="55"/>
      <c r="D579" s="55"/>
      <c r="E579" s="54"/>
      <c r="F579" s="54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</row>
    <row r="580">
      <c r="A580" s="55"/>
      <c r="B580" s="55"/>
      <c r="C580" s="55"/>
      <c r="D580" s="55"/>
      <c r="E580" s="54"/>
      <c r="F580" s="54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</row>
    <row r="581">
      <c r="A581" s="55"/>
      <c r="B581" s="55"/>
      <c r="C581" s="55"/>
      <c r="D581" s="55"/>
      <c r="E581" s="54"/>
      <c r="F581" s="54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</row>
    <row r="582">
      <c r="A582" s="55"/>
      <c r="B582" s="55"/>
      <c r="C582" s="55"/>
      <c r="D582" s="55"/>
      <c r="E582" s="54"/>
      <c r="F582" s="54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</row>
    <row r="583">
      <c r="A583" s="55"/>
      <c r="B583" s="55"/>
      <c r="C583" s="55"/>
      <c r="D583" s="55"/>
      <c r="E583" s="54"/>
      <c r="F583" s="54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</row>
    <row r="584">
      <c r="A584" s="55"/>
      <c r="B584" s="55"/>
      <c r="C584" s="55"/>
      <c r="D584" s="55"/>
      <c r="E584" s="54"/>
      <c r="F584" s="54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</row>
    <row r="585">
      <c r="A585" s="55"/>
      <c r="B585" s="55"/>
      <c r="C585" s="55"/>
      <c r="D585" s="55"/>
      <c r="E585" s="54"/>
      <c r="F585" s="54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</row>
    <row r="586">
      <c r="A586" s="55"/>
      <c r="B586" s="55"/>
      <c r="C586" s="55"/>
      <c r="D586" s="55"/>
      <c r="E586" s="54"/>
      <c r="F586" s="54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</row>
    <row r="587">
      <c r="A587" s="55"/>
      <c r="B587" s="55"/>
      <c r="C587" s="55"/>
      <c r="D587" s="55"/>
      <c r="E587" s="54"/>
      <c r="F587" s="54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</row>
    <row r="588">
      <c r="A588" s="55"/>
      <c r="B588" s="55"/>
      <c r="C588" s="55"/>
      <c r="D588" s="55"/>
      <c r="E588" s="54"/>
      <c r="F588" s="54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</row>
    <row r="589">
      <c r="A589" s="55"/>
      <c r="B589" s="55"/>
      <c r="C589" s="55"/>
      <c r="D589" s="55"/>
      <c r="E589" s="54"/>
      <c r="F589" s="54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</row>
    <row r="590">
      <c r="A590" s="55"/>
      <c r="B590" s="55"/>
      <c r="C590" s="55"/>
      <c r="D590" s="55"/>
      <c r="E590" s="54"/>
      <c r="F590" s="54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</row>
    <row r="591">
      <c r="A591" s="55"/>
      <c r="B591" s="55"/>
      <c r="C591" s="55"/>
      <c r="D591" s="55"/>
      <c r="E591" s="54"/>
      <c r="F591" s="54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</row>
    <row r="592">
      <c r="A592" s="55"/>
      <c r="B592" s="55"/>
      <c r="C592" s="55"/>
      <c r="D592" s="55"/>
      <c r="E592" s="54"/>
      <c r="F592" s="54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</row>
    <row r="593">
      <c r="A593" s="55"/>
      <c r="B593" s="55"/>
      <c r="C593" s="55"/>
      <c r="D593" s="55"/>
      <c r="E593" s="54"/>
      <c r="F593" s="54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</row>
    <row r="594">
      <c r="A594" s="55"/>
      <c r="B594" s="55"/>
      <c r="C594" s="55"/>
      <c r="D594" s="55"/>
      <c r="E594" s="54"/>
      <c r="F594" s="54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</row>
    <row r="595">
      <c r="A595" s="55"/>
      <c r="B595" s="55"/>
      <c r="C595" s="55"/>
      <c r="D595" s="55"/>
      <c r="E595" s="54"/>
      <c r="F595" s="54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</row>
    <row r="596">
      <c r="A596" s="55"/>
      <c r="B596" s="55"/>
      <c r="C596" s="55"/>
      <c r="D596" s="55"/>
      <c r="E596" s="54"/>
      <c r="F596" s="54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</row>
    <row r="597">
      <c r="A597" s="55"/>
      <c r="B597" s="55"/>
      <c r="C597" s="55"/>
      <c r="D597" s="55"/>
      <c r="E597" s="54"/>
      <c r="F597" s="54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</row>
    <row r="598">
      <c r="A598" s="55"/>
      <c r="B598" s="55"/>
      <c r="C598" s="55"/>
      <c r="D598" s="55"/>
      <c r="E598" s="54"/>
      <c r="F598" s="54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</row>
    <row r="599">
      <c r="A599" s="55"/>
      <c r="B599" s="55"/>
      <c r="C599" s="55"/>
      <c r="D599" s="55"/>
      <c r="E599" s="54"/>
      <c r="F599" s="54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</row>
    <row r="600">
      <c r="A600" s="55"/>
      <c r="B600" s="55"/>
      <c r="C600" s="55"/>
      <c r="D600" s="55"/>
      <c r="E600" s="54"/>
      <c r="F600" s="54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</row>
    <row r="601">
      <c r="A601" s="55"/>
      <c r="B601" s="55"/>
      <c r="C601" s="55"/>
      <c r="D601" s="55"/>
      <c r="E601" s="54"/>
      <c r="F601" s="54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</row>
    <row r="602">
      <c r="A602" s="55"/>
      <c r="B602" s="55"/>
      <c r="C602" s="55"/>
      <c r="D602" s="55"/>
      <c r="E602" s="54"/>
      <c r="F602" s="54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</row>
    <row r="603">
      <c r="A603" s="55"/>
      <c r="B603" s="55"/>
      <c r="C603" s="55"/>
      <c r="D603" s="55"/>
      <c r="E603" s="54"/>
      <c r="F603" s="54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</row>
    <row r="604">
      <c r="A604" s="55"/>
      <c r="B604" s="55"/>
      <c r="C604" s="55"/>
      <c r="D604" s="55"/>
      <c r="E604" s="54"/>
      <c r="F604" s="54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</row>
    <row r="605">
      <c r="A605" s="55"/>
      <c r="B605" s="55"/>
      <c r="C605" s="55"/>
      <c r="D605" s="55"/>
      <c r="E605" s="54"/>
      <c r="F605" s="54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</row>
    <row r="606">
      <c r="A606" s="55"/>
      <c r="B606" s="55"/>
      <c r="C606" s="55"/>
      <c r="D606" s="55"/>
      <c r="E606" s="54"/>
      <c r="F606" s="54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</row>
    <row r="607">
      <c r="A607" s="55"/>
      <c r="B607" s="55"/>
      <c r="C607" s="55"/>
      <c r="D607" s="55"/>
      <c r="E607" s="54"/>
      <c r="F607" s="54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</row>
    <row r="608">
      <c r="A608" s="55"/>
      <c r="B608" s="55"/>
      <c r="C608" s="55"/>
      <c r="D608" s="55"/>
      <c r="E608" s="54"/>
      <c r="F608" s="54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</row>
    <row r="609">
      <c r="A609" s="55"/>
      <c r="B609" s="55"/>
      <c r="C609" s="55"/>
      <c r="D609" s="55"/>
      <c r="E609" s="54"/>
      <c r="F609" s="54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</row>
    <row r="610">
      <c r="A610" s="55"/>
      <c r="B610" s="55"/>
      <c r="C610" s="55"/>
      <c r="D610" s="55"/>
      <c r="E610" s="54"/>
      <c r="F610" s="54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</row>
    <row r="611">
      <c r="A611" s="55"/>
      <c r="B611" s="55"/>
      <c r="C611" s="55"/>
      <c r="D611" s="55"/>
      <c r="E611" s="54"/>
      <c r="F611" s="54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</row>
    <row r="612">
      <c r="A612" s="55"/>
      <c r="B612" s="55"/>
      <c r="C612" s="55"/>
      <c r="D612" s="55"/>
      <c r="E612" s="54"/>
      <c r="F612" s="54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</row>
    <row r="613">
      <c r="A613" s="55"/>
      <c r="B613" s="55"/>
      <c r="C613" s="55"/>
      <c r="D613" s="55"/>
      <c r="E613" s="54"/>
      <c r="F613" s="54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</row>
    <row r="614">
      <c r="A614" s="55"/>
      <c r="B614" s="55"/>
      <c r="C614" s="55"/>
      <c r="D614" s="55"/>
      <c r="E614" s="54"/>
      <c r="F614" s="54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</row>
    <row r="615">
      <c r="A615" s="55"/>
      <c r="B615" s="55"/>
      <c r="C615" s="55"/>
      <c r="D615" s="55"/>
      <c r="E615" s="54"/>
      <c r="F615" s="54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</row>
    <row r="616">
      <c r="A616" s="55"/>
      <c r="B616" s="55"/>
      <c r="C616" s="55"/>
      <c r="D616" s="55"/>
      <c r="E616" s="54"/>
      <c r="F616" s="54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</row>
    <row r="617">
      <c r="A617" s="55"/>
      <c r="B617" s="55"/>
      <c r="C617" s="55"/>
      <c r="D617" s="55"/>
      <c r="E617" s="54"/>
      <c r="F617" s="54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</row>
    <row r="618">
      <c r="A618" s="55"/>
      <c r="B618" s="55"/>
      <c r="C618" s="55"/>
      <c r="D618" s="55"/>
      <c r="E618" s="54"/>
      <c r="F618" s="54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</row>
    <row r="619">
      <c r="A619" s="55"/>
      <c r="B619" s="55"/>
      <c r="C619" s="55"/>
      <c r="D619" s="55"/>
      <c r="E619" s="54"/>
      <c r="F619" s="54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</row>
    <row r="620">
      <c r="A620" s="55"/>
      <c r="B620" s="55"/>
      <c r="C620" s="55"/>
      <c r="D620" s="55"/>
      <c r="E620" s="54"/>
      <c r="F620" s="54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</row>
    <row r="621">
      <c r="A621" s="55"/>
      <c r="B621" s="55"/>
      <c r="C621" s="55"/>
      <c r="D621" s="55"/>
      <c r="E621" s="54"/>
      <c r="F621" s="54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</row>
    <row r="622">
      <c r="A622" s="55"/>
      <c r="B622" s="55"/>
      <c r="C622" s="55"/>
      <c r="D622" s="55"/>
      <c r="E622" s="54"/>
      <c r="F622" s="54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</row>
    <row r="623">
      <c r="A623" s="55"/>
      <c r="B623" s="55"/>
      <c r="C623" s="55"/>
      <c r="D623" s="55"/>
      <c r="E623" s="54"/>
      <c r="F623" s="54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</row>
    <row r="624">
      <c r="A624" s="55"/>
      <c r="B624" s="55"/>
      <c r="C624" s="55"/>
      <c r="D624" s="55"/>
      <c r="E624" s="54"/>
      <c r="F624" s="54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</row>
    <row r="625">
      <c r="A625" s="55"/>
      <c r="B625" s="55"/>
      <c r="C625" s="55"/>
      <c r="D625" s="55"/>
      <c r="E625" s="54"/>
      <c r="F625" s="54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</row>
    <row r="626">
      <c r="A626" s="55"/>
      <c r="B626" s="55"/>
      <c r="C626" s="55"/>
      <c r="D626" s="55"/>
      <c r="E626" s="54"/>
      <c r="F626" s="54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</row>
    <row r="627">
      <c r="A627" s="55"/>
      <c r="B627" s="55"/>
      <c r="C627" s="55"/>
      <c r="D627" s="55"/>
      <c r="E627" s="54"/>
      <c r="F627" s="54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</row>
    <row r="628">
      <c r="A628" s="55"/>
      <c r="B628" s="55"/>
      <c r="C628" s="55"/>
      <c r="D628" s="55"/>
      <c r="E628" s="54"/>
      <c r="F628" s="54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</row>
    <row r="629">
      <c r="A629" s="55"/>
      <c r="B629" s="55"/>
      <c r="C629" s="55"/>
      <c r="D629" s="55"/>
      <c r="E629" s="54"/>
      <c r="F629" s="54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</row>
    <row r="630">
      <c r="A630" s="55"/>
      <c r="B630" s="55"/>
      <c r="C630" s="55"/>
      <c r="D630" s="55"/>
      <c r="E630" s="54"/>
      <c r="F630" s="54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</row>
    <row r="631">
      <c r="A631" s="55"/>
      <c r="B631" s="55"/>
      <c r="C631" s="55"/>
      <c r="D631" s="55"/>
      <c r="E631" s="54"/>
      <c r="F631" s="54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</row>
    <row r="632">
      <c r="A632" s="55"/>
      <c r="B632" s="55"/>
      <c r="C632" s="55"/>
      <c r="D632" s="55"/>
      <c r="E632" s="54"/>
      <c r="F632" s="54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</row>
    <row r="633">
      <c r="A633" s="55"/>
      <c r="B633" s="55"/>
      <c r="C633" s="55"/>
      <c r="D633" s="55"/>
      <c r="E633" s="54"/>
      <c r="F633" s="54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</row>
    <row r="634">
      <c r="A634" s="55"/>
      <c r="B634" s="55"/>
      <c r="C634" s="55"/>
      <c r="D634" s="55"/>
      <c r="E634" s="54"/>
      <c r="F634" s="54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</row>
    <row r="635">
      <c r="A635" s="55"/>
      <c r="B635" s="55"/>
      <c r="C635" s="55"/>
      <c r="D635" s="55"/>
      <c r="E635" s="54"/>
      <c r="F635" s="54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</row>
    <row r="636">
      <c r="A636" s="55"/>
      <c r="B636" s="55"/>
      <c r="C636" s="55"/>
      <c r="D636" s="55"/>
      <c r="E636" s="54"/>
      <c r="F636" s="54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</row>
    <row r="637">
      <c r="A637" s="55"/>
      <c r="B637" s="55"/>
      <c r="C637" s="55"/>
      <c r="D637" s="55"/>
      <c r="E637" s="54"/>
      <c r="F637" s="54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</row>
    <row r="638">
      <c r="A638" s="55"/>
      <c r="B638" s="55"/>
      <c r="C638" s="55"/>
      <c r="D638" s="55"/>
      <c r="E638" s="54"/>
      <c r="F638" s="54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</row>
    <row r="639">
      <c r="A639" s="55"/>
      <c r="B639" s="55"/>
      <c r="C639" s="55"/>
      <c r="D639" s="55"/>
      <c r="E639" s="54"/>
      <c r="F639" s="54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</row>
    <row r="640">
      <c r="A640" s="55"/>
      <c r="B640" s="55"/>
      <c r="C640" s="55"/>
      <c r="D640" s="55"/>
      <c r="E640" s="54"/>
      <c r="F640" s="54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</row>
    <row r="641">
      <c r="A641" s="55"/>
      <c r="B641" s="55"/>
      <c r="C641" s="55"/>
      <c r="D641" s="55"/>
      <c r="E641" s="54"/>
      <c r="F641" s="54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</row>
    <row r="642">
      <c r="A642" s="55"/>
      <c r="B642" s="55"/>
      <c r="C642" s="55"/>
      <c r="D642" s="55"/>
      <c r="E642" s="54"/>
      <c r="F642" s="54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</row>
    <row r="643">
      <c r="A643" s="55"/>
      <c r="B643" s="55"/>
      <c r="C643" s="55"/>
      <c r="D643" s="55"/>
      <c r="E643" s="54"/>
      <c r="F643" s="54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</row>
    <row r="644">
      <c r="A644" s="55"/>
      <c r="B644" s="55"/>
      <c r="C644" s="55"/>
      <c r="D644" s="55"/>
      <c r="E644" s="54"/>
      <c r="F644" s="54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</row>
    <row r="645">
      <c r="A645" s="55"/>
      <c r="B645" s="55"/>
      <c r="C645" s="55"/>
      <c r="D645" s="55"/>
      <c r="E645" s="54"/>
      <c r="F645" s="54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</row>
    <row r="646">
      <c r="A646" s="55"/>
      <c r="B646" s="55"/>
      <c r="C646" s="55"/>
      <c r="D646" s="55"/>
      <c r="E646" s="54"/>
      <c r="F646" s="54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</row>
    <row r="647">
      <c r="A647" s="55"/>
      <c r="B647" s="55"/>
      <c r="C647" s="55"/>
      <c r="D647" s="55"/>
      <c r="E647" s="54"/>
      <c r="F647" s="54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</row>
    <row r="648">
      <c r="A648" s="55"/>
      <c r="B648" s="55"/>
      <c r="C648" s="55"/>
      <c r="D648" s="55"/>
      <c r="E648" s="54"/>
      <c r="F648" s="54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</row>
    <row r="649">
      <c r="A649" s="55"/>
      <c r="B649" s="55"/>
      <c r="C649" s="55"/>
      <c r="D649" s="55"/>
      <c r="E649" s="54"/>
      <c r="F649" s="54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</row>
    <row r="650">
      <c r="A650" s="55"/>
      <c r="B650" s="55"/>
      <c r="C650" s="55"/>
      <c r="D650" s="55"/>
      <c r="E650" s="54"/>
      <c r="F650" s="54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</row>
    <row r="651">
      <c r="A651" s="55"/>
      <c r="B651" s="55"/>
      <c r="C651" s="55"/>
      <c r="D651" s="55"/>
      <c r="E651" s="54"/>
      <c r="F651" s="54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</row>
    <row r="652">
      <c r="A652" s="55"/>
      <c r="B652" s="55"/>
      <c r="C652" s="55"/>
      <c r="D652" s="55"/>
      <c r="E652" s="54"/>
      <c r="F652" s="54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</row>
    <row r="653">
      <c r="A653" s="55"/>
      <c r="B653" s="55"/>
      <c r="C653" s="55"/>
      <c r="D653" s="55"/>
      <c r="E653" s="54"/>
      <c r="F653" s="54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</row>
    <row r="654">
      <c r="A654" s="55"/>
      <c r="B654" s="55"/>
      <c r="C654" s="55"/>
      <c r="D654" s="55"/>
      <c r="E654" s="54"/>
      <c r="F654" s="54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</row>
    <row r="655">
      <c r="A655" s="55"/>
      <c r="B655" s="55"/>
      <c r="C655" s="55"/>
      <c r="D655" s="55"/>
      <c r="E655" s="54"/>
      <c r="F655" s="54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</row>
    <row r="656">
      <c r="A656" s="55"/>
      <c r="B656" s="55"/>
      <c r="C656" s="55"/>
      <c r="D656" s="55"/>
      <c r="E656" s="54"/>
      <c r="F656" s="54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</row>
    <row r="657">
      <c r="A657" s="55"/>
      <c r="B657" s="55"/>
      <c r="C657" s="55"/>
      <c r="D657" s="55"/>
      <c r="E657" s="54"/>
      <c r="F657" s="54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</row>
    <row r="658">
      <c r="A658" s="55"/>
      <c r="B658" s="55"/>
      <c r="C658" s="55"/>
      <c r="D658" s="55"/>
      <c r="E658" s="54"/>
      <c r="F658" s="54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</row>
    <row r="659">
      <c r="A659" s="55"/>
      <c r="B659" s="55"/>
      <c r="C659" s="55"/>
      <c r="D659" s="55"/>
      <c r="E659" s="54"/>
      <c r="F659" s="54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</row>
    <row r="660">
      <c r="A660" s="55"/>
      <c r="B660" s="55"/>
      <c r="C660" s="55"/>
      <c r="D660" s="55"/>
      <c r="E660" s="54"/>
      <c r="F660" s="54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</row>
    <row r="661">
      <c r="A661" s="55"/>
      <c r="B661" s="55"/>
      <c r="C661" s="55"/>
      <c r="D661" s="55"/>
      <c r="E661" s="54"/>
      <c r="F661" s="54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</row>
    <row r="662">
      <c r="A662" s="55"/>
      <c r="B662" s="55"/>
      <c r="C662" s="55"/>
      <c r="D662" s="55"/>
      <c r="E662" s="54"/>
      <c r="F662" s="54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</row>
    <row r="663">
      <c r="A663" s="55"/>
      <c r="B663" s="55"/>
      <c r="C663" s="55"/>
      <c r="D663" s="55"/>
      <c r="E663" s="54"/>
      <c r="F663" s="54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</row>
    <row r="664">
      <c r="A664" s="55"/>
      <c r="B664" s="55"/>
      <c r="C664" s="55"/>
      <c r="D664" s="55"/>
      <c r="E664" s="54"/>
      <c r="F664" s="54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</row>
    <row r="665">
      <c r="A665" s="55"/>
      <c r="B665" s="55"/>
      <c r="C665" s="55"/>
      <c r="D665" s="55"/>
      <c r="E665" s="54"/>
      <c r="F665" s="54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</row>
    <row r="666">
      <c r="A666" s="55"/>
      <c r="B666" s="55"/>
      <c r="C666" s="55"/>
      <c r="D666" s="55"/>
      <c r="E666" s="54"/>
      <c r="F666" s="54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</row>
    <row r="667">
      <c r="A667" s="55"/>
      <c r="B667" s="55"/>
      <c r="C667" s="55"/>
      <c r="D667" s="55"/>
      <c r="E667" s="54"/>
      <c r="F667" s="54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</row>
    <row r="668">
      <c r="A668" s="55"/>
      <c r="B668" s="55"/>
      <c r="C668" s="55"/>
      <c r="D668" s="55"/>
      <c r="E668" s="54"/>
      <c r="F668" s="54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</row>
    <row r="669">
      <c r="A669" s="55"/>
      <c r="B669" s="55"/>
      <c r="C669" s="55"/>
      <c r="D669" s="55"/>
      <c r="E669" s="54"/>
      <c r="F669" s="54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</row>
    <row r="670">
      <c r="A670" s="55"/>
      <c r="B670" s="55"/>
      <c r="C670" s="55"/>
      <c r="D670" s="55"/>
      <c r="E670" s="54"/>
      <c r="F670" s="54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</row>
    <row r="671">
      <c r="A671" s="55"/>
      <c r="B671" s="55"/>
      <c r="C671" s="55"/>
      <c r="D671" s="55"/>
      <c r="E671" s="54"/>
      <c r="F671" s="54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</row>
    <row r="672">
      <c r="A672" s="55"/>
      <c r="B672" s="55"/>
      <c r="C672" s="55"/>
      <c r="D672" s="55"/>
      <c r="E672" s="54"/>
      <c r="F672" s="54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</row>
    <row r="673">
      <c r="A673" s="55"/>
      <c r="B673" s="55"/>
      <c r="C673" s="55"/>
      <c r="D673" s="55"/>
      <c r="E673" s="54"/>
      <c r="F673" s="54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</row>
    <row r="674">
      <c r="A674" s="55"/>
      <c r="B674" s="55"/>
      <c r="C674" s="55"/>
      <c r="D674" s="55"/>
      <c r="E674" s="54"/>
      <c r="F674" s="54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</row>
    <row r="675">
      <c r="A675" s="55"/>
      <c r="B675" s="55"/>
      <c r="C675" s="55"/>
      <c r="D675" s="55"/>
      <c r="E675" s="54"/>
      <c r="F675" s="54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</row>
    <row r="676">
      <c r="A676" s="55"/>
      <c r="B676" s="55"/>
      <c r="C676" s="55"/>
      <c r="D676" s="55"/>
      <c r="E676" s="54"/>
      <c r="F676" s="54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</row>
    <row r="677">
      <c r="A677" s="55"/>
      <c r="B677" s="55"/>
      <c r="C677" s="55"/>
      <c r="D677" s="55"/>
      <c r="E677" s="54"/>
      <c r="F677" s="54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</row>
    <row r="678">
      <c r="A678" s="55"/>
      <c r="B678" s="55"/>
      <c r="C678" s="55"/>
      <c r="D678" s="55"/>
      <c r="E678" s="54"/>
      <c r="F678" s="54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</row>
    <row r="679">
      <c r="A679" s="55"/>
      <c r="B679" s="55"/>
      <c r="C679" s="55"/>
      <c r="D679" s="55"/>
      <c r="E679" s="54"/>
      <c r="F679" s="54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</row>
    <row r="680">
      <c r="A680" s="55"/>
      <c r="B680" s="55"/>
      <c r="C680" s="55"/>
      <c r="D680" s="55"/>
      <c r="E680" s="54"/>
      <c r="F680" s="54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</row>
    <row r="681">
      <c r="A681" s="55"/>
      <c r="B681" s="55"/>
      <c r="C681" s="55"/>
      <c r="D681" s="55"/>
      <c r="E681" s="54"/>
      <c r="F681" s="54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</row>
    <row r="682">
      <c r="A682" s="55"/>
      <c r="B682" s="55"/>
      <c r="C682" s="55"/>
      <c r="D682" s="55"/>
      <c r="E682" s="54"/>
      <c r="F682" s="54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</row>
    <row r="683">
      <c r="A683" s="55"/>
      <c r="B683" s="55"/>
      <c r="C683" s="55"/>
      <c r="D683" s="55"/>
      <c r="E683" s="54"/>
      <c r="F683" s="54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</row>
    <row r="684">
      <c r="A684" s="55"/>
      <c r="B684" s="55"/>
      <c r="C684" s="55"/>
      <c r="D684" s="55"/>
      <c r="E684" s="54"/>
      <c r="F684" s="54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</row>
    <row r="685">
      <c r="A685" s="55"/>
      <c r="B685" s="55"/>
      <c r="C685" s="55"/>
      <c r="D685" s="55"/>
      <c r="E685" s="54"/>
      <c r="F685" s="54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</row>
    <row r="686">
      <c r="A686" s="55"/>
      <c r="B686" s="55"/>
      <c r="C686" s="55"/>
      <c r="D686" s="55"/>
      <c r="E686" s="54"/>
      <c r="F686" s="54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</row>
    <row r="687">
      <c r="A687" s="55"/>
      <c r="B687" s="55"/>
      <c r="C687" s="55"/>
      <c r="D687" s="55"/>
      <c r="E687" s="54"/>
      <c r="F687" s="54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</row>
    <row r="688">
      <c r="A688" s="55"/>
      <c r="B688" s="55"/>
      <c r="C688" s="55"/>
      <c r="D688" s="55"/>
      <c r="E688" s="54"/>
      <c r="F688" s="54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</row>
    <row r="689">
      <c r="A689" s="55"/>
      <c r="B689" s="55"/>
      <c r="C689" s="55"/>
      <c r="D689" s="55"/>
      <c r="E689" s="54"/>
      <c r="F689" s="54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</row>
    <row r="690">
      <c r="A690" s="55"/>
      <c r="B690" s="55"/>
      <c r="C690" s="55"/>
      <c r="D690" s="55"/>
      <c r="E690" s="54"/>
      <c r="F690" s="54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</row>
    <row r="691">
      <c r="A691" s="55"/>
      <c r="B691" s="55"/>
      <c r="C691" s="55"/>
      <c r="D691" s="55"/>
      <c r="E691" s="54"/>
      <c r="F691" s="54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</row>
    <row r="692">
      <c r="A692" s="55"/>
      <c r="B692" s="55"/>
      <c r="C692" s="55"/>
      <c r="D692" s="55"/>
      <c r="E692" s="54"/>
      <c r="F692" s="54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</row>
    <row r="693">
      <c r="A693" s="55"/>
      <c r="B693" s="55"/>
      <c r="C693" s="55"/>
      <c r="D693" s="55"/>
      <c r="E693" s="54"/>
      <c r="F693" s="54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</row>
    <row r="694">
      <c r="A694" s="55"/>
      <c r="B694" s="55"/>
      <c r="C694" s="55"/>
      <c r="D694" s="55"/>
      <c r="E694" s="54"/>
      <c r="F694" s="54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</row>
    <row r="695">
      <c r="A695" s="55"/>
      <c r="B695" s="55"/>
      <c r="C695" s="55"/>
      <c r="D695" s="55"/>
      <c r="E695" s="54"/>
      <c r="F695" s="54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</row>
    <row r="696">
      <c r="A696" s="55"/>
      <c r="B696" s="55"/>
      <c r="C696" s="55"/>
      <c r="D696" s="55"/>
      <c r="E696" s="54"/>
      <c r="F696" s="54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</row>
    <row r="697">
      <c r="A697" s="55"/>
      <c r="B697" s="55"/>
      <c r="C697" s="55"/>
      <c r="D697" s="55"/>
      <c r="E697" s="54"/>
      <c r="F697" s="54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</row>
    <row r="698">
      <c r="A698" s="55"/>
      <c r="B698" s="55"/>
      <c r="C698" s="55"/>
      <c r="D698" s="55"/>
      <c r="E698" s="54"/>
      <c r="F698" s="54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</row>
    <row r="699">
      <c r="A699" s="55"/>
      <c r="B699" s="55"/>
      <c r="C699" s="55"/>
      <c r="D699" s="55"/>
      <c r="E699" s="54"/>
      <c r="F699" s="54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</row>
    <row r="700">
      <c r="A700" s="55"/>
      <c r="B700" s="55"/>
      <c r="C700" s="55"/>
      <c r="D700" s="55"/>
      <c r="E700" s="54"/>
      <c r="F700" s="54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</row>
    <row r="701">
      <c r="A701" s="55"/>
      <c r="B701" s="55"/>
      <c r="C701" s="55"/>
      <c r="D701" s="55"/>
      <c r="E701" s="54"/>
      <c r="F701" s="54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</row>
    <row r="702">
      <c r="A702" s="55"/>
      <c r="B702" s="55"/>
      <c r="C702" s="55"/>
      <c r="D702" s="55"/>
      <c r="E702" s="54"/>
      <c r="F702" s="54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</row>
    <row r="703">
      <c r="A703" s="55"/>
      <c r="B703" s="55"/>
      <c r="C703" s="55"/>
      <c r="D703" s="55"/>
      <c r="E703" s="54"/>
      <c r="F703" s="54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</row>
    <row r="704">
      <c r="A704" s="55"/>
      <c r="B704" s="55"/>
      <c r="C704" s="55"/>
      <c r="D704" s="55"/>
      <c r="E704" s="54"/>
      <c r="F704" s="54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</row>
    <row r="705">
      <c r="A705" s="55"/>
      <c r="B705" s="55"/>
      <c r="C705" s="55"/>
      <c r="D705" s="55"/>
      <c r="E705" s="54"/>
      <c r="F705" s="54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</row>
    <row r="706">
      <c r="A706" s="55"/>
      <c r="B706" s="55"/>
      <c r="C706" s="55"/>
      <c r="D706" s="55"/>
      <c r="E706" s="54"/>
      <c r="F706" s="54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</row>
    <row r="707">
      <c r="A707" s="55"/>
      <c r="B707" s="55"/>
      <c r="C707" s="55"/>
      <c r="D707" s="55"/>
      <c r="E707" s="54"/>
      <c r="F707" s="54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</row>
    <row r="708">
      <c r="A708" s="55"/>
      <c r="B708" s="55"/>
      <c r="C708" s="55"/>
      <c r="D708" s="55"/>
      <c r="E708" s="54"/>
      <c r="F708" s="54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</row>
    <row r="709">
      <c r="A709" s="55"/>
      <c r="B709" s="55"/>
      <c r="C709" s="55"/>
      <c r="D709" s="55"/>
      <c r="E709" s="54"/>
      <c r="F709" s="54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</row>
    <row r="710">
      <c r="A710" s="55"/>
      <c r="B710" s="55"/>
      <c r="C710" s="55"/>
      <c r="D710" s="55"/>
      <c r="E710" s="54"/>
      <c r="F710" s="54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</row>
    <row r="711">
      <c r="A711" s="55"/>
      <c r="B711" s="55"/>
      <c r="C711" s="55"/>
      <c r="D711" s="55"/>
      <c r="E711" s="54"/>
      <c r="F711" s="54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</row>
    <row r="712">
      <c r="A712" s="55"/>
      <c r="B712" s="55"/>
      <c r="C712" s="55"/>
      <c r="D712" s="55"/>
      <c r="E712" s="54"/>
      <c r="F712" s="54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</row>
    <row r="713">
      <c r="A713" s="55"/>
      <c r="B713" s="55"/>
      <c r="C713" s="55"/>
      <c r="D713" s="55"/>
      <c r="E713" s="54"/>
      <c r="F713" s="54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</row>
    <row r="714">
      <c r="A714" s="55"/>
      <c r="B714" s="55"/>
      <c r="C714" s="55"/>
      <c r="D714" s="55"/>
      <c r="E714" s="54"/>
      <c r="F714" s="54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</row>
    <row r="715">
      <c r="A715" s="55"/>
      <c r="B715" s="55"/>
      <c r="C715" s="55"/>
      <c r="D715" s="55"/>
      <c r="E715" s="54"/>
      <c r="F715" s="54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</row>
    <row r="716">
      <c r="A716" s="55"/>
      <c r="B716" s="55"/>
      <c r="C716" s="55"/>
      <c r="D716" s="55"/>
      <c r="E716" s="54"/>
      <c r="F716" s="54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</row>
    <row r="717">
      <c r="A717" s="55"/>
      <c r="B717" s="55"/>
      <c r="C717" s="55"/>
      <c r="D717" s="55"/>
      <c r="E717" s="54"/>
      <c r="F717" s="54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</row>
    <row r="718">
      <c r="A718" s="55"/>
      <c r="B718" s="55"/>
      <c r="C718" s="55"/>
      <c r="D718" s="55"/>
      <c r="E718" s="54"/>
      <c r="F718" s="54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</row>
    <row r="719">
      <c r="A719" s="55"/>
      <c r="B719" s="55"/>
      <c r="C719" s="55"/>
      <c r="D719" s="55"/>
      <c r="E719" s="54"/>
      <c r="F719" s="54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</row>
    <row r="720">
      <c r="A720" s="55"/>
      <c r="B720" s="55"/>
      <c r="C720" s="55"/>
      <c r="D720" s="55"/>
      <c r="E720" s="54"/>
      <c r="F720" s="54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</row>
    <row r="721">
      <c r="A721" s="55"/>
      <c r="B721" s="55"/>
      <c r="C721" s="55"/>
      <c r="D721" s="55"/>
      <c r="E721" s="54"/>
      <c r="F721" s="54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</row>
    <row r="722">
      <c r="A722" s="55"/>
      <c r="B722" s="55"/>
      <c r="C722" s="55"/>
      <c r="D722" s="55"/>
      <c r="E722" s="54"/>
      <c r="F722" s="54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</row>
    <row r="723">
      <c r="A723" s="55"/>
      <c r="B723" s="55"/>
      <c r="C723" s="55"/>
      <c r="D723" s="55"/>
      <c r="E723" s="54"/>
      <c r="F723" s="54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</row>
    <row r="724">
      <c r="A724" s="55"/>
      <c r="B724" s="55"/>
      <c r="C724" s="55"/>
      <c r="D724" s="55"/>
      <c r="E724" s="54"/>
      <c r="F724" s="54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</row>
    <row r="725">
      <c r="A725" s="55"/>
      <c r="B725" s="55"/>
      <c r="C725" s="55"/>
      <c r="D725" s="55"/>
      <c r="E725" s="54"/>
      <c r="F725" s="54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</row>
    <row r="726">
      <c r="A726" s="55"/>
      <c r="B726" s="55"/>
      <c r="C726" s="55"/>
      <c r="D726" s="55"/>
      <c r="E726" s="54"/>
      <c r="F726" s="54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</row>
    <row r="727">
      <c r="A727" s="55"/>
      <c r="B727" s="55"/>
      <c r="C727" s="55"/>
      <c r="D727" s="55"/>
      <c r="E727" s="54"/>
      <c r="F727" s="54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</row>
    <row r="728">
      <c r="A728" s="55"/>
      <c r="B728" s="55"/>
      <c r="C728" s="55"/>
      <c r="D728" s="55"/>
      <c r="E728" s="54"/>
      <c r="F728" s="54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</row>
    <row r="729">
      <c r="A729" s="55"/>
      <c r="B729" s="55"/>
      <c r="C729" s="55"/>
      <c r="D729" s="55"/>
      <c r="E729" s="54"/>
      <c r="F729" s="54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</row>
    <row r="730">
      <c r="A730" s="55"/>
      <c r="B730" s="55"/>
      <c r="C730" s="55"/>
      <c r="D730" s="55"/>
      <c r="E730" s="54"/>
      <c r="F730" s="54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</row>
    <row r="731">
      <c r="A731" s="55"/>
      <c r="B731" s="55"/>
      <c r="C731" s="55"/>
      <c r="D731" s="55"/>
      <c r="E731" s="54"/>
      <c r="F731" s="54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</row>
    <row r="732">
      <c r="A732" s="55"/>
      <c r="B732" s="55"/>
      <c r="C732" s="55"/>
      <c r="D732" s="55"/>
      <c r="E732" s="54"/>
      <c r="F732" s="54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</row>
    <row r="733">
      <c r="A733" s="55"/>
      <c r="B733" s="55"/>
      <c r="C733" s="55"/>
      <c r="D733" s="55"/>
      <c r="E733" s="54"/>
      <c r="F733" s="54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</row>
    <row r="734">
      <c r="A734" s="55"/>
      <c r="B734" s="55"/>
      <c r="C734" s="55"/>
      <c r="D734" s="55"/>
      <c r="E734" s="54"/>
      <c r="F734" s="54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</row>
    <row r="735">
      <c r="A735" s="55"/>
      <c r="B735" s="55"/>
      <c r="C735" s="55"/>
      <c r="D735" s="55"/>
      <c r="E735" s="54"/>
      <c r="F735" s="54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</row>
    <row r="736">
      <c r="A736" s="55"/>
      <c r="B736" s="55"/>
      <c r="C736" s="55"/>
      <c r="D736" s="55"/>
      <c r="E736" s="54"/>
      <c r="F736" s="54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</row>
    <row r="737">
      <c r="A737" s="55"/>
      <c r="B737" s="55"/>
      <c r="C737" s="55"/>
      <c r="D737" s="55"/>
      <c r="E737" s="54"/>
      <c r="F737" s="54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</row>
    <row r="738">
      <c r="A738" s="55"/>
      <c r="B738" s="55"/>
      <c r="C738" s="55"/>
      <c r="D738" s="55"/>
      <c r="E738" s="54"/>
      <c r="F738" s="54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</row>
    <row r="739">
      <c r="A739" s="55"/>
      <c r="B739" s="55"/>
      <c r="C739" s="55"/>
      <c r="D739" s="55"/>
      <c r="E739" s="54"/>
      <c r="F739" s="54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</row>
    <row r="740">
      <c r="A740" s="55"/>
      <c r="B740" s="55"/>
      <c r="C740" s="55"/>
      <c r="D740" s="55"/>
      <c r="E740" s="54"/>
      <c r="F740" s="54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</row>
    <row r="741">
      <c r="A741" s="55"/>
      <c r="B741" s="55"/>
      <c r="C741" s="55"/>
      <c r="D741" s="55"/>
      <c r="E741" s="54"/>
      <c r="F741" s="54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</row>
    <row r="742">
      <c r="A742" s="55"/>
      <c r="B742" s="55"/>
      <c r="C742" s="55"/>
      <c r="D742" s="55"/>
      <c r="E742" s="54"/>
      <c r="F742" s="54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</row>
    <row r="743">
      <c r="A743" s="55"/>
      <c r="B743" s="55"/>
      <c r="C743" s="55"/>
      <c r="D743" s="55"/>
      <c r="E743" s="54"/>
      <c r="F743" s="54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</row>
    <row r="744">
      <c r="A744" s="55"/>
      <c r="B744" s="55"/>
      <c r="C744" s="55"/>
      <c r="D744" s="55"/>
      <c r="E744" s="54"/>
      <c r="F744" s="54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</row>
    <row r="745">
      <c r="A745" s="55"/>
      <c r="B745" s="55"/>
      <c r="C745" s="55"/>
      <c r="D745" s="55"/>
      <c r="E745" s="54"/>
      <c r="F745" s="54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</row>
    <row r="746">
      <c r="A746" s="55"/>
      <c r="B746" s="55"/>
      <c r="C746" s="55"/>
      <c r="D746" s="55"/>
      <c r="E746" s="54"/>
      <c r="F746" s="54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</row>
    <row r="747">
      <c r="A747" s="55"/>
      <c r="B747" s="55"/>
      <c r="C747" s="55"/>
      <c r="D747" s="55"/>
      <c r="E747" s="54"/>
      <c r="F747" s="54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</row>
    <row r="748">
      <c r="A748" s="55"/>
      <c r="B748" s="55"/>
      <c r="C748" s="55"/>
      <c r="D748" s="55"/>
      <c r="E748" s="54"/>
      <c r="F748" s="54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</row>
    <row r="749">
      <c r="A749" s="55"/>
      <c r="B749" s="55"/>
      <c r="C749" s="55"/>
      <c r="D749" s="55"/>
      <c r="E749" s="54"/>
      <c r="F749" s="54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</row>
    <row r="750">
      <c r="A750" s="55"/>
      <c r="B750" s="55"/>
      <c r="C750" s="55"/>
      <c r="D750" s="55"/>
      <c r="E750" s="54"/>
      <c r="F750" s="54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</row>
    <row r="751">
      <c r="A751" s="55"/>
      <c r="B751" s="55"/>
      <c r="C751" s="55"/>
      <c r="D751" s="55"/>
      <c r="E751" s="54"/>
      <c r="F751" s="54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</row>
    <row r="752">
      <c r="A752" s="55"/>
      <c r="B752" s="55"/>
      <c r="C752" s="55"/>
      <c r="D752" s="55"/>
      <c r="E752" s="54"/>
      <c r="F752" s="54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</row>
    <row r="753">
      <c r="A753" s="55"/>
      <c r="B753" s="55"/>
      <c r="C753" s="55"/>
      <c r="D753" s="55"/>
      <c r="E753" s="54"/>
      <c r="F753" s="54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</row>
    <row r="754">
      <c r="A754" s="55"/>
      <c r="B754" s="55"/>
      <c r="C754" s="55"/>
      <c r="D754" s="55"/>
      <c r="E754" s="54"/>
      <c r="F754" s="54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</row>
    <row r="755">
      <c r="A755" s="55"/>
      <c r="B755" s="55"/>
      <c r="C755" s="55"/>
      <c r="D755" s="55"/>
      <c r="E755" s="54"/>
      <c r="F755" s="54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</row>
    <row r="756">
      <c r="A756" s="55"/>
      <c r="B756" s="55"/>
      <c r="C756" s="55"/>
      <c r="D756" s="55"/>
      <c r="E756" s="54"/>
      <c r="F756" s="54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</row>
    <row r="757">
      <c r="A757" s="55"/>
      <c r="B757" s="55"/>
      <c r="C757" s="55"/>
      <c r="D757" s="55"/>
      <c r="E757" s="54"/>
      <c r="F757" s="54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</row>
    <row r="758">
      <c r="A758" s="55"/>
      <c r="B758" s="55"/>
      <c r="C758" s="55"/>
      <c r="D758" s="55"/>
      <c r="E758" s="54"/>
      <c r="F758" s="54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</row>
    <row r="759">
      <c r="A759" s="55"/>
      <c r="B759" s="55"/>
      <c r="C759" s="55"/>
      <c r="D759" s="55"/>
      <c r="E759" s="54"/>
      <c r="F759" s="54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</row>
    <row r="760">
      <c r="A760" s="55"/>
      <c r="B760" s="55"/>
      <c r="C760" s="55"/>
      <c r="D760" s="55"/>
      <c r="E760" s="54"/>
      <c r="F760" s="54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</row>
    <row r="761">
      <c r="A761" s="55"/>
      <c r="B761" s="55"/>
      <c r="C761" s="55"/>
      <c r="D761" s="55"/>
      <c r="E761" s="54"/>
      <c r="F761" s="54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</row>
    <row r="762">
      <c r="A762" s="55"/>
      <c r="B762" s="55"/>
      <c r="C762" s="55"/>
      <c r="D762" s="55"/>
      <c r="E762" s="54"/>
      <c r="F762" s="54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</row>
    <row r="763">
      <c r="A763" s="55"/>
      <c r="B763" s="55"/>
      <c r="C763" s="55"/>
      <c r="D763" s="55"/>
      <c r="E763" s="54"/>
      <c r="F763" s="54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</row>
    <row r="764">
      <c r="A764" s="55"/>
      <c r="B764" s="55"/>
      <c r="C764" s="55"/>
      <c r="D764" s="55"/>
      <c r="E764" s="54"/>
      <c r="F764" s="54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</row>
    <row r="765">
      <c r="A765" s="55"/>
      <c r="B765" s="55"/>
      <c r="C765" s="55"/>
      <c r="D765" s="55"/>
      <c r="E765" s="54"/>
      <c r="F765" s="54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</row>
    <row r="766">
      <c r="A766" s="55"/>
      <c r="B766" s="55"/>
      <c r="C766" s="55"/>
      <c r="D766" s="55"/>
      <c r="E766" s="54"/>
      <c r="F766" s="54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</row>
    <row r="767">
      <c r="A767" s="55"/>
      <c r="B767" s="55"/>
      <c r="C767" s="55"/>
      <c r="D767" s="55"/>
      <c r="E767" s="54"/>
      <c r="F767" s="54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</row>
    <row r="768">
      <c r="A768" s="55"/>
      <c r="B768" s="55"/>
      <c r="C768" s="55"/>
      <c r="D768" s="55"/>
      <c r="E768" s="54"/>
      <c r="F768" s="54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</row>
    <row r="769">
      <c r="A769" s="55"/>
      <c r="B769" s="55"/>
      <c r="C769" s="55"/>
      <c r="D769" s="55"/>
      <c r="E769" s="54"/>
      <c r="F769" s="54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</row>
    <row r="770">
      <c r="A770" s="55"/>
      <c r="B770" s="55"/>
      <c r="C770" s="55"/>
      <c r="D770" s="55"/>
      <c r="E770" s="54"/>
      <c r="F770" s="54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</row>
    <row r="771">
      <c r="A771" s="55"/>
      <c r="B771" s="55"/>
      <c r="C771" s="55"/>
      <c r="D771" s="55"/>
      <c r="E771" s="54"/>
      <c r="F771" s="54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</row>
    <row r="772">
      <c r="A772" s="55"/>
      <c r="B772" s="55"/>
      <c r="C772" s="55"/>
      <c r="D772" s="55"/>
      <c r="E772" s="54"/>
      <c r="F772" s="54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</row>
    <row r="773">
      <c r="A773" s="55"/>
      <c r="B773" s="55"/>
      <c r="C773" s="55"/>
      <c r="D773" s="55"/>
      <c r="E773" s="54"/>
      <c r="F773" s="54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</row>
    <row r="774">
      <c r="A774" s="55"/>
      <c r="B774" s="55"/>
      <c r="C774" s="55"/>
      <c r="D774" s="55"/>
      <c r="E774" s="54"/>
      <c r="F774" s="54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</row>
    <row r="775">
      <c r="A775" s="55"/>
      <c r="B775" s="55"/>
      <c r="C775" s="55"/>
      <c r="D775" s="55"/>
      <c r="E775" s="54"/>
      <c r="F775" s="54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</row>
    <row r="776">
      <c r="A776" s="55"/>
      <c r="B776" s="55"/>
      <c r="C776" s="55"/>
      <c r="D776" s="55"/>
      <c r="E776" s="54"/>
      <c r="F776" s="54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</row>
    <row r="777">
      <c r="A777" s="55"/>
      <c r="B777" s="55"/>
      <c r="C777" s="55"/>
      <c r="D777" s="55"/>
      <c r="E777" s="54"/>
      <c r="F777" s="54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</row>
    <row r="778">
      <c r="A778" s="55"/>
      <c r="B778" s="55"/>
      <c r="C778" s="55"/>
      <c r="D778" s="55"/>
      <c r="E778" s="54"/>
      <c r="F778" s="54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</row>
    <row r="779">
      <c r="A779" s="55"/>
      <c r="B779" s="55"/>
      <c r="C779" s="55"/>
      <c r="D779" s="55"/>
      <c r="E779" s="54"/>
      <c r="F779" s="54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</row>
    <row r="780">
      <c r="A780" s="55"/>
      <c r="B780" s="55"/>
      <c r="C780" s="55"/>
      <c r="D780" s="55"/>
      <c r="E780" s="54"/>
      <c r="F780" s="54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</row>
    <row r="781">
      <c r="A781" s="55"/>
      <c r="B781" s="55"/>
      <c r="C781" s="55"/>
      <c r="D781" s="55"/>
      <c r="E781" s="54"/>
      <c r="F781" s="54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</row>
    <row r="782">
      <c r="A782" s="55"/>
      <c r="B782" s="55"/>
      <c r="C782" s="55"/>
      <c r="D782" s="55"/>
      <c r="E782" s="54"/>
      <c r="F782" s="54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</row>
    <row r="783">
      <c r="A783" s="55"/>
      <c r="B783" s="55"/>
      <c r="C783" s="55"/>
      <c r="D783" s="55"/>
      <c r="E783" s="54"/>
      <c r="F783" s="54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</row>
    <row r="784">
      <c r="A784" s="55"/>
      <c r="B784" s="55"/>
      <c r="C784" s="55"/>
      <c r="D784" s="55"/>
      <c r="E784" s="54"/>
      <c r="F784" s="54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</row>
    <row r="785">
      <c r="A785" s="55"/>
      <c r="B785" s="55"/>
      <c r="C785" s="55"/>
      <c r="D785" s="55"/>
      <c r="E785" s="54"/>
      <c r="F785" s="54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</row>
    <row r="786">
      <c r="A786" s="55"/>
      <c r="B786" s="55"/>
      <c r="C786" s="55"/>
      <c r="D786" s="55"/>
      <c r="E786" s="54"/>
      <c r="F786" s="54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</row>
    <row r="787">
      <c r="A787" s="55"/>
      <c r="B787" s="55"/>
      <c r="C787" s="55"/>
      <c r="D787" s="55"/>
      <c r="E787" s="54"/>
      <c r="F787" s="54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</row>
    <row r="788">
      <c r="A788" s="55"/>
      <c r="B788" s="55"/>
      <c r="C788" s="55"/>
      <c r="D788" s="55"/>
      <c r="E788" s="54"/>
      <c r="F788" s="54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</row>
    <row r="789">
      <c r="A789" s="55"/>
      <c r="B789" s="55"/>
      <c r="C789" s="55"/>
      <c r="D789" s="55"/>
      <c r="E789" s="54"/>
      <c r="F789" s="54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</row>
    <row r="790">
      <c r="A790" s="55"/>
      <c r="B790" s="55"/>
      <c r="C790" s="55"/>
      <c r="D790" s="55"/>
      <c r="E790" s="54"/>
      <c r="F790" s="54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</row>
    <row r="791">
      <c r="A791" s="55"/>
      <c r="B791" s="55"/>
      <c r="C791" s="55"/>
      <c r="D791" s="55"/>
      <c r="E791" s="54"/>
      <c r="F791" s="54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</row>
    <row r="792">
      <c r="A792" s="55"/>
      <c r="B792" s="55"/>
      <c r="C792" s="55"/>
      <c r="D792" s="55"/>
      <c r="E792" s="54"/>
      <c r="F792" s="54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</row>
    <row r="793">
      <c r="A793" s="55"/>
      <c r="B793" s="55"/>
      <c r="C793" s="55"/>
      <c r="D793" s="55"/>
      <c r="E793" s="54"/>
      <c r="F793" s="54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</row>
    <row r="794">
      <c r="A794" s="55"/>
      <c r="B794" s="55"/>
      <c r="C794" s="55"/>
      <c r="D794" s="55"/>
      <c r="E794" s="54"/>
      <c r="F794" s="54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</row>
    <row r="795">
      <c r="A795" s="55"/>
      <c r="B795" s="55"/>
      <c r="C795" s="55"/>
      <c r="D795" s="55"/>
      <c r="E795" s="54"/>
      <c r="F795" s="54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</row>
    <row r="796">
      <c r="A796" s="55"/>
      <c r="B796" s="55"/>
      <c r="C796" s="55"/>
      <c r="D796" s="55"/>
      <c r="E796" s="54"/>
      <c r="F796" s="54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</row>
    <row r="797">
      <c r="A797" s="55"/>
      <c r="B797" s="55"/>
      <c r="C797" s="55"/>
      <c r="D797" s="55"/>
      <c r="E797" s="54"/>
      <c r="F797" s="54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</row>
    <row r="798">
      <c r="A798" s="55"/>
      <c r="B798" s="55"/>
      <c r="C798" s="55"/>
      <c r="D798" s="55"/>
      <c r="E798" s="54"/>
      <c r="F798" s="54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</row>
    <row r="799">
      <c r="A799" s="55"/>
      <c r="B799" s="55"/>
      <c r="C799" s="55"/>
      <c r="D799" s="55"/>
      <c r="E799" s="54"/>
      <c r="F799" s="54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</row>
    <row r="800">
      <c r="A800" s="55"/>
      <c r="B800" s="55"/>
      <c r="C800" s="55"/>
      <c r="D800" s="55"/>
      <c r="E800" s="54"/>
      <c r="F800" s="54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</row>
    <row r="801">
      <c r="A801" s="55"/>
      <c r="B801" s="55"/>
      <c r="C801" s="55"/>
      <c r="D801" s="55"/>
      <c r="E801" s="54"/>
      <c r="F801" s="54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</row>
    <row r="802">
      <c r="A802" s="55"/>
      <c r="B802" s="55"/>
      <c r="C802" s="55"/>
      <c r="D802" s="55"/>
      <c r="E802" s="54"/>
      <c r="F802" s="54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</row>
    <row r="803">
      <c r="A803" s="55"/>
      <c r="B803" s="55"/>
      <c r="C803" s="55"/>
      <c r="D803" s="55"/>
      <c r="E803" s="54"/>
      <c r="F803" s="54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</row>
    <row r="804">
      <c r="A804" s="55"/>
      <c r="B804" s="55"/>
      <c r="C804" s="55"/>
      <c r="D804" s="55"/>
      <c r="E804" s="54"/>
      <c r="F804" s="54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</row>
    <row r="805">
      <c r="A805" s="55"/>
      <c r="B805" s="55"/>
      <c r="C805" s="55"/>
      <c r="D805" s="55"/>
      <c r="E805" s="54"/>
      <c r="F805" s="54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</row>
    <row r="806">
      <c r="A806" s="55"/>
      <c r="B806" s="55"/>
      <c r="C806" s="55"/>
      <c r="D806" s="55"/>
      <c r="E806" s="54"/>
      <c r="F806" s="54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</row>
    <row r="807">
      <c r="A807" s="55"/>
      <c r="B807" s="55"/>
      <c r="C807" s="55"/>
      <c r="D807" s="55"/>
      <c r="E807" s="54"/>
      <c r="F807" s="54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</row>
    <row r="808">
      <c r="A808" s="55"/>
      <c r="B808" s="55"/>
      <c r="C808" s="55"/>
      <c r="D808" s="55"/>
      <c r="E808" s="54"/>
      <c r="F808" s="54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</row>
    <row r="809">
      <c r="A809" s="55"/>
      <c r="B809" s="55"/>
      <c r="C809" s="55"/>
      <c r="D809" s="55"/>
      <c r="E809" s="54"/>
      <c r="F809" s="54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</row>
    <row r="810">
      <c r="A810" s="55"/>
      <c r="B810" s="55"/>
      <c r="C810" s="55"/>
      <c r="D810" s="55"/>
      <c r="E810" s="54"/>
      <c r="F810" s="54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</row>
    <row r="811">
      <c r="A811" s="55"/>
      <c r="B811" s="55"/>
      <c r="C811" s="55"/>
      <c r="D811" s="55"/>
      <c r="E811" s="54"/>
      <c r="F811" s="54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</row>
    <row r="812">
      <c r="A812" s="55"/>
      <c r="B812" s="55"/>
      <c r="C812" s="55"/>
      <c r="D812" s="55"/>
      <c r="E812" s="54"/>
      <c r="F812" s="54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</row>
    <row r="813">
      <c r="A813" s="55"/>
      <c r="B813" s="55"/>
      <c r="C813" s="55"/>
      <c r="D813" s="55"/>
      <c r="E813" s="54"/>
      <c r="F813" s="54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</row>
    <row r="814">
      <c r="A814" s="55"/>
      <c r="B814" s="55"/>
      <c r="C814" s="55"/>
      <c r="D814" s="55"/>
      <c r="E814" s="54"/>
      <c r="F814" s="54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</row>
    <row r="815">
      <c r="A815" s="55"/>
      <c r="B815" s="55"/>
      <c r="C815" s="55"/>
      <c r="D815" s="55"/>
      <c r="E815" s="54"/>
      <c r="F815" s="54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</row>
    <row r="816">
      <c r="A816" s="55"/>
      <c r="B816" s="55"/>
      <c r="C816" s="55"/>
      <c r="D816" s="55"/>
      <c r="E816" s="54"/>
      <c r="F816" s="54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</row>
    <row r="817">
      <c r="A817" s="55"/>
      <c r="B817" s="55"/>
      <c r="C817" s="55"/>
      <c r="D817" s="55"/>
      <c r="E817" s="54"/>
      <c r="F817" s="54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</row>
    <row r="818">
      <c r="A818" s="55"/>
      <c r="B818" s="55"/>
      <c r="C818" s="55"/>
      <c r="D818" s="55"/>
      <c r="E818" s="54"/>
      <c r="F818" s="54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</row>
    <row r="819">
      <c r="A819" s="55"/>
      <c r="B819" s="55"/>
      <c r="C819" s="55"/>
      <c r="D819" s="55"/>
      <c r="E819" s="54"/>
      <c r="F819" s="54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</row>
    <row r="820">
      <c r="A820" s="55"/>
      <c r="B820" s="55"/>
      <c r="C820" s="55"/>
      <c r="D820" s="55"/>
      <c r="E820" s="54"/>
      <c r="F820" s="54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</row>
    <row r="821">
      <c r="A821" s="55"/>
      <c r="B821" s="55"/>
      <c r="C821" s="55"/>
      <c r="D821" s="55"/>
      <c r="E821" s="54"/>
      <c r="F821" s="54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</row>
    <row r="822">
      <c r="A822" s="55"/>
      <c r="B822" s="55"/>
      <c r="C822" s="55"/>
      <c r="D822" s="55"/>
      <c r="E822" s="54"/>
      <c r="F822" s="54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</row>
    <row r="823">
      <c r="A823" s="55"/>
      <c r="B823" s="55"/>
      <c r="C823" s="55"/>
      <c r="D823" s="55"/>
      <c r="E823" s="54"/>
      <c r="F823" s="54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</row>
    <row r="824">
      <c r="A824" s="55"/>
      <c r="B824" s="55"/>
      <c r="C824" s="55"/>
      <c r="D824" s="55"/>
      <c r="E824" s="54"/>
      <c r="F824" s="54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</row>
    <row r="825">
      <c r="A825" s="55"/>
      <c r="B825" s="55"/>
      <c r="C825" s="55"/>
      <c r="D825" s="55"/>
      <c r="E825" s="54"/>
      <c r="F825" s="54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</row>
    <row r="826">
      <c r="A826" s="55"/>
      <c r="B826" s="55"/>
      <c r="C826" s="55"/>
      <c r="D826" s="55"/>
      <c r="E826" s="54"/>
      <c r="F826" s="54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</row>
    <row r="827">
      <c r="A827" s="55"/>
      <c r="B827" s="55"/>
      <c r="C827" s="55"/>
      <c r="D827" s="55"/>
      <c r="E827" s="54"/>
      <c r="F827" s="54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</row>
    <row r="828">
      <c r="A828" s="55"/>
      <c r="B828" s="55"/>
      <c r="C828" s="55"/>
      <c r="D828" s="55"/>
      <c r="E828" s="54"/>
      <c r="F828" s="54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</row>
    <row r="829">
      <c r="A829" s="55"/>
      <c r="B829" s="55"/>
      <c r="C829" s="55"/>
      <c r="D829" s="55"/>
      <c r="E829" s="54"/>
      <c r="F829" s="54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</row>
    <row r="830">
      <c r="A830" s="55"/>
      <c r="B830" s="55"/>
      <c r="C830" s="55"/>
      <c r="D830" s="55"/>
      <c r="E830" s="54"/>
      <c r="F830" s="54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</row>
    <row r="831">
      <c r="A831" s="55"/>
      <c r="B831" s="55"/>
      <c r="C831" s="55"/>
      <c r="D831" s="55"/>
      <c r="E831" s="54"/>
      <c r="F831" s="54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</row>
    <row r="832">
      <c r="A832" s="55"/>
      <c r="B832" s="55"/>
      <c r="C832" s="55"/>
      <c r="D832" s="55"/>
      <c r="E832" s="54"/>
      <c r="F832" s="54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</row>
    <row r="833">
      <c r="A833" s="55"/>
      <c r="B833" s="55"/>
      <c r="C833" s="55"/>
      <c r="D833" s="55"/>
      <c r="E833" s="54"/>
      <c r="F833" s="54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</row>
    <row r="834">
      <c r="A834" s="55"/>
      <c r="B834" s="55"/>
      <c r="C834" s="55"/>
      <c r="D834" s="55"/>
      <c r="E834" s="54"/>
      <c r="F834" s="54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</row>
    <row r="835">
      <c r="A835" s="55"/>
      <c r="B835" s="55"/>
      <c r="C835" s="55"/>
      <c r="D835" s="55"/>
      <c r="E835" s="54"/>
      <c r="F835" s="54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</row>
    <row r="836">
      <c r="A836" s="55"/>
      <c r="B836" s="55"/>
      <c r="C836" s="55"/>
      <c r="D836" s="55"/>
      <c r="E836" s="54"/>
      <c r="F836" s="54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</row>
    <row r="837">
      <c r="A837" s="55"/>
      <c r="B837" s="55"/>
      <c r="C837" s="55"/>
      <c r="D837" s="55"/>
      <c r="E837" s="54"/>
      <c r="F837" s="54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</row>
    <row r="838">
      <c r="A838" s="55"/>
      <c r="B838" s="55"/>
      <c r="C838" s="55"/>
      <c r="D838" s="55"/>
      <c r="E838" s="54"/>
      <c r="F838" s="54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</row>
    <row r="839">
      <c r="A839" s="55"/>
      <c r="B839" s="55"/>
      <c r="C839" s="55"/>
      <c r="D839" s="55"/>
      <c r="E839" s="54"/>
      <c r="F839" s="54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</row>
    <row r="840">
      <c r="A840" s="55"/>
      <c r="B840" s="55"/>
      <c r="C840" s="55"/>
      <c r="D840" s="55"/>
      <c r="E840" s="54"/>
      <c r="F840" s="54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</row>
    <row r="841">
      <c r="A841" s="55"/>
      <c r="B841" s="55"/>
      <c r="C841" s="55"/>
      <c r="D841" s="55"/>
      <c r="E841" s="54"/>
      <c r="F841" s="54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</row>
    <row r="842">
      <c r="A842" s="55"/>
      <c r="B842" s="55"/>
      <c r="C842" s="55"/>
      <c r="D842" s="55"/>
      <c r="E842" s="54"/>
      <c r="F842" s="54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</row>
    <row r="843">
      <c r="A843" s="55"/>
      <c r="B843" s="55"/>
      <c r="C843" s="55"/>
      <c r="D843" s="55"/>
      <c r="E843" s="54"/>
      <c r="F843" s="54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</row>
    <row r="844">
      <c r="A844" s="55"/>
      <c r="B844" s="55"/>
      <c r="C844" s="55"/>
      <c r="D844" s="55"/>
      <c r="E844" s="54"/>
      <c r="F844" s="54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</row>
    <row r="845">
      <c r="A845" s="55"/>
      <c r="B845" s="55"/>
      <c r="C845" s="55"/>
      <c r="D845" s="55"/>
      <c r="E845" s="54"/>
      <c r="F845" s="54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</row>
    <row r="846">
      <c r="A846" s="55"/>
      <c r="B846" s="55"/>
      <c r="C846" s="55"/>
      <c r="D846" s="55"/>
      <c r="E846" s="54"/>
      <c r="F846" s="54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</row>
    <row r="847">
      <c r="A847" s="55"/>
      <c r="B847" s="55"/>
      <c r="C847" s="55"/>
      <c r="D847" s="55"/>
      <c r="E847" s="54"/>
      <c r="F847" s="54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</row>
    <row r="848">
      <c r="A848" s="55"/>
      <c r="B848" s="55"/>
      <c r="C848" s="55"/>
      <c r="D848" s="55"/>
      <c r="E848" s="54"/>
      <c r="F848" s="54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</row>
    <row r="849">
      <c r="A849" s="55"/>
      <c r="B849" s="55"/>
      <c r="C849" s="55"/>
      <c r="D849" s="55"/>
      <c r="E849" s="54"/>
      <c r="F849" s="54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</row>
    <row r="850">
      <c r="A850" s="55"/>
      <c r="B850" s="55"/>
      <c r="C850" s="55"/>
      <c r="D850" s="55"/>
      <c r="E850" s="54"/>
      <c r="F850" s="54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</row>
    <row r="851">
      <c r="A851" s="55"/>
      <c r="B851" s="55"/>
      <c r="C851" s="55"/>
      <c r="D851" s="55"/>
      <c r="E851" s="54"/>
      <c r="F851" s="54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</row>
    <row r="852">
      <c r="A852" s="55"/>
      <c r="B852" s="55"/>
      <c r="C852" s="55"/>
      <c r="D852" s="55"/>
      <c r="E852" s="54"/>
      <c r="F852" s="54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</row>
    <row r="853">
      <c r="A853" s="55"/>
      <c r="B853" s="55"/>
      <c r="C853" s="55"/>
      <c r="D853" s="55"/>
      <c r="E853" s="54"/>
      <c r="F853" s="54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</row>
    <row r="854">
      <c r="A854" s="55"/>
      <c r="B854" s="55"/>
      <c r="C854" s="55"/>
      <c r="D854" s="55"/>
      <c r="E854" s="54"/>
      <c r="F854" s="54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</row>
    <row r="855">
      <c r="A855" s="55"/>
      <c r="B855" s="55"/>
      <c r="C855" s="55"/>
      <c r="D855" s="55"/>
      <c r="E855" s="54"/>
      <c r="F855" s="54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</row>
    <row r="856">
      <c r="A856" s="55"/>
      <c r="B856" s="55"/>
      <c r="C856" s="55"/>
      <c r="D856" s="55"/>
      <c r="E856" s="54"/>
      <c r="F856" s="54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</row>
    <row r="857">
      <c r="A857" s="55"/>
      <c r="B857" s="55"/>
      <c r="C857" s="55"/>
      <c r="D857" s="55"/>
      <c r="E857" s="54"/>
      <c r="F857" s="54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</row>
    <row r="858">
      <c r="A858" s="55"/>
      <c r="B858" s="55"/>
      <c r="C858" s="55"/>
      <c r="D858" s="55"/>
      <c r="E858" s="54"/>
      <c r="F858" s="54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</row>
    <row r="859">
      <c r="A859" s="55"/>
      <c r="B859" s="55"/>
      <c r="C859" s="55"/>
      <c r="D859" s="55"/>
      <c r="E859" s="54"/>
      <c r="F859" s="54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</row>
    <row r="860">
      <c r="A860" s="55"/>
      <c r="B860" s="55"/>
      <c r="C860" s="55"/>
      <c r="D860" s="55"/>
      <c r="E860" s="54"/>
      <c r="F860" s="54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</row>
    <row r="861">
      <c r="A861" s="55"/>
      <c r="B861" s="55"/>
      <c r="C861" s="55"/>
      <c r="D861" s="55"/>
      <c r="E861" s="54"/>
      <c r="F861" s="54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</row>
    <row r="862">
      <c r="A862" s="55"/>
      <c r="B862" s="55"/>
      <c r="C862" s="55"/>
      <c r="D862" s="55"/>
      <c r="E862" s="54"/>
      <c r="F862" s="54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</row>
    <row r="863">
      <c r="A863" s="55"/>
      <c r="B863" s="55"/>
      <c r="C863" s="55"/>
      <c r="D863" s="55"/>
      <c r="E863" s="54"/>
      <c r="F863" s="54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</row>
    <row r="864">
      <c r="A864" s="55"/>
      <c r="B864" s="55"/>
      <c r="C864" s="55"/>
      <c r="D864" s="55"/>
      <c r="E864" s="54"/>
      <c r="F864" s="54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</row>
    <row r="865">
      <c r="A865" s="55"/>
      <c r="B865" s="55"/>
      <c r="C865" s="55"/>
      <c r="D865" s="55"/>
      <c r="E865" s="54"/>
      <c r="F865" s="54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</row>
    <row r="866">
      <c r="A866" s="55"/>
      <c r="B866" s="55"/>
      <c r="C866" s="55"/>
      <c r="D866" s="55"/>
      <c r="E866" s="54"/>
      <c r="F866" s="54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</row>
    <row r="867">
      <c r="A867" s="55"/>
      <c r="B867" s="55"/>
      <c r="C867" s="55"/>
      <c r="D867" s="55"/>
      <c r="E867" s="54"/>
      <c r="F867" s="54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</row>
    <row r="868">
      <c r="A868" s="55"/>
      <c r="B868" s="55"/>
      <c r="C868" s="55"/>
      <c r="D868" s="55"/>
      <c r="E868" s="54"/>
      <c r="F868" s="54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</row>
    <row r="869">
      <c r="A869" s="55"/>
      <c r="B869" s="55"/>
      <c r="C869" s="55"/>
      <c r="D869" s="55"/>
      <c r="E869" s="54"/>
      <c r="F869" s="54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</row>
    <row r="870">
      <c r="A870" s="55"/>
      <c r="B870" s="55"/>
      <c r="C870" s="55"/>
      <c r="D870" s="55"/>
      <c r="E870" s="54"/>
      <c r="F870" s="54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</row>
    <row r="871">
      <c r="A871" s="55"/>
      <c r="B871" s="55"/>
      <c r="C871" s="55"/>
      <c r="D871" s="55"/>
      <c r="E871" s="54"/>
      <c r="F871" s="54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</row>
    <row r="872">
      <c r="A872" s="55"/>
      <c r="B872" s="55"/>
      <c r="C872" s="55"/>
      <c r="D872" s="55"/>
      <c r="E872" s="54"/>
      <c r="F872" s="54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</row>
    <row r="873">
      <c r="A873" s="55"/>
      <c r="B873" s="55"/>
      <c r="C873" s="55"/>
      <c r="D873" s="55"/>
      <c r="E873" s="54"/>
      <c r="F873" s="54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</row>
    <row r="874">
      <c r="A874" s="55"/>
      <c r="B874" s="55"/>
      <c r="C874" s="55"/>
      <c r="D874" s="55"/>
      <c r="E874" s="54"/>
      <c r="F874" s="54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</row>
    <row r="875">
      <c r="A875" s="55"/>
      <c r="B875" s="55"/>
      <c r="C875" s="55"/>
      <c r="D875" s="55"/>
      <c r="E875" s="54"/>
      <c r="F875" s="54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</row>
    <row r="876">
      <c r="A876" s="55"/>
      <c r="B876" s="55"/>
      <c r="C876" s="55"/>
      <c r="D876" s="55"/>
      <c r="E876" s="54"/>
      <c r="F876" s="54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</row>
    <row r="877">
      <c r="A877" s="55"/>
      <c r="B877" s="55"/>
      <c r="C877" s="55"/>
      <c r="D877" s="55"/>
      <c r="E877" s="54"/>
      <c r="F877" s="54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</row>
    <row r="878">
      <c r="A878" s="55"/>
      <c r="B878" s="55"/>
      <c r="C878" s="55"/>
      <c r="D878" s="55"/>
      <c r="E878" s="54"/>
      <c r="F878" s="54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</row>
    <row r="879">
      <c r="A879" s="55"/>
      <c r="B879" s="55"/>
      <c r="C879" s="55"/>
      <c r="D879" s="55"/>
      <c r="E879" s="54"/>
      <c r="F879" s="54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</row>
    <row r="880">
      <c r="A880" s="55"/>
      <c r="B880" s="55"/>
      <c r="C880" s="55"/>
      <c r="D880" s="55"/>
      <c r="E880" s="54"/>
      <c r="F880" s="54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</row>
    <row r="881">
      <c r="A881" s="55"/>
      <c r="B881" s="55"/>
      <c r="C881" s="55"/>
      <c r="D881" s="55"/>
      <c r="E881" s="54"/>
      <c r="F881" s="54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</row>
    <row r="882">
      <c r="A882" s="55"/>
      <c r="B882" s="55"/>
      <c r="C882" s="55"/>
      <c r="D882" s="55"/>
      <c r="E882" s="54"/>
      <c r="F882" s="54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</row>
    <row r="883">
      <c r="A883" s="55"/>
      <c r="B883" s="55"/>
      <c r="C883" s="55"/>
      <c r="D883" s="55"/>
      <c r="E883" s="54"/>
      <c r="F883" s="54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</row>
    <row r="884">
      <c r="A884" s="55"/>
      <c r="B884" s="55"/>
      <c r="C884" s="55"/>
      <c r="D884" s="55"/>
      <c r="E884" s="54"/>
      <c r="F884" s="54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</row>
    <row r="885">
      <c r="A885" s="55"/>
      <c r="B885" s="55"/>
      <c r="C885" s="55"/>
      <c r="D885" s="55"/>
      <c r="E885" s="54"/>
      <c r="F885" s="54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</row>
    <row r="886">
      <c r="A886" s="55"/>
      <c r="B886" s="55"/>
      <c r="C886" s="55"/>
      <c r="D886" s="55"/>
      <c r="E886" s="54"/>
      <c r="F886" s="54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</row>
    <row r="887">
      <c r="A887" s="55"/>
      <c r="B887" s="55"/>
      <c r="C887" s="55"/>
      <c r="D887" s="55"/>
      <c r="E887" s="54"/>
      <c r="F887" s="54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</row>
    <row r="888">
      <c r="A888" s="55"/>
      <c r="B888" s="55"/>
      <c r="C888" s="55"/>
      <c r="D888" s="55"/>
      <c r="E888" s="54"/>
      <c r="F888" s="54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</row>
    <row r="889">
      <c r="A889" s="55"/>
      <c r="B889" s="55"/>
      <c r="C889" s="55"/>
      <c r="D889" s="55"/>
      <c r="E889" s="54"/>
      <c r="F889" s="54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</row>
    <row r="890">
      <c r="A890" s="55"/>
      <c r="B890" s="55"/>
      <c r="C890" s="55"/>
      <c r="D890" s="55"/>
      <c r="E890" s="54"/>
      <c r="F890" s="54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</row>
    <row r="891">
      <c r="A891" s="55"/>
      <c r="B891" s="55"/>
      <c r="C891" s="55"/>
      <c r="D891" s="55"/>
      <c r="E891" s="54"/>
      <c r="F891" s="54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</row>
    <row r="892">
      <c r="A892" s="55"/>
      <c r="B892" s="55"/>
      <c r="C892" s="55"/>
      <c r="D892" s="55"/>
      <c r="E892" s="54"/>
      <c r="F892" s="54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</row>
    <row r="893">
      <c r="A893" s="55"/>
      <c r="B893" s="55"/>
      <c r="C893" s="55"/>
      <c r="D893" s="55"/>
      <c r="E893" s="54"/>
      <c r="F893" s="54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</row>
    <row r="894">
      <c r="A894" s="55"/>
      <c r="B894" s="55"/>
      <c r="C894" s="55"/>
      <c r="D894" s="55"/>
      <c r="E894" s="54"/>
      <c r="F894" s="54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</row>
    <row r="895">
      <c r="A895" s="55"/>
      <c r="B895" s="55"/>
      <c r="C895" s="55"/>
      <c r="D895" s="55"/>
      <c r="E895" s="54"/>
      <c r="F895" s="54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</row>
    <row r="896">
      <c r="A896" s="55"/>
      <c r="B896" s="55"/>
      <c r="C896" s="55"/>
      <c r="D896" s="55"/>
      <c r="E896" s="54"/>
      <c r="F896" s="54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</row>
    <row r="897">
      <c r="A897" s="55"/>
      <c r="B897" s="55"/>
      <c r="C897" s="55"/>
      <c r="D897" s="55"/>
      <c r="E897" s="54"/>
      <c r="F897" s="54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</row>
    <row r="898">
      <c r="A898" s="55"/>
      <c r="B898" s="55"/>
      <c r="C898" s="55"/>
      <c r="D898" s="55"/>
      <c r="E898" s="54"/>
      <c r="F898" s="54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</row>
    <row r="899">
      <c r="A899" s="55"/>
      <c r="B899" s="55"/>
      <c r="C899" s="55"/>
      <c r="D899" s="55"/>
      <c r="E899" s="54"/>
      <c r="F899" s="54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</row>
    <row r="900">
      <c r="A900" s="55"/>
      <c r="B900" s="55"/>
      <c r="C900" s="55"/>
      <c r="D900" s="55"/>
      <c r="E900" s="54"/>
      <c r="F900" s="54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</row>
    <row r="901">
      <c r="A901" s="55"/>
      <c r="B901" s="55"/>
      <c r="C901" s="55"/>
      <c r="D901" s="55"/>
      <c r="E901" s="54"/>
      <c r="F901" s="54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</row>
    <row r="902">
      <c r="A902" s="55"/>
      <c r="B902" s="55"/>
      <c r="C902" s="55"/>
      <c r="D902" s="55"/>
      <c r="E902" s="54"/>
      <c r="F902" s="54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</row>
    <row r="903">
      <c r="A903" s="55"/>
      <c r="B903" s="55"/>
      <c r="C903" s="55"/>
      <c r="D903" s="55"/>
      <c r="E903" s="54"/>
      <c r="F903" s="54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</row>
    <row r="904">
      <c r="A904" s="55"/>
      <c r="B904" s="55"/>
      <c r="C904" s="55"/>
      <c r="D904" s="55"/>
      <c r="E904" s="54"/>
      <c r="F904" s="54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</row>
    <row r="905">
      <c r="A905" s="55"/>
      <c r="B905" s="55"/>
      <c r="C905" s="55"/>
      <c r="D905" s="55"/>
      <c r="E905" s="54"/>
      <c r="F905" s="54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</row>
    <row r="906">
      <c r="A906" s="55"/>
      <c r="B906" s="55"/>
      <c r="C906" s="55"/>
      <c r="D906" s="55"/>
      <c r="E906" s="54"/>
      <c r="F906" s="54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</row>
    <row r="907">
      <c r="A907" s="55"/>
      <c r="B907" s="55"/>
      <c r="C907" s="55"/>
      <c r="D907" s="55"/>
      <c r="E907" s="54"/>
      <c r="F907" s="54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</row>
    <row r="908">
      <c r="A908" s="55"/>
      <c r="B908" s="55"/>
      <c r="C908" s="55"/>
      <c r="D908" s="55"/>
      <c r="E908" s="54"/>
      <c r="F908" s="54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</row>
    <row r="909">
      <c r="A909" s="55"/>
      <c r="B909" s="55"/>
      <c r="C909" s="55"/>
      <c r="D909" s="55"/>
      <c r="E909" s="54"/>
      <c r="F909" s="54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</row>
    <row r="910">
      <c r="A910" s="55"/>
      <c r="B910" s="55"/>
      <c r="C910" s="55"/>
      <c r="D910" s="55"/>
      <c r="E910" s="54"/>
      <c r="F910" s="54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</row>
    <row r="911">
      <c r="A911" s="55"/>
      <c r="B911" s="55"/>
      <c r="C911" s="55"/>
      <c r="D911" s="55"/>
      <c r="E911" s="54"/>
      <c r="F911" s="54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</row>
    <row r="912">
      <c r="A912" s="55"/>
      <c r="B912" s="55"/>
      <c r="C912" s="55"/>
      <c r="D912" s="55"/>
      <c r="E912" s="54"/>
      <c r="F912" s="54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</row>
    <row r="913">
      <c r="A913" s="55"/>
      <c r="B913" s="55"/>
      <c r="C913" s="55"/>
      <c r="D913" s="55"/>
      <c r="E913" s="54"/>
      <c r="F913" s="54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</row>
    <row r="914">
      <c r="A914" s="55"/>
      <c r="B914" s="55"/>
      <c r="C914" s="55"/>
      <c r="D914" s="55"/>
      <c r="E914" s="54"/>
      <c r="F914" s="54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</row>
    <row r="915">
      <c r="A915" s="55"/>
      <c r="B915" s="55"/>
      <c r="C915" s="55"/>
      <c r="D915" s="55"/>
      <c r="E915" s="54"/>
      <c r="F915" s="54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</row>
    <row r="916">
      <c r="A916" s="55"/>
      <c r="B916" s="55"/>
      <c r="C916" s="55"/>
      <c r="D916" s="55"/>
      <c r="E916" s="54"/>
      <c r="F916" s="54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</row>
    <row r="917">
      <c r="A917" s="55"/>
      <c r="B917" s="55"/>
      <c r="C917" s="55"/>
      <c r="D917" s="55"/>
      <c r="E917" s="54"/>
      <c r="F917" s="54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</row>
    <row r="918">
      <c r="A918" s="55"/>
      <c r="B918" s="55"/>
      <c r="C918" s="55"/>
      <c r="D918" s="55"/>
      <c r="E918" s="54"/>
      <c r="F918" s="54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</row>
    <row r="919">
      <c r="A919" s="55"/>
      <c r="B919" s="55"/>
      <c r="C919" s="55"/>
      <c r="D919" s="55"/>
      <c r="E919" s="54"/>
      <c r="F919" s="54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</row>
    <row r="920">
      <c r="A920" s="55"/>
      <c r="B920" s="55"/>
      <c r="C920" s="55"/>
      <c r="D920" s="55"/>
      <c r="E920" s="54"/>
      <c r="F920" s="54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</row>
    <row r="921">
      <c r="A921" s="55"/>
      <c r="B921" s="55"/>
      <c r="C921" s="55"/>
      <c r="D921" s="55"/>
      <c r="E921" s="54"/>
      <c r="F921" s="54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</row>
    <row r="922">
      <c r="A922" s="55"/>
      <c r="B922" s="55"/>
      <c r="C922" s="55"/>
      <c r="D922" s="55"/>
      <c r="E922" s="54"/>
      <c r="F922" s="54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</row>
    <row r="923">
      <c r="A923" s="55"/>
      <c r="B923" s="55"/>
      <c r="C923" s="55"/>
      <c r="D923" s="55"/>
      <c r="E923" s="54"/>
      <c r="F923" s="54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</row>
    <row r="924">
      <c r="A924" s="55"/>
      <c r="B924" s="55"/>
      <c r="C924" s="55"/>
      <c r="D924" s="55"/>
      <c r="E924" s="54"/>
      <c r="F924" s="54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</row>
    <row r="925">
      <c r="A925" s="55"/>
      <c r="B925" s="55"/>
      <c r="C925" s="55"/>
      <c r="D925" s="55"/>
      <c r="E925" s="54"/>
      <c r="F925" s="54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</row>
    <row r="926">
      <c r="A926" s="55"/>
      <c r="B926" s="55"/>
      <c r="C926" s="55"/>
      <c r="D926" s="55"/>
      <c r="E926" s="54"/>
      <c r="F926" s="54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</row>
    <row r="927">
      <c r="A927" s="55"/>
      <c r="B927" s="55"/>
      <c r="C927" s="55"/>
      <c r="D927" s="55"/>
      <c r="E927" s="54"/>
      <c r="F927" s="54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</row>
    <row r="928">
      <c r="A928" s="55"/>
      <c r="B928" s="55"/>
      <c r="C928" s="55"/>
      <c r="D928" s="55"/>
      <c r="E928" s="54"/>
      <c r="F928" s="54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</row>
    <row r="929">
      <c r="A929" s="55"/>
      <c r="B929" s="55"/>
      <c r="C929" s="55"/>
      <c r="D929" s="55"/>
      <c r="E929" s="54"/>
      <c r="F929" s="54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</row>
    <row r="930">
      <c r="A930" s="55"/>
      <c r="B930" s="55"/>
      <c r="C930" s="55"/>
      <c r="D930" s="55"/>
      <c r="E930" s="54"/>
      <c r="F930" s="54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</row>
    <row r="931">
      <c r="A931" s="55"/>
      <c r="B931" s="55"/>
      <c r="C931" s="55"/>
      <c r="D931" s="55"/>
      <c r="E931" s="54"/>
      <c r="F931" s="54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</row>
    <row r="932">
      <c r="A932" s="55"/>
      <c r="B932" s="55"/>
      <c r="C932" s="55"/>
      <c r="D932" s="55"/>
      <c r="E932" s="54"/>
      <c r="F932" s="54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</row>
    <row r="933">
      <c r="A933" s="55"/>
      <c r="B933" s="55"/>
      <c r="C933" s="55"/>
      <c r="D933" s="55"/>
      <c r="E933" s="54"/>
      <c r="F933" s="54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</row>
    <row r="934">
      <c r="A934" s="55"/>
      <c r="B934" s="55"/>
      <c r="C934" s="55"/>
      <c r="D934" s="55"/>
      <c r="E934" s="54"/>
      <c r="F934" s="54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</row>
    <row r="935">
      <c r="A935" s="55"/>
      <c r="B935" s="55"/>
      <c r="C935" s="55"/>
      <c r="D935" s="55"/>
      <c r="E935" s="54"/>
      <c r="F935" s="54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</row>
    <row r="936">
      <c r="A936" s="55"/>
      <c r="B936" s="55"/>
      <c r="C936" s="55"/>
      <c r="D936" s="55"/>
      <c r="E936" s="54"/>
      <c r="F936" s="54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</row>
    <row r="937">
      <c r="A937" s="55"/>
      <c r="B937" s="55"/>
      <c r="C937" s="55"/>
      <c r="D937" s="55"/>
      <c r="E937" s="54"/>
      <c r="F937" s="54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</row>
    <row r="938">
      <c r="A938" s="55"/>
      <c r="B938" s="55"/>
      <c r="C938" s="55"/>
      <c r="D938" s="55"/>
      <c r="E938" s="54"/>
      <c r="F938" s="54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</row>
    <row r="939">
      <c r="A939" s="55"/>
      <c r="B939" s="55"/>
      <c r="C939" s="55"/>
      <c r="D939" s="55"/>
      <c r="E939" s="54"/>
      <c r="F939" s="54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</row>
    <row r="940">
      <c r="A940" s="55"/>
      <c r="B940" s="55"/>
      <c r="C940" s="55"/>
      <c r="D940" s="55"/>
      <c r="E940" s="54"/>
      <c r="F940" s="54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</row>
    <row r="941">
      <c r="A941" s="55"/>
      <c r="B941" s="55"/>
      <c r="C941" s="55"/>
      <c r="D941" s="55"/>
      <c r="E941" s="54"/>
      <c r="F941" s="54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</row>
    <row r="942">
      <c r="A942" s="55"/>
      <c r="B942" s="55"/>
      <c r="C942" s="55"/>
      <c r="D942" s="55"/>
      <c r="E942" s="54"/>
      <c r="F942" s="54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</row>
    <row r="943">
      <c r="A943" s="55"/>
      <c r="B943" s="55"/>
      <c r="C943" s="55"/>
      <c r="D943" s="55"/>
      <c r="E943" s="54"/>
      <c r="F943" s="54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</row>
    <row r="944">
      <c r="A944" s="55"/>
      <c r="B944" s="55"/>
      <c r="C944" s="55"/>
      <c r="D944" s="55"/>
      <c r="E944" s="54"/>
      <c r="F944" s="54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</row>
    <row r="945">
      <c r="A945" s="55"/>
      <c r="B945" s="55"/>
      <c r="C945" s="55"/>
      <c r="D945" s="55"/>
      <c r="E945" s="54"/>
      <c r="F945" s="54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</row>
    <row r="946">
      <c r="A946" s="55"/>
      <c r="B946" s="55"/>
      <c r="C946" s="55"/>
      <c r="D946" s="55"/>
      <c r="E946" s="54"/>
      <c r="F946" s="54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</row>
    <row r="947">
      <c r="A947" s="55"/>
      <c r="B947" s="55"/>
      <c r="C947" s="55"/>
      <c r="D947" s="55"/>
      <c r="E947" s="54"/>
      <c r="F947" s="54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</row>
    <row r="948">
      <c r="A948" s="55"/>
      <c r="B948" s="55"/>
      <c r="C948" s="55"/>
      <c r="D948" s="55"/>
      <c r="E948" s="54"/>
      <c r="F948" s="54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</row>
    <row r="949">
      <c r="A949" s="55"/>
      <c r="B949" s="55"/>
      <c r="C949" s="55"/>
      <c r="D949" s="55"/>
      <c r="E949" s="54"/>
      <c r="F949" s="54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</row>
    <row r="950">
      <c r="A950" s="55"/>
      <c r="B950" s="55"/>
      <c r="C950" s="55"/>
      <c r="D950" s="55"/>
      <c r="E950" s="54"/>
      <c r="F950" s="54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</row>
    <row r="951">
      <c r="A951" s="55"/>
      <c r="B951" s="55"/>
      <c r="C951" s="55"/>
      <c r="D951" s="55"/>
      <c r="E951" s="54"/>
      <c r="F951" s="54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</row>
    <row r="952">
      <c r="A952" s="55"/>
      <c r="B952" s="55"/>
      <c r="C952" s="55"/>
      <c r="D952" s="55"/>
      <c r="E952" s="54"/>
      <c r="F952" s="54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</row>
    <row r="953">
      <c r="A953" s="55"/>
      <c r="B953" s="55"/>
      <c r="C953" s="55"/>
      <c r="D953" s="55"/>
      <c r="E953" s="54"/>
      <c r="F953" s="54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</row>
    <row r="954">
      <c r="A954" s="55"/>
      <c r="B954" s="55"/>
      <c r="C954" s="55"/>
      <c r="D954" s="55"/>
      <c r="E954" s="54"/>
      <c r="F954" s="54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</row>
    <row r="955">
      <c r="A955" s="55"/>
      <c r="B955" s="55"/>
      <c r="C955" s="55"/>
      <c r="D955" s="55"/>
      <c r="E955" s="54"/>
      <c r="F955" s="54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</row>
    <row r="956">
      <c r="A956" s="55"/>
      <c r="B956" s="55"/>
      <c r="C956" s="55"/>
      <c r="D956" s="55"/>
      <c r="E956" s="54"/>
      <c r="F956" s="54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</row>
    <row r="957">
      <c r="A957" s="55"/>
      <c r="B957" s="55"/>
      <c r="C957" s="55"/>
      <c r="D957" s="55"/>
      <c r="E957" s="54"/>
      <c r="F957" s="54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</row>
    <row r="958">
      <c r="A958" s="55"/>
      <c r="B958" s="55"/>
      <c r="C958" s="55"/>
      <c r="D958" s="55"/>
      <c r="E958" s="54"/>
      <c r="F958" s="54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</row>
    <row r="959">
      <c r="A959" s="55"/>
      <c r="B959" s="55"/>
      <c r="C959" s="55"/>
      <c r="D959" s="55"/>
      <c r="E959" s="54"/>
      <c r="F959" s="54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</row>
    <row r="960">
      <c r="A960" s="55"/>
      <c r="B960" s="55"/>
      <c r="C960" s="55"/>
      <c r="D960" s="55"/>
      <c r="E960" s="54"/>
      <c r="F960" s="54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</row>
    <row r="961">
      <c r="A961" s="55"/>
      <c r="B961" s="55"/>
      <c r="C961" s="55"/>
      <c r="D961" s="55"/>
      <c r="E961" s="54"/>
      <c r="F961" s="54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</row>
    <row r="962">
      <c r="A962" s="55"/>
      <c r="B962" s="55"/>
      <c r="C962" s="55"/>
      <c r="D962" s="55"/>
      <c r="E962" s="54"/>
      <c r="F962" s="54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</row>
    <row r="963">
      <c r="A963" s="55"/>
      <c r="B963" s="55"/>
      <c r="C963" s="55"/>
      <c r="D963" s="55"/>
      <c r="E963" s="54"/>
      <c r="F963" s="54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</row>
    <row r="964">
      <c r="A964" s="55"/>
      <c r="B964" s="55"/>
      <c r="C964" s="55"/>
      <c r="D964" s="55"/>
      <c r="E964" s="54"/>
      <c r="F964" s="54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</row>
    <row r="965">
      <c r="A965" s="55"/>
      <c r="B965" s="55"/>
      <c r="C965" s="55"/>
      <c r="D965" s="55"/>
      <c r="E965" s="54"/>
      <c r="F965" s="54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</row>
    <row r="966">
      <c r="A966" s="55"/>
      <c r="B966" s="55"/>
      <c r="C966" s="55"/>
      <c r="D966" s="55"/>
      <c r="E966" s="54"/>
      <c r="F966" s="54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</row>
    <row r="967">
      <c r="A967" s="55"/>
      <c r="B967" s="55"/>
      <c r="C967" s="55"/>
      <c r="D967" s="55"/>
      <c r="E967" s="54"/>
      <c r="F967" s="54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</row>
    <row r="968">
      <c r="A968" s="55"/>
      <c r="B968" s="55"/>
      <c r="C968" s="55"/>
      <c r="D968" s="55"/>
      <c r="E968" s="54"/>
      <c r="F968" s="54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</row>
    <row r="969">
      <c r="A969" s="55"/>
      <c r="B969" s="55"/>
      <c r="C969" s="55"/>
      <c r="D969" s="55"/>
      <c r="E969" s="54"/>
      <c r="F969" s="54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</row>
    <row r="970">
      <c r="A970" s="55"/>
      <c r="B970" s="55"/>
      <c r="C970" s="55"/>
      <c r="D970" s="55"/>
      <c r="E970" s="54"/>
      <c r="F970" s="54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</row>
    <row r="971">
      <c r="A971" s="55"/>
      <c r="B971" s="55"/>
      <c r="C971" s="55"/>
      <c r="D971" s="55"/>
      <c r="E971" s="54"/>
      <c r="F971" s="54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</row>
    <row r="972">
      <c r="A972" s="55"/>
      <c r="B972" s="55"/>
      <c r="C972" s="55"/>
      <c r="D972" s="55"/>
      <c r="E972" s="54"/>
      <c r="F972" s="54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</row>
    <row r="973">
      <c r="A973" s="55"/>
      <c r="B973" s="55"/>
      <c r="C973" s="55"/>
      <c r="D973" s="55"/>
      <c r="E973" s="54"/>
      <c r="F973" s="54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</row>
    <row r="974">
      <c r="A974" s="55"/>
      <c r="B974" s="55"/>
      <c r="C974" s="55"/>
      <c r="D974" s="55"/>
      <c r="E974" s="54"/>
      <c r="F974" s="54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</row>
    <row r="975">
      <c r="A975" s="55"/>
      <c r="B975" s="55"/>
      <c r="C975" s="55"/>
      <c r="D975" s="55"/>
      <c r="E975" s="54"/>
      <c r="F975" s="54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</row>
    <row r="976">
      <c r="A976" s="55"/>
      <c r="B976" s="55"/>
      <c r="C976" s="55"/>
      <c r="D976" s="55"/>
      <c r="E976" s="54"/>
      <c r="F976" s="54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</row>
    <row r="977">
      <c r="A977" s="55"/>
      <c r="B977" s="55"/>
      <c r="C977" s="55"/>
      <c r="D977" s="55"/>
      <c r="E977" s="54"/>
      <c r="F977" s="54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</row>
    <row r="978">
      <c r="A978" s="55"/>
      <c r="B978" s="55"/>
      <c r="C978" s="55"/>
      <c r="D978" s="55"/>
      <c r="E978" s="54"/>
      <c r="F978" s="54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</row>
    <row r="979">
      <c r="A979" s="55"/>
      <c r="B979" s="55"/>
      <c r="C979" s="55"/>
      <c r="D979" s="55"/>
      <c r="E979" s="54"/>
      <c r="F979" s="54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</row>
    <row r="980">
      <c r="A980" s="55"/>
      <c r="B980" s="55"/>
      <c r="C980" s="55"/>
      <c r="D980" s="55"/>
      <c r="E980" s="54"/>
      <c r="F980" s="54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</row>
    <row r="981">
      <c r="A981" s="55"/>
      <c r="B981" s="55"/>
      <c r="C981" s="55"/>
      <c r="D981" s="55"/>
      <c r="E981" s="54"/>
      <c r="F981" s="54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</row>
    <row r="982">
      <c r="A982" s="55"/>
      <c r="B982" s="55"/>
      <c r="C982" s="55"/>
      <c r="D982" s="55"/>
      <c r="E982" s="54"/>
      <c r="F982" s="54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</row>
    <row r="983">
      <c r="A983" s="55"/>
      <c r="B983" s="55"/>
      <c r="C983" s="55"/>
      <c r="D983" s="55"/>
      <c r="E983" s="54"/>
      <c r="F983" s="54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</row>
    <row r="984">
      <c r="A984" s="55"/>
      <c r="B984" s="55"/>
      <c r="C984" s="55"/>
      <c r="D984" s="55"/>
      <c r="E984" s="54"/>
      <c r="F984" s="54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</row>
    <row r="985">
      <c r="A985" s="55"/>
      <c r="B985" s="55"/>
      <c r="C985" s="55"/>
      <c r="D985" s="55"/>
      <c r="E985" s="54"/>
      <c r="F985" s="54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</row>
    <row r="986">
      <c r="A986" s="55"/>
      <c r="B986" s="55"/>
      <c r="C986" s="55"/>
      <c r="D986" s="55"/>
      <c r="E986" s="54"/>
      <c r="F986" s="54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</row>
    <row r="987">
      <c r="A987" s="55"/>
      <c r="B987" s="55"/>
      <c r="C987" s="55"/>
      <c r="D987" s="55"/>
      <c r="E987" s="54"/>
      <c r="F987" s="54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</row>
    <row r="988">
      <c r="A988" s="55"/>
      <c r="B988" s="55"/>
      <c r="C988" s="55"/>
      <c r="D988" s="55"/>
      <c r="E988" s="54"/>
      <c r="F988" s="54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</row>
    <row r="989">
      <c r="A989" s="55"/>
      <c r="B989" s="55"/>
      <c r="C989" s="55"/>
      <c r="D989" s="55"/>
      <c r="E989" s="54"/>
      <c r="F989" s="54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</row>
    <row r="990">
      <c r="A990" s="55"/>
      <c r="B990" s="55"/>
      <c r="C990" s="55"/>
      <c r="D990" s="55"/>
      <c r="E990" s="54"/>
      <c r="F990" s="54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</row>
    <row r="991">
      <c r="A991" s="55"/>
      <c r="B991" s="55"/>
      <c r="C991" s="55"/>
      <c r="D991" s="55"/>
      <c r="E991" s="54"/>
      <c r="F991" s="54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</row>
    <row r="992">
      <c r="A992" s="55"/>
      <c r="B992" s="55"/>
      <c r="C992" s="55"/>
      <c r="D992" s="55"/>
      <c r="E992" s="54"/>
      <c r="F992" s="54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</row>
    <row r="993">
      <c r="A993" s="55"/>
      <c r="B993" s="55"/>
      <c r="C993" s="55"/>
      <c r="D993" s="55"/>
      <c r="E993" s="54"/>
      <c r="F993" s="54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</row>
    <row r="994">
      <c r="A994" s="55"/>
      <c r="B994" s="55"/>
      <c r="C994" s="55"/>
      <c r="D994" s="55"/>
      <c r="E994" s="54"/>
      <c r="F994" s="54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</row>
    <row r="995">
      <c r="A995" s="55"/>
      <c r="B995" s="55"/>
      <c r="C995" s="55"/>
      <c r="D995" s="55"/>
      <c r="E995" s="54"/>
      <c r="F995" s="54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</row>
    <row r="996">
      <c r="A996" s="55"/>
      <c r="B996" s="55"/>
      <c r="C996" s="55"/>
      <c r="D996" s="55"/>
      <c r="E996" s="54"/>
      <c r="F996" s="54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</row>
    <row r="997">
      <c r="A997" s="55"/>
      <c r="B997" s="55"/>
      <c r="C997" s="55"/>
      <c r="D997" s="55"/>
      <c r="E997" s="54"/>
      <c r="F997" s="54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</row>
    <row r="998">
      <c r="A998" s="55"/>
      <c r="B998" s="55"/>
      <c r="C998" s="55"/>
      <c r="D998" s="55"/>
      <c r="E998" s="54"/>
      <c r="F998" s="54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</row>
    <row r="999">
      <c r="A999" s="55"/>
      <c r="B999" s="55"/>
      <c r="C999" s="55"/>
      <c r="D999" s="55"/>
      <c r="E999" s="54"/>
      <c r="F999" s="54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</row>
    <row r="1000">
      <c r="A1000" s="55"/>
      <c r="B1000" s="55"/>
      <c r="C1000" s="55"/>
      <c r="D1000" s="55"/>
      <c r="E1000" s="54"/>
      <c r="F1000" s="54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57"/>
    <col customWidth="1" min="2" max="12" width="13.57"/>
    <col customWidth="1" min="14" max="14" width="21.29"/>
    <col customWidth="1" min="15" max="15" width="13.0"/>
    <col customWidth="1" min="16" max="16" width="11.29"/>
  </cols>
  <sheetData>
    <row r="1">
      <c r="A1" s="1" t="s">
        <v>0</v>
      </c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6" t="s">
        <v>2</v>
      </c>
      <c r="B2" s="8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0" t="s">
        <v>4</v>
      </c>
      <c r="B3" s="10" t="s">
        <v>6</v>
      </c>
      <c r="C3" s="10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2">
        <v>0.7</v>
      </c>
      <c r="B4" s="12">
        <v>0.045</v>
      </c>
      <c r="C4" s="12">
        <v>2019.0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7" t="str">
        <f>CONCAT($C$4," DISTRIBUTIONS BY FUNCTION")</f>
        <v>2019 DISTRIBUTIONS BY FUNCTION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2"/>
      <c r="P7" s="22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A8" s="24"/>
      <c r="B8" s="26">
        <f>$C$4</f>
        <v>2019</v>
      </c>
      <c r="C8" s="29" t="str">
        <f>CONCAT($C$4," Additional Distributions from New Contributions")</f>
        <v>2019 Additional Distributions from New Contributions</v>
      </c>
      <c r="D8" s="13"/>
      <c r="E8" s="13"/>
      <c r="F8" s="13"/>
      <c r="G8" s="14"/>
      <c r="H8" s="31">
        <v>2019.0</v>
      </c>
      <c r="I8" s="33">
        <f>$C$4</f>
        <v>2019</v>
      </c>
      <c r="J8" s="35"/>
      <c r="K8" s="35"/>
      <c r="L8" s="35"/>
      <c r="M8" s="35"/>
      <c r="N8" s="35"/>
      <c r="O8" s="37"/>
      <c r="P8" s="37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>
      <c r="A9" s="60" t="s">
        <v>10</v>
      </c>
      <c r="B9" s="61" t="s">
        <v>52</v>
      </c>
      <c r="C9" s="62" t="s">
        <v>53</v>
      </c>
      <c r="D9" s="62" t="s">
        <v>55</v>
      </c>
      <c r="E9" s="62" t="s">
        <v>56</v>
      </c>
      <c r="F9" s="62" t="s">
        <v>57</v>
      </c>
      <c r="G9" s="63" t="s">
        <v>58</v>
      </c>
      <c r="H9" s="64" t="s">
        <v>59</v>
      </c>
      <c r="I9" s="65" t="s">
        <v>60</v>
      </c>
      <c r="J9" s="20"/>
      <c r="K9" s="20"/>
      <c r="L9" s="20"/>
      <c r="M9" s="20"/>
      <c r="N9" s="20"/>
      <c r="O9" s="22"/>
      <c r="P9" s="22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A10" s="66" t="s">
        <v>37</v>
      </c>
      <c r="B10" s="66">
        <v>4615.8467166945375</v>
      </c>
      <c r="C10" s="67">
        <v>0.0</v>
      </c>
      <c r="D10" s="67">
        <v>0.0</v>
      </c>
      <c r="E10" s="67">
        <v>0.0</v>
      </c>
      <c r="F10" s="67">
        <v>0.0</v>
      </c>
      <c r="G10" s="66">
        <v>0.0</v>
      </c>
      <c r="H10" s="68">
        <v>0.0</v>
      </c>
      <c r="I10" s="69">
        <f t="shared" ref="I10:I16" si="1">sum(B10:H10)</f>
        <v>4615.846717</v>
      </c>
      <c r="J10" s="20"/>
      <c r="K10" s="20"/>
      <c r="L10" s="20"/>
      <c r="M10" s="20"/>
      <c r="N10" s="20"/>
      <c r="O10" s="22"/>
      <c r="P10" s="22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66" t="s">
        <v>39</v>
      </c>
      <c r="B11" s="66">
        <v>285308.07779084676</v>
      </c>
      <c r="C11" s="67">
        <v>0.0</v>
      </c>
      <c r="D11" s="67">
        <v>0.0</v>
      </c>
      <c r="E11" s="67">
        <v>56.25</v>
      </c>
      <c r="F11" s="67">
        <v>136.44</v>
      </c>
      <c r="G11" s="66">
        <v>829.755</v>
      </c>
      <c r="H11" s="68">
        <v>0.0</v>
      </c>
      <c r="I11" s="69">
        <f t="shared" si="1"/>
        <v>286330.5228</v>
      </c>
      <c r="J11" s="20"/>
      <c r="K11" s="20"/>
      <c r="L11" s="20"/>
      <c r="M11" s="20"/>
      <c r="N11" s="20"/>
      <c r="O11" s="22"/>
      <c r="P11" s="22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66" t="s">
        <v>40</v>
      </c>
      <c r="B12" s="66">
        <v>67375.07553001506</v>
      </c>
      <c r="C12" s="67">
        <v>0.0</v>
      </c>
      <c r="D12" s="67">
        <v>0.0</v>
      </c>
      <c r="E12" s="67">
        <v>0.0</v>
      </c>
      <c r="F12" s="67">
        <v>0.0</v>
      </c>
      <c r="G12" s="66">
        <v>0.0</v>
      </c>
      <c r="H12" s="68">
        <v>0.0</v>
      </c>
      <c r="I12" s="69">
        <f t="shared" si="1"/>
        <v>67375.07553</v>
      </c>
      <c r="J12" s="20"/>
      <c r="K12" s="20"/>
      <c r="L12" s="20"/>
      <c r="M12" s="20"/>
      <c r="N12" s="20"/>
      <c r="O12" s="22"/>
      <c r="P12" s="22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66" t="s">
        <v>41</v>
      </c>
      <c r="B13" s="66">
        <v>169390.36792604186</v>
      </c>
      <c r="C13" s="67">
        <v>0.0</v>
      </c>
      <c r="D13" s="67">
        <v>168.75</v>
      </c>
      <c r="E13" s="67">
        <v>168.75</v>
      </c>
      <c r="F13" s="67">
        <v>168.75</v>
      </c>
      <c r="G13" s="66">
        <v>675.0</v>
      </c>
      <c r="H13" s="68">
        <v>0.0</v>
      </c>
      <c r="I13" s="69">
        <f t="shared" si="1"/>
        <v>170571.6179</v>
      </c>
      <c r="J13" s="20"/>
      <c r="K13" s="20"/>
      <c r="L13" s="20"/>
      <c r="M13" s="20"/>
      <c r="N13" s="20"/>
      <c r="O13" s="22"/>
      <c r="P13" s="22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66" t="s">
        <v>42</v>
      </c>
      <c r="B14" s="66">
        <v>168715.4886701142</v>
      </c>
      <c r="C14" s="67">
        <v>0.0</v>
      </c>
      <c r="D14" s="67">
        <v>0.0</v>
      </c>
      <c r="E14" s="67">
        <v>0.0</v>
      </c>
      <c r="F14" s="67">
        <v>0.0</v>
      </c>
      <c r="G14" s="66">
        <v>450.0</v>
      </c>
      <c r="H14" s="68">
        <v>0.0</v>
      </c>
      <c r="I14" s="69">
        <f t="shared" si="1"/>
        <v>169165.4887</v>
      </c>
      <c r="J14" s="20"/>
      <c r="K14" s="20"/>
      <c r="L14" s="20"/>
      <c r="M14" s="20"/>
      <c r="N14" s="20"/>
      <c r="O14" s="22"/>
      <c r="P14" s="22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66" t="s">
        <v>43</v>
      </c>
      <c r="B15" s="66">
        <v>247080.37566385433</v>
      </c>
      <c r="C15" s="67">
        <v>0.95625</v>
      </c>
      <c r="D15" s="67">
        <v>29.08125</v>
      </c>
      <c r="E15" s="67">
        <v>816.58125</v>
      </c>
      <c r="F15" s="67">
        <v>828.95625</v>
      </c>
      <c r="G15" s="66">
        <v>186848.82</v>
      </c>
      <c r="H15" s="68">
        <v>133200.0</v>
      </c>
      <c r="I15" s="69">
        <f t="shared" si="1"/>
        <v>568804.7707</v>
      </c>
      <c r="J15" s="20"/>
      <c r="K15" s="20"/>
      <c r="L15" s="20"/>
      <c r="M15" s="20"/>
      <c r="N15" s="20"/>
      <c r="O15" s="22"/>
      <c r="P15" s="22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70" t="s">
        <v>44</v>
      </c>
      <c r="B16" s="71">
        <v>942485.232297567</v>
      </c>
      <c r="C16" s="72">
        <v>0.95625</v>
      </c>
      <c r="D16" s="72">
        <v>197.83125</v>
      </c>
      <c r="E16" s="72">
        <v>1041.58125</v>
      </c>
      <c r="F16" s="72">
        <v>1134.14625</v>
      </c>
      <c r="G16" s="73">
        <v>188803.575</v>
      </c>
      <c r="H16" s="74">
        <v>133200.0</v>
      </c>
      <c r="I16" s="75">
        <f t="shared" si="1"/>
        <v>1266863.322</v>
      </c>
      <c r="J16" s="20"/>
      <c r="K16" s="20"/>
      <c r="L16" s="20"/>
      <c r="M16" s="20"/>
      <c r="N16" s="20"/>
      <c r="O16" s="22"/>
      <c r="P16" s="22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20"/>
      <c r="B17" s="20"/>
      <c r="C17" s="20"/>
      <c r="D17" s="20"/>
      <c r="E17" s="20"/>
      <c r="F17" s="20"/>
      <c r="G17" s="35"/>
      <c r="H17" s="35"/>
      <c r="I17" s="20"/>
      <c r="J17" s="20"/>
      <c r="K17" s="20"/>
      <c r="L17" s="20"/>
      <c r="M17" s="20"/>
      <c r="N17" s="20"/>
      <c r="O17" s="22"/>
      <c r="P17" s="22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76" t="str">
        <f>CONCAT($C$4," DISTRIBUTIONS BY FUND")</f>
        <v>2019 DISTRIBUTIONS BY FUND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77"/>
      <c r="B20" s="78" t="str">
        <f>CONCATENATE($C$4 - 2," End of Year Values")</f>
        <v>2017 End of Year Values</v>
      </c>
      <c r="C20" s="13"/>
      <c r="D20" s="14"/>
      <c r="E20" s="79">
        <f>$C$4</f>
        <v>2019</v>
      </c>
      <c r="F20" s="80" t="str">
        <f>CONCAT($C$4," Additional Distributions from New Contributions")</f>
        <v>2019 Additional Distributions from New Contributions</v>
      </c>
      <c r="G20" s="13"/>
      <c r="H20" s="13"/>
      <c r="I20" s="13"/>
      <c r="J20" s="14"/>
      <c r="K20" s="81">
        <f t="shared" ref="K20:L20" si="2">$C$4</f>
        <v>2019</v>
      </c>
      <c r="L20" s="82">
        <f t="shared" si="2"/>
        <v>2019</v>
      </c>
      <c r="M20" s="3"/>
      <c r="N20" s="3"/>
      <c r="O20" s="4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83" t="s">
        <v>9</v>
      </c>
      <c r="B21" s="84" t="s">
        <v>74</v>
      </c>
      <c r="C21" s="84" t="s">
        <v>75</v>
      </c>
      <c r="D21" s="61" t="s">
        <v>76</v>
      </c>
      <c r="E21" s="61" t="s">
        <v>52</v>
      </c>
      <c r="F21" s="84" t="s">
        <v>53</v>
      </c>
      <c r="G21" s="84" t="s">
        <v>55</v>
      </c>
      <c r="H21" s="84" t="s">
        <v>56</v>
      </c>
      <c r="I21" s="84" t="s">
        <v>57</v>
      </c>
      <c r="J21" s="61" t="s">
        <v>77</v>
      </c>
      <c r="K21" s="63" t="s">
        <v>59</v>
      </c>
      <c r="L21" s="65" t="s">
        <v>60</v>
      </c>
      <c r="M21" s="3"/>
      <c r="N21" s="3"/>
      <c r="O21" s="4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85" t="s">
        <v>26</v>
      </c>
      <c r="B22" s="67">
        <v>331930.9599999999</v>
      </c>
      <c r="C22" s="67">
        <v>292060.0</v>
      </c>
      <c r="D22" s="66">
        <v>351339.79846652143</v>
      </c>
      <c r="E22" s="66">
        <v>15820.35069602673</v>
      </c>
      <c r="F22" s="67">
        <v>0.0</v>
      </c>
      <c r="G22" s="67">
        <v>0.0</v>
      </c>
      <c r="H22" s="67">
        <v>0.0</v>
      </c>
      <c r="I22" s="67">
        <v>80.19</v>
      </c>
      <c r="J22" s="66">
        <v>829.755</v>
      </c>
      <c r="K22" s="66">
        <v>0.0</v>
      </c>
      <c r="L22" s="69">
        <f t="shared" ref="L22:L57" si="3">sum(E22:K22)</f>
        <v>16730.2957</v>
      </c>
      <c r="M22" s="3"/>
      <c r="N22" s="3"/>
      <c r="O22" s="4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85" t="s">
        <v>27</v>
      </c>
      <c r="B23" s="67">
        <v>308485.4</v>
      </c>
      <c r="C23" s="67">
        <v>276213.7</v>
      </c>
      <c r="D23" s="66">
        <v>383919.63628101203</v>
      </c>
      <c r="E23" s="66">
        <v>14088.97820607715</v>
      </c>
      <c r="F23" s="67">
        <v>0.0</v>
      </c>
      <c r="G23" s="67">
        <v>0.0</v>
      </c>
      <c r="H23" s="67">
        <v>0.0</v>
      </c>
      <c r="I23" s="67">
        <v>0.0</v>
      </c>
      <c r="J23" s="66">
        <v>0.0</v>
      </c>
      <c r="K23" s="66">
        <v>0.0</v>
      </c>
      <c r="L23" s="69">
        <f t="shared" si="3"/>
        <v>14088.97821</v>
      </c>
      <c r="M23" s="3"/>
      <c r="N23" s="3"/>
      <c r="O23" s="4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85" t="s">
        <v>25</v>
      </c>
      <c r="B24" s="67">
        <v>101066.33000000002</v>
      </c>
      <c r="C24" s="67">
        <v>81000.0</v>
      </c>
      <c r="D24" s="66">
        <v>106572.02843548042</v>
      </c>
      <c r="E24" s="66">
        <v>4615.8467166945375</v>
      </c>
      <c r="F24" s="67">
        <v>0.0</v>
      </c>
      <c r="G24" s="67">
        <v>0.0</v>
      </c>
      <c r="H24" s="67">
        <v>0.0</v>
      </c>
      <c r="I24" s="67">
        <v>0.0</v>
      </c>
      <c r="J24" s="66">
        <v>0.0</v>
      </c>
      <c r="K24" s="66">
        <v>0.0</v>
      </c>
      <c r="L24" s="69">
        <f t="shared" si="3"/>
        <v>4615.846717</v>
      </c>
      <c r="M24" s="3"/>
      <c r="N24" s="3"/>
      <c r="O24" s="4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85" t="s">
        <v>47</v>
      </c>
      <c r="B25" s="67">
        <v>1535907.08</v>
      </c>
      <c r="C25" s="67">
        <v>1371168.0</v>
      </c>
      <c r="D25" s="66">
        <v>1449742.4684079266</v>
      </c>
      <c r="E25" s="66">
        <v>67375.07553001506</v>
      </c>
      <c r="F25" s="67">
        <v>0.0</v>
      </c>
      <c r="G25" s="67">
        <v>0.0</v>
      </c>
      <c r="H25" s="67">
        <v>0.0</v>
      </c>
      <c r="I25" s="67">
        <v>0.0</v>
      </c>
      <c r="J25" s="66">
        <v>0.0</v>
      </c>
      <c r="K25" s="66">
        <v>0.0</v>
      </c>
      <c r="L25" s="69">
        <f t="shared" si="3"/>
        <v>67375.07553</v>
      </c>
      <c r="M25" s="3"/>
      <c r="N25" s="3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85" t="s">
        <v>28</v>
      </c>
      <c r="B26" s="67">
        <v>3309226.07</v>
      </c>
      <c r="C26" s="67">
        <v>2960091.2499999995</v>
      </c>
      <c r="D26" s="66">
        <v>3748913.384491202</v>
      </c>
      <c r="E26" s="66">
        <v>151137.1817895185</v>
      </c>
      <c r="F26" s="67">
        <v>0.0</v>
      </c>
      <c r="G26" s="67">
        <v>0.0</v>
      </c>
      <c r="H26" s="67">
        <v>0.0</v>
      </c>
      <c r="I26" s="67">
        <v>0.0</v>
      </c>
      <c r="J26" s="66">
        <v>0.0</v>
      </c>
      <c r="K26" s="66">
        <v>0.0</v>
      </c>
      <c r="L26" s="69">
        <f t="shared" si="3"/>
        <v>151137.1818</v>
      </c>
      <c r="M26" s="3"/>
      <c r="N26" s="3"/>
      <c r="O26" s="4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85" t="s">
        <v>66</v>
      </c>
      <c r="B27" s="67">
        <v>393507.66</v>
      </c>
      <c r="C27" s="67">
        <v>366400.0</v>
      </c>
      <c r="D27" s="66">
        <v>445660.87610532285</v>
      </c>
      <c r="E27" s="66">
        <v>17972.068842364715</v>
      </c>
      <c r="F27" s="67">
        <v>0.0</v>
      </c>
      <c r="G27" s="67">
        <v>0.0</v>
      </c>
      <c r="H27" s="67">
        <v>0.0</v>
      </c>
      <c r="I27" s="67">
        <v>0.0</v>
      </c>
      <c r="J27" s="66">
        <v>0.0</v>
      </c>
      <c r="K27" s="66">
        <v>0.0</v>
      </c>
      <c r="L27" s="69">
        <f t="shared" si="3"/>
        <v>17972.06884</v>
      </c>
      <c r="M27" s="3"/>
      <c r="N27" s="3"/>
      <c r="O27" s="4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85" t="s">
        <v>48</v>
      </c>
      <c r="B28" s="67">
        <v>823329.2400000001</v>
      </c>
      <c r="C28" s="67">
        <v>758137.86</v>
      </c>
      <c r="D28" s="66">
        <v>825458.0275832459</v>
      </c>
      <c r="E28" s="66">
        <v>37602.64738229447</v>
      </c>
      <c r="F28" s="67">
        <v>0.0</v>
      </c>
      <c r="G28" s="67">
        <v>0.0</v>
      </c>
      <c r="H28" s="67">
        <v>0.0</v>
      </c>
      <c r="I28" s="67">
        <v>0.0</v>
      </c>
      <c r="J28" s="66">
        <v>0.0</v>
      </c>
      <c r="K28" s="66">
        <v>0.0</v>
      </c>
      <c r="L28" s="69">
        <f t="shared" si="3"/>
        <v>37602.64738</v>
      </c>
      <c r="M28" s="3"/>
      <c r="N28" s="3"/>
      <c r="O28" s="4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85" t="s">
        <v>29</v>
      </c>
      <c r="B29" s="67">
        <v>58161.310000000005</v>
      </c>
      <c r="C29" s="67">
        <v>50000.0</v>
      </c>
      <c r="D29" s="66">
        <v>75218.58777996946</v>
      </c>
      <c r="E29" s="66">
        <v>2656.3118676828663</v>
      </c>
      <c r="F29" s="67">
        <v>0.0</v>
      </c>
      <c r="G29" s="67">
        <v>0.0</v>
      </c>
      <c r="H29" s="67">
        <v>0.0</v>
      </c>
      <c r="I29" s="67">
        <v>0.0</v>
      </c>
      <c r="J29" s="66">
        <v>0.0</v>
      </c>
      <c r="K29" s="66">
        <v>0.0</v>
      </c>
      <c r="L29" s="69">
        <f t="shared" si="3"/>
        <v>2656.311868</v>
      </c>
      <c r="M29" s="3"/>
      <c r="N29" s="3"/>
      <c r="O29" s="4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85" t="s">
        <v>70</v>
      </c>
      <c r="B30" s="67">
        <v>172892.9699999999</v>
      </c>
      <c r="C30" s="67">
        <v>112432.11</v>
      </c>
      <c r="D30" s="66">
        <v>151442.99590909661</v>
      </c>
      <c r="E30" s="66">
        <v>7636.161989924851</v>
      </c>
      <c r="F30" s="67">
        <v>0.39375</v>
      </c>
      <c r="G30" s="67">
        <v>0.39375</v>
      </c>
      <c r="H30" s="67">
        <v>0.39375</v>
      </c>
      <c r="I30" s="67">
        <v>1.51875</v>
      </c>
      <c r="J30" s="66">
        <v>13.32</v>
      </c>
      <c r="K30" s="66">
        <v>0.0</v>
      </c>
      <c r="L30" s="69">
        <f t="shared" si="3"/>
        <v>7652.18199</v>
      </c>
      <c r="M30" s="3"/>
      <c r="N30" s="3"/>
      <c r="O30" s="4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85" t="s">
        <v>49</v>
      </c>
      <c r="B31" s="67">
        <v>815408.1400000004</v>
      </c>
      <c r="C31" s="67">
        <v>556601.64</v>
      </c>
      <c r="D31" s="66">
        <v>685763.9305623067</v>
      </c>
      <c r="E31" s="66">
        <v>33070.03586097785</v>
      </c>
      <c r="F31" s="67">
        <v>0.0</v>
      </c>
      <c r="G31" s="67">
        <v>0.0</v>
      </c>
      <c r="H31" s="67">
        <v>0.0</v>
      </c>
      <c r="I31" s="67">
        <v>0.0</v>
      </c>
      <c r="J31" s="66">
        <v>0.0</v>
      </c>
      <c r="K31" s="66">
        <v>0.0</v>
      </c>
      <c r="L31" s="69">
        <f t="shared" si="3"/>
        <v>33070.03586</v>
      </c>
      <c r="M31" s="3"/>
      <c r="N31" s="3"/>
      <c r="O31" s="4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85" t="s">
        <v>30</v>
      </c>
      <c r="B32" s="67">
        <v>17367.41</v>
      </c>
      <c r="C32" s="67">
        <v>11540.75</v>
      </c>
      <c r="D32" s="66">
        <v>18043.81747181776</v>
      </c>
      <c r="E32" s="66">
        <v>793.1949485648468</v>
      </c>
      <c r="F32" s="67">
        <v>0.0</v>
      </c>
      <c r="G32" s="67">
        <v>0.0</v>
      </c>
      <c r="H32" s="67">
        <v>0.0</v>
      </c>
      <c r="I32" s="67">
        <v>0.0</v>
      </c>
      <c r="J32" s="66">
        <v>0.0</v>
      </c>
      <c r="K32" s="66">
        <v>0.0</v>
      </c>
      <c r="L32" s="69">
        <f t="shared" si="3"/>
        <v>793.1949486</v>
      </c>
      <c r="M32" s="3"/>
      <c r="N32" s="3"/>
      <c r="O32" s="4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85" t="s">
        <v>50</v>
      </c>
      <c r="B33" s="67">
        <v>450754.45999999985</v>
      </c>
      <c r="C33" s="67">
        <v>429067.24</v>
      </c>
      <c r="D33" s="66">
        <v>620333.8441307677</v>
      </c>
      <c r="E33" s="66">
        <v>20586.613704350588</v>
      </c>
      <c r="F33" s="67">
        <v>0.0</v>
      </c>
      <c r="G33" s="67">
        <v>0.0</v>
      </c>
      <c r="H33" s="67">
        <v>0.0</v>
      </c>
      <c r="I33" s="67">
        <v>0.0</v>
      </c>
      <c r="J33" s="66">
        <v>0.0</v>
      </c>
      <c r="K33" s="66">
        <v>0.0</v>
      </c>
      <c r="L33" s="69">
        <f t="shared" si="3"/>
        <v>20586.6137</v>
      </c>
      <c r="M33" s="3"/>
      <c r="N33" s="3"/>
      <c r="O33" s="4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85" t="s">
        <v>67</v>
      </c>
      <c r="B34" s="67">
        <v>1514249.6399999997</v>
      </c>
      <c r="C34" s="67">
        <v>1456367.46</v>
      </c>
      <c r="D34" s="66">
        <v>1951070.7090447696</v>
      </c>
      <c r="E34" s="66">
        <v>68701.27530981819</v>
      </c>
      <c r="F34" s="67">
        <v>0.0</v>
      </c>
      <c r="G34" s="67">
        <v>0.0</v>
      </c>
      <c r="H34" s="67">
        <v>0.0</v>
      </c>
      <c r="I34" s="67">
        <v>0.0</v>
      </c>
      <c r="J34" s="66">
        <v>450.0</v>
      </c>
      <c r="K34" s="66">
        <v>0.0</v>
      </c>
      <c r="L34" s="69">
        <f t="shared" si="3"/>
        <v>69151.27531</v>
      </c>
      <c r="M34" s="3"/>
      <c r="N34" s="3"/>
      <c r="O34" s="4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85" t="s">
        <v>31</v>
      </c>
      <c r="B35" s="67">
        <v>189259.35</v>
      </c>
      <c r="C35" s="67">
        <v>158100.0</v>
      </c>
      <c r="D35" s="66">
        <v>205534.60309105922</v>
      </c>
      <c r="E35" s="66">
        <v>8740.264963478203</v>
      </c>
      <c r="F35" s="67">
        <v>0.0</v>
      </c>
      <c r="G35" s="67">
        <v>0.0</v>
      </c>
      <c r="H35" s="67">
        <v>0.0</v>
      </c>
      <c r="I35" s="67">
        <v>0.0</v>
      </c>
      <c r="J35" s="66">
        <v>0.0</v>
      </c>
      <c r="K35" s="66">
        <v>0.0</v>
      </c>
      <c r="L35" s="69">
        <f t="shared" si="3"/>
        <v>8740.264963</v>
      </c>
      <c r="M35" s="3"/>
      <c r="N35" s="3"/>
      <c r="O35" s="4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85" t="s">
        <v>51</v>
      </c>
      <c r="B36" s="67">
        <v>179723.26000000004</v>
      </c>
      <c r="C36" s="67">
        <v>155000.0</v>
      </c>
      <c r="D36" s="66">
        <v>165832.74720748153</v>
      </c>
      <c r="E36" s="66">
        <v>7558.845388121053</v>
      </c>
      <c r="F36" s="67">
        <v>0.0</v>
      </c>
      <c r="G36" s="67">
        <v>168.75</v>
      </c>
      <c r="H36" s="67">
        <v>168.75</v>
      </c>
      <c r="I36" s="67">
        <v>168.75</v>
      </c>
      <c r="J36" s="66">
        <v>675.0</v>
      </c>
      <c r="K36" s="66">
        <v>0.0</v>
      </c>
      <c r="L36" s="69">
        <f t="shared" si="3"/>
        <v>8740.095388</v>
      </c>
      <c r="M36" s="3"/>
      <c r="N36" s="3"/>
      <c r="O36" s="4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85" t="s">
        <v>71</v>
      </c>
      <c r="B37" s="67">
        <v>215464.11000000004</v>
      </c>
      <c r="C37" s="67">
        <v>185189.56</v>
      </c>
      <c r="D37" s="66">
        <v>212473.61464229814</v>
      </c>
      <c r="E37" s="66">
        <v>10387.780777624062</v>
      </c>
      <c r="F37" s="67">
        <v>0.0</v>
      </c>
      <c r="G37" s="67">
        <v>0.0</v>
      </c>
      <c r="H37" s="67">
        <v>0.0</v>
      </c>
      <c r="I37" s="67">
        <v>0.0</v>
      </c>
      <c r="J37" s="66">
        <v>0.0</v>
      </c>
      <c r="K37" s="66">
        <v>0.0</v>
      </c>
      <c r="L37" s="69">
        <f t="shared" si="3"/>
        <v>10387.78078</v>
      </c>
      <c r="M37" s="3"/>
      <c r="N37" s="3"/>
      <c r="O37" s="4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85" t="s">
        <v>32</v>
      </c>
      <c r="B38" s="67">
        <v>53430.82</v>
      </c>
      <c r="C38" s="67">
        <v>49449.04</v>
      </c>
      <c r="D38" s="66">
        <v>77291.13599718976</v>
      </c>
      <c r="E38" s="66">
        <v>2440.2634890106024</v>
      </c>
      <c r="F38" s="67">
        <v>0.0</v>
      </c>
      <c r="G38" s="67">
        <v>0.0</v>
      </c>
      <c r="H38" s="67">
        <v>0.0</v>
      </c>
      <c r="I38" s="67">
        <v>0.0</v>
      </c>
      <c r="J38" s="66">
        <v>0.0</v>
      </c>
      <c r="K38" s="66">
        <v>0.0</v>
      </c>
      <c r="L38" s="69">
        <f t="shared" si="3"/>
        <v>2440.263489</v>
      </c>
      <c r="M38" s="3"/>
      <c r="N38" s="3"/>
      <c r="O38" s="4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85" t="s">
        <v>54</v>
      </c>
      <c r="B39" s="67">
        <v>154812.71</v>
      </c>
      <c r="C39" s="67">
        <v>129703.74</v>
      </c>
      <c r="D39" s="66">
        <v>157515.36636277512</v>
      </c>
      <c r="E39" s="66">
        <v>7070.522291212943</v>
      </c>
      <c r="F39" s="67">
        <v>0.0</v>
      </c>
      <c r="G39" s="67">
        <v>0.0</v>
      </c>
      <c r="H39" s="67">
        <v>0.0</v>
      </c>
      <c r="I39" s="67">
        <v>0.0</v>
      </c>
      <c r="J39" s="66">
        <v>0.0</v>
      </c>
      <c r="K39" s="66">
        <v>0.0</v>
      </c>
      <c r="L39" s="69">
        <f t="shared" si="3"/>
        <v>7070.522291</v>
      </c>
      <c r="M39" s="3"/>
      <c r="N39" s="3"/>
      <c r="O39" s="4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85" t="s">
        <v>72</v>
      </c>
      <c r="B40" s="67">
        <v>485351.92999999993</v>
      </c>
      <c r="C40" s="67">
        <v>416423.55</v>
      </c>
      <c r="D40" s="66">
        <v>437835.42090790207</v>
      </c>
      <c r="E40" s="66">
        <v>20567.768049776612</v>
      </c>
      <c r="F40" s="67">
        <v>0.5625</v>
      </c>
      <c r="G40" s="67">
        <v>28.6875</v>
      </c>
      <c r="H40" s="67">
        <v>28.6875</v>
      </c>
      <c r="I40" s="67">
        <v>28.6875</v>
      </c>
      <c r="J40" s="66">
        <v>153.0</v>
      </c>
      <c r="K40" s="66">
        <v>14700.0</v>
      </c>
      <c r="L40" s="69">
        <f t="shared" si="3"/>
        <v>35507.39305</v>
      </c>
      <c r="M40" s="3"/>
      <c r="N40" s="3"/>
      <c r="O40" s="4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85" t="s">
        <v>68</v>
      </c>
      <c r="B41" s="67">
        <v>1248641.6699999997</v>
      </c>
      <c r="C41" s="67">
        <v>1183929.39</v>
      </c>
      <c r="D41" s="66">
        <v>1851058.7104547396</v>
      </c>
      <c r="E41" s="66">
        <v>57027.286464220895</v>
      </c>
      <c r="F41" s="67">
        <v>0.0</v>
      </c>
      <c r="G41" s="67">
        <v>0.0</v>
      </c>
      <c r="H41" s="67">
        <v>0.0</v>
      </c>
      <c r="I41" s="67">
        <v>0.0</v>
      </c>
      <c r="J41" s="66">
        <v>0.0</v>
      </c>
      <c r="K41" s="66">
        <v>0.0</v>
      </c>
      <c r="L41" s="69">
        <f t="shared" si="3"/>
        <v>57027.28646</v>
      </c>
      <c r="M41" s="3"/>
      <c r="N41" s="3"/>
      <c r="O41" s="4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85" t="s">
        <v>69</v>
      </c>
      <c r="B42" s="67">
        <v>547713.1399999999</v>
      </c>
      <c r="C42" s="67">
        <v>500000.0</v>
      </c>
      <c r="D42" s="66">
        <v>684659.2078781882</v>
      </c>
      <c r="E42" s="66">
        <v>25014.858053710414</v>
      </c>
      <c r="F42" s="67">
        <v>0.0</v>
      </c>
      <c r="G42" s="67">
        <v>0.0</v>
      </c>
      <c r="H42" s="67">
        <v>0.0</v>
      </c>
      <c r="I42" s="67">
        <v>0.0</v>
      </c>
      <c r="J42" s="66">
        <v>0.0</v>
      </c>
      <c r="K42" s="66">
        <v>0.0</v>
      </c>
      <c r="L42" s="69">
        <f t="shared" si="3"/>
        <v>25014.85805</v>
      </c>
      <c r="M42" s="3"/>
      <c r="N42" s="3"/>
      <c r="O42" s="4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85" t="s">
        <v>61</v>
      </c>
      <c r="B43" s="67">
        <v>653119.3499999996</v>
      </c>
      <c r="C43" s="67">
        <v>433755.86000000004</v>
      </c>
      <c r="D43" s="66">
        <v>573948.5743168839</v>
      </c>
      <c r="E43" s="66">
        <v>27281.874080348687</v>
      </c>
      <c r="F43" s="67">
        <v>0.0</v>
      </c>
      <c r="G43" s="67">
        <v>0.0</v>
      </c>
      <c r="H43" s="67">
        <v>0.0</v>
      </c>
      <c r="I43" s="67">
        <v>0.0</v>
      </c>
      <c r="J43" s="66">
        <v>0.0</v>
      </c>
      <c r="K43" s="66">
        <v>0.0</v>
      </c>
      <c r="L43" s="69">
        <f t="shared" si="3"/>
        <v>27281.87408</v>
      </c>
      <c r="M43" s="3"/>
      <c r="N43" s="3"/>
      <c r="O43" s="4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85" t="s">
        <v>62</v>
      </c>
      <c r="B44" s="67">
        <v>299447.76</v>
      </c>
      <c r="C44" s="67">
        <v>194469.0</v>
      </c>
      <c r="D44" s="66">
        <v>234458.6335685971</v>
      </c>
      <c r="E44" s="66">
        <v>11585.421007032937</v>
      </c>
      <c r="F44" s="67">
        <v>0.0</v>
      </c>
      <c r="G44" s="67">
        <v>0.0</v>
      </c>
      <c r="H44" s="67">
        <v>0.0</v>
      </c>
      <c r="I44" s="67">
        <v>0.0</v>
      </c>
      <c r="J44" s="66">
        <v>0.0</v>
      </c>
      <c r="K44" s="66">
        <v>0.0</v>
      </c>
      <c r="L44" s="69">
        <f t="shared" si="3"/>
        <v>11585.42101</v>
      </c>
      <c r="M44" s="3"/>
      <c r="N44" s="3"/>
      <c r="O44" s="4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85" t="s">
        <v>63</v>
      </c>
      <c r="B45" s="67">
        <v>125512.55000000002</v>
      </c>
      <c r="C45" s="67">
        <v>100000.0</v>
      </c>
      <c r="D45" s="66">
        <v>127580.7012848627</v>
      </c>
      <c r="E45" s="66">
        <v>5732.341243829265</v>
      </c>
      <c r="F45" s="67">
        <v>0.0</v>
      </c>
      <c r="G45" s="67">
        <v>0.0</v>
      </c>
      <c r="H45" s="67">
        <v>0.0</v>
      </c>
      <c r="I45" s="67">
        <v>0.0</v>
      </c>
      <c r="J45" s="66">
        <v>0.0</v>
      </c>
      <c r="K45" s="66">
        <v>0.0</v>
      </c>
      <c r="L45" s="69">
        <f t="shared" si="3"/>
        <v>5732.341244</v>
      </c>
      <c r="M45" s="3"/>
      <c r="N45" s="3"/>
      <c r="O45" s="4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85" t="s">
        <v>43</v>
      </c>
      <c r="B46" s="67">
        <v>1164456.13</v>
      </c>
      <c r="C46" s="67">
        <v>1005136.0</v>
      </c>
      <c r="D46" s="66">
        <v>1048370.9819269199</v>
      </c>
      <c r="E46" s="66">
        <v>49320.102857028425</v>
      </c>
      <c r="F46" s="67">
        <v>0.0</v>
      </c>
      <c r="G46" s="67">
        <v>0.0</v>
      </c>
      <c r="H46" s="67">
        <v>0.0</v>
      </c>
      <c r="I46" s="67">
        <v>11.25</v>
      </c>
      <c r="J46" s="66">
        <v>3532.5</v>
      </c>
      <c r="K46" s="66">
        <v>0.0</v>
      </c>
      <c r="L46" s="69">
        <f t="shared" si="3"/>
        <v>52863.85286</v>
      </c>
      <c r="M46" s="3"/>
      <c r="N46" s="3"/>
      <c r="O46" s="4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85" t="s">
        <v>38</v>
      </c>
      <c r="B47" s="67">
        <v>357077.45000000007</v>
      </c>
      <c r="C47" s="67">
        <v>325871.64</v>
      </c>
      <c r="D47" s="66">
        <v>500698.09172807453</v>
      </c>
      <c r="E47" s="66">
        <v>16308.248010867293</v>
      </c>
      <c r="F47" s="67">
        <v>0.0</v>
      </c>
      <c r="G47" s="67">
        <v>0.0</v>
      </c>
      <c r="H47" s="67">
        <v>0.0</v>
      </c>
      <c r="I47" s="67">
        <v>0.0</v>
      </c>
      <c r="J47" s="66">
        <v>0.0</v>
      </c>
      <c r="K47" s="66">
        <v>0.0</v>
      </c>
      <c r="L47" s="69">
        <f t="shared" si="3"/>
        <v>16308.24801</v>
      </c>
      <c r="M47" s="3"/>
      <c r="N47" s="3"/>
      <c r="O47" s="4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85" t="s">
        <v>73</v>
      </c>
      <c r="B48" s="67">
        <v>2275314.68</v>
      </c>
      <c r="C48" s="67">
        <v>2005500.0</v>
      </c>
      <c r="D48" s="66">
        <v>2171706.8200888433</v>
      </c>
      <c r="E48" s="66">
        <v>100583.72445398265</v>
      </c>
      <c r="F48" s="67">
        <v>0.0</v>
      </c>
      <c r="G48" s="67">
        <v>0.0</v>
      </c>
      <c r="H48" s="67">
        <v>0.0</v>
      </c>
      <c r="I48" s="67">
        <v>0.0</v>
      </c>
      <c r="J48" s="66">
        <v>0.0</v>
      </c>
      <c r="K48" s="66">
        <v>43500.0</v>
      </c>
      <c r="L48" s="69">
        <f t="shared" si="3"/>
        <v>144083.7245</v>
      </c>
      <c r="M48" s="3"/>
      <c r="N48" s="3"/>
      <c r="O48" s="4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85" t="s">
        <v>45</v>
      </c>
      <c r="B49" s="67">
        <v>144288.16</v>
      </c>
      <c r="C49" s="67">
        <v>120000.0</v>
      </c>
      <c r="D49" s="66">
        <v>127220.07424930233</v>
      </c>
      <c r="E49" s="66">
        <v>6362.4601117110415</v>
      </c>
      <c r="F49" s="67">
        <v>0.0</v>
      </c>
      <c r="G49" s="67">
        <v>0.0</v>
      </c>
      <c r="H49" s="67">
        <v>56.25</v>
      </c>
      <c r="I49" s="67">
        <v>56.25</v>
      </c>
      <c r="J49" s="66">
        <v>0.0</v>
      </c>
      <c r="K49" s="66">
        <v>0.0</v>
      </c>
      <c r="L49" s="69">
        <f t="shared" si="3"/>
        <v>6474.960112</v>
      </c>
      <c r="M49" s="3"/>
      <c r="N49" s="3"/>
      <c r="O49" s="4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85" t="s">
        <v>78</v>
      </c>
      <c r="B50" s="67">
        <v>229064.75999999995</v>
      </c>
      <c r="C50" s="67">
        <v>210000.0</v>
      </c>
      <c r="D50" s="66">
        <v>213886.3799403281</v>
      </c>
      <c r="E50" s="66">
        <v>9028.411099036868</v>
      </c>
      <c r="F50" s="67">
        <v>0.0</v>
      </c>
      <c r="G50" s="67">
        <v>0.0</v>
      </c>
      <c r="H50" s="67">
        <v>787.5</v>
      </c>
      <c r="I50" s="67">
        <v>787.5</v>
      </c>
      <c r="J50" s="66">
        <v>3150.0</v>
      </c>
      <c r="K50" s="66">
        <v>5000.0</v>
      </c>
      <c r="L50" s="69">
        <f t="shared" si="3"/>
        <v>18753.4111</v>
      </c>
      <c r="M50" s="3"/>
      <c r="N50" s="3"/>
      <c r="O50" s="4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85" t="s">
        <v>64</v>
      </c>
      <c r="B51" s="67">
        <v>286636.47</v>
      </c>
      <c r="C51" s="67">
        <v>250000.0</v>
      </c>
      <c r="D51" s="66">
        <v>313918.52226767404</v>
      </c>
      <c r="E51" s="66">
        <v>13091.105701912915</v>
      </c>
      <c r="F51" s="67">
        <v>0.0</v>
      </c>
      <c r="G51" s="67">
        <v>0.0</v>
      </c>
      <c r="H51" s="67">
        <v>0.0</v>
      </c>
      <c r="I51" s="67">
        <v>0.0</v>
      </c>
      <c r="J51" s="66">
        <v>0.0</v>
      </c>
      <c r="K51" s="66">
        <v>0.0</v>
      </c>
      <c r="L51" s="69">
        <f t="shared" si="3"/>
        <v>13091.1057</v>
      </c>
      <c r="M51" s="3"/>
      <c r="N51" s="3"/>
      <c r="O51" s="4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85" t="s">
        <v>65</v>
      </c>
      <c r="B52" s="67">
        <v>148402.29</v>
      </c>
      <c r="C52" s="67">
        <v>100000.0</v>
      </c>
      <c r="D52" s="66">
        <v>118351.18781227065</v>
      </c>
      <c r="E52" s="66">
        <v>5810.961265961141</v>
      </c>
      <c r="F52" s="67">
        <v>0.0</v>
      </c>
      <c r="G52" s="67">
        <v>0.0</v>
      </c>
      <c r="H52" s="67">
        <v>0.0</v>
      </c>
      <c r="I52" s="67">
        <v>0.0</v>
      </c>
      <c r="J52" s="66">
        <v>0.0</v>
      </c>
      <c r="K52" s="66">
        <v>0.0</v>
      </c>
      <c r="L52" s="69">
        <f t="shared" si="3"/>
        <v>5810.961266</v>
      </c>
      <c r="M52" s="3"/>
      <c r="N52" s="3"/>
      <c r="O52" s="4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85" t="s">
        <v>46</v>
      </c>
      <c r="B53" s="67">
        <v>1466141.56</v>
      </c>
      <c r="C53" s="67">
        <v>1086625.0</v>
      </c>
      <c r="D53" s="66">
        <v>1541591.1595113545</v>
      </c>
      <c r="E53" s="66">
        <v>66960.82370790953</v>
      </c>
      <c r="F53" s="67">
        <v>0.0</v>
      </c>
      <c r="G53" s="67">
        <v>0.0</v>
      </c>
      <c r="H53" s="67">
        <v>0.0</v>
      </c>
      <c r="I53" s="67">
        <v>0.0</v>
      </c>
      <c r="J53" s="66">
        <v>0.0</v>
      </c>
      <c r="K53" s="66">
        <v>0.0</v>
      </c>
      <c r="L53" s="69">
        <f t="shared" si="3"/>
        <v>66960.82371</v>
      </c>
      <c r="M53" s="3"/>
      <c r="N53" s="3"/>
      <c r="O53" s="4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85" t="s">
        <v>79</v>
      </c>
      <c r="B54" s="67">
        <v>1132977.83</v>
      </c>
      <c r="C54" s="67">
        <v>1000000.0</v>
      </c>
      <c r="D54" s="66">
        <v>1035433.2276533399</v>
      </c>
      <c r="E54" s="66">
        <v>48606.59802648084</v>
      </c>
      <c r="F54" s="67">
        <v>0.0</v>
      </c>
      <c r="G54" s="67">
        <v>0.0</v>
      </c>
      <c r="H54" s="67">
        <v>0.0</v>
      </c>
      <c r="I54" s="67">
        <v>0.0</v>
      </c>
      <c r="J54" s="66">
        <v>0.0</v>
      </c>
      <c r="K54" s="66">
        <v>0.0</v>
      </c>
      <c r="L54" s="69">
        <f t="shared" si="3"/>
        <v>48606.59803</v>
      </c>
      <c r="M54" s="3"/>
      <c r="N54" s="3"/>
      <c r="O54" s="4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85" t="s">
        <v>80</v>
      </c>
      <c r="B55" s="67">
        <v>2035178.83</v>
      </c>
      <c r="C55" s="67">
        <v>2000000.0</v>
      </c>
      <c r="D55" s="66">
        <v>2000000.0</v>
      </c>
      <c r="E55" s="66">
        <v>474.91420500000106</v>
      </c>
      <c r="F55" s="67">
        <v>0.0</v>
      </c>
      <c r="G55" s="67">
        <v>0.0</v>
      </c>
      <c r="H55" s="67">
        <v>0.0</v>
      </c>
      <c r="I55" s="67">
        <v>0.0</v>
      </c>
      <c r="J55" s="66">
        <v>90000.0</v>
      </c>
      <c r="K55" s="66">
        <v>45000.0</v>
      </c>
      <c r="L55" s="69">
        <f t="shared" si="3"/>
        <v>135474.9142</v>
      </c>
      <c r="M55" s="3"/>
      <c r="N55" s="3"/>
      <c r="O55" s="4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85" t="s">
        <v>81</v>
      </c>
      <c r="B56" s="67">
        <v>2035178.83</v>
      </c>
      <c r="C56" s="67">
        <v>2000000.0</v>
      </c>
      <c r="D56" s="66">
        <v>2000000.0</v>
      </c>
      <c r="E56" s="66">
        <v>474.91420500000106</v>
      </c>
      <c r="F56" s="67">
        <v>0.0</v>
      </c>
      <c r="G56" s="67">
        <v>0.0</v>
      </c>
      <c r="H56" s="67">
        <v>0.0</v>
      </c>
      <c r="I56" s="67">
        <v>0.0</v>
      </c>
      <c r="J56" s="66">
        <v>90000.0</v>
      </c>
      <c r="K56" s="66">
        <v>25000.0</v>
      </c>
      <c r="L56" s="69">
        <f t="shared" si="3"/>
        <v>115474.9142</v>
      </c>
      <c r="M56" s="3"/>
      <c r="N56" s="3"/>
      <c r="O56" s="4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93" t="s">
        <v>44</v>
      </c>
      <c r="B57" s="67">
        <v>2.5259480309999995E7</v>
      </c>
      <c r="C57" s="67">
        <v>2.233023279E7</v>
      </c>
      <c r="D57" s="66">
        <v>2.6612845265559524E7</v>
      </c>
      <c r="E57" s="66">
        <v>942485.232297567</v>
      </c>
      <c r="F57" s="67">
        <v>0.95625</v>
      </c>
      <c r="G57" s="67">
        <v>197.83125</v>
      </c>
      <c r="H57" s="67">
        <v>1041.58125</v>
      </c>
      <c r="I57" s="67">
        <v>1134.14625</v>
      </c>
      <c r="J57" s="66">
        <v>188803.575</v>
      </c>
      <c r="K57" s="95">
        <v>133200.0</v>
      </c>
      <c r="L57" s="97">
        <f t="shared" si="3"/>
        <v>1266863.322</v>
      </c>
      <c r="M57" s="3"/>
      <c r="N57" s="3"/>
      <c r="O57" s="4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100"/>
      <c r="L58" s="100"/>
      <c r="M58" s="3"/>
      <c r="N58" s="3"/>
      <c r="O58" s="4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4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4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4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4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4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4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4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4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4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4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4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4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4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4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4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4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4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4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4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4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4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4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4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4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4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4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4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4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4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4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4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4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4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4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4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4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4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4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4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4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4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4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4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4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4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4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4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4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4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4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4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4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4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4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4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4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4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4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4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4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4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4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4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4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4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4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4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4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4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4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4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4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4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4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4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4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4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4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4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4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4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4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4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4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4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4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4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4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4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4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4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4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4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4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4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4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4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4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4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4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4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4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4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4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4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4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4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4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4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4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4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4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4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4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4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4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4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4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4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4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4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4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4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4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4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4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4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4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4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4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4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4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4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4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4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4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4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4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4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4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4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4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4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4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4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4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4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4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4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4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4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4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4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4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4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4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4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4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4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4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4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4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4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4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4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4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4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4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4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4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4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4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4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4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4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4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4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4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4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4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4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4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4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4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4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4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4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4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4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4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4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4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4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4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4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4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4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4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4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4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4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4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4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4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4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4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4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4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4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4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4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4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4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4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4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4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4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4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4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4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4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4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4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4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4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4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4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4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4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4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4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4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4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4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4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4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4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4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4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4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4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4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4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4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4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4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4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4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4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4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4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4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4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4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4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4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4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4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4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4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4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4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4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4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4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4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4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4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4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4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4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4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4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4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4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4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4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4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4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4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4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4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4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4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4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4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4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4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4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4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4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4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4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4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4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4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4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4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4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4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4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4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4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4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4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4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4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4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4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4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4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4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4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4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4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4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4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4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4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4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4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4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4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4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4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4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4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4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4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4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4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4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4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4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4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4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4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4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4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4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4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4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4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4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4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4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4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4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4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4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4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4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4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4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4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4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4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4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4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4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4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4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4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4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4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4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4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4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4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4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4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4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4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4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4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4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4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4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4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4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4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4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4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4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4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4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4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4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4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4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4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4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4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4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4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4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4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4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4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4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4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4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4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4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4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4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4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4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4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4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4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4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4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4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4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4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4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4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4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4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4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4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4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4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4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4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4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4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4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4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4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4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4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4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4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4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4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4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4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4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4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4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4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4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4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4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4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4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4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4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4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4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4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4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4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4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4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4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4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4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4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4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4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</sheetData>
  <mergeCells count="4">
    <mergeCell ref="F20:J20"/>
    <mergeCell ref="A2:C2"/>
    <mergeCell ref="B20:D20"/>
    <mergeCell ref="C8:G8"/>
  </mergeCells>
  <printOptions/>
  <pageMargins bottom="0.75" footer="0.0" header="0.0" left="0.7" right="0.7" top="0.75"/>
  <pageSetup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3.71"/>
    <col customWidth="1" min="2" max="2" width="23.86"/>
    <col customWidth="1" min="3" max="17" width="16.57"/>
  </cols>
  <sheetData>
    <row r="1">
      <c r="A1" s="101"/>
      <c r="B1" s="102"/>
      <c r="C1" s="7" t="s">
        <v>83</v>
      </c>
      <c r="D1" s="8"/>
      <c r="E1" s="8"/>
      <c r="F1" s="9"/>
      <c r="G1" s="103" t="s">
        <v>84</v>
      </c>
      <c r="H1" s="104" t="s">
        <v>85</v>
      </c>
      <c r="I1" s="8"/>
      <c r="J1" s="9"/>
      <c r="K1" s="105" t="s">
        <v>86</v>
      </c>
      <c r="L1" s="13"/>
      <c r="M1" s="13"/>
      <c r="N1" s="13"/>
      <c r="O1" s="14"/>
      <c r="P1" s="103" t="s">
        <v>87</v>
      </c>
      <c r="Q1" s="104" t="s">
        <v>88</v>
      </c>
      <c r="R1" s="106"/>
    </row>
    <row r="2">
      <c r="A2" s="18" t="s">
        <v>9</v>
      </c>
      <c r="B2" s="19" t="s">
        <v>10</v>
      </c>
      <c r="C2" s="21" t="s">
        <v>89</v>
      </c>
      <c r="D2" s="21" t="s">
        <v>90</v>
      </c>
      <c r="E2" s="21" t="s">
        <v>91</v>
      </c>
      <c r="F2" s="23" t="s">
        <v>92</v>
      </c>
      <c r="G2" s="107"/>
      <c r="H2" s="108" t="s">
        <v>93</v>
      </c>
      <c r="I2" s="108" t="s">
        <v>94</v>
      </c>
      <c r="J2" s="109" t="s">
        <v>95</v>
      </c>
      <c r="K2" s="110" t="s">
        <v>53</v>
      </c>
      <c r="L2" s="110" t="s">
        <v>55</v>
      </c>
      <c r="M2" s="110" t="s">
        <v>56</v>
      </c>
      <c r="N2" s="110" t="s">
        <v>57</v>
      </c>
      <c r="O2" s="111" t="s">
        <v>58</v>
      </c>
      <c r="P2" s="112">
        <f>'Parameters and Distribution Sum'!$C$4</f>
        <v>2019</v>
      </c>
      <c r="Q2" s="113">
        <f>'Parameters and Distribution Sum'!$C$4</f>
        <v>2019</v>
      </c>
      <c r="R2" s="106"/>
    </row>
    <row r="3">
      <c r="A3" s="36" t="s">
        <v>26</v>
      </c>
      <c r="B3" s="38" t="str">
        <f>IFERROR(__xludf.DUMMYFUNCTION("FILTER('Endowed Funds'!$C:$C,'Endowed Funds'!$B:$B = $A3)")," Archaeology ")</f>
        <v>Archaeology</v>
      </c>
      <c r="C3" s="39">
        <f>IFERROR(__xludf.DUMMYFUNCTION("IFERROR(sum(FILTER('Fund Data'!$D:$D, 'Fund Data'!$C:$C = $A3, 'Fund Data'!$A:$A &lt;= ('Parameters and Distribution Sum'!$C$4 - 2), 'Fund Data'!$B:$B = 12)),0)"),292060.0)</f>
        <v>292060</v>
      </c>
      <c r="D3" s="52">
        <f t="array" ref="D3">INDEX('Fund YTD Target Values'!$1:$1000, MATCH($A3,'Fund YTD Target Values'!$A:$A,0), MATCH('Parameters and Distribution Sum'!$C$4 - 2,'Fund YTD Target Values'!$1:$1,0))</f>
        <v>351339.7985</v>
      </c>
      <c r="E3" s="39">
        <f>IFERROR(__xludf.DUMMYFUNCTION("IFERROR(FILTER('Fund Data'!$P:$P,'Fund Data'!$C:$C = $A3,'Fund Data'!$A:$A = ('Parameters and Distribution Sum'!$C$4 - 2), 'Fund Data'!$B:$B = 12) - FILTER('Fund Data'!$AE:$AE,'Fund Data'!$C:$C = $A3,'Fund Data'!$A:$A = ('Parameters and Distribution Sum'!"&amp;"$C$4 - 2), 'Fund Data'!$B:$B = 12),0)"),331930.9599999999)</f>
        <v>331930.96</v>
      </c>
      <c r="F3" s="38">
        <f t="shared" ref="F3:F37" si="1">E3-D3</f>
        <v>-19408.83847</v>
      </c>
      <c r="G3" s="40">
        <f>IFERROR(__xludf.DUMMYFUNCTION("IF('Parameters and Distribution Sum'!$C$4 = 2019, FILTER('Fund Data'!$Y:$Y, 'Fund Data'!$C:$C = $A3, 'Fund Data'!$A:$A = 'Parameters and Distribution Sum'!$C$4 - 1, 'Fund Data'!$B:$B = 12) + FILTER('Fund Data'!$AA:$AA, 'Fund Data'!$C:$C = $A3, 'Fund Data'"&amp;"!$A:$A = 'Parameters and Distribution Sum'!$C$4 - 1, 'Fund Data'!$B:$B = 12),((FILTER('Fund Data'!$Y:$Y, 'Fund Data'!$C:$C = $A3, 'Fund Data'!$A:$A = 'Parameters and Distribution Sum'!$C$4 - 2, 'Fund Data'!$B:$B = 12) + FILTER('Fund Data'!$AA:$AA, 'Fund D"&amp;"ata'!$C:$C = $A3, 'Fund Data'!$A:$A = 'Parameters and Distribution Sum'!$C$4 - 2, 'Fund Data'!$B:$B = 12)) * (1 + AVERAGE(FILTER('Inflation Data'!$C:$C,'Inflation Data'!$A:$A = ('Parameters and Distribution Sum'!$C$4 - 3)))) * 'Parameters and Distribution"&amp;" Sum'!$A$4) + ((FILTER('Fund Data'!$P:$P, 'Fund Data'!$C:$C = $A3, 'Fund Data'!$A:$A = ('Parameters and Distribution Sum'!$C$4 - 3), 'Fund Data'!$B:$B = 12) - SUM(FILTER('Fund Data'!$V:$V, 'Fund Data'!$C:$C = $A3, 'Fund Data'!$A:$A = ('Parameters and Dist"&amp;"ribution Sum'!$C$4 - 3), 'Fund Data'!$B:$B &gt; 3)))  * 'Parameters and Distribution Sum'!$B$4 * (1 - 'Parameters and Distribution Sum'!$A$4)) + ((SUM(FILTER('Fund Data'!$V:$V, 'Fund Data'!$C:$C = $A3, 'Fund Data'!$A:$A = 'Parameters and Distribution Sum'!$C"&amp;"$4 - 3, 'Fund Data'!$B:$B &gt;= 4)) + SUM(FILTER('Fund Data'!$V:$V, 'Fund Data'!$C:$C = $A3, 'Fund Data'!$A:$A = 'Parameters and Distribution Sum'!$C$4 - 2, 'Fund Data'!$B:$B &lt;= 3))) * 'Parameters and Distribution Sum'!$B$4))"),15865.603199999998)</f>
        <v>15865.6032</v>
      </c>
      <c r="H3" s="41">
        <f>IFERROR(__xludf.DUMMYFUNCTION("IFERROR(($G3 * (1 + AVERAGE(FILTER('Inflation Data'!$C:$C,'Inflation Data'!$A:$A = ('Parameters and Distribution Sum'!$C$4 - 2)))) * 'Parameters and Distribution Sum'!$A$4),0)"),11342.657736026731)</f>
        <v>11342.65774</v>
      </c>
      <c r="I3" s="41">
        <f>IFERROR(__xludf.DUMMYFUNCTION("IF('Parameters and Distribution Sum'!$C$4 = 2019,IFERROR((IFERROR(FILTER('Fund Data'!$P:$P,'Fund Data'!$C:$C = $A3,'Fund Data'!$A:$A = ('Parameters and Distribution Sum'!$C$4 - 2), 'Fund Data'!$B:$B = 12),0) - SUM(FILTER('Fund Data'!$V:$V, 'Fund Data'!$C:"&amp;"$C = $A3, 'Fund Data'!$A:$A = ('Parameters and Distribution Sum'!$C$4 - 2), 'Fund Data'!$B:$B &gt; 3)))  * 'Parameters and Distribution Sum'!$B$4 * (1 - 'Parameters and Distribution Sum'!$A$4),0), ($E3  - SUM(FILTER('Fund Data'!$V:$V, 'Fund Data'!$C:$C = $A3"&amp;", 'Fund Data'!$A:$A = ('Parameters and Distribution Sum'!$C$4 - 2), 'Fund Data'!$B:$B &gt; 3)))  * 'Parameters and Distribution Sum'!$B$4 * (1 - 'Parameters and Distribution Sum'!$A$4))"),4477.692959999999)</f>
        <v>4477.69296</v>
      </c>
      <c r="J3" s="125">
        <f t="shared" ref="J3:J37" si="2">H3+I3</f>
        <v>15820.3507</v>
      </c>
      <c r="K3" s="126">
        <f>IFERROR(__xludf.DUMMYFUNCTION("((IFERROR(SUM(FILTER('Fund Data'!$V:$V, 'Fund Data'!$C:$C = $A3, 'Fund Data'!$A:$A = 'Parameters and Distribution Sum'!$C$4 - 1, 'Fund Data'!$B:$B &gt;= 4, 'Fund Data'!$B:$B &lt;= 6)) * 'Parameters and Distribution Sum'!$B$4, 0)) / 4)"),0.0)</f>
        <v>0</v>
      </c>
      <c r="L3" s="126">
        <f>IFERROR(__xludf.DUMMYFUNCTION("((IFERROR(SUM(FILTER('Fund Data'!$V:$V, 'Fund Data'!$C:$C = $A3, 'Fund Data'!$A:$A = 'Parameters and Distribution Sum'!$C$4 - 1, 'Fund Data'!$B:$B &gt;= 4, 'Fund Data'!$B:$B &lt;= 9)) * 'Parameters and Distribution Sum'!$B$4, 0)) / 4)"),0.0)</f>
        <v>0</v>
      </c>
      <c r="M3" s="126">
        <f>IFERROR(__xludf.DUMMYFUNCTION("((IFERROR(SUM(FILTER('Fund Data'!$V:$V, 'Fund Data'!$C:$C = $A3, 'Fund Data'!$A:$A = 'Parameters and Distribution Sum'!$C$4 - 1, 'Fund Data'!$B:$B &gt;= 4, 'Fund Data'!$B:$B &lt;= 12)) * 'Parameters and Distribution Sum'!$B$4, 0)) / 4)"),0.0)</f>
        <v>0</v>
      </c>
      <c r="N3" s="126">
        <f>IFERROR(__xludf.DUMMYFUNCTION("((IFERROR(SUM(FILTER('Fund Data'!$V:$V, 'Fund Data'!$C:$C = $A3, 'Fund Data'!$A:$A = 'Parameters and Distribution Sum'!$C$4 - 1, 'Fund Data'!$B:$B &gt;= 4, 'Fund Data'!$B:$B &lt;= 12)) * 'Parameters and Distribution Sum'!$B$4, 0) + IFERROR(SUM(FILTER('Fund Data"&amp;"'!$V:$V, 'Fund Data'!$C:$C = $A3, 'Fund Data'!$A:$A = 'Parameters and Distribution Sum'!$C$4, 'Fund Data'!$B:$B &lt;= 3)) * 'Parameters and Distribution Sum'!$B$4, 0)) / 4)"),80.19)</f>
        <v>80.19</v>
      </c>
      <c r="O3" s="127">
        <f>IFERROR(__xludf.DUMMYFUNCTION("((IFERROR(SUM(FILTER('Fund Data'!$V:$V, 'Fund Data'!$C:$C = $A3, 'Fund Data'!$A:$A = 'Parameters and Distribution Sum'!$C$4 - 2, 'Fund Data'!$B:$B &gt;= 4)) * 'Parameters and Distribution Sum'!$B$4,0) + IFERROR(SUM(FILTER('Fund Data'!$V:$V, 'Fund Data'!$C:$C"&amp;" = $A3, 'Fund Data'!$A:$A = 'Parameters and Distribution Sum'!$C$4 - 1, 'Fund Data'!$B:$B &lt;= 3)) * 'Parameters and Distribution Sum'!$B$4,0)))"),829.755)</f>
        <v>829.755</v>
      </c>
      <c r="P3" s="127">
        <f>IFERROR(__xludf.DUMMYFUNCTION("IFERROR(FILTER('Fund Data'!$AE:$AE,'Fund Data'!$C:$C = $A3,'Fund Data'!$A:$A = ('Parameters and Distribution Sum'!$C$4 - 1), 'Fund Data'!$B:$B = 12),0)"),0.0)</f>
        <v>0</v>
      </c>
      <c r="Q3" s="128">
        <f t="shared" ref="Q3:Q37" si="3">sum(J3:P3)</f>
        <v>16730.2957</v>
      </c>
      <c r="R3" s="129"/>
    </row>
    <row r="4">
      <c r="A4" s="36" t="s">
        <v>27</v>
      </c>
      <c r="B4" s="38" t="str">
        <f>IFERROR(__xludf.DUMMYFUNCTION("FILTER('Endowed Funds'!$C:$C,'Endowed Funds'!$B:$B = $A4)")," Archaeology ")</f>
        <v>Archaeology</v>
      </c>
      <c r="C4" s="39">
        <f>IFERROR(__xludf.DUMMYFUNCTION("IFERROR(sum(FILTER('Fund Data'!$D:$D, 'Fund Data'!$C:$C = $A4, 'Fund Data'!$A:$A &lt;= ('Parameters and Distribution Sum'!$C$4 - 2), 'Fund Data'!$B:$B = 12)),0)"),276213.7)</f>
        <v>276213.7</v>
      </c>
      <c r="D4" s="52">
        <f t="array" ref="D4">INDEX('Fund YTD Target Values'!$1:$1000, MATCH($A4,'Fund YTD Target Values'!$A:$A,0), MATCH('Parameters and Distribution Sum'!$C$4 - 2,'Fund YTD Target Values'!$1:$1,0))</f>
        <v>383919.6363</v>
      </c>
      <c r="E4" s="39">
        <f>IFERROR(__xludf.DUMMYFUNCTION("IFERROR(FILTER('Fund Data'!$P:$P,'Fund Data'!$C:$C = $A4,'Fund Data'!$A:$A = ('Parameters and Distribution Sum'!$C$4 - 2), 'Fund Data'!$B:$B = 12) - FILTER('Fund Data'!$AE:$AE,'Fund Data'!$C:$C = $A4,'Fund Data'!$A:$A = ('Parameters and Distribution Sum'!"&amp;"$C$4 - 2), 'Fund Data'!$B:$B = 12),0)"),308485.4)</f>
        <v>308485.4</v>
      </c>
      <c r="F4" s="38">
        <f t="shared" si="1"/>
        <v>-75434.23628</v>
      </c>
      <c r="G4" s="40">
        <f>IFERROR(__xludf.DUMMYFUNCTION("IF('Parameters and Distribution Sum'!$C$4 = 2019, FILTER('Fund Data'!$Y:$Y, 'Fund Data'!$C:$C = $A4, 'Fund Data'!$A:$A = 'Parameters and Distribution Sum'!$C$4 - 1, 'Fund Data'!$B:$B = 12) + FILTER('Fund Data'!$AA:$AA, 'Fund Data'!$C:$C = $A4, 'Fund Data'"&amp;"!$A:$A = 'Parameters and Distribution Sum'!$C$4 - 1, 'Fund Data'!$B:$B = 12),((FILTER('Fund Data'!$Y:$Y, 'Fund Data'!$C:$C = $A4, 'Fund Data'!$A:$A = 'Parameters and Distribution Sum'!$C$4 - 2, 'Fund Data'!$B:$B = 12) + FILTER('Fund Data'!$AA:$AA, 'Fund D"&amp;"ata'!$C:$C = $A4, 'Fund Data'!$A:$A = 'Parameters and Distribution Sum'!$C$4 - 2, 'Fund Data'!$B:$B = 12)) * (1 + AVERAGE(FILTER('Inflation Data'!$C:$C,'Inflation Data'!$A:$A = ('Parameters and Distribution Sum'!$C$4 - 3)))) * 'Parameters and Distribution"&amp;" Sum'!$A$4) + ((FILTER('Fund Data'!$P:$P, 'Fund Data'!$C:$C = $A4, 'Fund Data'!$A:$A = ('Parameters and Distribution Sum'!$C$4 - 3), 'Fund Data'!$B:$B = 12) - SUM(FILTER('Fund Data'!$V:$V, 'Fund Data'!$C:$C = $A4, 'Fund Data'!$A:$A = ('Parameters and Dist"&amp;"ribution Sum'!$C$4 - 3), 'Fund Data'!$B:$B &gt; 3)))  * 'Parameters and Distribution Sum'!$B$4 * (1 - 'Parameters and Distribution Sum'!$A$4)) + ((SUM(FILTER('Fund Data'!$V:$V, 'Fund Data'!$C:$C = $A4, 'Fund Data'!$A:$A = 'Parameters and Distribution Sum'!$C"&amp;"$4 - 3, 'Fund Data'!$B:$B &gt;= 4)) + SUM(FILTER('Fund Data'!$V:$V, 'Fund Data'!$C:$C = $A4, 'Fund Data'!$A:$A = 'Parameters and Distribution Sum'!$C$4 - 2, 'Fund Data'!$B:$B &lt;= 3))) * 'Parameters and Distribution Sum'!$B$4))"),13881.843000000003)</f>
        <v>13881.843</v>
      </c>
      <c r="H4" s="41">
        <f>IFERROR(__xludf.DUMMYFUNCTION("IFERROR(($G4 * (1 + AVERAGE(FILTER('Inflation Data'!$C:$C,'Inflation Data'!$A:$A = ('Parameters and Distribution Sum'!$C$4 - 2)))) * 'Parameters and Distribution Sum'!$A$4),0)"),9924.42530607715)</f>
        <v>9924.425306</v>
      </c>
      <c r="I4" s="41">
        <f>IFERROR(__xludf.DUMMYFUNCTION("IF('Parameters and Distribution Sum'!$C$4 = 2019,IFERROR((IFERROR(FILTER('Fund Data'!$P:$P,'Fund Data'!$C:$C = $A4,'Fund Data'!$A:$A = ('Parameters and Distribution Sum'!$C$4 - 2), 'Fund Data'!$B:$B = 12),0) - SUM(FILTER('Fund Data'!$V:$V, 'Fund Data'!$C:"&amp;"$C = $A4, 'Fund Data'!$A:$A = ('Parameters and Distribution Sum'!$C$4 - 2), 'Fund Data'!$B:$B &gt; 3)))  * 'Parameters and Distribution Sum'!$B$4 * (1 - 'Parameters and Distribution Sum'!$A$4),0), ($E4  - SUM(FILTER('Fund Data'!$V:$V, 'Fund Data'!$C:$C = $A4"&amp;", 'Fund Data'!$A:$A = ('Parameters and Distribution Sum'!$C$4 - 2), 'Fund Data'!$B:$B &gt; 3)))  * 'Parameters and Distribution Sum'!$B$4 * (1 - 'Parameters and Distribution Sum'!$A$4))"),4164.552900000001)</f>
        <v>4164.5529</v>
      </c>
      <c r="J4" s="125">
        <f t="shared" si="2"/>
        <v>14088.97821</v>
      </c>
      <c r="K4" s="126">
        <f>IFERROR(__xludf.DUMMYFUNCTION("((IFERROR(SUM(FILTER('Fund Data'!$V:$V, 'Fund Data'!$C:$C = $A4, 'Fund Data'!$A:$A = 'Parameters and Distribution Sum'!$C$4 - 1, 'Fund Data'!$B:$B &gt;= 4, 'Fund Data'!$B:$B &lt;= 6)) * 'Parameters and Distribution Sum'!$B$4, 0)) / 4)"),0.0)</f>
        <v>0</v>
      </c>
      <c r="L4" s="126">
        <f>IFERROR(__xludf.DUMMYFUNCTION("((IFERROR(SUM(FILTER('Fund Data'!$V:$V, 'Fund Data'!$C:$C = $A4, 'Fund Data'!$A:$A = 'Parameters and Distribution Sum'!$C$4 - 1, 'Fund Data'!$B:$B &gt;= 4, 'Fund Data'!$B:$B &lt;= 9)) * 'Parameters and Distribution Sum'!$B$4, 0)) / 4)"),0.0)</f>
        <v>0</v>
      </c>
      <c r="M4" s="126">
        <f>IFERROR(__xludf.DUMMYFUNCTION("((IFERROR(SUM(FILTER('Fund Data'!$V:$V, 'Fund Data'!$C:$C = $A4, 'Fund Data'!$A:$A = 'Parameters and Distribution Sum'!$C$4 - 1, 'Fund Data'!$B:$B &gt;= 4, 'Fund Data'!$B:$B &lt;= 12)) * 'Parameters and Distribution Sum'!$B$4, 0)) / 4)"),0.0)</f>
        <v>0</v>
      </c>
      <c r="N4" s="126">
        <f>IFERROR(__xludf.DUMMYFUNCTION("((IFERROR(SUM(FILTER('Fund Data'!$V:$V, 'Fund Data'!$C:$C = $A4, 'Fund Data'!$A:$A = 'Parameters and Distribution Sum'!$C$4 - 1, 'Fund Data'!$B:$B &gt;= 4, 'Fund Data'!$B:$B &lt;= 12)) * 'Parameters and Distribution Sum'!$B$4, 0) + IFERROR(SUM(FILTER('Fund Data"&amp;"'!$V:$V, 'Fund Data'!$C:$C = $A4, 'Fund Data'!$A:$A = 'Parameters and Distribution Sum'!$C$4, 'Fund Data'!$B:$B &lt;= 3)) * 'Parameters and Distribution Sum'!$B$4, 0)) / 4)"),0.0)</f>
        <v>0</v>
      </c>
      <c r="O4" s="127">
        <f>IFERROR(__xludf.DUMMYFUNCTION("((IFERROR(SUM(FILTER('Fund Data'!$V:$V, 'Fund Data'!$C:$C = $A4, 'Fund Data'!$A:$A = 'Parameters and Distribution Sum'!$C$4 - 2, 'Fund Data'!$B:$B &gt;= 4)) * 'Parameters and Distribution Sum'!$B$4,0) + IFERROR(SUM(FILTER('Fund Data'!$V:$V, 'Fund Data'!$C:$C"&amp;" = $A4, 'Fund Data'!$A:$A = 'Parameters and Distribution Sum'!$C$4 - 1, 'Fund Data'!$B:$B &lt;= 3)) * 'Parameters and Distribution Sum'!$B$4,0)))"),0.0)</f>
        <v>0</v>
      </c>
      <c r="P4" s="127">
        <f>IFERROR(__xludf.DUMMYFUNCTION("IFERROR(FILTER('Fund Data'!$AE:$AE,'Fund Data'!$C:$C = $A4,'Fund Data'!$A:$A = ('Parameters and Distribution Sum'!$C$4 - 1), 'Fund Data'!$B:$B = 12),0)"),0.0)</f>
        <v>0</v>
      </c>
      <c r="Q4" s="128">
        <f t="shared" si="3"/>
        <v>14088.97821</v>
      </c>
      <c r="R4" s="129"/>
    </row>
    <row r="5">
      <c r="A5" s="36" t="s">
        <v>25</v>
      </c>
      <c r="B5" s="38" t="str">
        <f>IFERROR(__xludf.DUMMYFUNCTION("FILTER('Endowed Funds'!$C:$C,'Endowed Funds'!$B:$B = $A5)")," American Indian Initiatives ")</f>
        <v>American Indian Initiatives</v>
      </c>
      <c r="C5" s="39">
        <f>IFERROR(__xludf.DUMMYFUNCTION("IFERROR(sum(FILTER('Fund Data'!$D:$D, 'Fund Data'!$C:$C = $A5, 'Fund Data'!$A:$A &lt;= ('Parameters and Distribution Sum'!$C$4 - 2), 'Fund Data'!$B:$B = 12)),0)"),81000.0)</f>
        <v>81000</v>
      </c>
      <c r="D5" s="52">
        <f t="array" ref="D5">INDEX('Fund YTD Target Values'!$1:$1000, MATCH($A5,'Fund YTD Target Values'!$A:$A,0), MATCH('Parameters and Distribution Sum'!$C$4 - 2,'Fund YTD Target Values'!$1:$1,0))</f>
        <v>106572.0284</v>
      </c>
      <c r="E5" s="39">
        <f>IFERROR(__xludf.DUMMYFUNCTION("IFERROR(FILTER('Fund Data'!$P:$P,'Fund Data'!$C:$C = $A5,'Fund Data'!$A:$A = ('Parameters and Distribution Sum'!$C$4 - 2), 'Fund Data'!$B:$B = 12) - FILTER('Fund Data'!$AE:$AE,'Fund Data'!$C:$C = $A5,'Fund Data'!$A:$A = ('Parameters and Distribution Sum'!"&amp;"$C$4 - 2), 'Fund Data'!$B:$B = 12),0)"),101066.33000000002)</f>
        <v>101066.33</v>
      </c>
      <c r="F5" s="38">
        <f t="shared" si="1"/>
        <v>-5505.698435</v>
      </c>
      <c r="G5" s="40">
        <f>IFERROR(__xludf.DUMMYFUNCTION("IF('Parameters and Distribution Sum'!$C$4 = 2019, FILTER('Fund Data'!$Y:$Y, 'Fund Data'!$C:$C = $A5, 'Fund Data'!$A:$A = 'Parameters and Distribution Sum'!$C$4 - 1, 'Fund Data'!$B:$B = 12) + FILTER('Fund Data'!$AA:$AA, 'Fund Data'!$C:$C = $A5, 'Fund Data'"&amp;"!$A:$A = 'Parameters and Distribution Sum'!$C$4 - 1, 'Fund Data'!$B:$B = 12),((FILTER('Fund Data'!$Y:$Y, 'Fund Data'!$C:$C = $A5, 'Fund Data'!$A:$A = 'Parameters and Distribution Sum'!$C$4 - 2, 'Fund Data'!$B:$B = 12) + FILTER('Fund Data'!$AA:$AA, 'Fund D"&amp;"ata'!$C:$C = $A5, 'Fund Data'!$A:$A = 'Parameters and Distribution Sum'!$C$4 - 2, 'Fund Data'!$B:$B = 12)) * (1 + AVERAGE(FILTER('Inflation Data'!$C:$C,'Inflation Data'!$A:$A = ('Parameters and Distribution Sum'!$C$4 - 3)))) * 'Parameters and Distribution"&amp;" Sum'!$A$4) + ((FILTER('Fund Data'!$P:$P, 'Fund Data'!$C:$C = $A5, 'Fund Data'!$A:$A = ('Parameters and Distribution Sum'!$C$4 - 3), 'Fund Data'!$B:$B = 12) - SUM(FILTER('Fund Data'!$V:$V, 'Fund Data'!$C:$C = $A5, 'Fund Data'!$A:$A = ('Parameters and Dist"&amp;"ribution Sum'!$C$4 - 3), 'Fund Data'!$B:$B &gt; 3)))  * 'Parameters and Distribution Sum'!$B$4 * (1 - 'Parameters and Distribution Sum'!$A$4)) + ((SUM(FILTER('Fund Data'!$V:$V, 'Fund Data'!$C:$C = $A5, 'Fund Data'!$A:$A = 'Parameters and Distribution Sum'!$C"&amp;"$4 - 3, 'Fund Data'!$B:$B &gt;= 4)) + SUM(FILTER('Fund Data'!$V:$V, 'Fund Data'!$C:$C = $A5, 'Fund Data'!$A:$A = 'Parameters and Distribution Sum'!$C$4 - 2, 'Fund Data'!$B:$B &lt;= 3))) * 'Parameters and Distribution Sum'!$B$4))"),4547.984849999999)</f>
        <v>4547.98485</v>
      </c>
      <c r="H5" s="41">
        <f>IFERROR(__xludf.DUMMYFUNCTION("IFERROR(($G5 * (1 + AVERAGE(FILTER('Inflation Data'!$C:$C,'Inflation Data'!$A:$A = ('Parameters and Distribution Sum'!$C$4 - 2)))) * 'Parameters and Distribution Sum'!$A$4),0)"),3251.4512616945367)</f>
        <v>3251.451262</v>
      </c>
      <c r="I5" s="41">
        <f>IFERROR(__xludf.DUMMYFUNCTION("IF('Parameters and Distribution Sum'!$C$4 = 2019,IFERROR((IFERROR(FILTER('Fund Data'!$P:$P,'Fund Data'!$C:$C = $A5,'Fund Data'!$A:$A = ('Parameters and Distribution Sum'!$C$4 - 2), 'Fund Data'!$B:$B = 12),0) - SUM(FILTER('Fund Data'!$V:$V, 'Fund Data'!$C:"&amp;"$C = $A5, 'Fund Data'!$A:$A = ('Parameters and Distribution Sum'!$C$4 - 2), 'Fund Data'!$B:$B &gt; 3)))  * 'Parameters and Distribution Sum'!$B$4 * (1 - 'Parameters and Distribution Sum'!$A$4),0), ($E5  - SUM(FILTER('Fund Data'!$V:$V, 'Fund Data'!$C:$C = $A5"&amp;", 'Fund Data'!$A:$A = ('Parameters and Distribution Sum'!$C$4 - 2), 'Fund Data'!$B:$B &gt; 3)))  * 'Parameters and Distribution Sum'!$B$4 * (1 - 'Parameters and Distribution Sum'!$A$4))"),1364.3954550000003)</f>
        <v>1364.395455</v>
      </c>
      <c r="J5" s="125">
        <f t="shared" si="2"/>
        <v>4615.846717</v>
      </c>
      <c r="K5" s="126">
        <f>IFERROR(__xludf.DUMMYFUNCTION("((IFERROR(SUM(FILTER('Fund Data'!$V:$V, 'Fund Data'!$C:$C = $A5, 'Fund Data'!$A:$A = 'Parameters and Distribution Sum'!$C$4 - 1, 'Fund Data'!$B:$B &gt;= 4, 'Fund Data'!$B:$B &lt;= 6)) * 'Parameters and Distribution Sum'!$B$4, 0)) / 4)"),0.0)</f>
        <v>0</v>
      </c>
      <c r="L5" s="126">
        <f>IFERROR(__xludf.DUMMYFUNCTION("((IFERROR(SUM(FILTER('Fund Data'!$V:$V, 'Fund Data'!$C:$C = $A5, 'Fund Data'!$A:$A = 'Parameters and Distribution Sum'!$C$4 - 1, 'Fund Data'!$B:$B &gt;= 4, 'Fund Data'!$B:$B &lt;= 9)) * 'Parameters and Distribution Sum'!$B$4, 0)) / 4)"),0.0)</f>
        <v>0</v>
      </c>
      <c r="M5" s="126">
        <f>IFERROR(__xludf.DUMMYFUNCTION("((IFERROR(SUM(FILTER('Fund Data'!$V:$V, 'Fund Data'!$C:$C = $A5, 'Fund Data'!$A:$A = 'Parameters and Distribution Sum'!$C$4 - 1, 'Fund Data'!$B:$B &gt;= 4, 'Fund Data'!$B:$B &lt;= 12)) * 'Parameters and Distribution Sum'!$B$4, 0)) / 4)"),0.0)</f>
        <v>0</v>
      </c>
      <c r="N5" s="126">
        <f>IFERROR(__xludf.DUMMYFUNCTION("((IFERROR(SUM(FILTER('Fund Data'!$V:$V, 'Fund Data'!$C:$C = $A5, 'Fund Data'!$A:$A = 'Parameters and Distribution Sum'!$C$4 - 1, 'Fund Data'!$B:$B &gt;= 4, 'Fund Data'!$B:$B &lt;= 12)) * 'Parameters and Distribution Sum'!$B$4, 0) + IFERROR(SUM(FILTER('Fund Data"&amp;"'!$V:$V, 'Fund Data'!$C:$C = $A5, 'Fund Data'!$A:$A = 'Parameters and Distribution Sum'!$C$4, 'Fund Data'!$B:$B &lt;= 3)) * 'Parameters and Distribution Sum'!$B$4, 0)) / 4)"),0.0)</f>
        <v>0</v>
      </c>
      <c r="O5" s="127">
        <f>IFERROR(__xludf.DUMMYFUNCTION("((IFERROR(SUM(FILTER('Fund Data'!$V:$V, 'Fund Data'!$C:$C = $A5, 'Fund Data'!$A:$A = 'Parameters and Distribution Sum'!$C$4 - 2, 'Fund Data'!$B:$B &gt;= 4)) * 'Parameters and Distribution Sum'!$B$4,0) + IFERROR(SUM(FILTER('Fund Data'!$V:$V, 'Fund Data'!$C:$C"&amp;" = $A5, 'Fund Data'!$A:$A = 'Parameters and Distribution Sum'!$C$4 - 1, 'Fund Data'!$B:$B &lt;= 3)) * 'Parameters and Distribution Sum'!$B$4,0)))"),0.0)</f>
        <v>0</v>
      </c>
      <c r="P5" s="127">
        <f>IFERROR(__xludf.DUMMYFUNCTION("IFERROR(FILTER('Fund Data'!$AE:$AE,'Fund Data'!$C:$C = $A5,'Fund Data'!$A:$A = ('Parameters and Distribution Sum'!$C$4 - 1), 'Fund Data'!$B:$B = 12),0)"),0.0)</f>
        <v>0</v>
      </c>
      <c r="Q5" s="128">
        <f t="shared" si="3"/>
        <v>4615.846717</v>
      </c>
      <c r="R5" s="129"/>
    </row>
    <row r="6">
      <c r="A6" s="36" t="s">
        <v>47</v>
      </c>
      <c r="B6" s="38" t="str">
        <f>IFERROR(__xludf.DUMMYFUNCTION("FILTER('Endowed Funds'!$C:$C,'Endowed Funds'!$B:$B = $A6)")," Board Designated ")</f>
        <v>Board Designated</v>
      </c>
      <c r="C6" s="39">
        <f>IFERROR(__xludf.DUMMYFUNCTION("IFERROR(sum(FILTER('Fund Data'!$D:$D, 'Fund Data'!$C:$C = $A6, 'Fund Data'!$A:$A &lt;= ('Parameters and Distribution Sum'!$C$4 - 2), 'Fund Data'!$B:$B = 12)),0)"),1371168.0)</f>
        <v>1371168</v>
      </c>
      <c r="D6" s="52">
        <f t="array" ref="D6">INDEX('Fund YTD Target Values'!$1:$1000, MATCH($A6,'Fund YTD Target Values'!$A:$A,0), MATCH('Parameters and Distribution Sum'!$C$4 - 2,'Fund YTD Target Values'!$1:$1,0))</f>
        <v>1449742.468</v>
      </c>
      <c r="E6" s="39">
        <f>IFERROR(__xludf.DUMMYFUNCTION("IFERROR(FILTER('Fund Data'!$P:$P,'Fund Data'!$C:$C = $A6,'Fund Data'!$A:$A = ('Parameters and Distribution Sum'!$C$4 - 2), 'Fund Data'!$B:$B = 12) - FILTER('Fund Data'!$AE:$AE,'Fund Data'!$C:$C = $A6,'Fund Data'!$A:$A = ('Parameters and Distribution Sum'!"&amp;"$C$4 - 2), 'Fund Data'!$B:$B = 12),0)"),1535907.08)</f>
        <v>1535907.08</v>
      </c>
      <c r="F6" s="38">
        <f t="shared" si="1"/>
        <v>86164.61159</v>
      </c>
      <c r="G6" s="40">
        <f>IFERROR(__xludf.DUMMYFUNCTION("IF('Parameters and Distribution Sum'!$C$4 = 2019, FILTER('Fund Data'!$Y:$Y, 'Fund Data'!$C:$C = $A6, 'Fund Data'!$A:$A = 'Parameters and Distribution Sum'!$C$4 - 1, 'Fund Data'!$B:$B = 12) + FILTER('Fund Data'!$AA:$AA, 'Fund Data'!$C:$C = $A6, 'Fund Data'"&amp;"!$A:$A = 'Parameters and Distribution Sum'!$C$4 - 1, 'Fund Data'!$B:$B = 12),((FILTER('Fund Data'!$Y:$Y, 'Fund Data'!$C:$C = $A6, 'Fund Data'!$A:$A = 'Parameters and Distribution Sum'!$C$4 - 2, 'Fund Data'!$B:$B = 12) + FILTER('Fund Data'!$AA:$AA, 'Fund D"&amp;"ata'!$C:$C = $A6, 'Fund Data'!$A:$A = 'Parameters and Distribution Sum'!$C$4 - 2, 'Fund Data'!$B:$B = 12)) * (1 + AVERAGE(FILTER('Inflation Data'!$C:$C,'Inflation Data'!$A:$A = ('Parameters and Distribution Sum'!$C$4 - 3)))) * 'Parameters and Distribution"&amp;" Sum'!$A$4) + ((FILTER('Fund Data'!$P:$P, 'Fund Data'!$C:$C = $A6, 'Fund Data'!$A:$A = ('Parameters and Distribution Sum'!$C$4 - 3), 'Fund Data'!$B:$B = 12) - SUM(FILTER('Fund Data'!$V:$V, 'Fund Data'!$C:$C = $A6, 'Fund Data'!$A:$A = ('Parameters and Dist"&amp;"ribution Sum'!$C$4 - 3), 'Fund Data'!$B:$B &gt; 3)))  * 'Parameters and Distribution Sum'!$B$4 * (1 - 'Parameters and Distribution Sum'!$A$4)) + ((SUM(FILTER('Fund Data'!$V:$V, 'Fund Data'!$C:$C = $A6, 'Fund Data'!$A:$A = 'Parameters and Distribution Sum'!$C"&amp;"$4 - 3, 'Fund Data'!$B:$B &gt;= 4)) + SUM(FILTER('Fund Data'!$V:$V, 'Fund Data'!$C:$C = $A6, 'Fund Data'!$A:$A = 'Parameters and Distribution Sum'!$C$4 - 2, 'Fund Data'!$B:$B &lt;= 3))) * 'Parameters and Distribution Sum'!$B$4))"),65238.411078356694)</f>
        <v>65238.41108</v>
      </c>
      <c r="H6" s="41">
        <f>IFERROR(__xludf.DUMMYFUNCTION("IFERROR(($G6 * (1 + AVERAGE(FILTER('Inflation Data'!$C:$C,'Inflation Data'!$A:$A = ('Parameters and Distribution Sum'!$C$4 - 2)))) * 'Parameters and Distribution Sum'!$A$4),0)"),46640.32995001506)</f>
        <v>46640.32995</v>
      </c>
      <c r="I6" s="41">
        <f>IFERROR(__xludf.DUMMYFUNCTION("IF('Parameters and Distribution Sum'!$C$4 = 2019,IFERROR((IFERROR(FILTER('Fund Data'!$P:$P,'Fund Data'!$C:$C = $A6,'Fund Data'!$A:$A = ('Parameters and Distribution Sum'!$C$4 - 2), 'Fund Data'!$B:$B = 12),0) - SUM(FILTER('Fund Data'!$V:$V, 'Fund Data'!$C:"&amp;"$C = $A6, 'Fund Data'!$A:$A = ('Parameters and Distribution Sum'!$C$4 - 2), 'Fund Data'!$B:$B &gt; 3)))  * 'Parameters and Distribution Sum'!$B$4 * (1 - 'Parameters and Distribution Sum'!$A$4),0), ($E6  - SUM(FILTER('Fund Data'!$V:$V, 'Fund Data'!$C:$C = $A6"&amp;", 'Fund Data'!$A:$A = ('Parameters and Distribution Sum'!$C$4 - 2), 'Fund Data'!$B:$B &gt; 3)))  * 'Parameters and Distribution Sum'!$B$4 * (1 - 'Parameters and Distribution Sum'!$A$4))"),20734.745580000003)</f>
        <v>20734.74558</v>
      </c>
      <c r="J6" s="125">
        <f t="shared" si="2"/>
        <v>67375.07553</v>
      </c>
      <c r="K6" s="126">
        <f>IFERROR(__xludf.DUMMYFUNCTION("((IFERROR(SUM(FILTER('Fund Data'!$V:$V, 'Fund Data'!$C:$C = $A6, 'Fund Data'!$A:$A = 'Parameters and Distribution Sum'!$C$4 - 1, 'Fund Data'!$B:$B &gt;= 4, 'Fund Data'!$B:$B &lt;= 6)) * 'Parameters and Distribution Sum'!$B$4, 0)) / 4)"),0.0)</f>
        <v>0</v>
      </c>
      <c r="L6" s="126">
        <f>IFERROR(__xludf.DUMMYFUNCTION("((IFERROR(SUM(FILTER('Fund Data'!$V:$V, 'Fund Data'!$C:$C = $A6, 'Fund Data'!$A:$A = 'Parameters and Distribution Sum'!$C$4 - 1, 'Fund Data'!$B:$B &gt;= 4, 'Fund Data'!$B:$B &lt;= 9)) * 'Parameters and Distribution Sum'!$B$4, 0)) / 4)"),0.0)</f>
        <v>0</v>
      </c>
      <c r="M6" s="126">
        <f>IFERROR(__xludf.DUMMYFUNCTION("((IFERROR(SUM(FILTER('Fund Data'!$V:$V, 'Fund Data'!$C:$C = $A6, 'Fund Data'!$A:$A = 'Parameters and Distribution Sum'!$C$4 - 1, 'Fund Data'!$B:$B &gt;= 4, 'Fund Data'!$B:$B &lt;= 12)) * 'Parameters and Distribution Sum'!$B$4, 0)) / 4)"),0.0)</f>
        <v>0</v>
      </c>
      <c r="N6" s="126">
        <f>IFERROR(__xludf.DUMMYFUNCTION("((IFERROR(SUM(FILTER('Fund Data'!$V:$V, 'Fund Data'!$C:$C = $A6, 'Fund Data'!$A:$A = 'Parameters and Distribution Sum'!$C$4 - 1, 'Fund Data'!$B:$B &gt;= 4, 'Fund Data'!$B:$B &lt;= 12)) * 'Parameters and Distribution Sum'!$B$4, 0) + IFERROR(SUM(FILTER('Fund Data"&amp;"'!$V:$V, 'Fund Data'!$C:$C = $A6, 'Fund Data'!$A:$A = 'Parameters and Distribution Sum'!$C$4, 'Fund Data'!$B:$B &lt;= 3)) * 'Parameters and Distribution Sum'!$B$4, 0)) / 4)"),0.0)</f>
        <v>0</v>
      </c>
      <c r="O6" s="127">
        <f>IFERROR(__xludf.DUMMYFUNCTION("((IFERROR(SUM(FILTER('Fund Data'!$V:$V, 'Fund Data'!$C:$C = $A6, 'Fund Data'!$A:$A = 'Parameters and Distribution Sum'!$C$4 - 2, 'Fund Data'!$B:$B &gt;= 4)) * 'Parameters and Distribution Sum'!$B$4,0) + IFERROR(SUM(FILTER('Fund Data'!$V:$V, 'Fund Data'!$C:$C"&amp;" = $A6, 'Fund Data'!$A:$A = 'Parameters and Distribution Sum'!$C$4 - 1, 'Fund Data'!$B:$B &lt;= 3)) * 'Parameters and Distribution Sum'!$B$4,0)))"),0.0)</f>
        <v>0</v>
      </c>
      <c r="P6" s="127">
        <f>IFERROR(__xludf.DUMMYFUNCTION("IFERROR(FILTER('Fund Data'!$AE:$AE,'Fund Data'!$C:$C = $A6,'Fund Data'!$A:$A = ('Parameters and Distribution Sum'!$C$4 - 1), 'Fund Data'!$B:$B = 12),0)"),0.0)</f>
        <v>0</v>
      </c>
      <c r="Q6" s="128">
        <f t="shared" si="3"/>
        <v>67375.07553</v>
      </c>
      <c r="R6" s="129"/>
    </row>
    <row r="7">
      <c r="A7" s="36" t="s">
        <v>28</v>
      </c>
      <c r="B7" s="38" t="str">
        <f>IFERROR(__xludf.DUMMYFUNCTION("FILTER('Endowed Funds'!$C:$C,'Endowed Funds'!$B:$B = $A7)")," Archaeology ")</f>
        <v>Archaeology</v>
      </c>
      <c r="C7" s="39">
        <f>IFERROR(__xludf.DUMMYFUNCTION("IFERROR(sum(FILTER('Fund Data'!$D:$D, 'Fund Data'!$C:$C = $A7, 'Fund Data'!$A:$A &lt;= ('Parameters and Distribution Sum'!$C$4 - 2), 'Fund Data'!$B:$B = 12)),0)"),2960091.2499999995)</f>
        <v>2960091.25</v>
      </c>
      <c r="D7" s="52">
        <f t="array" ref="D7">INDEX('Fund YTD Target Values'!$1:$1000, MATCH($A7,'Fund YTD Target Values'!$A:$A,0), MATCH('Parameters and Distribution Sum'!$C$4 - 2,'Fund YTD Target Values'!$1:$1,0))</f>
        <v>3748913.384</v>
      </c>
      <c r="E7" s="39">
        <f>IFERROR(__xludf.DUMMYFUNCTION("IFERROR(FILTER('Fund Data'!$P:$P,'Fund Data'!$C:$C = $A7,'Fund Data'!$A:$A = ('Parameters and Distribution Sum'!$C$4 - 2), 'Fund Data'!$B:$B = 12) - FILTER('Fund Data'!$AE:$AE,'Fund Data'!$C:$C = $A7,'Fund Data'!$A:$A = ('Parameters and Distribution Sum'!"&amp;"$C$4 - 2), 'Fund Data'!$B:$B = 12),0)"),3309226.07)</f>
        <v>3309226.07</v>
      </c>
      <c r="F7" s="38">
        <f t="shared" si="1"/>
        <v>-439687.3145</v>
      </c>
      <c r="G7" s="40">
        <f>IFERROR(__xludf.DUMMYFUNCTION("IF('Parameters and Distribution Sum'!$C$4 = 2019, FILTER('Fund Data'!$Y:$Y, 'Fund Data'!$C:$C = $A7, 'Fund Data'!$A:$A = 'Parameters and Distribution Sum'!$C$4 - 1, 'Fund Data'!$B:$B = 12) + FILTER('Fund Data'!$AA:$AA, 'Fund Data'!$C:$C = $A7, 'Fund Data'"&amp;"!$A:$A = 'Parameters and Distribution Sum'!$C$4 - 1, 'Fund Data'!$B:$B = 12),((FILTER('Fund Data'!$Y:$Y, 'Fund Data'!$C:$C = $A7, 'Fund Data'!$A:$A = 'Parameters and Distribution Sum'!$C$4 - 2, 'Fund Data'!$B:$B = 12) + FILTER('Fund Data'!$AA:$AA, 'Fund D"&amp;"ata'!$C:$C = $A7, 'Fund Data'!$A:$A = 'Parameters and Distribution Sum'!$C$4 - 2, 'Fund Data'!$B:$B = 12)) * (1 + AVERAGE(FILTER('Inflation Data'!$C:$C,'Inflation Data'!$A:$A = ('Parameters and Distribution Sum'!$C$4 - 3)))) * 'Parameters and Distribution"&amp;" Sum'!$A$4) + ((FILTER('Fund Data'!$P:$P, 'Fund Data'!$C:$C = $A7, 'Fund Data'!$A:$A = ('Parameters and Distribution Sum'!$C$4 - 3), 'Fund Data'!$B:$B = 12) - SUM(FILTER('Fund Data'!$V:$V, 'Fund Data'!$C:$C = $A7, 'Fund Data'!$A:$A = ('Parameters and Dist"&amp;"ribution Sum'!$C$4 - 3), 'Fund Data'!$B:$B &gt; 3)))  * 'Parameters and Distribution Sum'!$B$4 * (1 - 'Parameters and Distribution Sum'!$A$4)) + ((SUM(FILTER('Fund Data'!$V:$V, 'Fund Data'!$C:$C = $A7, 'Fund Data'!$A:$A = 'Parameters and Distribution Sum'!$C"&amp;"$4 - 3, 'Fund Data'!$B:$B &gt;= 4)) + SUM(FILTER('Fund Data'!$V:$V, 'Fund Data'!$C:$C = $A7, 'Fund Data'!$A:$A = 'Parameters and Distribution Sum'!$C$4 - 2, 'Fund Data'!$B:$B &lt;= 3))) * 'Parameters and Distribution Sum'!$B$4))"),148915.17315)</f>
        <v>148915.1732</v>
      </c>
      <c r="H7" s="41">
        <f>IFERROR(__xludf.DUMMYFUNCTION("IFERROR(($G7 * (1 + AVERAGE(FILTER('Inflation Data'!$C:$C,'Inflation Data'!$A:$A = ('Parameters and Distribution Sum'!$C$4 - 2)))) * 'Parameters and Distribution Sum'!$A$4),0)"),106462.6298445185)</f>
        <v>106462.6298</v>
      </c>
      <c r="I7" s="41">
        <f>IFERROR(__xludf.DUMMYFUNCTION("IF('Parameters and Distribution Sum'!$C$4 = 2019,IFERROR((IFERROR(FILTER('Fund Data'!$P:$P,'Fund Data'!$C:$C = $A7,'Fund Data'!$A:$A = ('Parameters and Distribution Sum'!$C$4 - 2), 'Fund Data'!$B:$B = 12),0) - SUM(FILTER('Fund Data'!$V:$V, 'Fund Data'!$C:"&amp;"$C = $A7, 'Fund Data'!$A:$A = ('Parameters and Distribution Sum'!$C$4 - 2), 'Fund Data'!$B:$B &gt; 3)))  * 'Parameters and Distribution Sum'!$B$4 * (1 - 'Parameters and Distribution Sum'!$A$4),0), ($E7  - SUM(FILTER('Fund Data'!$V:$V, 'Fund Data'!$C:$C = $A7"&amp;", 'Fund Data'!$A:$A = ('Parameters and Distribution Sum'!$C$4 - 2), 'Fund Data'!$B:$B &gt; 3)))  * 'Parameters and Distribution Sum'!$B$4 * (1 - 'Parameters and Distribution Sum'!$A$4))"),44674.55194500001)</f>
        <v>44674.55195</v>
      </c>
      <c r="J7" s="125">
        <f t="shared" si="2"/>
        <v>151137.1818</v>
      </c>
      <c r="K7" s="126">
        <f>IFERROR(__xludf.DUMMYFUNCTION("((IFERROR(SUM(FILTER('Fund Data'!$V:$V, 'Fund Data'!$C:$C = $A7, 'Fund Data'!$A:$A = 'Parameters and Distribution Sum'!$C$4 - 1, 'Fund Data'!$B:$B &gt;= 4, 'Fund Data'!$B:$B &lt;= 6)) * 'Parameters and Distribution Sum'!$B$4, 0)) / 4)"),0.0)</f>
        <v>0</v>
      </c>
      <c r="L7" s="126">
        <f>IFERROR(__xludf.DUMMYFUNCTION("((IFERROR(SUM(FILTER('Fund Data'!$V:$V, 'Fund Data'!$C:$C = $A7, 'Fund Data'!$A:$A = 'Parameters and Distribution Sum'!$C$4 - 1, 'Fund Data'!$B:$B &gt;= 4, 'Fund Data'!$B:$B &lt;= 9)) * 'Parameters and Distribution Sum'!$B$4, 0)) / 4)"),0.0)</f>
        <v>0</v>
      </c>
      <c r="M7" s="126">
        <f>IFERROR(__xludf.DUMMYFUNCTION("((IFERROR(SUM(FILTER('Fund Data'!$V:$V, 'Fund Data'!$C:$C = $A7, 'Fund Data'!$A:$A = 'Parameters and Distribution Sum'!$C$4 - 1, 'Fund Data'!$B:$B &gt;= 4, 'Fund Data'!$B:$B &lt;= 12)) * 'Parameters and Distribution Sum'!$B$4, 0)) / 4)"),0.0)</f>
        <v>0</v>
      </c>
      <c r="N7" s="126">
        <f>IFERROR(__xludf.DUMMYFUNCTION("((IFERROR(SUM(FILTER('Fund Data'!$V:$V, 'Fund Data'!$C:$C = $A7, 'Fund Data'!$A:$A = 'Parameters and Distribution Sum'!$C$4 - 1, 'Fund Data'!$B:$B &gt;= 4, 'Fund Data'!$B:$B &lt;= 12)) * 'Parameters and Distribution Sum'!$B$4, 0) + IFERROR(SUM(FILTER('Fund Data"&amp;"'!$V:$V, 'Fund Data'!$C:$C = $A7, 'Fund Data'!$A:$A = 'Parameters and Distribution Sum'!$C$4, 'Fund Data'!$B:$B &lt;= 3)) * 'Parameters and Distribution Sum'!$B$4, 0)) / 4)"),0.0)</f>
        <v>0</v>
      </c>
      <c r="O7" s="127">
        <f>IFERROR(__xludf.DUMMYFUNCTION("((IFERROR(SUM(FILTER('Fund Data'!$V:$V, 'Fund Data'!$C:$C = $A7, 'Fund Data'!$A:$A = 'Parameters and Distribution Sum'!$C$4 - 2, 'Fund Data'!$B:$B &gt;= 4)) * 'Parameters and Distribution Sum'!$B$4,0) + IFERROR(SUM(FILTER('Fund Data'!$V:$V, 'Fund Data'!$C:$C"&amp;" = $A7, 'Fund Data'!$A:$A = 'Parameters and Distribution Sum'!$C$4 - 1, 'Fund Data'!$B:$B &lt;= 3)) * 'Parameters and Distribution Sum'!$B$4,0)))"),0.0)</f>
        <v>0</v>
      </c>
      <c r="P7" s="127">
        <f>IFERROR(__xludf.DUMMYFUNCTION("IFERROR(FILTER('Fund Data'!$AE:$AE,'Fund Data'!$C:$C = $A7,'Fund Data'!$A:$A = ('Parameters and Distribution Sum'!$C$4 - 1), 'Fund Data'!$B:$B = 12),0)"),0.0)</f>
        <v>0</v>
      </c>
      <c r="Q7" s="128">
        <f t="shared" si="3"/>
        <v>151137.1818</v>
      </c>
      <c r="R7" s="129"/>
    </row>
    <row r="8">
      <c r="A8" s="36" t="s">
        <v>66</v>
      </c>
      <c r="B8" s="38" t="str">
        <f>IFERROR(__xludf.DUMMYFUNCTION("FILTER('Endowed Funds'!$C:$C,'Endowed Funds'!$B:$B = $A8)")," General Operations ")</f>
        <v>General Operations</v>
      </c>
      <c r="C8" s="39">
        <f>IFERROR(__xludf.DUMMYFUNCTION("IFERROR(sum(FILTER('Fund Data'!$D:$D, 'Fund Data'!$C:$C = $A8, 'Fund Data'!$A:$A &lt;= ('Parameters and Distribution Sum'!$C$4 - 2), 'Fund Data'!$B:$B = 12)),0)"),366400.0)</f>
        <v>366400</v>
      </c>
      <c r="D8" s="52">
        <f t="array" ref="D8">INDEX('Fund YTD Target Values'!$1:$1000, MATCH($A8,'Fund YTD Target Values'!$A:$A,0), MATCH('Parameters and Distribution Sum'!$C$4 - 2,'Fund YTD Target Values'!$1:$1,0))</f>
        <v>445660.8761</v>
      </c>
      <c r="E8" s="39">
        <f>IFERROR(__xludf.DUMMYFUNCTION("IFERROR(FILTER('Fund Data'!$P:$P,'Fund Data'!$C:$C = $A8,'Fund Data'!$A:$A = ('Parameters and Distribution Sum'!$C$4 - 2), 'Fund Data'!$B:$B = 12) - FILTER('Fund Data'!$AE:$AE,'Fund Data'!$C:$C = $A8,'Fund Data'!$A:$A = ('Parameters and Distribution Sum'!"&amp;"$C$4 - 2), 'Fund Data'!$B:$B = 12),0)"),393507.66)</f>
        <v>393507.66</v>
      </c>
      <c r="F8" s="38">
        <f t="shared" si="1"/>
        <v>-52153.21611</v>
      </c>
      <c r="G8" s="40">
        <f>IFERROR(__xludf.DUMMYFUNCTION("IF('Parameters and Distribution Sum'!$C$4 = 2019, FILTER('Fund Data'!$Y:$Y, 'Fund Data'!$C:$C = $A8, 'Fund Data'!$A:$A = 'Parameters and Distribution Sum'!$C$4 - 1, 'Fund Data'!$B:$B = 12) + FILTER('Fund Data'!$AA:$AA, 'Fund Data'!$C:$C = $A8, 'Fund Data'"&amp;"!$A:$A = 'Parameters and Distribution Sum'!$C$4 - 1, 'Fund Data'!$B:$B = 12),((FILTER('Fund Data'!$Y:$Y, 'Fund Data'!$C:$C = $A8, 'Fund Data'!$A:$A = 'Parameters and Distribution Sum'!$C$4 - 2, 'Fund Data'!$B:$B = 12) + FILTER('Fund Data'!$AA:$AA, 'Fund D"&amp;"ata'!$C:$C = $A8, 'Fund Data'!$A:$A = 'Parameters and Distribution Sum'!$C$4 - 2, 'Fund Data'!$B:$B = 12)) * (1 + AVERAGE(FILTER('Inflation Data'!$C:$C,'Inflation Data'!$A:$A = ('Parameters and Distribution Sum'!$C$4 - 3)))) * 'Parameters and Distribution"&amp;" Sum'!$A$4) + ((FILTER('Fund Data'!$P:$P, 'Fund Data'!$C:$C = $A8, 'Fund Data'!$A:$A = ('Parameters and Distribution Sum'!$C$4 - 3), 'Fund Data'!$B:$B = 12) - SUM(FILTER('Fund Data'!$V:$V, 'Fund Data'!$C:$C = $A8, 'Fund Data'!$A:$A = ('Parameters and Dist"&amp;"ribution Sum'!$C$4 - 3), 'Fund Data'!$B:$B &gt; 3)))  * 'Parameters and Distribution Sum'!$B$4 * (1 - 'Parameters and Distribution Sum'!$A$4)) + ((SUM(FILTER('Fund Data'!$V:$V, 'Fund Data'!$C:$C = $A8, 'Fund Data'!$A:$A = 'Parameters and Distribution Sum'!$C"&amp;"$4 - 3, 'Fund Data'!$B:$B &gt;= 4)) + SUM(FILTER('Fund Data'!$V:$V, 'Fund Data'!$C:$C = $A8, 'Fund Data'!$A:$A = 'Parameters and Distribution Sum'!$C$4 - 2, 'Fund Data'!$B:$B &lt;= 3))) * 'Parameters and Distribution Sum'!$B$4))"),17707.8447)</f>
        <v>17707.8447</v>
      </c>
      <c r="H8" s="41">
        <f>IFERROR(__xludf.DUMMYFUNCTION("IFERROR(($G8 * (1 + AVERAGE(FILTER('Inflation Data'!$C:$C,'Inflation Data'!$A:$A = ('Parameters and Distribution Sum'!$C$4 - 2)))) * 'Parameters and Distribution Sum'!$A$4),0)"),12659.715432364716)</f>
        <v>12659.71543</v>
      </c>
      <c r="I8" s="41">
        <f>IFERROR(__xludf.DUMMYFUNCTION("IF('Parameters and Distribution Sum'!$C$4 = 2019,IFERROR((IFERROR(FILTER('Fund Data'!$P:$P,'Fund Data'!$C:$C = $A8,'Fund Data'!$A:$A = ('Parameters and Distribution Sum'!$C$4 - 2), 'Fund Data'!$B:$B = 12),0) - SUM(FILTER('Fund Data'!$V:$V, 'Fund Data'!$C:"&amp;"$C = $A8, 'Fund Data'!$A:$A = ('Parameters and Distribution Sum'!$C$4 - 2), 'Fund Data'!$B:$B &gt; 3)))  * 'Parameters and Distribution Sum'!$B$4 * (1 - 'Parameters and Distribution Sum'!$A$4),0), ($E8  - SUM(FILTER('Fund Data'!$V:$V, 'Fund Data'!$C:$C = $A8"&amp;", 'Fund Data'!$A:$A = ('Parameters and Distribution Sum'!$C$4 - 2), 'Fund Data'!$B:$B &gt; 3)))  * 'Parameters and Distribution Sum'!$B$4 * (1 - 'Parameters and Distribution Sum'!$A$4))"),5312.35341)</f>
        <v>5312.35341</v>
      </c>
      <c r="J8" s="125">
        <f t="shared" si="2"/>
        <v>17972.06884</v>
      </c>
      <c r="K8" s="126">
        <f>IFERROR(__xludf.DUMMYFUNCTION("((IFERROR(SUM(FILTER('Fund Data'!$V:$V, 'Fund Data'!$C:$C = $A8, 'Fund Data'!$A:$A = 'Parameters and Distribution Sum'!$C$4 - 1, 'Fund Data'!$B:$B &gt;= 4, 'Fund Data'!$B:$B &lt;= 6)) * 'Parameters and Distribution Sum'!$B$4, 0)) / 4)"),0.0)</f>
        <v>0</v>
      </c>
      <c r="L8" s="126">
        <f>IFERROR(__xludf.DUMMYFUNCTION("((IFERROR(SUM(FILTER('Fund Data'!$V:$V, 'Fund Data'!$C:$C = $A8, 'Fund Data'!$A:$A = 'Parameters and Distribution Sum'!$C$4 - 1, 'Fund Data'!$B:$B &gt;= 4, 'Fund Data'!$B:$B &lt;= 9)) * 'Parameters and Distribution Sum'!$B$4, 0)) / 4)"),0.0)</f>
        <v>0</v>
      </c>
      <c r="M8" s="126">
        <f>IFERROR(__xludf.DUMMYFUNCTION("((IFERROR(SUM(FILTER('Fund Data'!$V:$V, 'Fund Data'!$C:$C = $A8, 'Fund Data'!$A:$A = 'Parameters and Distribution Sum'!$C$4 - 1, 'Fund Data'!$B:$B &gt;= 4, 'Fund Data'!$B:$B &lt;= 12)) * 'Parameters and Distribution Sum'!$B$4, 0)) / 4)"),0.0)</f>
        <v>0</v>
      </c>
      <c r="N8" s="126">
        <f>IFERROR(__xludf.DUMMYFUNCTION("((IFERROR(SUM(FILTER('Fund Data'!$V:$V, 'Fund Data'!$C:$C = $A8, 'Fund Data'!$A:$A = 'Parameters and Distribution Sum'!$C$4 - 1, 'Fund Data'!$B:$B &gt;= 4, 'Fund Data'!$B:$B &lt;= 12)) * 'Parameters and Distribution Sum'!$B$4, 0) + IFERROR(SUM(FILTER('Fund Data"&amp;"'!$V:$V, 'Fund Data'!$C:$C = $A8, 'Fund Data'!$A:$A = 'Parameters and Distribution Sum'!$C$4, 'Fund Data'!$B:$B &lt;= 3)) * 'Parameters and Distribution Sum'!$B$4, 0)) / 4)"),0.0)</f>
        <v>0</v>
      </c>
      <c r="O8" s="127">
        <f>IFERROR(__xludf.DUMMYFUNCTION("((IFERROR(SUM(FILTER('Fund Data'!$V:$V, 'Fund Data'!$C:$C = $A8, 'Fund Data'!$A:$A = 'Parameters and Distribution Sum'!$C$4 - 2, 'Fund Data'!$B:$B &gt;= 4)) * 'Parameters and Distribution Sum'!$B$4,0) + IFERROR(SUM(FILTER('Fund Data'!$V:$V, 'Fund Data'!$C:$C"&amp;" = $A8, 'Fund Data'!$A:$A = 'Parameters and Distribution Sum'!$C$4 - 1, 'Fund Data'!$B:$B &lt;= 3)) * 'Parameters and Distribution Sum'!$B$4,0)))"),0.0)</f>
        <v>0</v>
      </c>
      <c r="P8" s="127">
        <f>IFERROR(__xludf.DUMMYFUNCTION("IFERROR(FILTER('Fund Data'!$AE:$AE,'Fund Data'!$C:$C = $A8,'Fund Data'!$A:$A = ('Parameters and Distribution Sum'!$C$4 - 1), 'Fund Data'!$B:$B = 12),0)"),0.0)</f>
        <v>0</v>
      </c>
      <c r="Q8" s="128">
        <f t="shared" si="3"/>
        <v>17972.06884</v>
      </c>
      <c r="R8" s="129"/>
    </row>
    <row r="9">
      <c r="A9" s="36" t="s">
        <v>48</v>
      </c>
      <c r="B9" s="38" t="str">
        <f>IFERROR(__xludf.DUMMYFUNCTION("FILTER('Endowed Funds'!$C:$C,'Endowed Funds'!$B:$B = $A9)")," Education ")</f>
        <v>Education</v>
      </c>
      <c r="C9" s="39">
        <f>IFERROR(__xludf.DUMMYFUNCTION("IFERROR(sum(FILTER('Fund Data'!$D:$D, 'Fund Data'!$C:$C = $A9, 'Fund Data'!$A:$A &lt;= ('Parameters and Distribution Sum'!$C$4 - 2), 'Fund Data'!$B:$B = 12)),0)"),758137.86)</f>
        <v>758137.86</v>
      </c>
      <c r="D9" s="52">
        <f t="array" ref="D9">INDEX('Fund YTD Target Values'!$1:$1000, MATCH($A9,'Fund YTD Target Values'!$A:$A,0), MATCH('Parameters and Distribution Sum'!$C$4 - 2,'Fund YTD Target Values'!$1:$1,0))</f>
        <v>825458.0276</v>
      </c>
      <c r="E9" s="39">
        <f>IFERROR(__xludf.DUMMYFUNCTION("IFERROR(FILTER('Fund Data'!$P:$P,'Fund Data'!$C:$C = $A9,'Fund Data'!$A:$A = ('Parameters and Distribution Sum'!$C$4 - 2), 'Fund Data'!$B:$B = 12) - FILTER('Fund Data'!$AE:$AE,'Fund Data'!$C:$C = $A9,'Fund Data'!$A:$A = ('Parameters and Distribution Sum'!"&amp;"$C$4 - 2), 'Fund Data'!$B:$B = 12),0)"),823329.2400000001)</f>
        <v>823329.24</v>
      </c>
      <c r="F9" s="38">
        <f t="shared" si="1"/>
        <v>-2128.787583</v>
      </c>
      <c r="G9" s="40">
        <f>IFERROR(__xludf.DUMMYFUNCTION("IF('Parameters and Distribution Sum'!$C$4 = 2019, FILTER('Fund Data'!$Y:$Y, 'Fund Data'!$C:$C = $A9, 'Fund Data'!$A:$A = 'Parameters and Distribution Sum'!$C$4 - 1, 'Fund Data'!$B:$B = 12) + FILTER('Fund Data'!$AA:$AA, 'Fund Data'!$C:$C = $A9, 'Fund Data'"&amp;"!$A:$A = 'Parameters and Distribution Sum'!$C$4 - 1, 'Fund Data'!$B:$B = 12),((FILTER('Fund Data'!$Y:$Y, 'Fund Data'!$C:$C = $A9, 'Fund Data'!$A:$A = 'Parameters and Distribution Sum'!$C$4 - 2, 'Fund Data'!$B:$B = 12) + FILTER('Fund Data'!$AA:$AA, 'Fund D"&amp;"ata'!$C:$C = $A9, 'Fund Data'!$A:$A = 'Parameters and Distribution Sum'!$C$4 - 2, 'Fund Data'!$B:$B = 12)) * (1 + AVERAGE(FILTER('Inflation Data'!$C:$C,'Inflation Data'!$A:$A = ('Parameters and Distribution Sum'!$C$4 - 3)))) * 'Parameters and Distribution"&amp;" Sum'!$A$4) + ((FILTER('Fund Data'!$P:$P, 'Fund Data'!$C:$C = $A9, 'Fund Data'!$A:$A = ('Parameters and Distribution Sum'!$C$4 - 3), 'Fund Data'!$B:$B = 12) - SUM(FILTER('Fund Data'!$V:$V, 'Fund Data'!$C:$C = $A9, 'Fund Data'!$A:$A = ('Parameters and Dist"&amp;"ribution Sum'!$C$4 - 3), 'Fund Data'!$B:$B &gt; 3)))  * 'Parameters and Distribution Sum'!$B$4 * (1 - 'Parameters and Distribution Sum'!$A$4)) + ((SUM(FILTER('Fund Data'!$V:$V, 'Fund Data'!$C:$C = $A9, 'Fund Data'!$A:$A = 'Parameters and Distribution Sum'!$C"&amp;"$4 - 3, 'Fund Data'!$B:$B &gt;= 4)) + SUM(FILTER('Fund Data'!$V:$V, 'Fund Data'!$C:$C = $A9, 'Fund Data'!$A:$A = 'Parameters and Distribution Sum'!$C$4 - 2, 'Fund Data'!$B:$B &lt;= 3))) * 'Parameters and Distribution Sum'!$B$4))"),37049.8158)</f>
        <v>37049.8158</v>
      </c>
      <c r="H9" s="41">
        <f>IFERROR(__xludf.DUMMYFUNCTION("IFERROR(($G9 * (1 + AVERAGE(FILTER('Inflation Data'!$C:$C,'Inflation Data'!$A:$A = ('Parameters and Distribution Sum'!$C$4 - 2)))) * 'Parameters and Distribution Sum'!$A$4),0)"),26487.702642294462)</f>
        <v>26487.70264</v>
      </c>
      <c r="I9" s="41">
        <f>IFERROR(__xludf.DUMMYFUNCTION("IF('Parameters and Distribution Sum'!$C$4 = 2019,IFERROR((IFERROR(FILTER('Fund Data'!$P:$P,'Fund Data'!$C:$C = $A9,'Fund Data'!$A:$A = ('Parameters and Distribution Sum'!$C$4 - 2), 'Fund Data'!$B:$B = 12),0) - SUM(FILTER('Fund Data'!$V:$V, 'Fund Data'!$C:"&amp;"$C = $A9, 'Fund Data'!$A:$A = ('Parameters and Distribution Sum'!$C$4 - 2), 'Fund Data'!$B:$B &gt; 3)))  * 'Parameters and Distribution Sum'!$B$4 * (1 - 'Parameters and Distribution Sum'!$A$4),0), ($E9  - SUM(FILTER('Fund Data'!$V:$V, 'Fund Data'!$C:$C = $A9"&amp;", 'Fund Data'!$A:$A = ('Parameters and Distribution Sum'!$C$4 - 2), 'Fund Data'!$B:$B &gt; 3)))  * 'Parameters and Distribution Sum'!$B$4 * (1 - 'Parameters and Distribution Sum'!$A$4))"),11114.944740000003)</f>
        <v>11114.94474</v>
      </c>
      <c r="J9" s="125">
        <f t="shared" si="2"/>
        <v>37602.64738</v>
      </c>
      <c r="K9" s="126">
        <f>IFERROR(__xludf.DUMMYFUNCTION("((IFERROR(SUM(FILTER('Fund Data'!$V:$V, 'Fund Data'!$C:$C = $A9, 'Fund Data'!$A:$A = 'Parameters and Distribution Sum'!$C$4 - 1, 'Fund Data'!$B:$B &gt;= 4, 'Fund Data'!$B:$B &lt;= 6)) * 'Parameters and Distribution Sum'!$B$4, 0)) / 4)"),0.0)</f>
        <v>0</v>
      </c>
      <c r="L9" s="126">
        <f>IFERROR(__xludf.DUMMYFUNCTION("((IFERROR(SUM(FILTER('Fund Data'!$V:$V, 'Fund Data'!$C:$C = $A9, 'Fund Data'!$A:$A = 'Parameters and Distribution Sum'!$C$4 - 1, 'Fund Data'!$B:$B &gt;= 4, 'Fund Data'!$B:$B &lt;= 9)) * 'Parameters and Distribution Sum'!$B$4, 0)) / 4)"),0.0)</f>
        <v>0</v>
      </c>
      <c r="M9" s="126">
        <f>IFERROR(__xludf.DUMMYFUNCTION("((IFERROR(SUM(FILTER('Fund Data'!$V:$V, 'Fund Data'!$C:$C = $A9, 'Fund Data'!$A:$A = 'Parameters and Distribution Sum'!$C$4 - 1, 'Fund Data'!$B:$B &gt;= 4, 'Fund Data'!$B:$B &lt;= 12)) * 'Parameters and Distribution Sum'!$B$4, 0)) / 4)"),0.0)</f>
        <v>0</v>
      </c>
      <c r="N9" s="126">
        <f>IFERROR(__xludf.DUMMYFUNCTION("((IFERROR(SUM(FILTER('Fund Data'!$V:$V, 'Fund Data'!$C:$C = $A9, 'Fund Data'!$A:$A = 'Parameters and Distribution Sum'!$C$4 - 1, 'Fund Data'!$B:$B &gt;= 4, 'Fund Data'!$B:$B &lt;= 12)) * 'Parameters and Distribution Sum'!$B$4, 0) + IFERROR(SUM(FILTER('Fund Data"&amp;"'!$V:$V, 'Fund Data'!$C:$C = $A9, 'Fund Data'!$A:$A = 'Parameters and Distribution Sum'!$C$4, 'Fund Data'!$B:$B &lt;= 3)) * 'Parameters and Distribution Sum'!$B$4, 0)) / 4)"),0.0)</f>
        <v>0</v>
      </c>
      <c r="O9" s="127">
        <f>IFERROR(__xludf.DUMMYFUNCTION("((IFERROR(SUM(FILTER('Fund Data'!$V:$V, 'Fund Data'!$C:$C = $A9, 'Fund Data'!$A:$A = 'Parameters and Distribution Sum'!$C$4 - 2, 'Fund Data'!$B:$B &gt;= 4)) * 'Parameters and Distribution Sum'!$B$4,0) + IFERROR(SUM(FILTER('Fund Data'!$V:$V, 'Fund Data'!$C:$C"&amp;" = $A9, 'Fund Data'!$A:$A = 'Parameters and Distribution Sum'!$C$4 - 1, 'Fund Data'!$B:$B &lt;= 3)) * 'Parameters and Distribution Sum'!$B$4,0)))"),0.0)</f>
        <v>0</v>
      </c>
      <c r="P9" s="127">
        <f>IFERROR(__xludf.DUMMYFUNCTION("IFERROR(FILTER('Fund Data'!$AE:$AE,'Fund Data'!$C:$C = $A9,'Fund Data'!$A:$A = ('Parameters and Distribution Sum'!$C$4 - 1), 'Fund Data'!$B:$B = 12),0)"),0.0)</f>
        <v>0</v>
      </c>
      <c r="Q9" s="128">
        <f t="shared" si="3"/>
        <v>37602.64738</v>
      </c>
      <c r="R9" s="129"/>
    </row>
    <row r="10">
      <c r="A10" s="36" t="s">
        <v>29</v>
      </c>
      <c r="B10" s="38" t="str">
        <f>IFERROR(__xludf.DUMMYFUNCTION("FILTER('Endowed Funds'!$C:$C,'Endowed Funds'!$B:$B = $A10)")," Archaeology ")</f>
        <v>Archaeology</v>
      </c>
      <c r="C10" s="39">
        <f>IFERROR(__xludf.DUMMYFUNCTION("IFERROR(sum(FILTER('Fund Data'!$D:$D, 'Fund Data'!$C:$C = $A10, 'Fund Data'!$A:$A &lt;= ('Parameters and Distribution Sum'!$C$4 - 2), 'Fund Data'!$B:$B = 12)),0)"),50000.0)</f>
        <v>50000</v>
      </c>
      <c r="D10" s="52">
        <f t="array" ref="D10">INDEX('Fund YTD Target Values'!$1:$1000, MATCH($A10,'Fund YTD Target Values'!$A:$A,0), MATCH('Parameters and Distribution Sum'!$C$4 - 2,'Fund YTD Target Values'!$1:$1,0))</f>
        <v>75218.58778</v>
      </c>
      <c r="E10" s="39">
        <f>IFERROR(__xludf.DUMMYFUNCTION("IFERROR(FILTER('Fund Data'!$P:$P,'Fund Data'!$C:$C = $A10,'Fund Data'!$A:$A = ('Parameters and Distribution Sum'!$C$4 - 2), 'Fund Data'!$B:$B = 12) - FILTER('Fund Data'!$AE:$AE,'Fund Data'!$C:$C = $A10,'Fund Data'!$A:$A = ('Parameters and Distribution Sum"&amp;"'!$C$4 - 2), 'Fund Data'!$B:$B = 12),0)"),58161.310000000005)</f>
        <v>58161.31</v>
      </c>
      <c r="F10" s="38">
        <f t="shared" si="1"/>
        <v>-17057.27778</v>
      </c>
      <c r="G10" s="40">
        <f>IFERROR(__xludf.DUMMYFUNCTION("IF('Parameters and Distribution Sum'!$C$4 = 2019, FILTER('Fund Data'!$Y:$Y, 'Fund Data'!$C:$C = $A10, 'Fund Data'!$A:$A = 'Parameters and Distribution Sum'!$C$4 - 1, 'Fund Data'!$B:$B = 12) + FILTER('Fund Data'!$AA:$AA, 'Fund Data'!$C:$C = $A10, 'Fund Dat"&amp;"a'!$A:$A = 'Parameters and Distribution Sum'!$C$4 - 1, 'Fund Data'!$B:$B = 12),((FILTER('Fund Data'!$Y:$Y, 'Fund Data'!$C:$C = $A10, 'Fund Data'!$A:$A = 'Parameters and Distribution Sum'!$C$4 - 2, 'Fund Data'!$B:$B = 12) + FILTER('Fund Data'!$AA:$AA, 'Fun"&amp;"d Data'!$C:$C = $A10,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$A10, 'Fund Data'!$A:$A = ('Parameters and Distribution Sum'!$C$4 - 3), 'Fund Data'!$B:$B = 12) - SUM(FILTER('Fund Data'!$V:$V, 'Fund Data'!$C:$C = $A10, 'Fund Data'!$A:$A = ('Parameters an"&amp;"d Distribution Sum'!$C$4 - 3), 'Fund Data'!$B:$B &gt; 3)))  * 'Parameters and Distribution Sum'!$B$4 * (1 - 'Parameters and Distribution Sum'!$A$4)) + ((SUM(FILTER('Fund Data'!$V:$V, 'Fund Data'!$C:$C = $A10, 'Fund Data'!$A:$A = 'Parameters and Distribution "&amp;"Sum'!$C$4 - 3, 'Fund Data'!$B:$B &gt;= 4)) + SUM(FILTER('Fund Data'!$V:$V, 'Fund Data'!$C:$C = $A10, 'Fund Data'!$A:$A = 'Parameters and Distribution Sum'!$C$4 - 2, 'Fund Data'!$B:$B &lt;= 3))) * 'Parameters and Distribution Sum'!$B$4))"),2617.2589499999967)</f>
        <v>2617.25895</v>
      </c>
      <c r="H10" s="41">
        <f>IFERROR(__xludf.DUMMYFUNCTION("IFERROR(($G10 * (1 + AVERAGE(FILTER('Inflation Data'!$C:$C,'Inflation Data'!$A:$A = ('Parameters and Distribution Sum'!$C$4 - 2)))) * 'Parameters and Distribution Sum'!$A$4),0)"),1871.1341826828661)</f>
        <v>1871.134183</v>
      </c>
      <c r="I10" s="41">
        <f>IFERROR(__xludf.DUMMYFUNCTION("IF('Parameters and Distribution Sum'!$C$4 = 2019,IFERROR((IFERROR(FILTER('Fund Data'!$P:$P,'Fund Data'!$C:$C = $A10,'Fund Data'!$A:$A = ('Parameters and Distribution Sum'!$C$4 - 2), 'Fund Data'!$B:$B = 12),0) - SUM(FILTER('Fund Data'!$V:$V, 'Fund Data'!$C"&amp;":$C = $A10, 'Fund Data'!$A:$A = ('Parameters and Distribution Sum'!$C$4 - 2), 'Fund Data'!$B:$B &gt; 3)))  * 'Parameters and Distribution Sum'!$B$4 * (1 - 'Parameters and Distribution Sum'!$A$4),0), ($E10  - SUM(FILTER('Fund Data'!$V:$V, 'Fund Data'!$C:$C = "&amp;"$A10, 'Fund Data'!$A:$A = ('Parameters and Distribution Sum'!$C$4 - 2), 'Fund Data'!$B:$B &gt; 3)))  * 'Parameters and Distribution Sum'!$B$4 * (1 - 'Parameters and Distribution Sum'!$A$4))"),785.1776850000001)</f>
        <v>785.177685</v>
      </c>
      <c r="J10" s="125">
        <f t="shared" si="2"/>
        <v>2656.311868</v>
      </c>
      <c r="K10" s="126">
        <f>IFERROR(__xludf.DUMMYFUNCTION("((IFERROR(SUM(FILTER('Fund Data'!$V:$V, 'Fund Data'!$C:$C = $A10, 'Fund Data'!$A:$A = 'Parameters and Distribution Sum'!$C$4 - 1, 'Fund Data'!$B:$B &gt;= 4, 'Fund Data'!$B:$B &lt;= 6)) * 'Parameters and Distribution Sum'!$B$4, 0)) / 4)"),0.0)</f>
        <v>0</v>
      </c>
      <c r="L10" s="126">
        <f>IFERROR(__xludf.DUMMYFUNCTION("((IFERROR(SUM(FILTER('Fund Data'!$V:$V, 'Fund Data'!$C:$C = $A10, 'Fund Data'!$A:$A = 'Parameters and Distribution Sum'!$C$4 - 1, 'Fund Data'!$B:$B &gt;= 4, 'Fund Data'!$B:$B &lt;= 9)) * 'Parameters and Distribution Sum'!$B$4, 0)) / 4)"),0.0)</f>
        <v>0</v>
      </c>
      <c r="M10" s="126">
        <f>IFERROR(__xludf.DUMMYFUNCTION("((IFERROR(SUM(FILTER('Fund Data'!$V:$V, 'Fund Data'!$C:$C = $A10, 'Fund Data'!$A:$A = 'Parameters and Distribution Sum'!$C$4 - 1, 'Fund Data'!$B:$B &gt;= 4, 'Fund Data'!$B:$B &lt;= 12)) * 'Parameters and Distribution Sum'!$B$4, 0)) / 4)"),0.0)</f>
        <v>0</v>
      </c>
      <c r="N10" s="126">
        <f>IFERROR(__xludf.DUMMYFUNCTION("((IFERROR(SUM(FILTER('Fund Data'!$V:$V, 'Fund Data'!$C:$C = $A10, 'Fund Data'!$A:$A = 'Parameters and Distribution Sum'!$C$4 - 1, 'Fund Data'!$B:$B &gt;= 4, 'Fund Data'!$B:$B &lt;= 12)) * 'Parameters and Distribution Sum'!$B$4, 0) + IFERROR(SUM(FILTER('Fund Dat"&amp;"a'!$V:$V, 'Fund Data'!$C:$C = $A10, 'Fund Data'!$A:$A = 'Parameters and Distribution Sum'!$C$4, 'Fund Data'!$B:$B &lt;= 3)) * 'Parameters and Distribution Sum'!$B$4, 0)) / 4)"),0.0)</f>
        <v>0</v>
      </c>
      <c r="O10" s="127">
        <f>IFERROR(__xludf.DUMMYFUNCTION("((IFERROR(SUM(FILTER('Fund Data'!$V:$V, 'Fund Data'!$C:$C = $A10, 'Fund Data'!$A:$A = 'Parameters and Distribution Sum'!$C$4 - 2, 'Fund Data'!$B:$B &gt;= 4)) * 'Parameters and Distribution Sum'!$B$4,0) + IFERROR(SUM(FILTER('Fund Data'!$V:$V, 'Fund Data'!$C:$"&amp;"C = $A10, 'Fund Data'!$A:$A = 'Parameters and Distribution Sum'!$C$4 - 1, 'Fund Data'!$B:$B &lt;= 3)) * 'Parameters and Distribution Sum'!$B$4,0)))"),0.0)</f>
        <v>0</v>
      </c>
      <c r="P10" s="127">
        <f>IFERROR(__xludf.DUMMYFUNCTION("IFERROR(FILTER('Fund Data'!$AE:$AE,'Fund Data'!$C:$C = $A10,'Fund Data'!$A:$A = ('Parameters and Distribution Sum'!$C$4 - 1), 'Fund Data'!$B:$B = 12),0)"),0.0)</f>
        <v>0</v>
      </c>
      <c r="Q10" s="128">
        <f t="shared" si="3"/>
        <v>2656.311868</v>
      </c>
      <c r="R10" s="129"/>
    </row>
    <row r="11">
      <c r="A11" s="36" t="s">
        <v>70</v>
      </c>
      <c r="B11" s="38" t="str">
        <f>IFERROR(__xludf.DUMMYFUNCTION("FILTER('Endowed Funds'!$C:$C,'Endowed Funds'!$B:$B = $A11)")," Research Institute ")</f>
        <v>Research Institute</v>
      </c>
      <c r="C11" s="39">
        <f>IFERROR(__xludf.DUMMYFUNCTION("IFERROR(sum(FILTER('Fund Data'!$D:$D, 'Fund Data'!$C:$C = $A11, 'Fund Data'!$A:$A &lt;= ('Parameters and Distribution Sum'!$C$4 - 2), 'Fund Data'!$B:$B = 12)),0)"),112432.11)</f>
        <v>112432.11</v>
      </c>
      <c r="D11" s="52">
        <f t="array" ref="D11">INDEX('Fund YTD Target Values'!$1:$1000, MATCH($A11,'Fund YTD Target Values'!$A:$A,0), MATCH('Parameters and Distribution Sum'!$C$4 - 2,'Fund YTD Target Values'!$1:$1,0))</f>
        <v>151442.9959</v>
      </c>
      <c r="E11" s="39">
        <f>IFERROR(__xludf.DUMMYFUNCTION("IFERROR(FILTER('Fund Data'!$P:$P,'Fund Data'!$C:$C = $A11,'Fund Data'!$A:$A = ('Parameters and Distribution Sum'!$C$4 - 2), 'Fund Data'!$B:$B = 12) - FILTER('Fund Data'!$AE:$AE,'Fund Data'!$C:$C = $A11,'Fund Data'!$A:$A = ('Parameters and Distribution Sum"&amp;"'!$C$4 - 2), 'Fund Data'!$B:$B = 12),0)"),172892.9699999999)</f>
        <v>172892.97</v>
      </c>
      <c r="F11" s="38">
        <f t="shared" si="1"/>
        <v>21449.97409</v>
      </c>
      <c r="G11" s="40">
        <f>IFERROR(__xludf.DUMMYFUNCTION("IF('Parameters and Distribution Sum'!$C$4 = 2019, FILTER('Fund Data'!$Y:$Y, 'Fund Data'!$C:$C = $A11, 'Fund Data'!$A:$A = 'Parameters and Distribution Sum'!$C$4 - 1, 'Fund Data'!$B:$B = 12) + FILTER('Fund Data'!$AA:$AA, 'Fund Data'!$C:$C = $A11, 'Fund Dat"&amp;"a'!$A:$A = 'Parameters and Distribution Sum'!$C$4 - 1, 'Fund Data'!$B:$B = 12),((FILTER('Fund Data'!$Y:$Y, 'Fund Data'!$C:$C = $A11, 'Fund Data'!$A:$A = 'Parameters and Distribution Sum'!$C$4 - 2, 'Fund Data'!$B:$B = 12) + FILTER('Fund Data'!$AA:$AA, 'Fun"&amp;"d Data'!$C:$C = $A11,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$A11, 'Fund Data'!$A:$A = ('Parameters and Distribution Sum'!$C$4 - 3), 'Fund Data'!$B:$B = 12) - SUM(FILTER('Fund Data'!$V:$V, 'Fund Data'!$C:$C = $A11, 'Fund Data'!$A:$A = ('Parameters an"&amp;"d Distribution Sum'!$C$4 - 3), 'Fund Data'!$B:$B &gt; 3)))  * 'Parameters and Distribution Sum'!$B$4 * (1 - 'Parameters and Distribution Sum'!$A$4)) + ((SUM(FILTER('Fund Data'!$V:$V, 'Fund Data'!$C:$C = $A11, 'Fund Data'!$A:$A = 'Parameters and Distribution "&amp;"Sum'!$C$4 - 3, 'Fund Data'!$B:$B &gt;= 4)) + SUM(FILTER('Fund Data'!$V:$V, 'Fund Data'!$C:$C = $A11, 'Fund Data'!$A:$A = 'Parameters and Distribution Sum'!$C$4 - 2, 'Fund Data'!$B:$B &lt;= 3))) * 'Parameters and Distribution Sum'!$B$4))"),7421.939815909347)</f>
        <v>7421.939816</v>
      </c>
      <c r="H11" s="41">
        <f>IFERROR(__xludf.DUMMYFUNCTION("IFERROR(($G11 * (1 + AVERAGE(FILTER('Inflation Data'!$C:$C,'Inflation Data'!$A:$A = ('Parameters and Distribution Sum'!$C$4 - 2)))) * 'Parameters and Distribution Sum'!$A$4),0)"),5306.102894924851)</f>
        <v>5306.102895</v>
      </c>
      <c r="I11" s="41">
        <f>IFERROR(__xludf.DUMMYFUNCTION("IF('Parameters and Distribution Sum'!$C$4 = 2019,IFERROR((IFERROR(FILTER('Fund Data'!$P:$P,'Fund Data'!$C:$C = $A11,'Fund Data'!$A:$A = ('Parameters and Distribution Sum'!$C$4 - 2), 'Fund Data'!$B:$B = 12),0) - SUM(FILTER('Fund Data'!$V:$V, 'Fund Data'!$C"&amp;":$C = $A11, 'Fund Data'!$A:$A = ('Parameters and Distribution Sum'!$C$4 - 2), 'Fund Data'!$B:$B &gt; 3)))  * 'Parameters and Distribution Sum'!$B$4 * (1 - 'Parameters and Distribution Sum'!$A$4),0), ($E11  - SUM(FILTER('Fund Data'!$V:$V, 'Fund Data'!$C:$C = "&amp;"$A11, 'Fund Data'!$A:$A = ('Parameters and Distribution Sum'!$C$4 - 2), 'Fund Data'!$B:$B &gt; 3)))  * 'Parameters and Distribution Sum'!$B$4 * (1 - 'Parameters and Distribution Sum'!$A$4))"),2330.059094999999)</f>
        <v>2330.059095</v>
      </c>
      <c r="J11" s="125">
        <f t="shared" si="2"/>
        <v>7636.16199</v>
      </c>
      <c r="K11" s="126">
        <f>IFERROR(__xludf.DUMMYFUNCTION("((IFERROR(SUM(FILTER('Fund Data'!$V:$V, 'Fund Data'!$C:$C = $A11, 'Fund Data'!$A:$A = 'Parameters and Distribution Sum'!$C$4 - 1, 'Fund Data'!$B:$B &gt;= 4, 'Fund Data'!$B:$B &lt;= 6)) * 'Parameters and Distribution Sum'!$B$4, 0)) / 4)"),0.39375)</f>
        <v>0.39375</v>
      </c>
      <c r="L11" s="126">
        <f>IFERROR(__xludf.DUMMYFUNCTION("((IFERROR(SUM(FILTER('Fund Data'!$V:$V, 'Fund Data'!$C:$C = $A11, 'Fund Data'!$A:$A = 'Parameters and Distribution Sum'!$C$4 - 1, 'Fund Data'!$B:$B &gt;= 4, 'Fund Data'!$B:$B &lt;= 9)) * 'Parameters and Distribution Sum'!$B$4, 0)) / 4)"),0.39375)</f>
        <v>0.39375</v>
      </c>
      <c r="M11" s="126">
        <f>IFERROR(__xludf.DUMMYFUNCTION("((IFERROR(SUM(FILTER('Fund Data'!$V:$V, 'Fund Data'!$C:$C = $A11, 'Fund Data'!$A:$A = 'Parameters and Distribution Sum'!$C$4 - 1, 'Fund Data'!$B:$B &gt;= 4, 'Fund Data'!$B:$B &lt;= 12)) * 'Parameters and Distribution Sum'!$B$4, 0)) / 4)"),0.39375)</f>
        <v>0.39375</v>
      </c>
      <c r="N11" s="126">
        <f>IFERROR(__xludf.DUMMYFUNCTION("((IFERROR(SUM(FILTER('Fund Data'!$V:$V, 'Fund Data'!$C:$C = $A11, 'Fund Data'!$A:$A = 'Parameters and Distribution Sum'!$C$4 - 1, 'Fund Data'!$B:$B &gt;= 4, 'Fund Data'!$B:$B &lt;= 12)) * 'Parameters and Distribution Sum'!$B$4, 0) + IFERROR(SUM(FILTER('Fund Dat"&amp;"a'!$V:$V, 'Fund Data'!$C:$C = $A11, 'Fund Data'!$A:$A = 'Parameters and Distribution Sum'!$C$4, 'Fund Data'!$B:$B &lt;= 3)) * 'Parameters and Distribution Sum'!$B$4, 0)) / 4)"),1.51875)</f>
        <v>1.51875</v>
      </c>
      <c r="O11" s="127">
        <f>IFERROR(__xludf.DUMMYFUNCTION("((IFERROR(SUM(FILTER('Fund Data'!$V:$V, 'Fund Data'!$C:$C = $A11, 'Fund Data'!$A:$A = 'Parameters and Distribution Sum'!$C$4 - 2, 'Fund Data'!$B:$B &gt;= 4)) * 'Parameters and Distribution Sum'!$B$4,0) + IFERROR(SUM(FILTER('Fund Data'!$V:$V, 'Fund Data'!$C:$"&amp;"C = $A11, 'Fund Data'!$A:$A = 'Parameters and Distribution Sum'!$C$4 - 1, 'Fund Data'!$B:$B &lt;= 3)) * 'Parameters and Distribution Sum'!$B$4,0)))"),13.32)</f>
        <v>13.32</v>
      </c>
      <c r="P11" s="127">
        <f>IFERROR(__xludf.DUMMYFUNCTION("IFERROR(FILTER('Fund Data'!$AE:$AE,'Fund Data'!$C:$C = $A11,'Fund Data'!$A:$A = ('Parameters and Distribution Sum'!$C$4 - 1), 'Fund Data'!$B:$B = 12),0)"),0.0)</f>
        <v>0</v>
      </c>
      <c r="Q11" s="128">
        <f t="shared" si="3"/>
        <v>7652.18199</v>
      </c>
      <c r="R11" s="129"/>
    </row>
    <row r="12">
      <c r="A12" s="36" t="s">
        <v>49</v>
      </c>
      <c r="B12" s="38" t="str">
        <f>IFERROR(__xludf.DUMMYFUNCTION("FILTER('Endowed Funds'!$C:$C,'Endowed Funds'!$B:$B = $A12)")," Education ")</f>
        <v>Education</v>
      </c>
      <c r="C12" s="39">
        <f>IFERROR(__xludf.DUMMYFUNCTION("IFERROR(sum(FILTER('Fund Data'!$D:$D, 'Fund Data'!$C:$C = $A12, 'Fund Data'!$A:$A &lt;= ('Parameters and Distribution Sum'!$C$4 - 2), 'Fund Data'!$B:$B = 12)),0)"),556601.64)</f>
        <v>556601.64</v>
      </c>
      <c r="D12" s="52">
        <f t="array" ref="D12">INDEX('Fund YTD Target Values'!$1:$1000, MATCH($A12,'Fund YTD Target Values'!$A:$A,0), MATCH('Parameters and Distribution Sum'!$C$4 - 2,'Fund YTD Target Values'!$1:$1,0))</f>
        <v>685763.9306</v>
      </c>
      <c r="E12" s="39">
        <f>IFERROR(__xludf.DUMMYFUNCTION("IFERROR(FILTER('Fund Data'!$P:$P,'Fund Data'!$C:$C = $A12,'Fund Data'!$A:$A = ('Parameters and Distribution Sum'!$C$4 - 2), 'Fund Data'!$B:$B = 12) - FILTER('Fund Data'!$AE:$AE,'Fund Data'!$C:$C = $A12,'Fund Data'!$A:$A = ('Parameters and Distribution Sum"&amp;"'!$C$4 - 2), 'Fund Data'!$B:$B = 12),0)"),815408.1400000004)</f>
        <v>815408.14</v>
      </c>
      <c r="F12" s="38">
        <f t="shared" si="1"/>
        <v>129644.2094</v>
      </c>
      <c r="G12" s="40">
        <f>IFERROR(__xludf.DUMMYFUNCTION("IF('Parameters and Distribution Sum'!$C$4 = 2019, FILTER('Fund Data'!$Y:$Y, 'Fund Data'!$C:$C = $A12, 'Fund Data'!$A:$A = 'Parameters and Distribution Sum'!$C$4 - 1, 'Fund Data'!$B:$B = 12) + FILTER('Fund Data'!$AA:$AA, 'Fund Data'!$C:$C = $A12, 'Fund Dat"&amp;"a'!$A:$A = 'Parameters and Distribution Sum'!$C$4 - 1, 'Fund Data'!$B:$B = 12),((FILTER('Fund Data'!$Y:$Y, 'Fund Data'!$C:$C = $A12, 'Fund Data'!$A:$A = 'Parameters and Distribution Sum'!$C$4 - 2, 'Fund Data'!$B:$B = 12) + FILTER('Fund Data'!$AA:$AA, 'Fun"&amp;"d Data'!$C:$C = $A12,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$A12, 'Fund Data'!$A:$A = ('Parameters and Distribution Sum'!$C$4 - 3), 'Fund Data'!$B:$B = 12) - SUM(FILTER('Fund Data'!$V:$V, 'Fund Data'!$C:$C = $A12, 'Fund Data'!$A:$A = ('Parameters an"&amp;"d Distribution Sum'!$C$4 - 3), 'Fund Data'!$B:$B &gt; 3)))  * 'Parameters and Distribution Sum'!$B$4 * (1 - 'Parameters and Distribution Sum'!$A$4)) + ((SUM(FILTER('Fund Data'!$V:$V, 'Fund Data'!$C:$C = $A12, 'Fund Data'!$A:$A = 'Parameters and Distribution "&amp;"Sum'!$C$4 - 3, 'Fund Data'!$B:$B &gt;= 4)) + SUM(FILTER('Fund Data'!$V:$V, 'Fund Data'!$C:$C = $A12, 'Fund Data'!$A:$A = 'Parameters and Distribution Sum'!$C$4 - 2, 'Fund Data'!$B:$B &lt;= 3))) * 'Parameters and Distribution Sum'!$B$4))"),30859.3768753038)</f>
        <v>30859.37688</v>
      </c>
      <c r="H12" s="41">
        <f>IFERROR(__xludf.DUMMYFUNCTION("IFERROR(($G12 * (1 + AVERAGE(FILTER('Inflation Data'!$C:$C,'Inflation Data'!$A:$A = ('Parameters and Distribution Sum'!$C$4 - 2)))) * 'Parameters and Distribution Sum'!$A$4),0)"),22062.02597097784)</f>
        <v>22062.02597</v>
      </c>
      <c r="I12" s="41">
        <f>IFERROR(__xludf.DUMMYFUNCTION("IF('Parameters and Distribution Sum'!$C$4 = 2019,IFERROR((IFERROR(FILTER('Fund Data'!$P:$P,'Fund Data'!$C:$C = $A12,'Fund Data'!$A:$A = ('Parameters and Distribution Sum'!$C$4 - 2), 'Fund Data'!$B:$B = 12),0) - SUM(FILTER('Fund Data'!$V:$V, 'Fund Data'!$C"&amp;":$C = $A12, 'Fund Data'!$A:$A = ('Parameters and Distribution Sum'!$C$4 - 2), 'Fund Data'!$B:$B &gt; 3)))  * 'Parameters and Distribution Sum'!$B$4 * (1 - 'Parameters and Distribution Sum'!$A$4),0), ($E12  - SUM(FILTER('Fund Data'!$V:$V, 'Fund Data'!$C:$C = "&amp;"$A12, 'Fund Data'!$A:$A = ('Parameters and Distribution Sum'!$C$4 - 2), 'Fund Data'!$B:$B &gt; 3)))  * 'Parameters and Distribution Sum'!$B$4 * (1 - 'Parameters and Distribution Sum'!$A$4))"),11008.009890000007)</f>
        <v>11008.00989</v>
      </c>
      <c r="J12" s="125">
        <f t="shared" si="2"/>
        <v>33070.03586</v>
      </c>
      <c r="K12" s="126">
        <f>IFERROR(__xludf.DUMMYFUNCTION("((IFERROR(SUM(FILTER('Fund Data'!$V:$V, 'Fund Data'!$C:$C = $A12, 'Fund Data'!$A:$A = 'Parameters and Distribution Sum'!$C$4 - 1, 'Fund Data'!$B:$B &gt;= 4, 'Fund Data'!$B:$B &lt;= 6)) * 'Parameters and Distribution Sum'!$B$4, 0)) / 4)"),0.0)</f>
        <v>0</v>
      </c>
      <c r="L12" s="126">
        <f>IFERROR(__xludf.DUMMYFUNCTION("((IFERROR(SUM(FILTER('Fund Data'!$V:$V, 'Fund Data'!$C:$C = $A12, 'Fund Data'!$A:$A = 'Parameters and Distribution Sum'!$C$4 - 1, 'Fund Data'!$B:$B &gt;= 4, 'Fund Data'!$B:$B &lt;= 9)) * 'Parameters and Distribution Sum'!$B$4, 0)) / 4)"),0.0)</f>
        <v>0</v>
      </c>
      <c r="M12" s="126">
        <f>IFERROR(__xludf.DUMMYFUNCTION("((IFERROR(SUM(FILTER('Fund Data'!$V:$V, 'Fund Data'!$C:$C = $A12, 'Fund Data'!$A:$A = 'Parameters and Distribution Sum'!$C$4 - 1, 'Fund Data'!$B:$B &gt;= 4, 'Fund Data'!$B:$B &lt;= 12)) * 'Parameters and Distribution Sum'!$B$4, 0)) / 4)"),0.0)</f>
        <v>0</v>
      </c>
      <c r="N12" s="126">
        <f>IFERROR(__xludf.DUMMYFUNCTION("((IFERROR(SUM(FILTER('Fund Data'!$V:$V, 'Fund Data'!$C:$C = $A12, 'Fund Data'!$A:$A = 'Parameters and Distribution Sum'!$C$4 - 1, 'Fund Data'!$B:$B &gt;= 4, 'Fund Data'!$B:$B &lt;= 12)) * 'Parameters and Distribution Sum'!$B$4, 0) + IFERROR(SUM(FILTER('Fund Dat"&amp;"a'!$V:$V, 'Fund Data'!$C:$C = $A12, 'Fund Data'!$A:$A = 'Parameters and Distribution Sum'!$C$4, 'Fund Data'!$B:$B &lt;= 3)) * 'Parameters and Distribution Sum'!$B$4, 0)) / 4)"),0.0)</f>
        <v>0</v>
      </c>
      <c r="O12" s="127">
        <f>IFERROR(__xludf.DUMMYFUNCTION("((IFERROR(SUM(FILTER('Fund Data'!$V:$V, 'Fund Data'!$C:$C = $A12, 'Fund Data'!$A:$A = 'Parameters and Distribution Sum'!$C$4 - 2, 'Fund Data'!$B:$B &gt;= 4)) * 'Parameters and Distribution Sum'!$B$4,0) + IFERROR(SUM(FILTER('Fund Data'!$V:$V, 'Fund Data'!$C:$"&amp;"C = $A12, 'Fund Data'!$A:$A = 'Parameters and Distribution Sum'!$C$4 - 1, 'Fund Data'!$B:$B &lt;= 3)) * 'Parameters and Distribution Sum'!$B$4,0)))"),0.0)</f>
        <v>0</v>
      </c>
      <c r="P12" s="127">
        <f>IFERROR(__xludf.DUMMYFUNCTION("IFERROR(FILTER('Fund Data'!$AE:$AE,'Fund Data'!$C:$C = $A12,'Fund Data'!$A:$A = ('Parameters and Distribution Sum'!$C$4 - 1), 'Fund Data'!$B:$B = 12),0)"),0.0)</f>
        <v>0</v>
      </c>
      <c r="Q12" s="128">
        <f t="shared" si="3"/>
        <v>33070.03586</v>
      </c>
      <c r="R12" s="129"/>
    </row>
    <row r="13">
      <c r="A13" s="36" t="s">
        <v>30</v>
      </c>
      <c r="B13" s="38" t="str">
        <f>IFERROR(__xludf.DUMMYFUNCTION("FILTER('Endowed Funds'!$C:$C,'Endowed Funds'!$B:$B = $A13)")," Archaeology ")</f>
        <v>Archaeology</v>
      </c>
      <c r="C13" s="39">
        <f>IFERROR(__xludf.DUMMYFUNCTION("IFERROR(sum(FILTER('Fund Data'!$D:$D, 'Fund Data'!$C:$C = $A13, 'Fund Data'!$A:$A &lt;= ('Parameters and Distribution Sum'!$C$4 - 2), 'Fund Data'!$B:$B = 12)),0)"),11540.75)</f>
        <v>11540.75</v>
      </c>
      <c r="D13" s="52">
        <f t="array" ref="D13">INDEX('Fund YTD Target Values'!$1:$1000, MATCH($A13,'Fund YTD Target Values'!$A:$A,0), MATCH('Parameters and Distribution Sum'!$C$4 - 2,'Fund YTD Target Values'!$1:$1,0))</f>
        <v>18043.81747</v>
      </c>
      <c r="E13" s="39">
        <f>IFERROR(__xludf.DUMMYFUNCTION("IFERROR(FILTER('Fund Data'!$P:$P,'Fund Data'!$C:$C = $A13,'Fund Data'!$A:$A = ('Parameters and Distribution Sum'!$C$4 - 2), 'Fund Data'!$B:$B = 12) - FILTER('Fund Data'!$AE:$AE,'Fund Data'!$C:$C = $A13,'Fund Data'!$A:$A = ('Parameters and Distribution Sum"&amp;"'!$C$4 - 2), 'Fund Data'!$B:$B = 12),0)"),17367.41)</f>
        <v>17367.41</v>
      </c>
      <c r="F13" s="38">
        <f t="shared" si="1"/>
        <v>-676.4074718</v>
      </c>
      <c r="G13" s="40">
        <f>IFERROR(__xludf.DUMMYFUNCTION("IF('Parameters and Distribution Sum'!$C$4 = 2019, FILTER('Fund Data'!$Y:$Y, 'Fund Data'!$C:$C = $A13, 'Fund Data'!$A:$A = 'Parameters and Distribution Sum'!$C$4 - 1, 'Fund Data'!$B:$B = 12) + FILTER('Fund Data'!$AA:$AA, 'Fund Data'!$C:$C = $A13, 'Fund Dat"&amp;"a'!$A:$A = 'Parameters and Distribution Sum'!$C$4 - 1, 'Fund Data'!$B:$B = 12),((FILTER('Fund Data'!$Y:$Y, 'Fund Data'!$C:$C = $A13, 'Fund Data'!$A:$A = 'Parameters and Distribution Sum'!$C$4 - 2, 'Fund Data'!$B:$B = 12) + FILTER('Fund Data'!$AA:$AA, 'Fun"&amp;"d Data'!$C:$C = $A13,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$A13, 'Fund Data'!$A:$A = ('Parameters and Distribution Sum'!$C$4 - 3), 'Fund Data'!$B:$B = 12) - SUM(FILTER('Fund Data'!$V:$V, 'Fund Data'!$C:$C = $A13, 'Fund Data'!$A:$A = ('Parameters an"&amp;"d Distribution Sum'!$C$4 - 3), 'Fund Data'!$B:$B &gt; 3)))  * 'Parameters and Distribution Sum'!$B$4 * (1 - 'Parameters and Distribution Sum'!$A$4)) + ((SUM(FILTER('Fund Data'!$V:$V, 'Fund Data'!$C:$C = $A13, 'Fund Data'!$A:$A = 'Parameters and Distribution "&amp;"Sum'!$C$4 - 3, 'Fund Data'!$B:$B &gt;= 4)) + SUM(FILTER('Fund Data'!$V:$V, 'Fund Data'!$C:$C = $A13, 'Fund Data'!$A:$A = 'Parameters and Distribution Sum'!$C$4 - 2, 'Fund Data'!$B:$B &lt;= 3))) * 'Parameters and Distribution Sum'!$B$4))"),781.5334499999993)</f>
        <v>781.53345</v>
      </c>
      <c r="H13" s="41">
        <f>IFERROR(__xludf.DUMMYFUNCTION("IFERROR(($G13 * (1 + AVERAGE(FILTER('Inflation Data'!$C:$C,'Inflation Data'!$A:$A = ('Parameters and Distribution Sum'!$C$4 - 2)))) * 'Parameters and Distribution Sum'!$A$4),0)"),558.7349135648467)</f>
        <v>558.7349136</v>
      </c>
      <c r="I13" s="41">
        <f>IFERROR(__xludf.DUMMYFUNCTION("IF('Parameters and Distribution Sum'!$C$4 = 2019,IFERROR((IFERROR(FILTER('Fund Data'!$P:$P,'Fund Data'!$C:$C = $A13,'Fund Data'!$A:$A = ('Parameters and Distribution Sum'!$C$4 - 2), 'Fund Data'!$B:$B = 12),0) - SUM(FILTER('Fund Data'!$V:$V, 'Fund Data'!$C"&amp;":$C = $A13, 'Fund Data'!$A:$A = ('Parameters and Distribution Sum'!$C$4 - 2), 'Fund Data'!$B:$B &gt; 3)))  * 'Parameters and Distribution Sum'!$B$4 * (1 - 'Parameters and Distribution Sum'!$A$4),0), ($E13  - SUM(FILTER('Fund Data'!$V:$V, 'Fund Data'!$C:$C = "&amp;"$A13, 'Fund Data'!$A:$A = ('Parameters and Distribution Sum'!$C$4 - 2), 'Fund Data'!$B:$B &gt; 3)))  * 'Parameters and Distribution Sum'!$B$4 * (1 - 'Parameters and Distribution Sum'!$A$4))"),234.46003500000003)</f>
        <v>234.460035</v>
      </c>
      <c r="J13" s="125">
        <f t="shared" si="2"/>
        <v>793.1949486</v>
      </c>
      <c r="K13" s="126">
        <f>IFERROR(__xludf.DUMMYFUNCTION("((IFERROR(SUM(FILTER('Fund Data'!$V:$V, 'Fund Data'!$C:$C = $A13, 'Fund Data'!$A:$A = 'Parameters and Distribution Sum'!$C$4 - 1, 'Fund Data'!$B:$B &gt;= 4, 'Fund Data'!$B:$B &lt;= 6)) * 'Parameters and Distribution Sum'!$B$4, 0)) / 4)"),0.0)</f>
        <v>0</v>
      </c>
      <c r="L13" s="126">
        <f>IFERROR(__xludf.DUMMYFUNCTION("((IFERROR(SUM(FILTER('Fund Data'!$V:$V, 'Fund Data'!$C:$C = $A13, 'Fund Data'!$A:$A = 'Parameters and Distribution Sum'!$C$4 - 1, 'Fund Data'!$B:$B &gt;= 4, 'Fund Data'!$B:$B &lt;= 9)) * 'Parameters and Distribution Sum'!$B$4, 0)) / 4)"),0.0)</f>
        <v>0</v>
      </c>
      <c r="M13" s="126">
        <f>IFERROR(__xludf.DUMMYFUNCTION("((IFERROR(SUM(FILTER('Fund Data'!$V:$V, 'Fund Data'!$C:$C = $A13, 'Fund Data'!$A:$A = 'Parameters and Distribution Sum'!$C$4 - 1, 'Fund Data'!$B:$B &gt;= 4, 'Fund Data'!$B:$B &lt;= 12)) * 'Parameters and Distribution Sum'!$B$4, 0)) / 4)"),0.0)</f>
        <v>0</v>
      </c>
      <c r="N13" s="126">
        <f>IFERROR(__xludf.DUMMYFUNCTION("((IFERROR(SUM(FILTER('Fund Data'!$V:$V, 'Fund Data'!$C:$C = $A13, 'Fund Data'!$A:$A = 'Parameters and Distribution Sum'!$C$4 - 1, 'Fund Data'!$B:$B &gt;= 4, 'Fund Data'!$B:$B &lt;= 12)) * 'Parameters and Distribution Sum'!$B$4, 0) + IFERROR(SUM(FILTER('Fund Dat"&amp;"a'!$V:$V, 'Fund Data'!$C:$C = $A13, 'Fund Data'!$A:$A = 'Parameters and Distribution Sum'!$C$4, 'Fund Data'!$B:$B &lt;= 3)) * 'Parameters and Distribution Sum'!$B$4, 0)) / 4)"),0.0)</f>
        <v>0</v>
      </c>
      <c r="O13" s="127">
        <f>IFERROR(__xludf.DUMMYFUNCTION("((IFERROR(SUM(FILTER('Fund Data'!$V:$V, 'Fund Data'!$C:$C = $A13, 'Fund Data'!$A:$A = 'Parameters and Distribution Sum'!$C$4 - 2, 'Fund Data'!$B:$B &gt;= 4)) * 'Parameters and Distribution Sum'!$B$4,0) + IFERROR(SUM(FILTER('Fund Data'!$V:$V, 'Fund Data'!$C:$"&amp;"C = $A13, 'Fund Data'!$A:$A = 'Parameters and Distribution Sum'!$C$4 - 1, 'Fund Data'!$B:$B &lt;= 3)) * 'Parameters and Distribution Sum'!$B$4,0)))"),0.0)</f>
        <v>0</v>
      </c>
      <c r="P13" s="127">
        <f>IFERROR(__xludf.DUMMYFUNCTION("IFERROR(FILTER('Fund Data'!$AE:$AE,'Fund Data'!$C:$C = $A13,'Fund Data'!$A:$A = ('Parameters and Distribution Sum'!$C$4 - 1), 'Fund Data'!$B:$B = 12),0)"),0.0)</f>
        <v>0</v>
      </c>
      <c r="Q13" s="128">
        <f t="shared" si="3"/>
        <v>793.1949486</v>
      </c>
      <c r="R13" s="129"/>
    </row>
    <row r="14">
      <c r="A14" s="36" t="s">
        <v>50</v>
      </c>
      <c r="B14" s="38" t="str">
        <f>IFERROR(__xludf.DUMMYFUNCTION("FILTER('Endowed Funds'!$C:$C,'Endowed Funds'!$B:$B = $A14)")," Education ")</f>
        <v>Education</v>
      </c>
      <c r="C14" s="39">
        <f>IFERROR(__xludf.DUMMYFUNCTION("IFERROR(sum(FILTER('Fund Data'!$D:$D, 'Fund Data'!$C:$C = $A14, 'Fund Data'!$A:$A &lt;= ('Parameters and Distribution Sum'!$C$4 - 2), 'Fund Data'!$B:$B = 12)),0)"),429067.24)</f>
        <v>429067.24</v>
      </c>
      <c r="D14" s="52">
        <f t="array" ref="D14">INDEX('Fund YTD Target Values'!$1:$1000, MATCH($A14,'Fund YTD Target Values'!$A:$A,0), MATCH('Parameters and Distribution Sum'!$C$4 - 2,'Fund YTD Target Values'!$1:$1,0))</f>
        <v>620333.8441</v>
      </c>
      <c r="E14" s="39">
        <f>IFERROR(__xludf.DUMMYFUNCTION("IFERROR(FILTER('Fund Data'!$P:$P,'Fund Data'!$C:$C = $A14,'Fund Data'!$A:$A = ('Parameters and Distribution Sum'!$C$4 - 2), 'Fund Data'!$B:$B = 12) - FILTER('Fund Data'!$AE:$AE,'Fund Data'!$C:$C = $A14,'Fund Data'!$A:$A = ('Parameters and Distribution Sum"&amp;"'!$C$4 - 2), 'Fund Data'!$B:$B = 12),0)"),450754.45999999985)</f>
        <v>450754.46</v>
      </c>
      <c r="F14" s="38">
        <f t="shared" si="1"/>
        <v>-169579.3841</v>
      </c>
      <c r="G14" s="40">
        <f>IFERROR(__xludf.DUMMYFUNCTION("IF('Parameters and Distribution Sum'!$C$4 = 2019, FILTER('Fund Data'!$Y:$Y, 'Fund Data'!$C:$C = $A14, 'Fund Data'!$A:$A = 'Parameters and Distribution Sum'!$C$4 - 1, 'Fund Data'!$B:$B = 12) + FILTER('Fund Data'!$AA:$AA, 'Fund Data'!$C:$C = $A14, 'Fund Dat"&amp;"a'!$A:$A = 'Parameters and Distribution Sum'!$C$4 - 1, 'Fund Data'!$B:$B = 12),((FILTER('Fund Data'!$Y:$Y, 'Fund Data'!$C:$C = $A14, 'Fund Data'!$A:$A = 'Parameters and Distribution Sum'!$C$4 - 2, 'Fund Data'!$B:$B = 12) + FILTER('Fund Data'!$AA:$AA, 'Fun"&amp;"d Data'!$C:$C = $A14,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$A14, 'Fund Data'!$A:$A = ('Parameters and Distribution Sum'!$C$4 - 3), 'Fund Data'!$B:$B = 12) - SUM(FILTER('Fund Data'!$V:$V, 'Fund Data'!$C:$C = $A14, 'Fund Data'!$A:$A = ('Parameters an"&amp;"d Distribution Sum'!$C$4 - 3), 'Fund Data'!$B:$B &gt; 3)))  * 'Parameters and Distribution Sum'!$B$4 * (1 - 'Parameters and Distribution Sum'!$A$4)) + ((SUM(FILTER('Fund Data'!$V:$V, 'Fund Data'!$C:$C = $A14, 'Fund Data'!$A:$A = 'Parameters and Distribution "&amp;"Sum'!$C$4 - 3, 'Fund Data'!$B:$B &gt;= 4)) + SUM(FILTER('Fund Data'!$V:$V, 'Fund Data'!$C:$C = $A14, 'Fund Data'!$A:$A = 'Parameters and Distribution Sum'!$C$4 - 2, 'Fund Data'!$B:$B &lt;= 3))) * 'Parameters and Distribution Sum'!$B$4))"),20283.9507)</f>
        <v>20283.9507</v>
      </c>
      <c r="H14" s="41">
        <f>IFERROR(__xludf.DUMMYFUNCTION("IFERROR(($G14 * (1 + AVERAGE(FILTER('Inflation Data'!$C:$C,'Inflation Data'!$A:$A = ('Parameters and Distribution Sum'!$C$4 - 2)))) * 'Parameters and Distribution Sum'!$A$4),0)"),14501.42849435059)</f>
        <v>14501.42849</v>
      </c>
      <c r="I14" s="41">
        <f>IFERROR(__xludf.DUMMYFUNCTION("IF('Parameters and Distribution Sum'!$C$4 = 2019,IFERROR((IFERROR(FILTER('Fund Data'!$P:$P,'Fund Data'!$C:$C = $A14,'Fund Data'!$A:$A = ('Parameters and Distribution Sum'!$C$4 - 2), 'Fund Data'!$B:$B = 12),0) - SUM(FILTER('Fund Data'!$V:$V, 'Fund Data'!$C"&amp;":$C = $A14, 'Fund Data'!$A:$A = ('Parameters and Distribution Sum'!$C$4 - 2), 'Fund Data'!$B:$B &gt; 3)))  * 'Parameters and Distribution Sum'!$B$4 * (1 - 'Parameters and Distribution Sum'!$A$4),0), ($E14  - SUM(FILTER('Fund Data'!$V:$V, 'Fund Data'!$C:$C = "&amp;"$A14, 'Fund Data'!$A:$A = ('Parameters and Distribution Sum'!$C$4 - 2), 'Fund Data'!$B:$B &gt; 3)))  * 'Parameters and Distribution Sum'!$B$4 * (1 - 'Parameters and Distribution Sum'!$A$4))"),6085.185209999999)</f>
        <v>6085.18521</v>
      </c>
      <c r="J14" s="125">
        <f t="shared" si="2"/>
        <v>20586.6137</v>
      </c>
      <c r="K14" s="126">
        <f>IFERROR(__xludf.DUMMYFUNCTION("((IFERROR(SUM(FILTER('Fund Data'!$V:$V, 'Fund Data'!$C:$C = $A14, 'Fund Data'!$A:$A = 'Parameters and Distribution Sum'!$C$4 - 1, 'Fund Data'!$B:$B &gt;= 4, 'Fund Data'!$B:$B &lt;= 6)) * 'Parameters and Distribution Sum'!$B$4, 0)) / 4)"),0.0)</f>
        <v>0</v>
      </c>
      <c r="L14" s="126">
        <f>IFERROR(__xludf.DUMMYFUNCTION("((IFERROR(SUM(FILTER('Fund Data'!$V:$V, 'Fund Data'!$C:$C = $A14, 'Fund Data'!$A:$A = 'Parameters and Distribution Sum'!$C$4 - 1, 'Fund Data'!$B:$B &gt;= 4, 'Fund Data'!$B:$B &lt;= 9)) * 'Parameters and Distribution Sum'!$B$4, 0)) / 4)"),0.0)</f>
        <v>0</v>
      </c>
      <c r="M14" s="126">
        <f>IFERROR(__xludf.DUMMYFUNCTION("((IFERROR(SUM(FILTER('Fund Data'!$V:$V, 'Fund Data'!$C:$C = $A14, 'Fund Data'!$A:$A = 'Parameters and Distribution Sum'!$C$4 - 1, 'Fund Data'!$B:$B &gt;= 4, 'Fund Data'!$B:$B &lt;= 12)) * 'Parameters and Distribution Sum'!$B$4, 0)) / 4)"),0.0)</f>
        <v>0</v>
      </c>
      <c r="N14" s="126">
        <f>IFERROR(__xludf.DUMMYFUNCTION("((IFERROR(SUM(FILTER('Fund Data'!$V:$V, 'Fund Data'!$C:$C = $A14, 'Fund Data'!$A:$A = 'Parameters and Distribution Sum'!$C$4 - 1, 'Fund Data'!$B:$B &gt;= 4, 'Fund Data'!$B:$B &lt;= 12)) * 'Parameters and Distribution Sum'!$B$4, 0) + IFERROR(SUM(FILTER('Fund Dat"&amp;"a'!$V:$V, 'Fund Data'!$C:$C = $A14, 'Fund Data'!$A:$A = 'Parameters and Distribution Sum'!$C$4, 'Fund Data'!$B:$B &lt;= 3)) * 'Parameters and Distribution Sum'!$B$4, 0)) / 4)"),0.0)</f>
        <v>0</v>
      </c>
      <c r="O14" s="127">
        <f>IFERROR(__xludf.DUMMYFUNCTION("((IFERROR(SUM(FILTER('Fund Data'!$V:$V, 'Fund Data'!$C:$C = $A14, 'Fund Data'!$A:$A = 'Parameters and Distribution Sum'!$C$4 - 2, 'Fund Data'!$B:$B &gt;= 4)) * 'Parameters and Distribution Sum'!$B$4,0) + IFERROR(SUM(FILTER('Fund Data'!$V:$V, 'Fund Data'!$C:$"&amp;"C = $A14, 'Fund Data'!$A:$A = 'Parameters and Distribution Sum'!$C$4 - 1, 'Fund Data'!$B:$B &lt;= 3)) * 'Parameters and Distribution Sum'!$B$4,0)))"),0.0)</f>
        <v>0</v>
      </c>
      <c r="P14" s="127">
        <f>IFERROR(__xludf.DUMMYFUNCTION("IFERROR(FILTER('Fund Data'!$AE:$AE,'Fund Data'!$C:$C = $A14,'Fund Data'!$A:$A = ('Parameters and Distribution Sum'!$C$4 - 1), 'Fund Data'!$B:$B = 12),0)"),0.0)</f>
        <v>0</v>
      </c>
      <c r="Q14" s="128">
        <f t="shared" si="3"/>
        <v>20586.6137</v>
      </c>
      <c r="R14" s="129"/>
    </row>
    <row r="15">
      <c r="A15" s="36" t="s">
        <v>67</v>
      </c>
      <c r="B15" s="38" t="str">
        <f>IFERROR(__xludf.DUMMYFUNCTION("FILTER('Endowed Funds'!$C:$C,'Endowed Funds'!$B:$B = $A15)")," General Operations ")</f>
        <v>General Operations</v>
      </c>
      <c r="C15" s="39">
        <f>IFERROR(__xludf.DUMMYFUNCTION("IFERROR(sum(FILTER('Fund Data'!$D:$D, 'Fund Data'!$C:$C = $A15, 'Fund Data'!$A:$A &lt;= ('Parameters and Distribution Sum'!$C$4 - 2), 'Fund Data'!$B:$B = 12)),0)"),1456367.46)</f>
        <v>1456367.46</v>
      </c>
      <c r="D15" s="52">
        <f t="array" ref="D15">INDEX('Fund YTD Target Values'!$1:$1000, MATCH($A15,'Fund YTD Target Values'!$A:$A,0), MATCH('Parameters and Distribution Sum'!$C$4 - 2,'Fund YTD Target Values'!$1:$1,0))</f>
        <v>1951070.709</v>
      </c>
      <c r="E15" s="39">
        <f>IFERROR(__xludf.DUMMYFUNCTION("IFERROR(FILTER('Fund Data'!$P:$P,'Fund Data'!$C:$C = $A15,'Fund Data'!$A:$A = ('Parameters and Distribution Sum'!$C$4 - 2), 'Fund Data'!$B:$B = 12) - FILTER('Fund Data'!$AE:$AE,'Fund Data'!$C:$C = $A15,'Fund Data'!$A:$A = ('Parameters and Distribution Sum"&amp;"'!$C$4 - 2), 'Fund Data'!$B:$B = 12),0)"),1514249.6399999997)</f>
        <v>1514249.64</v>
      </c>
      <c r="F15" s="38">
        <f t="shared" si="1"/>
        <v>-436821.069</v>
      </c>
      <c r="G15" s="40">
        <f>IFERROR(__xludf.DUMMYFUNCTION("IF('Parameters and Distribution Sum'!$C$4 = 2019, FILTER('Fund Data'!$Y:$Y, 'Fund Data'!$C:$C = $A15, 'Fund Data'!$A:$A = 'Parameters and Distribution Sum'!$C$4 - 1, 'Fund Data'!$B:$B = 12) + FILTER('Fund Data'!$AA:$AA, 'Fund Data'!$C:$C = $A15, 'Fund Dat"&amp;"a'!$A:$A = 'Parameters and Distribution Sum'!$C$4 - 1, 'Fund Data'!$B:$B = 12),((FILTER('Fund Data'!$Y:$Y, 'Fund Data'!$C:$C = $A15, 'Fund Data'!$A:$A = 'Parameters and Distribution Sum'!$C$4 - 2, 'Fund Data'!$B:$B = 12) + FILTER('Fund Data'!$AA:$AA, 'Fun"&amp;"d Data'!$C:$C = $A15,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$A15, 'Fund Data'!$A:$A = ('Parameters and Distribution Sum'!$C$4 - 3), 'Fund Data'!$B:$B = 12) - SUM(FILTER('Fund Data'!$V:$V, 'Fund Data'!$C:$C = $A15, 'Fund Data'!$A:$A = ('Parameters an"&amp;"d Distribution Sum'!$C$4 - 3), 'Fund Data'!$B:$B &gt; 3)))  * 'Parameters and Distribution Sum'!$B$4 * (1 - 'Parameters and Distribution Sum'!$A$4)) + ((SUM(FILTER('Fund Data'!$V:$V, 'Fund Data'!$C:$C = $A15, 'Fund Data'!$A:$A = 'Parameters and Distribution "&amp;"Sum'!$C$4 - 3, 'Fund Data'!$B:$B &gt;= 4)) + SUM(FILTER('Fund Data'!$V:$V, 'Fund Data'!$C:$C = $A15, 'Fund Data'!$A:$A = 'Parameters and Distribution Sum'!$C$4 - 2, 'Fund Data'!$B:$B &lt;= 3))) * 'Parameters and Distribution Sum'!$B$4))"),67691.23379999996)</f>
        <v>67691.2338</v>
      </c>
      <c r="H15" s="41">
        <f>IFERROR(__xludf.DUMMYFUNCTION("IFERROR(($G15 * (1 + AVERAGE(FILTER('Inflation Data'!$C:$C,'Inflation Data'!$A:$A = ('Parameters and Distribution Sum'!$C$4 - 2)))) * 'Parameters and Distribution Sum'!$A$4),0)"),48393.90516981818)</f>
        <v>48393.90517</v>
      </c>
      <c r="I15" s="41">
        <f>IFERROR(__xludf.DUMMYFUNCTION("IF('Parameters and Distribution Sum'!$C$4 = 2019,IFERROR((IFERROR(FILTER('Fund Data'!$P:$P,'Fund Data'!$C:$C = $A15,'Fund Data'!$A:$A = ('Parameters and Distribution Sum'!$C$4 - 2), 'Fund Data'!$B:$B = 12),0) - SUM(FILTER('Fund Data'!$V:$V, 'Fund Data'!$C"&amp;":$C = $A15, 'Fund Data'!$A:$A = ('Parameters and Distribution Sum'!$C$4 - 2), 'Fund Data'!$B:$B &gt; 3)))  * 'Parameters and Distribution Sum'!$B$4 * (1 - 'Parameters and Distribution Sum'!$A$4),0), ($E15  - SUM(FILTER('Fund Data'!$V:$V, 'Fund Data'!$C:$C = "&amp;"$A15, 'Fund Data'!$A:$A = ('Parameters and Distribution Sum'!$C$4 - 2), 'Fund Data'!$B:$B &gt; 3)))  * 'Parameters and Distribution Sum'!$B$4 * (1 - 'Parameters and Distribution Sum'!$A$4))"),20307.37014)</f>
        <v>20307.37014</v>
      </c>
      <c r="J15" s="125">
        <f t="shared" si="2"/>
        <v>68701.27531</v>
      </c>
      <c r="K15" s="126">
        <f>IFERROR(__xludf.DUMMYFUNCTION("((IFERROR(SUM(FILTER('Fund Data'!$V:$V, 'Fund Data'!$C:$C = $A15, 'Fund Data'!$A:$A = 'Parameters and Distribution Sum'!$C$4 - 1, 'Fund Data'!$B:$B &gt;= 4, 'Fund Data'!$B:$B &lt;= 6)) * 'Parameters and Distribution Sum'!$B$4, 0)) / 4)"),0.0)</f>
        <v>0</v>
      </c>
      <c r="L15" s="126">
        <f>IFERROR(__xludf.DUMMYFUNCTION("((IFERROR(SUM(FILTER('Fund Data'!$V:$V, 'Fund Data'!$C:$C = $A15, 'Fund Data'!$A:$A = 'Parameters and Distribution Sum'!$C$4 - 1, 'Fund Data'!$B:$B &gt;= 4, 'Fund Data'!$B:$B &lt;= 9)) * 'Parameters and Distribution Sum'!$B$4, 0)) / 4)"),0.0)</f>
        <v>0</v>
      </c>
      <c r="M15" s="126">
        <f>IFERROR(__xludf.DUMMYFUNCTION("((IFERROR(SUM(FILTER('Fund Data'!$V:$V, 'Fund Data'!$C:$C = $A15, 'Fund Data'!$A:$A = 'Parameters and Distribution Sum'!$C$4 - 1, 'Fund Data'!$B:$B &gt;= 4, 'Fund Data'!$B:$B &lt;= 12)) * 'Parameters and Distribution Sum'!$B$4, 0)) / 4)"),0.0)</f>
        <v>0</v>
      </c>
      <c r="N15" s="126">
        <f>IFERROR(__xludf.DUMMYFUNCTION("((IFERROR(SUM(FILTER('Fund Data'!$V:$V, 'Fund Data'!$C:$C = $A15, 'Fund Data'!$A:$A = 'Parameters and Distribution Sum'!$C$4 - 1, 'Fund Data'!$B:$B &gt;= 4, 'Fund Data'!$B:$B &lt;= 12)) * 'Parameters and Distribution Sum'!$B$4, 0) + IFERROR(SUM(FILTER('Fund Dat"&amp;"a'!$V:$V, 'Fund Data'!$C:$C = $A15, 'Fund Data'!$A:$A = 'Parameters and Distribution Sum'!$C$4, 'Fund Data'!$B:$B &lt;= 3)) * 'Parameters and Distribution Sum'!$B$4, 0)) / 4)"),0.0)</f>
        <v>0</v>
      </c>
      <c r="O15" s="127">
        <f>IFERROR(__xludf.DUMMYFUNCTION("((IFERROR(SUM(FILTER('Fund Data'!$V:$V, 'Fund Data'!$C:$C = $A15, 'Fund Data'!$A:$A = 'Parameters and Distribution Sum'!$C$4 - 2, 'Fund Data'!$B:$B &gt;= 4)) * 'Parameters and Distribution Sum'!$B$4,0) + IFERROR(SUM(FILTER('Fund Data'!$V:$V, 'Fund Data'!$C:$"&amp;"C = $A15, 'Fund Data'!$A:$A = 'Parameters and Distribution Sum'!$C$4 - 1, 'Fund Data'!$B:$B &lt;= 3)) * 'Parameters and Distribution Sum'!$B$4,0)))"),450.0)</f>
        <v>450</v>
      </c>
      <c r="P15" s="127">
        <f>IFERROR(__xludf.DUMMYFUNCTION("IFERROR(FILTER('Fund Data'!$AE:$AE,'Fund Data'!$C:$C = $A15,'Fund Data'!$A:$A = ('Parameters and Distribution Sum'!$C$4 - 1), 'Fund Data'!$B:$B = 12),0)"),0.0)</f>
        <v>0</v>
      </c>
      <c r="Q15" s="128">
        <f t="shared" si="3"/>
        <v>69151.27531</v>
      </c>
      <c r="R15" s="129"/>
    </row>
    <row r="16">
      <c r="A16" s="36" t="s">
        <v>31</v>
      </c>
      <c r="B16" s="38" t="str">
        <f>IFERROR(__xludf.DUMMYFUNCTION("FILTER('Endowed Funds'!$C:$C,'Endowed Funds'!$B:$B = $A16)")," Archaeology ")</f>
        <v>Archaeology</v>
      </c>
      <c r="C16" s="39">
        <f>IFERROR(__xludf.DUMMYFUNCTION("IFERROR(sum(FILTER('Fund Data'!$D:$D, 'Fund Data'!$C:$C = $A16, 'Fund Data'!$A:$A &lt;= ('Parameters and Distribution Sum'!$C$4 - 2), 'Fund Data'!$B:$B = 12)),0)"),158100.0)</f>
        <v>158100</v>
      </c>
      <c r="D16" s="52">
        <f t="array" ref="D16">INDEX('Fund YTD Target Values'!$1:$1000, MATCH($A16,'Fund YTD Target Values'!$A:$A,0), MATCH('Parameters and Distribution Sum'!$C$4 - 2,'Fund YTD Target Values'!$1:$1,0))</f>
        <v>205534.6031</v>
      </c>
      <c r="E16" s="39">
        <f>IFERROR(__xludf.DUMMYFUNCTION("IFERROR(FILTER('Fund Data'!$P:$P,'Fund Data'!$C:$C = $A16,'Fund Data'!$A:$A = ('Parameters and Distribution Sum'!$C$4 - 2), 'Fund Data'!$B:$B = 12) - FILTER('Fund Data'!$AE:$AE,'Fund Data'!$C:$C = $A16,'Fund Data'!$A:$A = ('Parameters and Distribution Sum"&amp;"'!$C$4 - 2), 'Fund Data'!$B:$B = 12),0)"),189259.35)</f>
        <v>189259.35</v>
      </c>
      <c r="F16" s="38">
        <f t="shared" si="1"/>
        <v>-16275.25309</v>
      </c>
      <c r="G16" s="40">
        <f>IFERROR(__xludf.DUMMYFUNCTION("IF('Parameters and Distribution Sum'!$C$4 = 2019, FILTER('Fund Data'!$Y:$Y, 'Fund Data'!$C:$C = $A16, 'Fund Data'!$A:$A = 'Parameters and Distribution Sum'!$C$4 - 1, 'Fund Data'!$B:$B = 12) + FILTER('Fund Data'!$AA:$AA, 'Fund Data'!$C:$C = $A16, 'Fund Dat"&amp;"a'!$A:$A = 'Parameters and Distribution Sum'!$C$4 - 1, 'Fund Data'!$B:$B = 12),((FILTER('Fund Data'!$Y:$Y, 'Fund Data'!$C:$C = $A16, 'Fund Data'!$A:$A = 'Parameters and Distribution Sum'!$C$4 - 2, 'Fund Data'!$B:$B = 12) + FILTER('Fund Data'!$AA:$AA, 'Fun"&amp;"d Data'!$C:$C = $A16,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$A16, 'Fund Data'!$A:$A = ('Parameters and Distribution Sum'!$C$4 - 3), 'Fund Data'!$B:$B = 12) - SUM(FILTER('Fund Data'!$V:$V, 'Fund Data'!$C:$C = $A16, 'Fund Data'!$A:$A = ('Parameters an"&amp;"d Distribution Sum'!$C$4 - 3), 'Fund Data'!$B:$B &gt; 3)))  * 'Parameters and Distribution Sum'!$B$4 * (1 - 'Parameters and Distribution Sum'!$A$4)) + ((SUM(FILTER('Fund Data'!$V:$V, 'Fund Data'!$C:$C = $A16, 'Fund Data'!$A:$A = 'Parameters and Distribution "&amp;"Sum'!$C$4 - 3, 'Fund Data'!$B:$B &gt;= 4)) + SUM(FILTER('Fund Data'!$V:$V, 'Fund Data'!$C:$C = $A16, 'Fund Data'!$A:$A = 'Parameters and Distribution Sum'!$C$4 - 2, 'Fund Data'!$B:$B &lt;= 3))) * 'Parameters and Distribution Sum'!$B$4))"),8651.670750000001)</f>
        <v>8651.67075</v>
      </c>
      <c r="H16" s="41">
        <f>IFERROR(__xludf.DUMMYFUNCTION("IFERROR(($G16 * (1 + AVERAGE(FILTER('Inflation Data'!$C:$C,'Inflation Data'!$A:$A = ('Parameters and Distribution Sum'!$C$4 - 2)))) * 'Parameters and Distribution Sum'!$A$4),0)"),6185.263738478203)</f>
        <v>6185.263738</v>
      </c>
      <c r="I16" s="41">
        <f>IFERROR(__xludf.DUMMYFUNCTION("IF('Parameters and Distribution Sum'!$C$4 = 2019,IFERROR((IFERROR(FILTER('Fund Data'!$P:$P,'Fund Data'!$C:$C = $A16,'Fund Data'!$A:$A = ('Parameters and Distribution Sum'!$C$4 - 2), 'Fund Data'!$B:$B = 12),0) - SUM(FILTER('Fund Data'!$V:$V, 'Fund Data'!$C"&amp;":$C = $A16, 'Fund Data'!$A:$A = ('Parameters and Distribution Sum'!$C$4 - 2), 'Fund Data'!$B:$B &gt; 3)))  * 'Parameters and Distribution Sum'!$B$4 * (1 - 'Parameters and Distribution Sum'!$A$4),0), ($E16  - SUM(FILTER('Fund Data'!$V:$V, 'Fund Data'!$C:$C = "&amp;"$A16, 'Fund Data'!$A:$A = ('Parameters and Distribution Sum'!$C$4 - 2), 'Fund Data'!$B:$B &gt; 3)))  * 'Parameters and Distribution Sum'!$B$4 * (1 - 'Parameters and Distribution Sum'!$A$4))"),2555.001225)</f>
        <v>2555.001225</v>
      </c>
      <c r="J16" s="125">
        <f t="shared" si="2"/>
        <v>8740.264963</v>
      </c>
      <c r="K16" s="126">
        <f>IFERROR(__xludf.DUMMYFUNCTION("((IFERROR(SUM(FILTER('Fund Data'!$V:$V, 'Fund Data'!$C:$C = $A16, 'Fund Data'!$A:$A = 'Parameters and Distribution Sum'!$C$4 - 1, 'Fund Data'!$B:$B &gt;= 4, 'Fund Data'!$B:$B &lt;= 6)) * 'Parameters and Distribution Sum'!$B$4, 0)) / 4)"),0.0)</f>
        <v>0</v>
      </c>
      <c r="L16" s="126">
        <f>IFERROR(__xludf.DUMMYFUNCTION("((IFERROR(SUM(FILTER('Fund Data'!$V:$V, 'Fund Data'!$C:$C = $A16, 'Fund Data'!$A:$A = 'Parameters and Distribution Sum'!$C$4 - 1, 'Fund Data'!$B:$B &gt;= 4, 'Fund Data'!$B:$B &lt;= 9)) * 'Parameters and Distribution Sum'!$B$4, 0)) / 4)"),0.0)</f>
        <v>0</v>
      </c>
      <c r="M16" s="126">
        <f>IFERROR(__xludf.DUMMYFUNCTION("((IFERROR(SUM(FILTER('Fund Data'!$V:$V, 'Fund Data'!$C:$C = $A16, 'Fund Data'!$A:$A = 'Parameters and Distribution Sum'!$C$4 - 1, 'Fund Data'!$B:$B &gt;= 4, 'Fund Data'!$B:$B &lt;= 12)) * 'Parameters and Distribution Sum'!$B$4, 0)) / 4)"),0.0)</f>
        <v>0</v>
      </c>
      <c r="N16" s="126">
        <f>IFERROR(__xludf.DUMMYFUNCTION("((IFERROR(SUM(FILTER('Fund Data'!$V:$V, 'Fund Data'!$C:$C = $A16, 'Fund Data'!$A:$A = 'Parameters and Distribution Sum'!$C$4 - 1, 'Fund Data'!$B:$B &gt;= 4, 'Fund Data'!$B:$B &lt;= 12)) * 'Parameters and Distribution Sum'!$B$4, 0) + IFERROR(SUM(FILTER('Fund Dat"&amp;"a'!$V:$V, 'Fund Data'!$C:$C = $A16, 'Fund Data'!$A:$A = 'Parameters and Distribution Sum'!$C$4, 'Fund Data'!$B:$B &lt;= 3)) * 'Parameters and Distribution Sum'!$B$4, 0)) / 4)"),0.0)</f>
        <v>0</v>
      </c>
      <c r="O16" s="127">
        <f>IFERROR(__xludf.DUMMYFUNCTION("((IFERROR(SUM(FILTER('Fund Data'!$V:$V, 'Fund Data'!$C:$C = $A16, 'Fund Data'!$A:$A = 'Parameters and Distribution Sum'!$C$4 - 2, 'Fund Data'!$B:$B &gt;= 4)) * 'Parameters and Distribution Sum'!$B$4,0) + IFERROR(SUM(FILTER('Fund Data'!$V:$V, 'Fund Data'!$C:$"&amp;"C = $A16, 'Fund Data'!$A:$A = 'Parameters and Distribution Sum'!$C$4 - 1, 'Fund Data'!$B:$B &lt;= 3)) * 'Parameters and Distribution Sum'!$B$4,0)))"),0.0)</f>
        <v>0</v>
      </c>
      <c r="P16" s="127">
        <f>IFERROR(__xludf.DUMMYFUNCTION("IFERROR(FILTER('Fund Data'!$AE:$AE,'Fund Data'!$C:$C = $A16,'Fund Data'!$A:$A = ('Parameters and Distribution Sum'!$C$4 - 1), 'Fund Data'!$B:$B = 12),0)"),0.0)</f>
        <v>0</v>
      </c>
      <c r="Q16" s="128">
        <f t="shared" si="3"/>
        <v>8740.264963</v>
      </c>
      <c r="R16" s="129"/>
    </row>
    <row r="17">
      <c r="A17" s="36" t="s">
        <v>51</v>
      </c>
      <c r="B17" s="38" t="str">
        <f>IFERROR(__xludf.DUMMYFUNCTION("FILTER('Endowed Funds'!$C:$C,'Endowed Funds'!$B:$B = $A17)")," Education ")</f>
        <v>Education</v>
      </c>
      <c r="C17" s="39">
        <f>IFERROR(__xludf.DUMMYFUNCTION("IFERROR(sum(FILTER('Fund Data'!$D:$D, 'Fund Data'!$C:$C = $A17, 'Fund Data'!$A:$A &lt;= ('Parameters and Distribution Sum'!$C$4 - 2), 'Fund Data'!$B:$B = 12)),0)"),155000.0)</f>
        <v>155000</v>
      </c>
      <c r="D17" s="52">
        <f t="array" ref="D17">INDEX('Fund YTD Target Values'!$1:$1000, MATCH($A17,'Fund YTD Target Values'!$A:$A,0), MATCH('Parameters and Distribution Sum'!$C$4 - 2,'Fund YTD Target Values'!$1:$1,0))</f>
        <v>165832.7472</v>
      </c>
      <c r="E17" s="39">
        <f>IFERROR(__xludf.DUMMYFUNCTION("IFERROR(FILTER('Fund Data'!$P:$P,'Fund Data'!$C:$C = $A17,'Fund Data'!$A:$A = ('Parameters and Distribution Sum'!$C$4 - 2), 'Fund Data'!$B:$B = 12) - FILTER('Fund Data'!$AE:$AE,'Fund Data'!$C:$C = $A17,'Fund Data'!$A:$A = ('Parameters and Distribution Sum"&amp;"'!$C$4 - 2), 'Fund Data'!$B:$B = 12),0)"),179723.26000000004)</f>
        <v>179723.26</v>
      </c>
      <c r="F17" s="38">
        <f t="shared" si="1"/>
        <v>13890.51279</v>
      </c>
      <c r="G17" s="40">
        <f>IFERROR(__xludf.DUMMYFUNCTION("IF('Parameters and Distribution Sum'!$C$4 = 2019, FILTER('Fund Data'!$Y:$Y, 'Fund Data'!$C:$C = $A17, 'Fund Data'!$A:$A = 'Parameters and Distribution Sum'!$C$4 - 1, 'Fund Data'!$B:$B = 12) + FILTER('Fund Data'!$AA:$AA, 'Fund Data'!$C:$C = $A17, 'Fund Dat"&amp;"a'!$A:$A = 'Parameters and Distribution Sum'!$C$4 - 1, 'Fund Data'!$B:$B = 12),((FILTER('Fund Data'!$Y:$Y, 'Fund Data'!$C:$C = $A17, 'Fund Data'!$A:$A = 'Parameters and Distribution Sum'!$C$4 - 2, 'Fund Data'!$B:$B = 12) + FILTER('Fund Data'!$AA:$AA, 'Fun"&amp;"d Data'!$C:$C = $A17,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$A17, 'Fund Data'!$A:$A = ('Parameters and Distribution Sum'!$C$4 - 3), 'Fund Data'!$B:$B = 12) - SUM(FILTER('Fund Data'!$V:$V, 'Fund Data'!$C:$C = $A17, 'Fund Data'!$A:$A = ('Parameters an"&amp;"d Distribution Sum'!$C$4 - 3), 'Fund Data'!$B:$B &gt; 3)))  * 'Parameters and Distribution Sum'!$B$4 * (1 - 'Parameters and Distribution Sum'!$A$4)) + ((SUM(FILTER('Fund Data'!$V:$V, 'Fund Data'!$C:$C = $A17, 'Fund Data'!$A:$A = 'Parameters and Distribution "&amp;"Sum'!$C$4 - 3, 'Fund Data'!$B:$B &gt;= 4)) + SUM(FILTER('Fund Data'!$V:$V, 'Fund Data'!$C:$C = $A17, 'Fund Data'!$A:$A = 'Parameters and Distribution Sum'!$C$4 - 2, 'Fund Data'!$B:$B &lt;= 3))) * 'Parameters and Distribution Sum'!$B$4))"),7462.473624336669)</f>
        <v>7462.473624</v>
      </c>
      <c r="H17" s="41">
        <f>IFERROR(__xludf.DUMMYFUNCTION("IFERROR(($G17 * (1 + AVERAGE(FILTER('Inflation Data'!$C:$C,'Inflation Data'!$A:$A = ('Parameters and Distribution Sum'!$C$4 - 2)))) * 'Parameters and Distribution Sum'!$A$4),0)"),5335.081378121052)</f>
        <v>5335.081378</v>
      </c>
      <c r="I17" s="41">
        <f>IFERROR(__xludf.DUMMYFUNCTION("IF('Parameters and Distribution Sum'!$C$4 = 2019,IFERROR((IFERROR(FILTER('Fund Data'!$P:$P,'Fund Data'!$C:$C = $A17,'Fund Data'!$A:$A = ('Parameters and Distribution Sum'!$C$4 - 2), 'Fund Data'!$B:$B = 12),0) - SUM(FILTER('Fund Data'!$V:$V, 'Fund Data'!$C"&amp;":$C = $A17, 'Fund Data'!$A:$A = ('Parameters and Distribution Sum'!$C$4 - 2), 'Fund Data'!$B:$B &gt; 3)))  * 'Parameters and Distribution Sum'!$B$4 * (1 - 'Parameters and Distribution Sum'!$A$4),0), ($E17  - SUM(FILTER('Fund Data'!$V:$V, 'Fund Data'!$C:$C = "&amp;"$A17, 'Fund Data'!$A:$A = ('Parameters and Distribution Sum'!$C$4 - 2), 'Fund Data'!$B:$B &gt; 3)))  * 'Parameters and Distribution Sum'!$B$4 * (1 - 'Parameters and Distribution Sum'!$A$4))"),2223.764010000001)</f>
        <v>2223.76401</v>
      </c>
      <c r="J17" s="125">
        <f t="shared" si="2"/>
        <v>7558.845388</v>
      </c>
      <c r="K17" s="126">
        <f>IFERROR(__xludf.DUMMYFUNCTION("((IFERROR(SUM(FILTER('Fund Data'!$V:$V, 'Fund Data'!$C:$C = $A17, 'Fund Data'!$A:$A = 'Parameters and Distribution Sum'!$C$4 - 1, 'Fund Data'!$B:$B &gt;= 4, 'Fund Data'!$B:$B &lt;= 6)) * 'Parameters and Distribution Sum'!$B$4, 0)) / 4)"),0.0)</f>
        <v>0</v>
      </c>
      <c r="L17" s="126">
        <f>IFERROR(__xludf.DUMMYFUNCTION("((IFERROR(SUM(FILTER('Fund Data'!$V:$V, 'Fund Data'!$C:$C = $A17, 'Fund Data'!$A:$A = 'Parameters and Distribution Sum'!$C$4 - 1, 'Fund Data'!$B:$B &gt;= 4, 'Fund Data'!$B:$B &lt;= 9)) * 'Parameters and Distribution Sum'!$B$4, 0)) / 4)"),168.75)</f>
        <v>168.75</v>
      </c>
      <c r="M17" s="126">
        <f>IFERROR(__xludf.DUMMYFUNCTION("((IFERROR(SUM(FILTER('Fund Data'!$V:$V, 'Fund Data'!$C:$C = $A17, 'Fund Data'!$A:$A = 'Parameters and Distribution Sum'!$C$4 - 1, 'Fund Data'!$B:$B &gt;= 4, 'Fund Data'!$B:$B &lt;= 12)) * 'Parameters and Distribution Sum'!$B$4, 0)) / 4)"),168.75)</f>
        <v>168.75</v>
      </c>
      <c r="N17" s="126">
        <f>IFERROR(__xludf.DUMMYFUNCTION("((IFERROR(SUM(FILTER('Fund Data'!$V:$V, 'Fund Data'!$C:$C = $A17, 'Fund Data'!$A:$A = 'Parameters and Distribution Sum'!$C$4 - 1, 'Fund Data'!$B:$B &gt;= 4, 'Fund Data'!$B:$B &lt;= 12)) * 'Parameters and Distribution Sum'!$B$4, 0) + IFERROR(SUM(FILTER('Fund Dat"&amp;"a'!$V:$V, 'Fund Data'!$C:$C = $A17, 'Fund Data'!$A:$A = 'Parameters and Distribution Sum'!$C$4, 'Fund Data'!$B:$B &lt;= 3)) * 'Parameters and Distribution Sum'!$B$4, 0)) / 4)"),168.75)</f>
        <v>168.75</v>
      </c>
      <c r="O17" s="127">
        <f>IFERROR(__xludf.DUMMYFUNCTION("((IFERROR(SUM(FILTER('Fund Data'!$V:$V, 'Fund Data'!$C:$C = $A17, 'Fund Data'!$A:$A = 'Parameters and Distribution Sum'!$C$4 - 2, 'Fund Data'!$B:$B &gt;= 4)) * 'Parameters and Distribution Sum'!$B$4,0) + IFERROR(SUM(FILTER('Fund Data'!$V:$V, 'Fund Data'!$C:$"&amp;"C = $A17, 'Fund Data'!$A:$A = 'Parameters and Distribution Sum'!$C$4 - 1, 'Fund Data'!$B:$B &lt;= 3)) * 'Parameters and Distribution Sum'!$B$4,0)))"),675.0)</f>
        <v>675</v>
      </c>
      <c r="P17" s="127">
        <f>IFERROR(__xludf.DUMMYFUNCTION("IFERROR(FILTER('Fund Data'!$AE:$AE,'Fund Data'!$C:$C = $A17,'Fund Data'!$A:$A = ('Parameters and Distribution Sum'!$C$4 - 1), 'Fund Data'!$B:$B = 12),0)"),0.0)</f>
        <v>0</v>
      </c>
      <c r="Q17" s="128">
        <f t="shared" si="3"/>
        <v>8740.095388</v>
      </c>
      <c r="R17" s="129"/>
    </row>
    <row r="18">
      <c r="A18" s="36" t="s">
        <v>71</v>
      </c>
      <c r="B18" s="38" t="str">
        <f>IFERROR(__xludf.DUMMYFUNCTION("FILTER('Endowed Funds'!$C:$C,'Endowed Funds'!$B:$B = $A18)")," Research Institute ")</f>
        <v>Research Institute</v>
      </c>
      <c r="C18" s="39">
        <f>IFERROR(__xludf.DUMMYFUNCTION("IFERROR(sum(FILTER('Fund Data'!$D:$D, 'Fund Data'!$C:$C = $A18, 'Fund Data'!$A:$A &lt;= ('Parameters and Distribution Sum'!$C$4 - 2), 'Fund Data'!$B:$B = 12)),0)"),185189.56)</f>
        <v>185189.56</v>
      </c>
      <c r="D18" s="52">
        <f t="array" ref="D18">INDEX('Fund YTD Target Values'!$1:$1000, MATCH($A18,'Fund YTD Target Values'!$A:$A,0), MATCH('Parameters and Distribution Sum'!$C$4 - 2,'Fund YTD Target Values'!$1:$1,0))</f>
        <v>212473.6146</v>
      </c>
      <c r="E18" s="39">
        <f>IFERROR(__xludf.DUMMYFUNCTION("IFERROR(FILTER('Fund Data'!$P:$P,'Fund Data'!$C:$C = $A18,'Fund Data'!$A:$A = ('Parameters and Distribution Sum'!$C$4 - 2), 'Fund Data'!$B:$B = 12) - FILTER('Fund Data'!$AE:$AE,'Fund Data'!$C:$C = $A18,'Fund Data'!$A:$A = ('Parameters and Distribution Sum"&amp;"'!$C$4 - 2), 'Fund Data'!$B:$B = 12),0)"),215464.11000000004)</f>
        <v>215464.11</v>
      </c>
      <c r="F18" s="38">
        <f t="shared" si="1"/>
        <v>2990.495358</v>
      </c>
      <c r="G18" s="40">
        <f>IFERROR(__xludf.DUMMYFUNCTION("IF('Parameters and Distribution Sum'!$C$4 = 2019, FILTER('Fund Data'!$Y:$Y, 'Fund Data'!$C:$C = $A18, 'Fund Data'!$A:$A = 'Parameters and Distribution Sum'!$C$4 - 1, 'Fund Data'!$B:$B = 12) + FILTER('Fund Data'!$AA:$AA, 'Fund Data'!$C:$C = $A18, 'Fund Dat"&amp;"a'!$A:$A = 'Parameters and Distribution Sum'!$C$4 - 1, 'Fund Data'!$B:$B = 12),((FILTER('Fund Data'!$Y:$Y, 'Fund Data'!$C:$C = $A18, 'Fund Data'!$A:$A = 'Parameters and Distribution Sum'!$C$4 - 2, 'Fund Data'!$B:$B = 12) + FILTER('Fund Data'!$AA:$AA, 'Fun"&amp;"d Data'!$C:$C = $A18,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$A18, 'Fund Data'!$A:$A = ('Parameters and Distribution Sum'!$C$4 - 3), 'Fund Data'!$B:$B = 12) - SUM(FILTER('Fund Data'!$V:$V, 'Fund Data'!$C:$C = $A18, 'Fund Data'!$A:$A = ('Parameters an"&amp;"d Distribution Sum'!$C$4 - 3), 'Fund Data'!$B:$B &gt; 3)))  * 'Parameters and Distribution Sum'!$B$4 * (1 - 'Parameters and Distribution Sum'!$A$4)) + ((SUM(FILTER('Fund Data'!$V:$V, 'Fund Data'!$C:$C = $A18, 'Fund Data'!$A:$A = 'Parameters and Distribution "&amp;"Sum'!$C$4 - 3, 'Fund Data'!$B:$B &gt;= 4)) + SUM(FILTER('Fund Data'!$V:$V, 'Fund Data'!$C:$C = $A18, 'Fund Data'!$A:$A = 'Parameters and Distribution Sum'!$C$4 - 2, 'Fund Data'!$B:$B &lt;= 3))) * 'Parameters and Distribution Sum'!$B$4))"),10461.312658903416)</f>
        <v>10461.31266</v>
      </c>
      <c r="H18" s="41">
        <f>IFERROR(__xludf.DUMMYFUNCTION("IFERROR(($G18 * (1 + AVERAGE(FILTER('Inflation Data'!$C:$C,'Inflation Data'!$A:$A = ('Parameters and Distribution Sum'!$C$4 - 2)))) * 'Parameters and Distribution Sum'!$A$4),0)"),7479.015292624062)</f>
        <v>7479.015293</v>
      </c>
      <c r="I18" s="41">
        <f>IFERROR(__xludf.DUMMYFUNCTION("IF('Parameters and Distribution Sum'!$C$4 = 2019,IFERROR((IFERROR(FILTER('Fund Data'!$P:$P,'Fund Data'!$C:$C = $A18,'Fund Data'!$A:$A = ('Parameters and Distribution Sum'!$C$4 - 2), 'Fund Data'!$B:$B = 12),0) - SUM(FILTER('Fund Data'!$V:$V, 'Fund Data'!$C"&amp;":$C = $A18, 'Fund Data'!$A:$A = ('Parameters and Distribution Sum'!$C$4 - 2), 'Fund Data'!$B:$B &gt; 3)))  * 'Parameters and Distribution Sum'!$B$4 * (1 - 'Parameters and Distribution Sum'!$A$4),0), ($E18  - SUM(FILTER('Fund Data'!$V:$V, 'Fund Data'!$C:$C = "&amp;"$A18, 'Fund Data'!$A:$A = ('Parameters and Distribution Sum'!$C$4 - 2), 'Fund Data'!$B:$B &gt; 3)))  * 'Parameters and Distribution Sum'!$B$4 * (1 - 'Parameters and Distribution Sum'!$A$4))"),2908.765485000001)</f>
        <v>2908.765485</v>
      </c>
      <c r="J18" s="125">
        <f t="shared" si="2"/>
        <v>10387.78078</v>
      </c>
      <c r="K18" s="126">
        <f>IFERROR(__xludf.DUMMYFUNCTION("((IFERROR(SUM(FILTER('Fund Data'!$V:$V, 'Fund Data'!$C:$C = $A18, 'Fund Data'!$A:$A = 'Parameters and Distribution Sum'!$C$4 - 1, 'Fund Data'!$B:$B &gt;= 4, 'Fund Data'!$B:$B &lt;= 6)) * 'Parameters and Distribution Sum'!$B$4, 0)) / 4)"),0.0)</f>
        <v>0</v>
      </c>
      <c r="L18" s="126">
        <f>IFERROR(__xludf.DUMMYFUNCTION("((IFERROR(SUM(FILTER('Fund Data'!$V:$V, 'Fund Data'!$C:$C = $A18, 'Fund Data'!$A:$A = 'Parameters and Distribution Sum'!$C$4 - 1, 'Fund Data'!$B:$B &gt;= 4, 'Fund Data'!$B:$B &lt;= 9)) * 'Parameters and Distribution Sum'!$B$4, 0)) / 4)"),0.0)</f>
        <v>0</v>
      </c>
      <c r="M18" s="126">
        <f>IFERROR(__xludf.DUMMYFUNCTION("((IFERROR(SUM(FILTER('Fund Data'!$V:$V, 'Fund Data'!$C:$C = $A18, 'Fund Data'!$A:$A = 'Parameters and Distribution Sum'!$C$4 - 1, 'Fund Data'!$B:$B &gt;= 4, 'Fund Data'!$B:$B &lt;= 12)) * 'Parameters and Distribution Sum'!$B$4, 0)) / 4)"),0.0)</f>
        <v>0</v>
      </c>
      <c r="N18" s="126">
        <f>IFERROR(__xludf.DUMMYFUNCTION("((IFERROR(SUM(FILTER('Fund Data'!$V:$V, 'Fund Data'!$C:$C = $A18, 'Fund Data'!$A:$A = 'Parameters and Distribution Sum'!$C$4 - 1, 'Fund Data'!$B:$B &gt;= 4, 'Fund Data'!$B:$B &lt;= 12)) * 'Parameters and Distribution Sum'!$B$4, 0) + IFERROR(SUM(FILTER('Fund Dat"&amp;"a'!$V:$V, 'Fund Data'!$C:$C = $A18, 'Fund Data'!$A:$A = 'Parameters and Distribution Sum'!$C$4, 'Fund Data'!$B:$B &lt;= 3)) * 'Parameters and Distribution Sum'!$B$4, 0)) / 4)"),0.0)</f>
        <v>0</v>
      </c>
      <c r="O18" s="127">
        <f>IFERROR(__xludf.DUMMYFUNCTION("((IFERROR(SUM(FILTER('Fund Data'!$V:$V, 'Fund Data'!$C:$C = $A18, 'Fund Data'!$A:$A = 'Parameters and Distribution Sum'!$C$4 - 2, 'Fund Data'!$B:$B &gt;= 4)) * 'Parameters and Distribution Sum'!$B$4,0) + IFERROR(SUM(FILTER('Fund Data'!$V:$V, 'Fund Data'!$C:$"&amp;"C = $A18, 'Fund Data'!$A:$A = 'Parameters and Distribution Sum'!$C$4 - 1, 'Fund Data'!$B:$B &lt;= 3)) * 'Parameters and Distribution Sum'!$B$4,0)))"),0.0)</f>
        <v>0</v>
      </c>
      <c r="P18" s="127">
        <f>IFERROR(__xludf.DUMMYFUNCTION("IFERROR(FILTER('Fund Data'!$AE:$AE,'Fund Data'!$C:$C = $A18,'Fund Data'!$A:$A = ('Parameters and Distribution Sum'!$C$4 - 1), 'Fund Data'!$B:$B = 12),0)"),0.0)</f>
        <v>0</v>
      </c>
      <c r="Q18" s="128">
        <f t="shared" si="3"/>
        <v>10387.78078</v>
      </c>
      <c r="R18" s="129"/>
    </row>
    <row r="19">
      <c r="A19" s="36" t="s">
        <v>32</v>
      </c>
      <c r="B19" s="38" t="str">
        <f>IFERROR(__xludf.DUMMYFUNCTION("FILTER('Endowed Funds'!$C:$C,'Endowed Funds'!$B:$B = $A19)")," Archaeology ")</f>
        <v>Archaeology</v>
      </c>
      <c r="C19" s="39">
        <f>IFERROR(__xludf.DUMMYFUNCTION("IFERROR(sum(FILTER('Fund Data'!$D:$D, 'Fund Data'!$C:$C = $A19, 'Fund Data'!$A:$A &lt;= ('Parameters and Distribution Sum'!$C$4 - 2), 'Fund Data'!$B:$B = 12)),0)"),49449.04)</f>
        <v>49449.04</v>
      </c>
      <c r="D19" s="52">
        <f t="array" ref="D19">INDEX('Fund YTD Target Values'!$1:$1000, MATCH($A19,'Fund YTD Target Values'!$A:$A,0), MATCH('Parameters and Distribution Sum'!$C$4 - 2,'Fund YTD Target Values'!$1:$1,0))</f>
        <v>77291.136</v>
      </c>
      <c r="E19" s="39">
        <f>IFERROR(__xludf.DUMMYFUNCTION("IFERROR(FILTER('Fund Data'!$P:$P,'Fund Data'!$C:$C = $A19,'Fund Data'!$A:$A = ('Parameters and Distribution Sum'!$C$4 - 2), 'Fund Data'!$B:$B = 12) - FILTER('Fund Data'!$AE:$AE,'Fund Data'!$C:$C = $A19,'Fund Data'!$A:$A = ('Parameters and Distribution Sum"&amp;"'!$C$4 - 2), 'Fund Data'!$B:$B = 12),0)"),53430.82)</f>
        <v>53430.82</v>
      </c>
      <c r="F19" s="38">
        <f t="shared" si="1"/>
        <v>-23860.316</v>
      </c>
      <c r="G19" s="40">
        <f>IFERROR(__xludf.DUMMYFUNCTION("IF('Parameters and Distribution Sum'!$C$4 = 2019, FILTER('Fund Data'!$Y:$Y, 'Fund Data'!$C:$C = $A19, 'Fund Data'!$A:$A = 'Parameters and Distribution Sum'!$C$4 - 1, 'Fund Data'!$B:$B = 12) + FILTER('Fund Data'!$AA:$AA, 'Fund Data'!$C:$C = $A19, 'Fund Dat"&amp;"a'!$A:$A = 'Parameters and Distribution Sum'!$C$4 - 1, 'Fund Data'!$B:$B = 12),((FILTER('Fund Data'!$Y:$Y, 'Fund Data'!$C:$C = $A19, 'Fund Data'!$A:$A = 'Parameters and Distribution Sum'!$C$4 - 2, 'Fund Data'!$B:$B = 12) + FILTER('Fund Data'!$AA:$AA, 'Fun"&amp;"d Data'!$C:$C = $A19,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$A19, 'Fund Data'!$A:$A = ('Parameters and Distribution Sum'!$C$4 - 3), 'Fund Data'!$B:$B = 12) - SUM(FILTER('Fund Data'!$V:$V, 'Fund Data'!$C:$C = $A19, 'Fund Data'!$A:$A = ('Parameters an"&amp;"d Distribution Sum'!$C$4 - 3), 'Fund Data'!$B:$B &gt; 3)))  * 'Parameters and Distribution Sum'!$B$4 * (1 - 'Parameters and Distribution Sum'!$A$4)) + ((SUM(FILTER('Fund Data'!$V:$V, 'Fund Data'!$C:$C = $A19, 'Fund Data'!$A:$A = 'Parameters and Distribution "&amp;"Sum'!$C$4 - 3, 'Fund Data'!$B:$B &gt;= 4)) + SUM(FILTER('Fund Data'!$V:$V, 'Fund Data'!$C:$C = $A19, 'Fund Data'!$A:$A = 'Parameters and Distribution Sum'!$C$4 - 2, 'Fund Data'!$B:$B &lt;= 3))) * 'Parameters and Distribution Sum'!$B$4))"),2404.3869000000013)</f>
        <v>2404.3869</v>
      </c>
      <c r="H19" s="41">
        <f>IFERROR(__xludf.DUMMYFUNCTION("IFERROR(($G19 * (1 + AVERAGE(FILTER('Inflation Data'!$C:$C,'Inflation Data'!$A:$A = ('Parameters and Distribution Sum'!$C$4 - 2)))) * 'Parameters and Distribution Sum'!$A$4),0)"),1718.9474190106023)</f>
        <v>1718.947419</v>
      </c>
      <c r="I19" s="41">
        <f>IFERROR(__xludf.DUMMYFUNCTION("IF('Parameters and Distribution Sum'!$C$4 = 2019,IFERROR((IFERROR(FILTER('Fund Data'!$P:$P,'Fund Data'!$C:$C = $A19,'Fund Data'!$A:$A = ('Parameters and Distribution Sum'!$C$4 - 2), 'Fund Data'!$B:$B = 12),0) - SUM(FILTER('Fund Data'!$V:$V, 'Fund Data'!$C"&amp;":$C = $A19, 'Fund Data'!$A:$A = ('Parameters and Distribution Sum'!$C$4 - 2), 'Fund Data'!$B:$B &gt; 3)))  * 'Parameters and Distribution Sum'!$B$4 * (1 - 'Parameters and Distribution Sum'!$A$4),0), ($E19  - SUM(FILTER('Fund Data'!$V:$V, 'Fund Data'!$C:$C = "&amp;"$A19, 'Fund Data'!$A:$A = ('Parameters and Distribution Sum'!$C$4 - 2), 'Fund Data'!$B:$B &gt; 3)))  * 'Parameters and Distribution Sum'!$B$4 * (1 - 'Parameters and Distribution Sum'!$A$4))"),721.3160700000001)</f>
        <v>721.31607</v>
      </c>
      <c r="J19" s="125">
        <f t="shared" si="2"/>
        <v>2440.263489</v>
      </c>
      <c r="K19" s="126">
        <f>IFERROR(__xludf.DUMMYFUNCTION("((IFERROR(SUM(FILTER('Fund Data'!$V:$V, 'Fund Data'!$C:$C = $A19, 'Fund Data'!$A:$A = 'Parameters and Distribution Sum'!$C$4 - 1, 'Fund Data'!$B:$B &gt;= 4, 'Fund Data'!$B:$B &lt;= 6)) * 'Parameters and Distribution Sum'!$B$4, 0)) / 4)"),0.0)</f>
        <v>0</v>
      </c>
      <c r="L19" s="126">
        <f>IFERROR(__xludf.DUMMYFUNCTION("((IFERROR(SUM(FILTER('Fund Data'!$V:$V, 'Fund Data'!$C:$C = $A19, 'Fund Data'!$A:$A = 'Parameters and Distribution Sum'!$C$4 - 1, 'Fund Data'!$B:$B &gt;= 4, 'Fund Data'!$B:$B &lt;= 9)) * 'Parameters and Distribution Sum'!$B$4, 0)) / 4)"),0.0)</f>
        <v>0</v>
      </c>
      <c r="M19" s="126">
        <f>IFERROR(__xludf.DUMMYFUNCTION("((IFERROR(SUM(FILTER('Fund Data'!$V:$V, 'Fund Data'!$C:$C = $A19, 'Fund Data'!$A:$A = 'Parameters and Distribution Sum'!$C$4 - 1, 'Fund Data'!$B:$B &gt;= 4, 'Fund Data'!$B:$B &lt;= 12)) * 'Parameters and Distribution Sum'!$B$4, 0)) / 4)"),0.0)</f>
        <v>0</v>
      </c>
      <c r="N19" s="126">
        <f>IFERROR(__xludf.DUMMYFUNCTION("((IFERROR(SUM(FILTER('Fund Data'!$V:$V, 'Fund Data'!$C:$C = $A19, 'Fund Data'!$A:$A = 'Parameters and Distribution Sum'!$C$4 - 1, 'Fund Data'!$B:$B &gt;= 4, 'Fund Data'!$B:$B &lt;= 12)) * 'Parameters and Distribution Sum'!$B$4, 0) + IFERROR(SUM(FILTER('Fund Dat"&amp;"a'!$V:$V, 'Fund Data'!$C:$C = $A19, 'Fund Data'!$A:$A = 'Parameters and Distribution Sum'!$C$4, 'Fund Data'!$B:$B &lt;= 3)) * 'Parameters and Distribution Sum'!$B$4, 0)) / 4)"),0.0)</f>
        <v>0</v>
      </c>
      <c r="O19" s="127">
        <f>IFERROR(__xludf.DUMMYFUNCTION("((IFERROR(SUM(FILTER('Fund Data'!$V:$V, 'Fund Data'!$C:$C = $A19, 'Fund Data'!$A:$A = 'Parameters and Distribution Sum'!$C$4 - 2, 'Fund Data'!$B:$B &gt;= 4)) * 'Parameters and Distribution Sum'!$B$4,0) + IFERROR(SUM(FILTER('Fund Data'!$V:$V, 'Fund Data'!$C:$"&amp;"C = $A19, 'Fund Data'!$A:$A = 'Parameters and Distribution Sum'!$C$4 - 1, 'Fund Data'!$B:$B &lt;= 3)) * 'Parameters and Distribution Sum'!$B$4,0)))"),0.0)</f>
        <v>0</v>
      </c>
      <c r="P19" s="127">
        <f>IFERROR(__xludf.DUMMYFUNCTION("IFERROR(FILTER('Fund Data'!$AE:$AE,'Fund Data'!$C:$C = $A19,'Fund Data'!$A:$A = ('Parameters and Distribution Sum'!$C$4 - 1), 'Fund Data'!$B:$B = 12),0)"),0.0)</f>
        <v>0</v>
      </c>
      <c r="Q19" s="128">
        <f t="shared" si="3"/>
        <v>2440.263489</v>
      </c>
      <c r="R19" s="129"/>
    </row>
    <row r="20">
      <c r="A20" s="36" t="s">
        <v>54</v>
      </c>
      <c r="B20" s="38" t="str">
        <f>IFERROR(__xludf.DUMMYFUNCTION("FILTER('Endowed Funds'!$C:$C,'Endowed Funds'!$B:$B = $A20)")," Education ")</f>
        <v>Education</v>
      </c>
      <c r="C20" s="39">
        <f>IFERROR(__xludf.DUMMYFUNCTION("IFERROR(sum(FILTER('Fund Data'!$D:$D, 'Fund Data'!$C:$C = $A20, 'Fund Data'!$A:$A &lt;= ('Parameters and Distribution Sum'!$C$4 - 2), 'Fund Data'!$B:$B = 12)),0)"),129703.74)</f>
        <v>129703.74</v>
      </c>
      <c r="D20" s="52">
        <f t="array" ref="D20">INDEX('Fund YTD Target Values'!$1:$1000, MATCH($A20,'Fund YTD Target Values'!$A:$A,0), MATCH('Parameters and Distribution Sum'!$C$4 - 2,'Fund YTD Target Values'!$1:$1,0))</f>
        <v>157515.3664</v>
      </c>
      <c r="E20" s="39">
        <f>IFERROR(__xludf.DUMMYFUNCTION("IFERROR(FILTER('Fund Data'!$P:$P,'Fund Data'!$C:$C = $A20,'Fund Data'!$A:$A = ('Parameters and Distribution Sum'!$C$4 - 2), 'Fund Data'!$B:$B = 12) - FILTER('Fund Data'!$AE:$AE,'Fund Data'!$C:$C = $A20,'Fund Data'!$A:$A = ('Parameters and Distribution Sum"&amp;"'!$C$4 - 2), 'Fund Data'!$B:$B = 12),0)"),154812.71)</f>
        <v>154812.71</v>
      </c>
      <c r="F20" s="38">
        <f t="shared" si="1"/>
        <v>-2702.656363</v>
      </c>
      <c r="G20" s="40">
        <f>IFERROR(__xludf.DUMMYFUNCTION("IF('Parameters and Distribution Sum'!$C$4 = 2019, FILTER('Fund Data'!$Y:$Y, 'Fund Data'!$C:$C = $A20, 'Fund Data'!$A:$A = 'Parameters and Distribution Sum'!$C$4 - 1, 'Fund Data'!$B:$B = 12) + FILTER('Fund Data'!$AA:$AA, 'Fund Data'!$C:$C = $A20, 'Fund Dat"&amp;"a'!$A:$A = 'Parameters and Distribution Sum'!$C$4 - 1, 'Fund Data'!$B:$B = 12),((FILTER('Fund Data'!$Y:$Y, 'Fund Data'!$C:$C = $A20, 'Fund Data'!$A:$A = 'Parameters and Distribution Sum'!$C$4 - 2, 'Fund Data'!$B:$B = 12) + FILTER('Fund Data'!$AA:$AA, 'Fun"&amp;"d Data'!$C:$C = $A20,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$A20, 'Fund Data'!$A:$A = ('Parameters and Distribution Sum'!$C$4 - 3), 'Fund Data'!$B:$B = 12) - SUM(FILTER('Fund Data'!$V:$V, 'Fund Data'!$C:$C = $A20, 'Fund Data'!$A:$A = ('Parameters an"&amp;"d Distribution Sum'!$C$4 - 3), 'Fund Data'!$B:$B &gt; 3)))  * 'Parameters and Distribution Sum'!$B$4 * (1 - 'Parameters and Distribution Sum'!$A$4)) + ((SUM(FILTER('Fund Data'!$V:$V, 'Fund Data'!$C:$C = $A20, 'Fund Data'!$A:$A = 'Parameters and Distribution "&amp;"Sum'!$C$4 - 3, 'Fund Data'!$B:$B &gt;= 4)) + SUM(FILTER('Fund Data'!$V:$V, 'Fund Data'!$C:$C = $A20, 'Fund Data'!$A:$A = 'Parameters and Distribution Sum'!$C$4 - 2, 'Fund Data'!$B:$B &lt;= 3))) * 'Parameters and Distribution Sum'!$B$4))"),6966.571949999998)</f>
        <v>6966.57195</v>
      </c>
      <c r="H20" s="41">
        <f>IFERROR(__xludf.DUMMYFUNCTION("IFERROR(($G20 * (1 + AVERAGE(FILTER('Inflation Data'!$C:$C,'Inflation Data'!$A:$A = ('Parameters and Distribution Sum'!$C$4 - 2)))) * 'Parameters and Distribution Sum'!$A$4),0)"),4980.550706212943)</f>
        <v>4980.550706</v>
      </c>
      <c r="I20" s="41">
        <f>IFERROR(__xludf.DUMMYFUNCTION("IF('Parameters and Distribution Sum'!$C$4 = 2019,IFERROR((IFERROR(FILTER('Fund Data'!$P:$P,'Fund Data'!$C:$C = $A20,'Fund Data'!$A:$A = ('Parameters and Distribution Sum'!$C$4 - 2), 'Fund Data'!$B:$B = 12),0) - SUM(FILTER('Fund Data'!$V:$V, 'Fund Data'!$C"&amp;":$C = $A20, 'Fund Data'!$A:$A = ('Parameters and Distribution Sum'!$C$4 - 2), 'Fund Data'!$B:$B &gt; 3)))  * 'Parameters and Distribution Sum'!$B$4 * (1 - 'Parameters and Distribution Sum'!$A$4),0), ($E20  - SUM(FILTER('Fund Data'!$V:$V, 'Fund Data'!$C:$C = "&amp;"$A20, 'Fund Data'!$A:$A = ('Parameters and Distribution Sum'!$C$4 - 2), 'Fund Data'!$B:$B &gt; 3)))  * 'Parameters and Distribution Sum'!$B$4 * (1 - 'Parameters and Distribution Sum'!$A$4))"),2089.9715850000002)</f>
        <v>2089.971585</v>
      </c>
      <c r="J20" s="125">
        <f t="shared" si="2"/>
        <v>7070.522291</v>
      </c>
      <c r="K20" s="126">
        <f>IFERROR(__xludf.DUMMYFUNCTION("((IFERROR(SUM(FILTER('Fund Data'!$V:$V, 'Fund Data'!$C:$C = $A20, 'Fund Data'!$A:$A = 'Parameters and Distribution Sum'!$C$4 - 1, 'Fund Data'!$B:$B &gt;= 4, 'Fund Data'!$B:$B &lt;= 6)) * 'Parameters and Distribution Sum'!$B$4, 0)) / 4)"),0.0)</f>
        <v>0</v>
      </c>
      <c r="L20" s="126">
        <f>IFERROR(__xludf.DUMMYFUNCTION("((IFERROR(SUM(FILTER('Fund Data'!$V:$V, 'Fund Data'!$C:$C = $A20, 'Fund Data'!$A:$A = 'Parameters and Distribution Sum'!$C$4 - 1, 'Fund Data'!$B:$B &gt;= 4, 'Fund Data'!$B:$B &lt;= 9)) * 'Parameters and Distribution Sum'!$B$4, 0)) / 4)"),0.0)</f>
        <v>0</v>
      </c>
      <c r="M20" s="126">
        <f>IFERROR(__xludf.DUMMYFUNCTION("((IFERROR(SUM(FILTER('Fund Data'!$V:$V, 'Fund Data'!$C:$C = $A20, 'Fund Data'!$A:$A = 'Parameters and Distribution Sum'!$C$4 - 1, 'Fund Data'!$B:$B &gt;= 4, 'Fund Data'!$B:$B &lt;= 12)) * 'Parameters and Distribution Sum'!$B$4, 0)) / 4)"),0.0)</f>
        <v>0</v>
      </c>
      <c r="N20" s="126">
        <f>IFERROR(__xludf.DUMMYFUNCTION("((IFERROR(SUM(FILTER('Fund Data'!$V:$V, 'Fund Data'!$C:$C = $A20, 'Fund Data'!$A:$A = 'Parameters and Distribution Sum'!$C$4 - 1, 'Fund Data'!$B:$B &gt;= 4, 'Fund Data'!$B:$B &lt;= 12)) * 'Parameters and Distribution Sum'!$B$4, 0) + IFERROR(SUM(FILTER('Fund Dat"&amp;"a'!$V:$V, 'Fund Data'!$C:$C = $A20, 'Fund Data'!$A:$A = 'Parameters and Distribution Sum'!$C$4, 'Fund Data'!$B:$B &lt;= 3)) * 'Parameters and Distribution Sum'!$B$4, 0)) / 4)"),0.0)</f>
        <v>0</v>
      </c>
      <c r="O20" s="127">
        <f>IFERROR(__xludf.DUMMYFUNCTION("((IFERROR(SUM(FILTER('Fund Data'!$V:$V, 'Fund Data'!$C:$C = $A20, 'Fund Data'!$A:$A = 'Parameters and Distribution Sum'!$C$4 - 2, 'Fund Data'!$B:$B &gt;= 4)) * 'Parameters and Distribution Sum'!$B$4,0) + IFERROR(SUM(FILTER('Fund Data'!$V:$V, 'Fund Data'!$C:$"&amp;"C = $A20, 'Fund Data'!$A:$A = 'Parameters and Distribution Sum'!$C$4 - 1, 'Fund Data'!$B:$B &lt;= 3)) * 'Parameters and Distribution Sum'!$B$4,0)))"),0.0)</f>
        <v>0</v>
      </c>
      <c r="P20" s="127">
        <f>IFERROR(__xludf.DUMMYFUNCTION("IFERROR(FILTER('Fund Data'!$AE:$AE,'Fund Data'!$C:$C = $A20,'Fund Data'!$A:$A = ('Parameters and Distribution Sum'!$C$4 - 1), 'Fund Data'!$B:$B = 12),0)"),0.0)</f>
        <v>0</v>
      </c>
      <c r="Q20" s="128">
        <f t="shared" si="3"/>
        <v>7070.522291</v>
      </c>
      <c r="R20" s="129"/>
    </row>
    <row r="21">
      <c r="A21" s="36" t="s">
        <v>72</v>
      </c>
      <c r="B21" s="38" t="str">
        <f>IFERROR(__xludf.DUMMYFUNCTION("FILTER('Endowed Funds'!$C:$C,'Endowed Funds'!$B:$B = $A21)")," Research Institute ")</f>
        <v>Research Institute</v>
      </c>
      <c r="C21" s="39">
        <f>IFERROR(__xludf.DUMMYFUNCTION("IFERROR(sum(FILTER('Fund Data'!$D:$D, 'Fund Data'!$C:$C = $A21, 'Fund Data'!$A:$A &lt;= ('Parameters and Distribution Sum'!$C$4 - 2), 'Fund Data'!$B:$B = 12)),0)"),416423.55)</f>
        <v>416423.55</v>
      </c>
      <c r="D21" s="52">
        <f t="array" ref="D21">INDEX('Fund YTD Target Values'!$1:$1000, MATCH($A21,'Fund YTD Target Values'!$A:$A,0), MATCH('Parameters and Distribution Sum'!$C$4 - 2,'Fund YTD Target Values'!$1:$1,0))</f>
        <v>437835.4209</v>
      </c>
      <c r="E21" s="39">
        <f>IFERROR(__xludf.DUMMYFUNCTION("IFERROR(FILTER('Fund Data'!$P:$P,'Fund Data'!$C:$C = $A21,'Fund Data'!$A:$A = ('Parameters and Distribution Sum'!$C$4 - 2), 'Fund Data'!$B:$B = 12) - FILTER('Fund Data'!$AE:$AE,'Fund Data'!$C:$C = $A21,'Fund Data'!$A:$A = ('Parameters and Distribution Sum"&amp;"'!$C$4 - 2), 'Fund Data'!$B:$B = 12),0)"),485351.92999999993)</f>
        <v>485351.93</v>
      </c>
      <c r="F21" s="38">
        <f t="shared" si="1"/>
        <v>47516.50909</v>
      </c>
      <c r="G21" s="40">
        <f>IFERROR(__xludf.DUMMYFUNCTION("IF('Parameters and Distribution Sum'!$C$4 = 2019, FILTER('Fund Data'!$Y:$Y, 'Fund Data'!$C:$C = $A21, 'Fund Data'!$A:$A = 'Parameters and Distribution Sum'!$C$4 - 1, 'Fund Data'!$B:$B = 12) + FILTER('Fund Data'!$AA:$AA, 'Fund Data'!$C:$C = $A21, 'Fund Dat"&amp;"a'!$A:$A = 'Parameters and Distribution Sum'!$C$4 - 1, 'Fund Data'!$B:$B = 12),((FILTER('Fund Data'!$Y:$Y, 'Fund Data'!$C:$C = $A21, 'Fund Data'!$A:$A = 'Parameters and Distribution Sum'!$C$4 - 2, 'Fund Data'!$B:$B = 12) + FILTER('Fund Data'!$AA:$AA, 'Fun"&amp;"d Data'!$C:$C = $A21,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$A21, 'Fund Data'!$A:$A = ('Parameters and Distribution Sum'!$C$4 - 3), 'Fund Data'!$B:$B = 12) - SUM(FILTER('Fund Data'!$V:$V, 'Fund Data'!$C:$C = $A21, 'Fund Data'!$A:$A = ('Parameters an"&amp;"d Distribution Sum'!$C$4 - 3), 'Fund Data'!$B:$B &gt; 3)))  * 'Parameters and Distribution Sum'!$B$4 * (1 - 'Parameters and Distribution Sum'!$A$4)) + ((SUM(FILTER('Fund Data'!$V:$V, 'Fund Data'!$C:$C = $A21, 'Fund Data'!$A:$A = 'Parameters and Distribution "&amp;"Sum'!$C$4 - 3, 'Fund Data'!$B:$B &gt;= 4)) + SUM(FILTER('Fund Data'!$V:$V, 'Fund Data'!$C:$C = $A21, 'Fund Data'!$A:$A = 'Parameters and Distribution Sum'!$C$4 - 2, 'Fund Data'!$B:$B &lt;= 3))) * 'Parameters and Distribution Sum'!$B$4))"),19666.593940855593)</f>
        <v>19666.59394</v>
      </c>
      <c r="H21" s="41">
        <f>IFERROR(__xludf.DUMMYFUNCTION("IFERROR(($G21 * (1 + AVERAGE(FILTER('Inflation Data'!$C:$C,'Inflation Data'!$A:$A = ('Parameters and Distribution Sum'!$C$4 - 2)))) * 'Parameters and Distribution Sum'!$A$4),0)"),14060.066994776611)</f>
        <v>14060.06699</v>
      </c>
      <c r="I21" s="41">
        <f>IFERROR(__xludf.DUMMYFUNCTION("IF('Parameters and Distribution Sum'!$C$4 = 2019,IFERROR((IFERROR(FILTER('Fund Data'!$P:$P,'Fund Data'!$C:$C = $A21,'Fund Data'!$A:$A = ('Parameters and Distribution Sum'!$C$4 - 2), 'Fund Data'!$B:$B = 12),0) - SUM(FILTER('Fund Data'!$V:$V, 'Fund Data'!$C"&amp;":$C = $A21, 'Fund Data'!$A:$A = ('Parameters and Distribution Sum'!$C$4 - 2), 'Fund Data'!$B:$B &gt; 3)))  * 'Parameters and Distribution Sum'!$B$4 * (1 - 'Parameters and Distribution Sum'!$A$4),0), ($E21  - SUM(FILTER('Fund Data'!$V:$V, 'Fund Data'!$C:$C = "&amp;"$A21, 'Fund Data'!$A:$A = ('Parameters and Distribution Sum'!$C$4 - 2), 'Fund Data'!$B:$B &gt; 3)))  * 'Parameters and Distribution Sum'!$B$4 * (1 - 'Parameters and Distribution Sum'!$A$4))"),6507.7010549999995)</f>
        <v>6507.701055</v>
      </c>
      <c r="J21" s="125">
        <f t="shared" si="2"/>
        <v>20567.76805</v>
      </c>
      <c r="K21" s="126">
        <f>IFERROR(__xludf.DUMMYFUNCTION("((IFERROR(SUM(FILTER('Fund Data'!$V:$V, 'Fund Data'!$C:$C = $A21, 'Fund Data'!$A:$A = 'Parameters and Distribution Sum'!$C$4 - 1, 'Fund Data'!$B:$B &gt;= 4, 'Fund Data'!$B:$B &lt;= 6)) * 'Parameters and Distribution Sum'!$B$4, 0)) / 4)"),0.5625)</f>
        <v>0.5625</v>
      </c>
      <c r="L21" s="126">
        <f>IFERROR(__xludf.DUMMYFUNCTION("((IFERROR(SUM(FILTER('Fund Data'!$V:$V, 'Fund Data'!$C:$C = $A21, 'Fund Data'!$A:$A = 'Parameters and Distribution Sum'!$C$4 - 1, 'Fund Data'!$B:$B &gt;= 4, 'Fund Data'!$B:$B &lt;= 9)) * 'Parameters and Distribution Sum'!$B$4, 0)) / 4)"),28.6875)</f>
        <v>28.6875</v>
      </c>
      <c r="M21" s="126">
        <f>IFERROR(__xludf.DUMMYFUNCTION("((IFERROR(SUM(FILTER('Fund Data'!$V:$V, 'Fund Data'!$C:$C = $A21, 'Fund Data'!$A:$A = 'Parameters and Distribution Sum'!$C$4 - 1, 'Fund Data'!$B:$B &gt;= 4, 'Fund Data'!$B:$B &lt;= 12)) * 'Parameters and Distribution Sum'!$B$4, 0)) / 4)"),28.6875)</f>
        <v>28.6875</v>
      </c>
      <c r="N21" s="126">
        <f>IFERROR(__xludf.DUMMYFUNCTION("((IFERROR(SUM(FILTER('Fund Data'!$V:$V, 'Fund Data'!$C:$C = $A21, 'Fund Data'!$A:$A = 'Parameters and Distribution Sum'!$C$4 - 1, 'Fund Data'!$B:$B &gt;= 4, 'Fund Data'!$B:$B &lt;= 12)) * 'Parameters and Distribution Sum'!$B$4, 0) + IFERROR(SUM(FILTER('Fund Dat"&amp;"a'!$V:$V, 'Fund Data'!$C:$C = $A21, 'Fund Data'!$A:$A = 'Parameters and Distribution Sum'!$C$4, 'Fund Data'!$B:$B &lt;= 3)) * 'Parameters and Distribution Sum'!$B$4, 0)) / 4)"),28.6875)</f>
        <v>28.6875</v>
      </c>
      <c r="O21" s="127">
        <f>IFERROR(__xludf.DUMMYFUNCTION("((IFERROR(SUM(FILTER('Fund Data'!$V:$V, 'Fund Data'!$C:$C = $A21, 'Fund Data'!$A:$A = 'Parameters and Distribution Sum'!$C$4 - 2, 'Fund Data'!$B:$B &gt;= 4)) * 'Parameters and Distribution Sum'!$B$4,0) + IFERROR(SUM(FILTER('Fund Data'!$V:$V, 'Fund Data'!$C:$"&amp;"C = $A21, 'Fund Data'!$A:$A = 'Parameters and Distribution Sum'!$C$4 - 1, 'Fund Data'!$B:$B &lt;= 3)) * 'Parameters and Distribution Sum'!$B$4,0)))"),153.0)</f>
        <v>153</v>
      </c>
      <c r="P21" s="127">
        <f>IFERROR(__xludf.DUMMYFUNCTION("IFERROR(FILTER('Fund Data'!$AE:$AE,'Fund Data'!$C:$C = $A21,'Fund Data'!$A:$A = ('Parameters and Distribution Sum'!$C$4 - 1), 'Fund Data'!$B:$B = 12),0)"),14700.0)</f>
        <v>14700</v>
      </c>
      <c r="Q21" s="128">
        <f t="shared" si="3"/>
        <v>35507.39305</v>
      </c>
      <c r="R21" s="129"/>
    </row>
    <row r="22">
      <c r="A22" s="36" t="s">
        <v>68</v>
      </c>
      <c r="B22" s="38" t="str">
        <f>IFERROR(__xludf.DUMMYFUNCTION("FILTER('Endowed Funds'!$C:$C,'Endowed Funds'!$B:$B = $A22)")," General Operations ")</f>
        <v>General Operations</v>
      </c>
      <c r="C22" s="39">
        <f>IFERROR(__xludf.DUMMYFUNCTION("IFERROR(sum(FILTER('Fund Data'!$D:$D, 'Fund Data'!$C:$C = $A22, 'Fund Data'!$A:$A &lt;= ('Parameters and Distribution Sum'!$C$4 - 2), 'Fund Data'!$B:$B = 12)),0)"),1183929.39)</f>
        <v>1183929.39</v>
      </c>
      <c r="D22" s="52">
        <f t="array" ref="D22">INDEX('Fund YTD Target Values'!$1:$1000, MATCH($A22,'Fund YTD Target Values'!$A:$A,0), MATCH('Parameters and Distribution Sum'!$C$4 - 2,'Fund YTD Target Values'!$1:$1,0))</f>
        <v>1851058.71</v>
      </c>
      <c r="E22" s="39">
        <f>IFERROR(__xludf.DUMMYFUNCTION("IFERROR(FILTER('Fund Data'!$P:$P,'Fund Data'!$C:$C = $A22,'Fund Data'!$A:$A = ('Parameters and Distribution Sum'!$C$4 - 2), 'Fund Data'!$B:$B = 12) - FILTER('Fund Data'!$AE:$AE,'Fund Data'!$C:$C = $A22,'Fund Data'!$A:$A = ('Parameters and Distribution Sum"&amp;"'!$C$4 - 2), 'Fund Data'!$B:$B = 12),0)"),1248641.6699999997)</f>
        <v>1248641.67</v>
      </c>
      <c r="F22" s="38">
        <f t="shared" si="1"/>
        <v>-602417.0405</v>
      </c>
      <c r="G22" s="40">
        <f>IFERROR(__xludf.DUMMYFUNCTION("IF('Parameters and Distribution Sum'!$C$4 = 2019, FILTER('Fund Data'!$Y:$Y, 'Fund Data'!$C:$C = $A22, 'Fund Data'!$A:$A = 'Parameters and Distribution Sum'!$C$4 - 1, 'Fund Data'!$B:$B = 12) + FILTER('Fund Data'!$AA:$AA, 'Fund Data'!$C:$C = $A22, 'Fund Dat"&amp;"a'!$A:$A = 'Parameters and Distribution Sum'!$C$4 - 1, 'Fund Data'!$B:$B = 12),((FILTER('Fund Data'!$Y:$Y, 'Fund Data'!$C:$C = $A22, 'Fund Data'!$A:$A = 'Parameters and Distribution Sum'!$C$4 - 2, 'Fund Data'!$B:$B = 12) + FILTER('Fund Data'!$AA:$AA, 'Fun"&amp;"d Data'!$C:$C = $A22,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$A22, 'Fund Data'!$A:$A = ('Parameters and Distribution Sum'!$C$4 - 3), 'Fund Data'!$B:$B = 12) - SUM(FILTER('Fund Data'!$V:$V, 'Fund Data'!$C:$C = $A22, 'Fund Data'!$A:$A = ('Parameters an"&amp;"d Distribution Sum'!$C$4 - 3), 'Fund Data'!$B:$B &gt; 3)))  * 'Parameters and Distribution Sum'!$B$4 * (1 - 'Parameters and Distribution Sum'!$A$4)) + ((SUM(FILTER('Fund Data'!$V:$V, 'Fund Data'!$C:$C = $A22, 'Fund Data'!$A:$A = 'Parameters and Distribution "&amp;"Sum'!$C$4 - 3, 'Fund Data'!$B:$B &gt;= 4)) + SUM(FILTER('Fund Data'!$V:$V, 'Fund Data'!$C:$C = $A22, 'Fund Data'!$A:$A = 'Parameters and Distribution Sum'!$C$4 - 2, 'Fund Data'!$B:$B &lt;= 3))) * 'Parameters and Distribution Sum'!$B$4))"),56188.875149999985)</f>
        <v>56188.87515</v>
      </c>
      <c r="H22" s="41">
        <f>IFERROR(__xludf.DUMMYFUNCTION("IFERROR(($G22 * (1 + AVERAGE(FILTER('Inflation Data'!$C:$C,'Inflation Data'!$A:$A = ('Parameters and Distribution Sum'!$C$4 - 2)))) * 'Parameters and Distribution Sum'!$A$4),0)"),40170.623919220896)</f>
        <v>40170.62392</v>
      </c>
      <c r="I22" s="41">
        <f>IFERROR(__xludf.DUMMYFUNCTION("IF('Parameters and Distribution Sum'!$C$4 = 2019,IFERROR((IFERROR(FILTER('Fund Data'!$P:$P,'Fund Data'!$C:$C = $A22,'Fund Data'!$A:$A = ('Parameters and Distribution Sum'!$C$4 - 2), 'Fund Data'!$B:$B = 12),0) - SUM(FILTER('Fund Data'!$V:$V, 'Fund Data'!$C"&amp;":$C = $A22, 'Fund Data'!$A:$A = ('Parameters and Distribution Sum'!$C$4 - 2), 'Fund Data'!$B:$B &gt; 3)))  * 'Parameters and Distribution Sum'!$B$4 * (1 - 'Parameters and Distribution Sum'!$A$4),0), ($E22  - SUM(FILTER('Fund Data'!$V:$V, 'Fund Data'!$C:$C = "&amp;"$A22, 'Fund Data'!$A:$A = ('Parameters and Distribution Sum'!$C$4 - 2), 'Fund Data'!$B:$B &gt; 3)))  * 'Parameters and Distribution Sum'!$B$4 * (1 - 'Parameters and Distribution Sum'!$A$4))"),16856.662545)</f>
        <v>16856.66255</v>
      </c>
      <c r="J22" s="125">
        <f t="shared" si="2"/>
        <v>57027.28646</v>
      </c>
      <c r="K22" s="126">
        <f>IFERROR(__xludf.DUMMYFUNCTION("((IFERROR(SUM(FILTER('Fund Data'!$V:$V, 'Fund Data'!$C:$C = $A22, 'Fund Data'!$A:$A = 'Parameters and Distribution Sum'!$C$4 - 1, 'Fund Data'!$B:$B &gt;= 4, 'Fund Data'!$B:$B &lt;= 6)) * 'Parameters and Distribution Sum'!$B$4, 0)) / 4)"),0.0)</f>
        <v>0</v>
      </c>
      <c r="L22" s="126">
        <f>IFERROR(__xludf.DUMMYFUNCTION("((IFERROR(SUM(FILTER('Fund Data'!$V:$V, 'Fund Data'!$C:$C = $A22, 'Fund Data'!$A:$A = 'Parameters and Distribution Sum'!$C$4 - 1, 'Fund Data'!$B:$B &gt;= 4, 'Fund Data'!$B:$B &lt;= 9)) * 'Parameters and Distribution Sum'!$B$4, 0)) / 4)"),0.0)</f>
        <v>0</v>
      </c>
      <c r="M22" s="126">
        <f>IFERROR(__xludf.DUMMYFUNCTION("((IFERROR(SUM(FILTER('Fund Data'!$V:$V, 'Fund Data'!$C:$C = $A22, 'Fund Data'!$A:$A = 'Parameters and Distribution Sum'!$C$4 - 1, 'Fund Data'!$B:$B &gt;= 4, 'Fund Data'!$B:$B &lt;= 12)) * 'Parameters and Distribution Sum'!$B$4, 0)) / 4)"),0.0)</f>
        <v>0</v>
      </c>
      <c r="N22" s="126">
        <f>IFERROR(__xludf.DUMMYFUNCTION("((IFERROR(SUM(FILTER('Fund Data'!$V:$V, 'Fund Data'!$C:$C = $A22, 'Fund Data'!$A:$A = 'Parameters and Distribution Sum'!$C$4 - 1, 'Fund Data'!$B:$B &gt;= 4, 'Fund Data'!$B:$B &lt;= 12)) * 'Parameters and Distribution Sum'!$B$4, 0) + IFERROR(SUM(FILTER('Fund Dat"&amp;"a'!$V:$V, 'Fund Data'!$C:$C = $A22, 'Fund Data'!$A:$A = 'Parameters and Distribution Sum'!$C$4, 'Fund Data'!$B:$B &lt;= 3)) * 'Parameters and Distribution Sum'!$B$4, 0)) / 4)"),0.0)</f>
        <v>0</v>
      </c>
      <c r="O22" s="127">
        <f>IFERROR(__xludf.DUMMYFUNCTION("((IFERROR(SUM(FILTER('Fund Data'!$V:$V, 'Fund Data'!$C:$C = $A22, 'Fund Data'!$A:$A = 'Parameters and Distribution Sum'!$C$4 - 2, 'Fund Data'!$B:$B &gt;= 4)) * 'Parameters and Distribution Sum'!$B$4,0) + IFERROR(SUM(FILTER('Fund Data'!$V:$V, 'Fund Data'!$C:$"&amp;"C = $A22, 'Fund Data'!$A:$A = 'Parameters and Distribution Sum'!$C$4 - 1, 'Fund Data'!$B:$B &lt;= 3)) * 'Parameters and Distribution Sum'!$B$4,0)))"),0.0)</f>
        <v>0</v>
      </c>
      <c r="P22" s="127">
        <f>IFERROR(__xludf.DUMMYFUNCTION("IFERROR(FILTER('Fund Data'!$AE:$AE,'Fund Data'!$C:$C = $A22,'Fund Data'!$A:$A = ('Parameters and Distribution Sum'!$C$4 - 1), 'Fund Data'!$B:$B = 12),0)"),0.0)</f>
        <v>0</v>
      </c>
      <c r="Q22" s="128">
        <f t="shared" si="3"/>
        <v>57027.28646</v>
      </c>
      <c r="R22" s="129"/>
    </row>
    <row r="23">
      <c r="A23" s="36" t="s">
        <v>69</v>
      </c>
      <c r="B23" s="38" t="str">
        <f>IFERROR(__xludf.DUMMYFUNCTION("FILTER('Endowed Funds'!$C:$C,'Endowed Funds'!$B:$B = $A23)")," General Operations ")</f>
        <v>General Operations</v>
      </c>
      <c r="C23" s="39">
        <f>IFERROR(__xludf.DUMMYFUNCTION("IFERROR(sum(FILTER('Fund Data'!$D:$D, 'Fund Data'!$C:$C = $A23, 'Fund Data'!$A:$A &lt;= ('Parameters and Distribution Sum'!$C$4 - 2), 'Fund Data'!$B:$B = 12)),0)"),500000.0)</f>
        <v>500000</v>
      </c>
      <c r="D23" s="52">
        <f t="array" ref="D23">INDEX('Fund YTD Target Values'!$1:$1000, MATCH($A23,'Fund YTD Target Values'!$A:$A,0), MATCH('Parameters and Distribution Sum'!$C$4 - 2,'Fund YTD Target Values'!$1:$1,0))</f>
        <v>684659.2079</v>
      </c>
      <c r="E23" s="39">
        <f>IFERROR(__xludf.DUMMYFUNCTION("IFERROR(FILTER('Fund Data'!$P:$P,'Fund Data'!$C:$C = $A23,'Fund Data'!$A:$A = ('Parameters and Distribution Sum'!$C$4 - 2), 'Fund Data'!$B:$B = 12) - FILTER('Fund Data'!$AE:$AE,'Fund Data'!$C:$C = $A23,'Fund Data'!$A:$A = ('Parameters and Distribution Sum"&amp;"'!$C$4 - 2), 'Fund Data'!$B:$B = 12),0)"),547713.1399999999)</f>
        <v>547713.14</v>
      </c>
      <c r="F23" s="38">
        <f t="shared" si="1"/>
        <v>-136946.0679</v>
      </c>
      <c r="G23" s="40">
        <f>IFERROR(__xludf.DUMMYFUNCTION("IF('Parameters and Distribution Sum'!$C$4 = 2019, FILTER('Fund Data'!$Y:$Y, 'Fund Data'!$C:$C = $A23, 'Fund Data'!$A:$A = 'Parameters and Distribution Sum'!$C$4 - 1, 'Fund Data'!$B:$B = 12) + FILTER('Fund Data'!$AA:$AA, 'Fund Data'!$C:$C = $A23, 'Fund Dat"&amp;"a'!$A:$A = 'Parameters and Distribution Sum'!$C$4 - 1, 'Fund Data'!$B:$B = 12),((FILTER('Fund Data'!$Y:$Y, 'Fund Data'!$C:$C = $A23, 'Fund Data'!$A:$A = 'Parameters and Distribution Sum'!$C$4 - 2, 'Fund Data'!$B:$B = 12) + FILTER('Fund Data'!$AA:$AA, 'Fun"&amp;"d Data'!$C:$C = $A23,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$A23, 'Fund Data'!$A:$A = ('Parameters and Distribution Sum'!$C$4 - 3), 'Fund Data'!$B:$B = 12) - SUM(FILTER('Fund Data'!$V:$V, 'Fund Data'!$C:$C = $A23, 'Fund Data'!$A:$A = ('Parameters an"&amp;"d Distribution Sum'!$C$4 - 3), 'Fund Data'!$B:$B &gt; 3)))  * 'Parameters and Distribution Sum'!$B$4 * (1 - 'Parameters and Distribution Sum'!$A$4)) + ((SUM(FILTER('Fund Data'!$V:$V, 'Fund Data'!$C:$C = $A23, 'Fund Data'!$A:$A = 'Parameters and Distribution "&amp;"Sum'!$C$4 - 3, 'Fund Data'!$B:$B &gt;= 4)) + SUM(FILTER('Fund Data'!$V:$V, 'Fund Data'!$C:$C = $A23, 'Fund Data'!$A:$A = 'Parameters and Distribution Sum'!$C$4 - 2, 'Fund Data'!$B:$B &lt;= 3))) * 'Parameters and Distribution Sum'!$B$4))"),24647.091299999993)</f>
        <v>24647.0913</v>
      </c>
      <c r="H23" s="41">
        <f>IFERROR(__xludf.DUMMYFUNCTION("IFERROR(($G23 * (1 + AVERAGE(FILTER('Inflation Data'!$C:$C,'Inflation Data'!$A:$A = ('Parameters and Distribution Sum'!$C$4 - 2)))) * 'Parameters and Distribution Sum'!$A$4),0)"),17620.730663710416)</f>
        <v>17620.73066</v>
      </c>
      <c r="I23" s="41">
        <f>IFERROR(__xludf.DUMMYFUNCTION("IF('Parameters and Distribution Sum'!$C$4 = 2019,IFERROR((IFERROR(FILTER('Fund Data'!$P:$P,'Fund Data'!$C:$C = $A23,'Fund Data'!$A:$A = ('Parameters and Distribution Sum'!$C$4 - 2), 'Fund Data'!$B:$B = 12),0) - SUM(FILTER('Fund Data'!$V:$V, 'Fund Data'!$C"&amp;":$C = $A23, 'Fund Data'!$A:$A = ('Parameters and Distribution Sum'!$C$4 - 2), 'Fund Data'!$B:$B &gt; 3)))  * 'Parameters and Distribution Sum'!$B$4 * (1 - 'Parameters and Distribution Sum'!$A$4),0), ($E23  - SUM(FILTER('Fund Data'!$V:$V, 'Fund Data'!$C:$C = "&amp;"$A23, 'Fund Data'!$A:$A = ('Parameters and Distribution Sum'!$C$4 - 2), 'Fund Data'!$B:$B &gt; 3)))  * 'Parameters and Distribution Sum'!$B$4 * (1 - 'Parameters and Distribution Sum'!$A$4))"),7394.127389999999)</f>
        <v>7394.12739</v>
      </c>
      <c r="J23" s="125">
        <f t="shared" si="2"/>
        <v>25014.85805</v>
      </c>
      <c r="K23" s="126">
        <f>IFERROR(__xludf.DUMMYFUNCTION("((IFERROR(SUM(FILTER('Fund Data'!$V:$V, 'Fund Data'!$C:$C = $A23, 'Fund Data'!$A:$A = 'Parameters and Distribution Sum'!$C$4 - 1, 'Fund Data'!$B:$B &gt;= 4, 'Fund Data'!$B:$B &lt;= 6)) * 'Parameters and Distribution Sum'!$B$4, 0)) / 4)"),0.0)</f>
        <v>0</v>
      </c>
      <c r="L23" s="126">
        <f>IFERROR(__xludf.DUMMYFUNCTION("((IFERROR(SUM(FILTER('Fund Data'!$V:$V, 'Fund Data'!$C:$C = $A23, 'Fund Data'!$A:$A = 'Parameters and Distribution Sum'!$C$4 - 1, 'Fund Data'!$B:$B &gt;= 4, 'Fund Data'!$B:$B &lt;= 9)) * 'Parameters and Distribution Sum'!$B$4, 0)) / 4)"),0.0)</f>
        <v>0</v>
      </c>
      <c r="M23" s="126">
        <f>IFERROR(__xludf.DUMMYFUNCTION("((IFERROR(SUM(FILTER('Fund Data'!$V:$V, 'Fund Data'!$C:$C = $A23, 'Fund Data'!$A:$A = 'Parameters and Distribution Sum'!$C$4 - 1, 'Fund Data'!$B:$B &gt;= 4, 'Fund Data'!$B:$B &lt;= 12)) * 'Parameters and Distribution Sum'!$B$4, 0)) / 4)"),0.0)</f>
        <v>0</v>
      </c>
      <c r="N23" s="126">
        <f>IFERROR(__xludf.DUMMYFUNCTION("((IFERROR(SUM(FILTER('Fund Data'!$V:$V, 'Fund Data'!$C:$C = $A23, 'Fund Data'!$A:$A = 'Parameters and Distribution Sum'!$C$4 - 1, 'Fund Data'!$B:$B &gt;= 4, 'Fund Data'!$B:$B &lt;= 12)) * 'Parameters and Distribution Sum'!$B$4, 0) + IFERROR(SUM(FILTER('Fund Dat"&amp;"a'!$V:$V, 'Fund Data'!$C:$C = $A23, 'Fund Data'!$A:$A = 'Parameters and Distribution Sum'!$C$4, 'Fund Data'!$B:$B &lt;= 3)) * 'Parameters and Distribution Sum'!$B$4, 0)) / 4)"),0.0)</f>
        <v>0</v>
      </c>
      <c r="O23" s="127">
        <f>IFERROR(__xludf.DUMMYFUNCTION("((IFERROR(SUM(FILTER('Fund Data'!$V:$V, 'Fund Data'!$C:$C = $A23, 'Fund Data'!$A:$A = 'Parameters and Distribution Sum'!$C$4 - 2, 'Fund Data'!$B:$B &gt;= 4)) * 'Parameters and Distribution Sum'!$B$4,0) + IFERROR(SUM(FILTER('Fund Data'!$V:$V, 'Fund Data'!$C:$"&amp;"C = $A23, 'Fund Data'!$A:$A = 'Parameters and Distribution Sum'!$C$4 - 1, 'Fund Data'!$B:$B &lt;= 3)) * 'Parameters and Distribution Sum'!$B$4,0)))"),0.0)</f>
        <v>0</v>
      </c>
      <c r="P23" s="127">
        <f>IFERROR(__xludf.DUMMYFUNCTION("IFERROR(FILTER('Fund Data'!$AE:$AE,'Fund Data'!$C:$C = $A23,'Fund Data'!$A:$A = ('Parameters and Distribution Sum'!$C$4 - 1), 'Fund Data'!$B:$B = 12),0)"),0.0)</f>
        <v>0</v>
      </c>
      <c r="Q23" s="128">
        <f t="shared" si="3"/>
        <v>25014.85805</v>
      </c>
      <c r="R23" s="129"/>
    </row>
    <row r="24">
      <c r="A24" s="36" t="s">
        <v>61</v>
      </c>
      <c r="B24" s="38" t="str">
        <f>IFERROR(__xludf.DUMMYFUNCTION("FILTER('Endowed Funds'!$C:$C,'Endowed Funds'!$B:$B = $A24)")," Education ")</f>
        <v>Education</v>
      </c>
      <c r="C24" s="39">
        <f>IFERROR(__xludf.DUMMYFUNCTION("IFERROR(sum(FILTER('Fund Data'!$D:$D, 'Fund Data'!$C:$C = $A24, 'Fund Data'!$A:$A &lt;= ('Parameters and Distribution Sum'!$C$4 - 2), 'Fund Data'!$B:$B = 12)),0)"),433755.86000000004)</f>
        <v>433755.86</v>
      </c>
      <c r="D24" s="52">
        <f t="array" ref="D24">INDEX('Fund YTD Target Values'!$1:$1000, MATCH($A24,'Fund YTD Target Values'!$A:$A,0), MATCH('Parameters and Distribution Sum'!$C$4 - 2,'Fund YTD Target Values'!$1:$1,0))</f>
        <v>573948.5743</v>
      </c>
      <c r="E24" s="39">
        <f>IFERROR(__xludf.DUMMYFUNCTION("IFERROR(FILTER('Fund Data'!$P:$P,'Fund Data'!$C:$C = $A24,'Fund Data'!$A:$A = ('Parameters and Distribution Sum'!$C$4 - 2), 'Fund Data'!$B:$B = 12) - FILTER('Fund Data'!$AE:$AE,'Fund Data'!$C:$C = $A24,'Fund Data'!$A:$A = ('Parameters and Distribution Sum"&amp;"'!$C$4 - 2), 'Fund Data'!$B:$B = 12),0)"),653119.3499999996)</f>
        <v>653119.35</v>
      </c>
      <c r="F24" s="38">
        <f t="shared" si="1"/>
        <v>79170.77568</v>
      </c>
      <c r="G24" s="40">
        <f>IFERROR(__xludf.DUMMYFUNCTION("IF('Parameters and Distribution Sum'!$C$4 = 2019, FILTER('Fund Data'!$Y:$Y, 'Fund Data'!$C:$C = $A24, 'Fund Data'!$A:$A = 'Parameters and Distribution Sum'!$C$4 - 1, 'Fund Data'!$B:$B = 12) + FILTER('Fund Data'!$AA:$AA, 'Fund Data'!$C:$C = $A24, 'Fund Dat"&amp;"a'!$A:$A = 'Parameters and Distribution Sum'!$C$4 - 1, 'Fund Data'!$B:$B = 12),((FILTER('Fund Data'!$Y:$Y, 'Fund Data'!$C:$C = $A24, 'Fund Data'!$A:$A = 'Parameters and Distribution Sum'!$C$4 - 2, 'Fund Data'!$B:$B = 12) + FILTER('Fund Data'!$AA:$AA, 'Fun"&amp;"d Data'!$C:$C = $A24,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$A24, 'Fund Data'!$A:$A = ('Parameters and Distribution Sum'!$C$4 - 3), 'Fund Data'!$B:$B = 12) - SUM(FILTER('Fund Data'!$V:$V, 'Fund Data'!$C:$C = $A24, 'Fund Data'!$A:$A = ('Parameters an"&amp;"d Distribution Sum'!$C$4 - 3), 'Fund Data'!$B:$B &gt; 3)))  * 'Parameters and Distribution Sum'!$B$4 * (1 - 'Parameters and Distribution Sum'!$A$4)) + ((SUM(FILTER('Fund Data'!$V:$V, 'Fund Data'!$C:$C = $A24, 'Fund Data'!$A:$A = 'Parameters and Distribution "&amp;"Sum'!$C$4 - 3, 'Fund Data'!$B:$B &gt;= 4)) + SUM(FILTER('Fund Data'!$V:$V, 'Fund Data'!$C:$C = $A24, 'Fund Data'!$A:$A = 'Parameters and Distribution Sum'!$C$4 - 2, 'Fund Data'!$B:$B &lt;= 3))) * 'Parameters and Distribution Sum'!$B$4))"),25827.685844259777)</f>
        <v>25827.68584</v>
      </c>
      <c r="H24" s="41">
        <f>IFERROR(__xludf.DUMMYFUNCTION("IFERROR(($G24 * (1 + AVERAGE(FILTER('Inflation Data'!$C:$C,'Inflation Data'!$A:$A = ('Parameters and Distribution Sum'!$C$4 - 2)))) * 'Parameters and Distribution Sum'!$A$4),0)"),18464.76285534869)</f>
        <v>18464.76286</v>
      </c>
      <c r="I24" s="41">
        <f>IFERROR(__xludf.DUMMYFUNCTION("IF('Parameters and Distribution Sum'!$C$4 = 2019,IFERROR((IFERROR(FILTER('Fund Data'!$P:$P,'Fund Data'!$C:$C = $A24,'Fund Data'!$A:$A = ('Parameters and Distribution Sum'!$C$4 - 2), 'Fund Data'!$B:$B = 12),0) - SUM(FILTER('Fund Data'!$V:$V, 'Fund Data'!$C"&amp;":$C = $A24, 'Fund Data'!$A:$A = ('Parameters and Distribution Sum'!$C$4 - 2), 'Fund Data'!$B:$B &gt; 3)))  * 'Parameters and Distribution Sum'!$B$4 * (1 - 'Parameters and Distribution Sum'!$A$4),0), ($E24  - SUM(FILTER('Fund Data'!$V:$V, 'Fund Data'!$C:$C = "&amp;"$A24, 'Fund Data'!$A:$A = ('Parameters and Distribution Sum'!$C$4 - 2), 'Fund Data'!$B:$B &gt; 3)))  * 'Parameters and Distribution Sum'!$B$4 * (1 - 'Parameters and Distribution Sum'!$A$4))"),8817.111224999997)</f>
        <v>8817.111225</v>
      </c>
      <c r="J24" s="125">
        <f t="shared" si="2"/>
        <v>27281.87408</v>
      </c>
      <c r="K24" s="126">
        <f>IFERROR(__xludf.DUMMYFUNCTION("((IFERROR(SUM(FILTER('Fund Data'!$V:$V, 'Fund Data'!$C:$C = $A24, 'Fund Data'!$A:$A = 'Parameters and Distribution Sum'!$C$4 - 1, 'Fund Data'!$B:$B &gt;= 4, 'Fund Data'!$B:$B &lt;= 6)) * 'Parameters and Distribution Sum'!$B$4, 0)) / 4)"),0.0)</f>
        <v>0</v>
      </c>
      <c r="L24" s="126">
        <f>IFERROR(__xludf.DUMMYFUNCTION("((IFERROR(SUM(FILTER('Fund Data'!$V:$V, 'Fund Data'!$C:$C = $A24, 'Fund Data'!$A:$A = 'Parameters and Distribution Sum'!$C$4 - 1, 'Fund Data'!$B:$B &gt;= 4, 'Fund Data'!$B:$B &lt;= 9)) * 'Parameters and Distribution Sum'!$B$4, 0)) / 4)"),0.0)</f>
        <v>0</v>
      </c>
      <c r="M24" s="126">
        <f>IFERROR(__xludf.DUMMYFUNCTION("((IFERROR(SUM(FILTER('Fund Data'!$V:$V, 'Fund Data'!$C:$C = $A24, 'Fund Data'!$A:$A = 'Parameters and Distribution Sum'!$C$4 - 1, 'Fund Data'!$B:$B &gt;= 4, 'Fund Data'!$B:$B &lt;= 12)) * 'Parameters and Distribution Sum'!$B$4, 0)) / 4)"),0.0)</f>
        <v>0</v>
      </c>
      <c r="N24" s="126">
        <f>IFERROR(__xludf.DUMMYFUNCTION("((IFERROR(SUM(FILTER('Fund Data'!$V:$V, 'Fund Data'!$C:$C = $A24, 'Fund Data'!$A:$A = 'Parameters and Distribution Sum'!$C$4 - 1, 'Fund Data'!$B:$B &gt;= 4, 'Fund Data'!$B:$B &lt;= 12)) * 'Parameters and Distribution Sum'!$B$4, 0) + IFERROR(SUM(FILTER('Fund Dat"&amp;"a'!$V:$V, 'Fund Data'!$C:$C = $A24, 'Fund Data'!$A:$A = 'Parameters and Distribution Sum'!$C$4, 'Fund Data'!$B:$B &lt;= 3)) * 'Parameters and Distribution Sum'!$B$4, 0)) / 4)"),0.0)</f>
        <v>0</v>
      </c>
      <c r="O24" s="127">
        <f>IFERROR(__xludf.DUMMYFUNCTION("((IFERROR(SUM(FILTER('Fund Data'!$V:$V, 'Fund Data'!$C:$C = $A24, 'Fund Data'!$A:$A = 'Parameters and Distribution Sum'!$C$4 - 2, 'Fund Data'!$B:$B &gt;= 4)) * 'Parameters and Distribution Sum'!$B$4,0) + IFERROR(SUM(FILTER('Fund Data'!$V:$V, 'Fund Data'!$C:$"&amp;"C = $A24, 'Fund Data'!$A:$A = 'Parameters and Distribution Sum'!$C$4 - 1, 'Fund Data'!$B:$B &lt;= 3)) * 'Parameters and Distribution Sum'!$B$4,0)))"),0.0)</f>
        <v>0</v>
      </c>
      <c r="P24" s="127">
        <f>IFERROR(__xludf.DUMMYFUNCTION("IFERROR(FILTER('Fund Data'!$AE:$AE,'Fund Data'!$C:$C = $A24,'Fund Data'!$A:$A = ('Parameters and Distribution Sum'!$C$4 - 1), 'Fund Data'!$B:$B = 12),0)"),0.0)</f>
        <v>0</v>
      </c>
      <c r="Q24" s="128">
        <f t="shared" si="3"/>
        <v>27281.87408</v>
      </c>
      <c r="R24" s="129"/>
    </row>
    <row r="25">
      <c r="A25" s="36" t="s">
        <v>62</v>
      </c>
      <c r="B25" s="38" t="str">
        <f>IFERROR(__xludf.DUMMYFUNCTION("FILTER('Endowed Funds'!$C:$C,'Endowed Funds'!$B:$B = $A25)")," Education ")</f>
        <v>Education</v>
      </c>
      <c r="C25" s="39">
        <f>IFERROR(__xludf.DUMMYFUNCTION("IFERROR(sum(FILTER('Fund Data'!$D:$D, 'Fund Data'!$C:$C = $A25, 'Fund Data'!$A:$A &lt;= ('Parameters and Distribution Sum'!$C$4 - 2), 'Fund Data'!$B:$B = 12)),0)"),194469.0)</f>
        <v>194469</v>
      </c>
      <c r="D25" s="52">
        <f t="array" ref="D25">INDEX('Fund YTD Target Values'!$1:$1000, MATCH($A25,'Fund YTD Target Values'!$A:$A,0), MATCH('Parameters and Distribution Sum'!$C$4 - 2,'Fund YTD Target Values'!$1:$1,0))</f>
        <v>234458.6336</v>
      </c>
      <c r="E25" s="39">
        <f>IFERROR(__xludf.DUMMYFUNCTION("IFERROR(FILTER('Fund Data'!$P:$P,'Fund Data'!$C:$C = $A25,'Fund Data'!$A:$A = ('Parameters and Distribution Sum'!$C$4 - 2), 'Fund Data'!$B:$B = 12) - FILTER('Fund Data'!$AE:$AE,'Fund Data'!$C:$C = $A25,'Fund Data'!$A:$A = ('Parameters and Distribution Sum"&amp;"'!$C$4 - 2), 'Fund Data'!$B:$B = 12),0)"),299447.76)</f>
        <v>299447.76</v>
      </c>
      <c r="F25" s="38">
        <f t="shared" si="1"/>
        <v>64989.12643</v>
      </c>
      <c r="G25" s="40">
        <f>IFERROR(__xludf.DUMMYFUNCTION("IF('Parameters and Distribution Sum'!$C$4 = 2019, FILTER('Fund Data'!$Y:$Y, 'Fund Data'!$C:$C = $A25, 'Fund Data'!$A:$A = 'Parameters and Distribution Sum'!$C$4 - 1, 'Fund Data'!$B:$B = 12) + FILTER('Fund Data'!$AA:$AA, 'Fund Data'!$C:$C = $A25, 'Fund Dat"&amp;"a'!$A:$A = 'Parameters and Distribution Sum'!$C$4 - 1, 'Fund Data'!$B:$B = 12),((FILTER('Fund Data'!$Y:$Y, 'Fund Data'!$C:$C = $A25, 'Fund Data'!$A:$A = 'Parameters and Distribution Sum'!$C$4 - 2, 'Fund Data'!$B:$B = 12) + FILTER('Fund Data'!$AA:$AA, 'Fun"&amp;"d Data'!$C:$C = $A25,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$A25, 'Fund Data'!$A:$A = ('Parameters and Distribution Sum'!$C$4 - 3), 'Fund Data'!$B:$B = 12) - SUM(FILTER('Fund Data'!$V:$V, 'Fund Data'!$C:$C = $A25, 'Fund Data'!$A:$A = ('Parameters an"&amp;"d Distribution Sum'!$C$4 - 3), 'Fund Data'!$B:$B &gt; 3)))  * 'Parameters and Distribution Sum'!$B$4 * (1 - 'Parameters and Distribution Sum'!$A$4)) + ((SUM(FILTER('Fund Data'!$V:$V, 'Fund Data'!$C:$C = $A25, 'Fund Data'!$A:$A = 'Parameters and Distribution "&amp;"Sum'!$C$4 - 3, 'Fund Data'!$B:$B &gt;= 4)) + SUM(FILTER('Fund Data'!$V:$V, 'Fund Data'!$C:$C = $A25, 'Fund Data'!$A:$A = 'Parameters and Distribution Sum'!$C$4 - 2, 'Fund Data'!$B:$B &lt;= 3))) * 'Parameters and Distribution Sum'!$B$4))"),10550.63851058687)</f>
        <v>10550.63851</v>
      </c>
      <c r="H25" s="41">
        <f>IFERROR(__xludf.DUMMYFUNCTION("IFERROR(($G25 * (1 + AVERAGE(FILTER('Inflation Data'!$C:$C,'Inflation Data'!$A:$A = ('Parameters and Distribution Sum'!$C$4 - 2)))) * 'Parameters and Distribution Sum'!$A$4),0)"),7542.876247032937)</f>
        <v>7542.876247</v>
      </c>
      <c r="I25" s="41">
        <f>IFERROR(__xludf.DUMMYFUNCTION("IF('Parameters and Distribution Sum'!$C$4 = 2019,IFERROR((IFERROR(FILTER('Fund Data'!$P:$P,'Fund Data'!$C:$C = $A25,'Fund Data'!$A:$A = ('Parameters and Distribution Sum'!$C$4 - 2), 'Fund Data'!$B:$B = 12),0) - SUM(FILTER('Fund Data'!$V:$V, 'Fund Data'!$C"&amp;":$C = $A25, 'Fund Data'!$A:$A = ('Parameters and Distribution Sum'!$C$4 - 2), 'Fund Data'!$B:$B &gt; 3)))  * 'Parameters and Distribution Sum'!$B$4 * (1 - 'Parameters and Distribution Sum'!$A$4),0), ($E25  - SUM(FILTER('Fund Data'!$V:$V, 'Fund Data'!$C:$C = "&amp;"$A25, 'Fund Data'!$A:$A = ('Parameters and Distribution Sum'!$C$4 - 2), 'Fund Data'!$B:$B &gt; 3)))  * 'Parameters and Distribution Sum'!$B$4 * (1 - 'Parameters and Distribution Sum'!$A$4))"),4042.5447600000007)</f>
        <v>4042.54476</v>
      </c>
      <c r="J25" s="125">
        <f t="shared" si="2"/>
        <v>11585.42101</v>
      </c>
      <c r="K25" s="126">
        <f>IFERROR(__xludf.DUMMYFUNCTION("((IFERROR(SUM(FILTER('Fund Data'!$V:$V, 'Fund Data'!$C:$C = $A25, 'Fund Data'!$A:$A = 'Parameters and Distribution Sum'!$C$4 - 1, 'Fund Data'!$B:$B &gt;= 4, 'Fund Data'!$B:$B &lt;= 6)) * 'Parameters and Distribution Sum'!$B$4, 0)) / 4)"),0.0)</f>
        <v>0</v>
      </c>
      <c r="L25" s="126">
        <f>IFERROR(__xludf.DUMMYFUNCTION("((IFERROR(SUM(FILTER('Fund Data'!$V:$V, 'Fund Data'!$C:$C = $A25, 'Fund Data'!$A:$A = 'Parameters and Distribution Sum'!$C$4 - 1, 'Fund Data'!$B:$B &gt;= 4, 'Fund Data'!$B:$B &lt;= 9)) * 'Parameters and Distribution Sum'!$B$4, 0)) / 4)"),0.0)</f>
        <v>0</v>
      </c>
      <c r="M25" s="126">
        <f>IFERROR(__xludf.DUMMYFUNCTION("((IFERROR(SUM(FILTER('Fund Data'!$V:$V, 'Fund Data'!$C:$C = $A25, 'Fund Data'!$A:$A = 'Parameters and Distribution Sum'!$C$4 - 1, 'Fund Data'!$B:$B &gt;= 4, 'Fund Data'!$B:$B &lt;= 12)) * 'Parameters and Distribution Sum'!$B$4, 0)) / 4)"),0.0)</f>
        <v>0</v>
      </c>
      <c r="N25" s="126">
        <f>IFERROR(__xludf.DUMMYFUNCTION("((IFERROR(SUM(FILTER('Fund Data'!$V:$V, 'Fund Data'!$C:$C = $A25, 'Fund Data'!$A:$A = 'Parameters and Distribution Sum'!$C$4 - 1, 'Fund Data'!$B:$B &gt;= 4, 'Fund Data'!$B:$B &lt;= 12)) * 'Parameters and Distribution Sum'!$B$4, 0) + IFERROR(SUM(FILTER('Fund Dat"&amp;"a'!$V:$V, 'Fund Data'!$C:$C = $A25, 'Fund Data'!$A:$A = 'Parameters and Distribution Sum'!$C$4, 'Fund Data'!$B:$B &lt;= 3)) * 'Parameters and Distribution Sum'!$B$4, 0)) / 4)"),0.0)</f>
        <v>0</v>
      </c>
      <c r="O25" s="127">
        <f>IFERROR(__xludf.DUMMYFUNCTION("((IFERROR(SUM(FILTER('Fund Data'!$V:$V, 'Fund Data'!$C:$C = $A25, 'Fund Data'!$A:$A = 'Parameters and Distribution Sum'!$C$4 - 2, 'Fund Data'!$B:$B &gt;= 4)) * 'Parameters and Distribution Sum'!$B$4,0) + IFERROR(SUM(FILTER('Fund Data'!$V:$V, 'Fund Data'!$C:$"&amp;"C = $A25, 'Fund Data'!$A:$A = 'Parameters and Distribution Sum'!$C$4 - 1, 'Fund Data'!$B:$B &lt;= 3)) * 'Parameters and Distribution Sum'!$B$4,0)))"),0.0)</f>
        <v>0</v>
      </c>
      <c r="P25" s="127">
        <f>IFERROR(__xludf.DUMMYFUNCTION("IFERROR(FILTER('Fund Data'!$AE:$AE,'Fund Data'!$C:$C = $A25,'Fund Data'!$A:$A = ('Parameters and Distribution Sum'!$C$4 - 1), 'Fund Data'!$B:$B = 12),0)"),0.0)</f>
        <v>0</v>
      </c>
      <c r="Q25" s="128">
        <f t="shared" si="3"/>
        <v>11585.42101</v>
      </c>
      <c r="R25" s="129"/>
    </row>
    <row r="26">
      <c r="A26" s="36" t="s">
        <v>63</v>
      </c>
      <c r="B26" s="38" t="str">
        <f>IFERROR(__xludf.DUMMYFUNCTION("FILTER('Endowed Funds'!$C:$C,'Endowed Funds'!$B:$B = $A26)")," Education ")</f>
        <v>Education</v>
      </c>
      <c r="C26" s="39">
        <f>IFERROR(__xludf.DUMMYFUNCTION("IFERROR(sum(FILTER('Fund Data'!$D:$D, 'Fund Data'!$C:$C = $A26, 'Fund Data'!$A:$A &lt;= ('Parameters and Distribution Sum'!$C$4 - 2), 'Fund Data'!$B:$B = 12)),0)"),100000.0)</f>
        <v>100000</v>
      </c>
      <c r="D26" s="52">
        <f t="array" ref="D26">INDEX('Fund YTD Target Values'!$1:$1000, MATCH($A26,'Fund YTD Target Values'!$A:$A,0), MATCH('Parameters and Distribution Sum'!$C$4 - 2,'Fund YTD Target Values'!$1:$1,0))</f>
        <v>127580.7013</v>
      </c>
      <c r="E26" s="39">
        <f>IFERROR(__xludf.DUMMYFUNCTION("IFERROR(FILTER('Fund Data'!$P:$P,'Fund Data'!$C:$C = $A26,'Fund Data'!$A:$A = ('Parameters and Distribution Sum'!$C$4 - 2), 'Fund Data'!$B:$B = 12) - FILTER('Fund Data'!$AE:$AE,'Fund Data'!$C:$C = $A26,'Fund Data'!$A:$A = ('Parameters and Distribution Sum"&amp;"'!$C$4 - 2), 'Fund Data'!$B:$B = 12),0)"),125512.55000000002)</f>
        <v>125512.55</v>
      </c>
      <c r="F26" s="38">
        <f t="shared" si="1"/>
        <v>-2068.151285</v>
      </c>
      <c r="G26" s="40">
        <f>IFERROR(__xludf.DUMMYFUNCTION("IF('Parameters and Distribution Sum'!$C$4 = 2019, FILTER('Fund Data'!$Y:$Y, 'Fund Data'!$C:$C = $A26, 'Fund Data'!$A:$A = 'Parameters and Distribution Sum'!$C$4 - 1, 'Fund Data'!$B:$B = 12) + FILTER('Fund Data'!$AA:$AA, 'Fund Data'!$C:$C = $A26, 'Fund Dat"&amp;"a'!$A:$A = 'Parameters and Distribution Sum'!$C$4 - 1, 'Fund Data'!$B:$B = 12),((FILTER('Fund Data'!$Y:$Y, 'Fund Data'!$C:$C = $A26, 'Fund Data'!$A:$A = 'Parameters and Distribution Sum'!$C$4 - 2, 'Fund Data'!$B:$B = 12) + FILTER('Fund Data'!$AA:$AA, 'Fun"&amp;"d Data'!$C:$C = $A26,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$A26, 'Fund Data'!$A:$A = ('Parameters and Distribution Sum'!$C$4 - 3), 'Fund Data'!$B:$B = 12) - SUM(FILTER('Fund Data'!$V:$V, 'Fund Data'!$C:$C = $A26, 'Fund Data'!$A:$A = ('Parameters an"&amp;"d Distribution Sum'!$C$4 - 3), 'Fund Data'!$B:$B &gt; 3)))  * 'Parameters and Distribution Sum'!$B$4 * (1 - 'Parameters and Distribution Sum'!$A$4)) + ((SUM(FILTER('Fund Data'!$V:$V, 'Fund Data'!$C:$C = $A26, 'Fund Data'!$A:$A = 'Parameters and Distribution "&amp;"Sum'!$C$4 - 3, 'Fund Data'!$B:$B &gt;= 4)) + SUM(FILTER('Fund Data'!$V:$V, 'Fund Data'!$C:$C = $A26, 'Fund Data'!$A:$A = 'Parameters and Distribution Sum'!$C$4 - 2, 'Fund Data'!$B:$B &lt;= 3))) * 'Parameters and Distribution Sum'!$B$4))"),5648.0647500000005)</f>
        <v>5648.06475</v>
      </c>
      <c r="H26" s="41">
        <f>IFERROR(__xludf.DUMMYFUNCTION("IFERROR(($G26 * (1 + AVERAGE(FILTER('Inflation Data'!$C:$C,'Inflation Data'!$A:$A = ('Parameters and Distribution Sum'!$C$4 - 2)))) * 'Parameters and Distribution Sum'!$A$4),0)"),4037.921818829265)</f>
        <v>4037.921819</v>
      </c>
      <c r="I26" s="41">
        <f>IFERROR(__xludf.DUMMYFUNCTION("IF('Parameters and Distribution Sum'!$C$4 = 2019,IFERROR((IFERROR(FILTER('Fund Data'!$P:$P,'Fund Data'!$C:$C = $A26,'Fund Data'!$A:$A = ('Parameters and Distribution Sum'!$C$4 - 2), 'Fund Data'!$B:$B = 12),0) - SUM(FILTER('Fund Data'!$V:$V, 'Fund Data'!$C"&amp;":$C = $A26, 'Fund Data'!$A:$A = ('Parameters and Distribution Sum'!$C$4 - 2), 'Fund Data'!$B:$B &gt; 3)))  * 'Parameters and Distribution Sum'!$B$4 * (1 - 'Parameters and Distribution Sum'!$A$4),0), ($E26  - SUM(FILTER('Fund Data'!$V:$V, 'Fund Data'!$C:$C = "&amp;"$A26, 'Fund Data'!$A:$A = ('Parameters and Distribution Sum'!$C$4 - 2), 'Fund Data'!$B:$B &gt; 3)))  * 'Parameters and Distribution Sum'!$B$4 * (1 - 'Parameters and Distribution Sum'!$A$4))"),1694.4194250000005)</f>
        <v>1694.419425</v>
      </c>
      <c r="J26" s="125">
        <f t="shared" si="2"/>
        <v>5732.341244</v>
      </c>
      <c r="K26" s="126">
        <f>IFERROR(__xludf.DUMMYFUNCTION("((IFERROR(SUM(FILTER('Fund Data'!$V:$V, 'Fund Data'!$C:$C = $A26, 'Fund Data'!$A:$A = 'Parameters and Distribution Sum'!$C$4 - 1, 'Fund Data'!$B:$B &gt;= 4, 'Fund Data'!$B:$B &lt;= 6)) * 'Parameters and Distribution Sum'!$B$4, 0)) / 4)"),0.0)</f>
        <v>0</v>
      </c>
      <c r="L26" s="126">
        <f>IFERROR(__xludf.DUMMYFUNCTION("((IFERROR(SUM(FILTER('Fund Data'!$V:$V, 'Fund Data'!$C:$C = $A26, 'Fund Data'!$A:$A = 'Parameters and Distribution Sum'!$C$4 - 1, 'Fund Data'!$B:$B &gt;= 4, 'Fund Data'!$B:$B &lt;= 9)) * 'Parameters and Distribution Sum'!$B$4, 0)) / 4)"),0.0)</f>
        <v>0</v>
      </c>
      <c r="M26" s="126">
        <f>IFERROR(__xludf.DUMMYFUNCTION("((IFERROR(SUM(FILTER('Fund Data'!$V:$V, 'Fund Data'!$C:$C = $A26, 'Fund Data'!$A:$A = 'Parameters and Distribution Sum'!$C$4 - 1, 'Fund Data'!$B:$B &gt;= 4, 'Fund Data'!$B:$B &lt;= 12)) * 'Parameters and Distribution Sum'!$B$4, 0)) / 4)"),0.0)</f>
        <v>0</v>
      </c>
      <c r="N26" s="126">
        <f>IFERROR(__xludf.DUMMYFUNCTION("((IFERROR(SUM(FILTER('Fund Data'!$V:$V, 'Fund Data'!$C:$C = $A26, 'Fund Data'!$A:$A = 'Parameters and Distribution Sum'!$C$4 - 1, 'Fund Data'!$B:$B &gt;= 4, 'Fund Data'!$B:$B &lt;= 12)) * 'Parameters and Distribution Sum'!$B$4, 0) + IFERROR(SUM(FILTER('Fund Dat"&amp;"a'!$V:$V, 'Fund Data'!$C:$C = $A26, 'Fund Data'!$A:$A = 'Parameters and Distribution Sum'!$C$4, 'Fund Data'!$B:$B &lt;= 3)) * 'Parameters and Distribution Sum'!$B$4, 0)) / 4)"),0.0)</f>
        <v>0</v>
      </c>
      <c r="O26" s="127">
        <f>IFERROR(__xludf.DUMMYFUNCTION("((IFERROR(SUM(FILTER('Fund Data'!$V:$V, 'Fund Data'!$C:$C = $A26, 'Fund Data'!$A:$A = 'Parameters and Distribution Sum'!$C$4 - 2, 'Fund Data'!$B:$B &gt;= 4)) * 'Parameters and Distribution Sum'!$B$4,0) + IFERROR(SUM(FILTER('Fund Data'!$V:$V, 'Fund Data'!$C:$"&amp;"C = $A26, 'Fund Data'!$A:$A = 'Parameters and Distribution Sum'!$C$4 - 1, 'Fund Data'!$B:$B &lt;= 3)) * 'Parameters and Distribution Sum'!$B$4,0)))"),0.0)</f>
        <v>0</v>
      </c>
      <c r="P26" s="127">
        <f>IFERROR(__xludf.DUMMYFUNCTION("IFERROR(FILTER('Fund Data'!$AE:$AE,'Fund Data'!$C:$C = $A26,'Fund Data'!$A:$A = ('Parameters and Distribution Sum'!$C$4 - 1), 'Fund Data'!$B:$B = 12),0)"),0.0)</f>
        <v>0</v>
      </c>
      <c r="Q26" s="128">
        <f t="shared" si="3"/>
        <v>5732.341244</v>
      </c>
      <c r="R26" s="129"/>
    </row>
    <row r="27">
      <c r="A27" s="36" t="s">
        <v>43</v>
      </c>
      <c r="B27" s="38" t="str">
        <f>IFERROR(__xludf.DUMMYFUNCTION("FILTER('Endowed Funds'!$C:$C,'Endowed Funds'!$B:$B = $A27)")," Research Institute ")</f>
        <v>Research Institute</v>
      </c>
      <c r="C27" s="39">
        <f>IFERROR(__xludf.DUMMYFUNCTION("IFERROR(sum(FILTER('Fund Data'!$D:$D, 'Fund Data'!$C:$C = $A27, 'Fund Data'!$A:$A &lt;= ('Parameters and Distribution Sum'!$C$4 - 2), 'Fund Data'!$B:$B = 12)),0)"),1005136.0)</f>
        <v>1005136</v>
      </c>
      <c r="D27" s="52">
        <f t="array" ref="D27">INDEX('Fund YTD Target Values'!$1:$1000, MATCH($A27,'Fund YTD Target Values'!$A:$A,0), MATCH('Parameters and Distribution Sum'!$C$4 - 2,'Fund YTD Target Values'!$1:$1,0))</f>
        <v>1048370.982</v>
      </c>
      <c r="E27" s="39">
        <f>IFERROR(__xludf.DUMMYFUNCTION("IFERROR(FILTER('Fund Data'!$P:$P,'Fund Data'!$C:$C = $A27,'Fund Data'!$A:$A = ('Parameters and Distribution Sum'!$C$4 - 2), 'Fund Data'!$B:$B = 12) - FILTER('Fund Data'!$AE:$AE,'Fund Data'!$C:$C = $A27,'Fund Data'!$A:$A = ('Parameters and Distribution Sum"&amp;"'!$C$4 - 2), 'Fund Data'!$B:$B = 12),0)"),1164456.13)</f>
        <v>1164456.13</v>
      </c>
      <c r="F27" s="38">
        <f t="shared" si="1"/>
        <v>116085.1481</v>
      </c>
      <c r="G27" s="40">
        <f>IFERROR(__xludf.DUMMYFUNCTION("IF('Parameters and Distribution Sum'!$C$4 = 2019, FILTER('Fund Data'!$Y:$Y, 'Fund Data'!$C:$C = $A27, 'Fund Data'!$A:$A = 'Parameters and Distribution Sum'!$C$4 - 1, 'Fund Data'!$B:$B = 12) + FILTER('Fund Data'!$AA:$AA, 'Fund Data'!$C:$C = $A27, 'Fund Dat"&amp;"a'!$A:$A = 'Parameters and Distribution Sum'!$C$4 - 1, 'Fund Data'!$B:$B = 12),((FILTER('Fund Data'!$Y:$Y, 'Fund Data'!$C:$C = $A27, 'Fund Data'!$A:$A = 'Parameters and Distribution Sum'!$C$4 - 2, 'Fund Data'!$B:$B = 12) + FILTER('Fund Data'!$AA:$AA, 'Fun"&amp;"d Data'!$C:$C = $A27,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$A27, 'Fund Data'!$A:$A = ('Parameters and Distribution Sum'!$C$4 - 3), 'Fund Data'!$B:$B = 12) - SUM(FILTER('Fund Data'!$V:$V, 'Fund Data'!$C:$C = $A27, 'Fund Data'!$A:$A = ('Parameters an"&amp;"d Distribution Sum'!$C$4 - 3), 'Fund Data'!$B:$B &gt; 3)))  * 'Parameters and Distribution Sum'!$B$4 * (1 - 'Parameters and Distribution Sum'!$A$4)) + ((SUM(FILTER('Fund Data'!$V:$V, 'Fund Data'!$C:$C = $A27, 'Fund Data'!$A:$A = 'Parameters and Distribution "&amp;"Sum'!$C$4 - 3, 'Fund Data'!$B:$B &gt;= 4)) + SUM(FILTER('Fund Data'!$V:$V, 'Fund Data'!$C:$C = $A27, 'Fund Data'!$A:$A = 'Parameters and Distribution Sum'!$C$4 - 2, 'Fund Data'!$B:$B &lt;= 3))) * 'Parameters and Distribution Sum'!$B$4))"),47064.19418671139)</f>
        <v>47064.19419</v>
      </c>
      <c r="H27" s="41">
        <f>IFERROR(__xludf.DUMMYFUNCTION("IFERROR(($G27 * (1 + AVERAGE(FILTER('Inflation Data'!$C:$C,'Inflation Data'!$A:$A = ('Parameters and Distribution Sum'!$C$4 - 2)))) * 'Parameters and Distribution Sum'!$A$4),0)"),33647.195102028425)</f>
        <v>33647.1951</v>
      </c>
      <c r="I27" s="41">
        <f>IFERROR(__xludf.DUMMYFUNCTION("IF('Parameters and Distribution Sum'!$C$4 = 2019,IFERROR((IFERROR(FILTER('Fund Data'!$P:$P,'Fund Data'!$C:$C = $A27,'Fund Data'!$A:$A = ('Parameters and Distribution Sum'!$C$4 - 2), 'Fund Data'!$B:$B = 12),0) - SUM(FILTER('Fund Data'!$V:$V, 'Fund Data'!$C"&amp;":$C = $A27, 'Fund Data'!$A:$A = ('Parameters and Distribution Sum'!$C$4 - 2), 'Fund Data'!$B:$B &gt; 3)))  * 'Parameters and Distribution Sum'!$B$4 * (1 - 'Parameters and Distribution Sum'!$A$4),0), ($E27  - SUM(FILTER('Fund Data'!$V:$V, 'Fund Data'!$C:$C = "&amp;"$A27, 'Fund Data'!$A:$A = ('Parameters and Distribution Sum'!$C$4 - 2), 'Fund Data'!$B:$B &gt; 3)))  * 'Parameters and Distribution Sum'!$B$4 * (1 - 'Parameters and Distribution Sum'!$A$4))"),15672.907755)</f>
        <v>15672.90776</v>
      </c>
      <c r="J27" s="125">
        <f t="shared" si="2"/>
        <v>49320.10286</v>
      </c>
      <c r="K27" s="126">
        <f>IFERROR(__xludf.DUMMYFUNCTION("((IFERROR(SUM(FILTER('Fund Data'!$V:$V, 'Fund Data'!$C:$C = $A27, 'Fund Data'!$A:$A = 'Parameters and Distribution Sum'!$C$4 - 1, 'Fund Data'!$B:$B &gt;= 4, 'Fund Data'!$B:$B &lt;= 6)) * 'Parameters and Distribution Sum'!$B$4, 0)) / 4)"),0.0)</f>
        <v>0</v>
      </c>
      <c r="L27" s="126">
        <f>IFERROR(__xludf.DUMMYFUNCTION("((IFERROR(SUM(FILTER('Fund Data'!$V:$V, 'Fund Data'!$C:$C = $A27, 'Fund Data'!$A:$A = 'Parameters and Distribution Sum'!$C$4 - 1, 'Fund Data'!$B:$B &gt;= 4, 'Fund Data'!$B:$B &lt;= 9)) * 'Parameters and Distribution Sum'!$B$4, 0)) / 4)"),0.0)</f>
        <v>0</v>
      </c>
      <c r="M27" s="126">
        <f>IFERROR(__xludf.DUMMYFUNCTION("((IFERROR(SUM(FILTER('Fund Data'!$V:$V, 'Fund Data'!$C:$C = $A27, 'Fund Data'!$A:$A = 'Parameters and Distribution Sum'!$C$4 - 1, 'Fund Data'!$B:$B &gt;= 4, 'Fund Data'!$B:$B &lt;= 12)) * 'Parameters and Distribution Sum'!$B$4, 0)) / 4)"),0.0)</f>
        <v>0</v>
      </c>
      <c r="N27" s="126">
        <f>IFERROR(__xludf.DUMMYFUNCTION("((IFERROR(SUM(FILTER('Fund Data'!$V:$V, 'Fund Data'!$C:$C = $A27, 'Fund Data'!$A:$A = 'Parameters and Distribution Sum'!$C$4 - 1, 'Fund Data'!$B:$B &gt;= 4, 'Fund Data'!$B:$B &lt;= 12)) * 'Parameters and Distribution Sum'!$B$4, 0) + IFERROR(SUM(FILTER('Fund Dat"&amp;"a'!$V:$V, 'Fund Data'!$C:$C = $A27, 'Fund Data'!$A:$A = 'Parameters and Distribution Sum'!$C$4, 'Fund Data'!$B:$B &lt;= 3)) * 'Parameters and Distribution Sum'!$B$4, 0)) / 4)"),11.25)</f>
        <v>11.25</v>
      </c>
      <c r="O27" s="127">
        <f>IFERROR(__xludf.DUMMYFUNCTION("((IFERROR(SUM(FILTER('Fund Data'!$V:$V, 'Fund Data'!$C:$C = $A27, 'Fund Data'!$A:$A = 'Parameters and Distribution Sum'!$C$4 - 2, 'Fund Data'!$B:$B &gt;= 4)) * 'Parameters and Distribution Sum'!$B$4,0) + IFERROR(SUM(FILTER('Fund Data'!$V:$V, 'Fund Data'!$C:$"&amp;"C = $A27, 'Fund Data'!$A:$A = 'Parameters and Distribution Sum'!$C$4 - 1, 'Fund Data'!$B:$B &lt;= 3)) * 'Parameters and Distribution Sum'!$B$4,0)))"),3532.5)</f>
        <v>3532.5</v>
      </c>
      <c r="P27" s="127">
        <f>IFERROR(__xludf.DUMMYFUNCTION("IFERROR(FILTER('Fund Data'!$AE:$AE,'Fund Data'!$C:$C = $A27,'Fund Data'!$A:$A = ('Parameters and Distribution Sum'!$C$4 - 1), 'Fund Data'!$B:$B = 12),0)"),0.0)</f>
        <v>0</v>
      </c>
      <c r="Q27" s="128">
        <f t="shared" si="3"/>
        <v>52863.85286</v>
      </c>
      <c r="R27" s="129"/>
    </row>
    <row r="28">
      <c r="A28" s="36" t="s">
        <v>38</v>
      </c>
      <c r="B28" s="38" t="str">
        <f>IFERROR(__xludf.DUMMYFUNCTION("FILTER('Endowed Funds'!$C:$C,'Endowed Funds'!$B:$B = $A28)")," Archaeology ")</f>
        <v>Archaeology</v>
      </c>
      <c r="C28" s="39">
        <f>IFERROR(__xludf.DUMMYFUNCTION("IFERROR(sum(FILTER('Fund Data'!$D:$D, 'Fund Data'!$C:$C = $A28, 'Fund Data'!$A:$A &lt;= ('Parameters and Distribution Sum'!$C$4 - 2), 'Fund Data'!$B:$B = 12)),0)"),325871.64)</f>
        <v>325871.64</v>
      </c>
      <c r="D28" s="52">
        <f t="array" ref="D28">INDEX('Fund YTD Target Values'!$1:$1000, MATCH($A28,'Fund YTD Target Values'!$A:$A,0), MATCH('Parameters and Distribution Sum'!$C$4 - 2,'Fund YTD Target Values'!$1:$1,0))</f>
        <v>500698.0917</v>
      </c>
      <c r="E28" s="39">
        <f>IFERROR(__xludf.DUMMYFUNCTION("IFERROR(FILTER('Fund Data'!$P:$P,'Fund Data'!$C:$C = $A28,'Fund Data'!$A:$A = ('Parameters and Distribution Sum'!$C$4 - 2), 'Fund Data'!$B:$B = 12) - FILTER('Fund Data'!$AE:$AE,'Fund Data'!$C:$C = $A28,'Fund Data'!$A:$A = ('Parameters and Distribution Sum"&amp;"'!$C$4 - 2), 'Fund Data'!$B:$B = 12),0)"),357077.45000000007)</f>
        <v>357077.45</v>
      </c>
      <c r="F28" s="38">
        <f t="shared" si="1"/>
        <v>-143620.6417</v>
      </c>
      <c r="G28" s="40">
        <f>IFERROR(__xludf.DUMMYFUNCTION("IF('Parameters and Distribution Sum'!$C$4 = 2019, FILTER('Fund Data'!$Y:$Y, 'Fund Data'!$C:$C = $A28, 'Fund Data'!$A:$A = 'Parameters and Distribution Sum'!$C$4 - 1, 'Fund Data'!$B:$B = 12) + FILTER('Fund Data'!$AA:$AA, 'Fund Data'!$C:$C = $A28, 'Fund Dat"&amp;"a'!$A:$A = 'Parameters and Distribution Sum'!$C$4 - 1, 'Fund Data'!$B:$B = 12),((FILTER('Fund Data'!$Y:$Y, 'Fund Data'!$C:$C = $A28, 'Fund Data'!$A:$A = 'Parameters and Distribution Sum'!$C$4 - 2, 'Fund Data'!$B:$B = 12) + FILTER('Fund Data'!$AA:$AA, 'Fun"&amp;"d Data'!$C:$C = $A28,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$A28, 'Fund Data'!$A:$A = ('Parameters and Distribution Sum'!$C$4 - 3), 'Fund Data'!$B:$B = 12) - SUM(FILTER('Fund Data'!$V:$V, 'Fund Data'!$C:$C = $A28, 'Fund Data'!$A:$A = ('Parameters an"&amp;"d Distribution Sum'!$C$4 - 3), 'Fund Data'!$B:$B &gt; 3)))  * 'Parameters and Distribution Sum'!$B$4 * (1 - 'Parameters and Distribution Sum'!$A$4)) + ((SUM(FILTER('Fund Data'!$V:$V, 'Fund Data'!$C:$C = $A28, 'Fund Data'!$A:$A = 'Parameters and Distribution "&amp;"Sum'!$C$4 - 3, 'Fund Data'!$B:$B &gt;= 4)) + SUM(FILTER('Fund Data'!$V:$V, 'Fund Data'!$C:$C = $A28, 'Fund Data'!$A:$A = 'Parameters and Distribution Sum'!$C$4 - 2, 'Fund Data'!$B:$B &lt;= 3))) * 'Parameters and Distribution Sum'!$B$4))"),16068.485249999992)</f>
        <v>16068.48525</v>
      </c>
      <c r="H28" s="41">
        <f>IFERROR(__xludf.DUMMYFUNCTION("IFERROR(($G28 * (1 + AVERAGE(FILTER('Inflation Data'!$C:$C,'Inflation Data'!$A:$A = ('Parameters and Distribution Sum'!$C$4 - 2)))) * 'Parameters and Distribution Sum'!$A$4),0)"),11487.702435867292)</f>
        <v>11487.70244</v>
      </c>
      <c r="I28" s="41">
        <f>IFERROR(__xludf.DUMMYFUNCTION("IF('Parameters and Distribution Sum'!$C$4 = 2019,IFERROR((IFERROR(FILTER('Fund Data'!$P:$P,'Fund Data'!$C:$C = $A28,'Fund Data'!$A:$A = ('Parameters and Distribution Sum'!$C$4 - 2), 'Fund Data'!$B:$B = 12),0) - SUM(FILTER('Fund Data'!$V:$V, 'Fund Data'!$C"&amp;":$C = $A28, 'Fund Data'!$A:$A = ('Parameters and Distribution Sum'!$C$4 - 2), 'Fund Data'!$B:$B &gt; 3)))  * 'Parameters and Distribution Sum'!$B$4 * (1 - 'Parameters and Distribution Sum'!$A$4),0), ($E28  - SUM(FILTER('Fund Data'!$V:$V, 'Fund Data'!$C:$C = "&amp;"$A28, 'Fund Data'!$A:$A = ('Parameters and Distribution Sum'!$C$4 - 2), 'Fund Data'!$B:$B &gt; 3)))  * 'Parameters and Distribution Sum'!$B$4 * (1 - 'Parameters and Distribution Sum'!$A$4))"),4820.545575000002)</f>
        <v>4820.545575</v>
      </c>
      <c r="J28" s="125">
        <f t="shared" si="2"/>
        <v>16308.24801</v>
      </c>
      <c r="K28" s="126">
        <f>IFERROR(__xludf.DUMMYFUNCTION("((IFERROR(SUM(FILTER('Fund Data'!$V:$V, 'Fund Data'!$C:$C = $A28, 'Fund Data'!$A:$A = 'Parameters and Distribution Sum'!$C$4 - 1, 'Fund Data'!$B:$B &gt;= 4, 'Fund Data'!$B:$B &lt;= 6)) * 'Parameters and Distribution Sum'!$B$4, 0)) / 4)"),0.0)</f>
        <v>0</v>
      </c>
      <c r="L28" s="126">
        <f>IFERROR(__xludf.DUMMYFUNCTION("((IFERROR(SUM(FILTER('Fund Data'!$V:$V, 'Fund Data'!$C:$C = $A28, 'Fund Data'!$A:$A = 'Parameters and Distribution Sum'!$C$4 - 1, 'Fund Data'!$B:$B &gt;= 4, 'Fund Data'!$B:$B &lt;= 9)) * 'Parameters and Distribution Sum'!$B$4, 0)) / 4)"),0.0)</f>
        <v>0</v>
      </c>
      <c r="M28" s="126">
        <f>IFERROR(__xludf.DUMMYFUNCTION("((IFERROR(SUM(FILTER('Fund Data'!$V:$V, 'Fund Data'!$C:$C = $A28, 'Fund Data'!$A:$A = 'Parameters and Distribution Sum'!$C$4 - 1, 'Fund Data'!$B:$B &gt;= 4, 'Fund Data'!$B:$B &lt;= 12)) * 'Parameters and Distribution Sum'!$B$4, 0)) / 4)"),0.0)</f>
        <v>0</v>
      </c>
      <c r="N28" s="126">
        <f>IFERROR(__xludf.DUMMYFUNCTION("((IFERROR(SUM(FILTER('Fund Data'!$V:$V, 'Fund Data'!$C:$C = $A28, 'Fund Data'!$A:$A = 'Parameters and Distribution Sum'!$C$4 - 1, 'Fund Data'!$B:$B &gt;= 4, 'Fund Data'!$B:$B &lt;= 12)) * 'Parameters and Distribution Sum'!$B$4, 0) + IFERROR(SUM(FILTER('Fund Dat"&amp;"a'!$V:$V, 'Fund Data'!$C:$C = $A28, 'Fund Data'!$A:$A = 'Parameters and Distribution Sum'!$C$4, 'Fund Data'!$B:$B &lt;= 3)) * 'Parameters and Distribution Sum'!$B$4, 0)) / 4)"),0.0)</f>
        <v>0</v>
      </c>
      <c r="O28" s="127">
        <f>IFERROR(__xludf.DUMMYFUNCTION("((IFERROR(SUM(FILTER('Fund Data'!$V:$V, 'Fund Data'!$C:$C = $A28, 'Fund Data'!$A:$A = 'Parameters and Distribution Sum'!$C$4 - 2, 'Fund Data'!$B:$B &gt;= 4)) * 'Parameters and Distribution Sum'!$B$4,0) + IFERROR(SUM(FILTER('Fund Data'!$V:$V, 'Fund Data'!$C:$"&amp;"C = $A28, 'Fund Data'!$A:$A = 'Parameters and Distribution Sum'!$C$4 - 1, 'Fund Data'!$B:$B &lt;= 3)) * 'Parameters and Distribution Sum'!$B$4,0)))"),0.0)</f>
        <v>0</v>
      </c>
      <c r="P28" s="127">
        <f>IFERROR(__xludf.DUMMYFUNCTION("IFERROR(FILTER('Fund Data'!$AE:$AE,'Fund Data'!$C:$C = $A28,'Fund Data'!$A:$A = ('Parameters and Distribution Sum'!$C$4 - 1), 'Fund Data'!$B:$B = 12),0)"),0.0)</f>
        <v>0</v>
      </c>
      <c r="Q28" s="128">
        <f t="shared" si="3"/>
        <v>16308.24801</v>
      </c>
      <c r="R28" s="129"/>
    </row>
    <row r="29">
      <c r="A29" s="36" t="s">
        <v>73</v>
      </c>
      <c r="B29" s="38" t="str">
        <f>IFERROR(__xludf.DUMMYFUNCTION("FILTER('Endowed Funds'!$C:$C,'Endowed Funds'!$B:$B = $A29)")," Research Institute ")</f>
        <v>Research Institute</v>
      </c>
      <c r="C29" s="39">
        <f>IFERROR(__xludf.DUMMYFUNCTION("IFERROR(sum(FILTER('Fund Data'!$D:$D, 'Fund Data'!$C:$C = $A29, 'Fund Data'!$A:$A &lt;= ('Parameters and Distribution Sum'!$C$4 - 2), 'Fund Data'!$B:$B = 12)),0)"),2005500.0)</f>
        <v>2005500</v>
      </c>
      <c r="D29" s="52">
        <f t="array" ref="D29">INDEX('Fund YTD Target Values'!$1:$1000, MATCH($A29,'Fund YTD Target Values'!$A:$A,0), MATCH('Parameters and Distribution Sum'!$C$4 - 2,'Fund YTD Target Values'!$1:$1,0))</f>
        <v>2171706.82</v>
      </c>
      <c r="E29" s="39">
        <f>IFERROR(__xludf.DUMMYFUNCTION("IFERROR(FILTER('Fund Data'!$P:$P,'Fund Data'!$C:$C = $A29,'Fund Data'!$A:$A = ('Parameters and Distribution Sum'!$C$4 - 2), 'Fund Data'!$B:$B = 12) - FILTER('Fund Data'!$AE:$AE,'Fund Data'!$C:$C = $A29,'Fund Data'!$A:$A = ('Parameters and Distribution Sum"&amp;"'!$C$4 - 2), 'Fund Data'!$B:$B = 12),0)"),2275314.68)</f>
        <v>2275314.68</v>
      </c>
      <c r="F29" s="38">
        <f t="shared" si="1"/>
        <v>103607.8599</v>
      </c>
      <c r="G29" s="40">
        <f>IFERROR(__xludf.DUMMYFUNCTION("IF('Parameters and Distribution Sum'!$C$4 = 2019, FILTER('Fund Data'!$Y:$Y, 'Fund Data'!$C:$C = $A29, 'Fund Data'!$A:$A = 'Parameters and Distribution Sum'!$C$4 - 1, 'Fund Data'!$B:$B = 12) + FILTER('Fund Data'!$AA:$AA, 'Fund Data'!$C:$C = $A29, 'Fund Dat"&amp;"a'!$A:$A = 'Parameters and Distribution Sum'!$C$4 - 1, 'Fund Data'!$B:$B = 12),((FILTER('Fund Data'!$Y:$Y, 'Fund Data'!$C:$C = $A29, 'Fund Data'!$A:$A = 'Parameters and Distribution Sum'!$C$4 - 2, 'Fund Data'!$B:$B = 12) + FILTER('Fund Data'!$AA:$AA, 'Fun"&amp;"d Data'!$C:$C = $A29,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$A29, 'Fund Data'!$A:$A = ('Parameters and Distribution Sum'!$C$4 - 3), 'Fund Data'!$B:$B = 12) - SUM(FILTER('Fund Data'!$V:$V, 'Fund Data'!$C:$C = $A29, 'Fund Data'!$A:$A = ('Parameters an"&amp;"d Distribution Sum'!$C$4 - 3), 'Fund Data'!$B:$B &gt; 3)))  * 'Parameters and Distribution Sum'!$B$4 * (1 - 'Parameters and Distribution Sum'!$A$4)) + ((SUM(FILTER('Fund Data'!$V:$V, 'Fund Data'!$C:$C = $A29, 'Fund Data'!$A:$A = 'Parameters and Distribution "&amp;"Sum'!$C$4 - 3, 'Fund Data'!$B:$B &gt;= 4)) + SUM(FILTER('Fund Data'!$V:$V, 'Fund Data'!$C:$C = $A29, 'Fund Data'!$A:$A = 'Parameters and Distribution Sum'!$C$4 - 2, 'Fund Data'!$B:$B &lt;= 3))) * 'Parameters and Distribution Sum'!$B$4))"),97726.80690399795)</f>
        <v>97726.8069</v>
      </c>
      <c r="H29" s="41">
        <f>IFERROR(__xludf.DUMMYFUNCTION("IFERROR(($G29 * (1 + AVERAGE(FILTER('Inflation Data'!$C:$C,'Inflation Data'!$A:$A = ('Parameters and Distribution Sum'!$C$4 - 2)))) * 'Parameters and Distribution Sum'!$A$4),0)"),69866.97627398264)</f>
        <v>69866.97627</v>
      </c>
      <c r="I29" s="41">
        <f>IFERROR(__xludf.DUMMYFUNCTION("IF('Parameters and Distribution Sum'!$C$4 = 2019,IFERROR((IFERROR(FILTER('Fund Data'!$P:$P,'Fund Data'!$C:$C = $A29,'Fund Data'!$A:$A = ('Parameters and Distribution Sum'!$C$4 - 2), 'Fund Data'!$B:$B = 12),0) - SUM(FILTER('Fund Data'!$V:$V, 'Fund Data'!$C"&amp;":$C = $A29, 'Fund Data'!$A:$A = ('Parameters and Distribution Sum'!$C$4 - 2), 'Fund Data'!$B:$B &gt; 3)))  * 'Parameters and Distribution Sum'!$B$4 * (1 - 'Parameters and Distribution Sum'!$A$4),0), ($E29  - SUM(FILTER('Fund Data'!$V:$V, 'Fund Data'!$C:$C = "&amp;"$A29, 'Fund Data'!$A:$A = ('Parameters and Distribution Sum'!$C$4 - 2), 'Fund Data'!$B:$B &gt; 3)))  * 'Parameters and Distribution Sum'!$B$4 * (1 - 'Parameters and Distribution Sum'!$A$4))"),30716.748180000006)</f>
        <v>30716.74818</v>
      </c>
      <c r="J29" s="125">
        <f t="shared" si="2"/>
        <v>100583.7245</v>
      </c>
      <c r="K29" s="126">
        <f>IFERROR(__xludf.DUMMYFUNCTION("((IFERROR(SUM(FILTER('Fund Data'!$V:$V, 'Fund Data'!$C:$C = $A29, 'Fund Data'!$A:$A = 'Parameters and Distribution Sum'!$C$4 - 1, 'Fund Data'!$B:$B &gt;= 4, 'Fund Data'!$B:$B &lt;= 6)) * 'Parameters and Distribution Sum'!$B$4, 0)) / 4)"),0.0)</f>
        <v>0</v>
      </c>
      <c r="L29" s="126">
        <f>IFERROR(__xludf.DUMMYFUNCTION("((IFERROR(SUM(FILTER('Fund Data'!$V:$V, 'Fund Data'!$C:$C = $A29, 'Fund Data'!$A:$A = 'Parameters and Distribution Sum'!$C$4 - 1, 'Fund Data'!$B:$B &gt;= 4, 'Fund Data'!$B:$B &lt;= 9)) * 'Parameters and Distribution Sum'!$B$4, 0)) / 4)"),0.0)</f>
        <v>0</v>
      </c>
      <c r="M29" s="126">
        <f>IFERROR(__xludf.DUMMYFUNCTION("((IFERROR(SUM(FILTER('Fund Data'!$V:$V, 'Fund Data'!$C:$C = $A29, 'Fund Data'!$A:$A = 'Parameters and Distribution Sum'!$C$4 - 1, 'Fund Data'!$B:$B &gt;= 4, 'Fund Data'!$B:$B &lt;= 12)) * 'Parameters and Distribution Sum'!$B$4, 0)) / 4)"),0.0)</f>
        <v>0</v>
      </c>
      <c r="N29" s="126">
        <f>IFERROR(__xludf.DUMMYFUNCTION("((IFERROR(SUM(FILTER('Fund Data'!$V:$V, 'Fund Data'!$C:$C = $A29, 'Fund Data'!$A:$A = 'Parameters and Distribution Sum'!$C$4 - 1, 'Fund Data'!$B:$B &gt;= 4, 'Fund Data'!$B:$B &lt;= 12)) * 'Parameters and Distribution Sum'!$B$4, 0) + IFERROR(SUM(FILTER('Fund Dat"&amp;"a'!$V:$V, 'Fund Data'!$C:$C = $A29, 'Fund Data'!$A:$A = 'Parameters and Distribution Sum'!$C$4, 'Fund Data'!$B:$B &lt;= 3)) * 'Parameters and Distribution Sum'!$B$4, 0)) / 4)"),0.0)</f>
        <v>0</v>
      </c>
      <c r="O29" s="127">
        <f>IFERROR(__xludf.DUMMYFUNCTION("((IFERROR(SUM(FILTER('Fund Data'!$V:$V, 'Fund Data'!$C:$C = $A29, 'Fund Data'!$A:$A = 'Parameters and Distribution Sum'!$C$4 - 2, 'Fund Data'!$B:$B &gt;= 4)) * 'Parameters and Distribution Sum'!$B$4,0) + IFERROR(SUM(FILTER('Fund Data'!$V:$V, 'Fund Data'!$C:$"&amp;"C = $A29, 'Fund Data'!$A:$A = 'Parameters and Distribution Sum'!$C$4 - 1, 'Fund Data'!$B:$B &lt;= 3)) * 'Parameters and Distribution Sum'!$B$4,0)))"),0.0)</f>
        <v>0</v>
      </c>
      <c r="P29" s="127">
        <f>IFERROR(__xludf.DUMMYFUNCTION("IFERROR(FILTER('Fund Data'!$AE:$AE,'Fund Data'!$C:$C = $A29,'Fund Data'!$A:$A = ('Parameters and Distribution Sum'!$C$4 - 1), 'Fund Data'!$B:$B = 12),0)"),43500.0)</f>
        <v>43500</v>
      </c>
      <c r="Q29" s="128">
        <f t="shared" si="3"/>
        <v>144083.7245</v>
      </c>
      <c r="R29" s="129"/>
    </row>
    <row r="30">
      <c r="A30" s="36" t="s">
        <v>45</v>
      </c>
      <c r="B30" s="38" t="str">
        <f>IFERROR(__xludf.DUMMYFUNCTION("FILTER('Endowed Funds'!$C:$C,'Endowed Funds'!$B:$B = $A30)")," Archaeology ")</f>
        <v>Archaeology</v>
      </c>
      <c r="C30" s="39">
        <f>IFERROR(__xludf.DUMMYFUNCTION("IFERROR(sum(FILTER('Fund Data'!$D:$D, 'Fund Data'!$C:$C = $A30, 'Fund Data'!$A:$A &lt;= ('Parameters and Distribution Sum'!$C$4 - 2), 'Fund Data'!$B:$B = 12)),0)"),120000.0)</f>
        <v>120000</v>
      </c>
      <c r="D30" s="52">
        <f t="array" ref="D30">INDEX('Fund YTD Target Values'!$1:$1000, MATCH($A30,'Fund YTD Target Values'!$A:$A,0), MATCH('Parameters and Distribution Sum'!$C$4 - 2,'Fund YTD Target Values'!$1:$1,0))</f>
        <v>127220.0742</v>
      </c>
      <c r="E30" s="39">
        <f>IFERROR(__xludf.DUMMYFUNCTION("IFERROR(FILTER('Fund Data'!$P:$P,'Fund Data'!$C:$C = $A30,'Fund Data'!$A:$A = ('Parameters and Distribution Sum'!$C$4 - 2), 'Fund Data'!$B:$B = 12) - FILTER('Fund Data'!$AE:$AE,'Fund Data'!$C:$C = $A30,'Fund Data'!$A:$A = ('Parameters and Distribution Sum"&amp;"'!$C$4 - 2), 'Fund Data'!$B:$B = 12),0)"),144288.16)</f>
        <v>144288.16</v>
      </c>
      <c r="F30" s="38">
        <f t="shared" si="1"/>
        <v>17068.08575</v>
      </c>
      <c r="G30" s="40">
        <f>IFERROR(__xludf.DUMMYFUNCTION("IF('Parameters and Distribution Sum'!$C$4 = 2019, FILTER('Fund Data'!$Y:$Y, 'Fund Data'!$C:$C = $A30, 'Fund Data'!$A:$A = 'Parameters and Distribution Sum'!$C$4 - 1, 'Fund Data'!$B:$B = 12) + FILTER('Fund Data'!$AA:$AA, 'Fund Data'!$C:$C = $A30, 'Fund Dat"&amp;"a'!$A:$A = 'Parameters and Distribution Sum'!$C$4 - 1, 'Fund Data'!$B:$B = 12),((FILTER('Fund Data'!$Y:$Y, 'Fund Data'!$C:$C = $A30, 'Fund Data'!$A:$A = 'Parameters and Distribution Sum'!$C$4 - 2, 'Fund Data'!$B:$B = 12) + FILTER('Fund Data'!$AA:$AA, 'Fun"&amp;"d Data'!$C:$C = $A30,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$A30, 'Fund Data'!$A:$A = ('Parameters and Distribution Sum'!$C$4 - 3), 'Fund Data'!$B:$B = 12) - SUM(FILTER('Fund Data'!$V:$V, 'Fund Data'!$C:$C = $A30, 'Fund Data'!$A:$A = ('Parameters an"&amp;"d Distribution Sum'!$C$4 - 3), 'Fund Data'!$B:$B &gt; 3)))  * 'Parameters and Distribution Sum'!$B$4 * (1 - 'Parameters and Distribution Sum'!$A$4)) + ((SUM(FILTER('Fund Data'!$V:$V, 'Fund Data'!$C:$C = $A30, 'Fund Data'!$A:$A = 'Parameters and Distribution "&amp;"Sum'!$C$4 - 3, 'Fund Data'!$B:$B &gt;= 4)) + SUM(FILTER('Fund Data'!$V:$V, 'Fund Data'!$C:$C = $A30, 'Fund Data'!$A:$A = 'Parameters and Distribution Sum'!$C$4 - 2, 'Fund Data'!$B:$B &lt;= 3))) * 'Parameters and Distribution Sum'!$B$4))"),6174.9033412186045)</f>
        <v>6174.903341</v>
      </c>
      <c r="H30" s="41">
        <f>IFERROR(__xludf.DUMMYFUNCTION("IFERROR(($G30 * (1 + AVERAGE(FILTER('Inflation Data'!$C:$C,'Inflation Data'!$A:$A = ('Parameters and Distribution Sum'!$C$4 - 2)))) * 'Parameters and Distribution Sum'!$A$4),0)"),4414.569951711041)</f>
        <v>4414.569952</v>
      </c>
      <c r="I30" s="41">
        <f>IFERROR(__xludf.DUMMYFUNCTION("IF('Parameters and Distribution Sum'!$C$4 = 2019,IFERROR((IFERROR(FILTER('Fund Data'!$P:$P,'Fund Data'!$C:$C = $A30,'Fund Data'!$A:$A = ('Parameters and Distribution Sum'!$C$4 - 2), 'Fund Data'!$B:$B = 12),0) - SUM(FILTER('Fund Data'!$V:$V, 'Fund Data'!$C"&amp;":$C = $A30, 'Fund Data'!$A:$A = ('Parameters and Distribution Sum'!$C$4 - 2), 'Fund Data'!$B:$B &gt; 3)))  * 'Parameters and Distribution Sum'!$B$4 * (1 - 'Parameters and Distribution Sum'!$A$4),0), ($E30  - SUM(FILTER('Fund Data'!$V:$V, 'Fund Data'!$C:$C = "&amp;"$A30, 'Fund Data'!$A:$A = ('Parameters and Distribution Sum'!$C$4 - 2), 'Fund Data'!$B:$B &gt; 3)))  * 'Parameters and Distribution Sum'!$B$4 * (1 - 'Parameters and Distribution Sum'!$A$4))"),1947.8901600000004)</f>
        <v>1947.89016</v>
      </c>
      <c r="J30" s="125">
        <f t="shared" si="2"/>
        <v>6362.460112</v>
      </c>
      <c r="K30" s="126">
        <f>IFERROR(__xludf.DUMMYFUNCTION("((IFERROR(SUM(FILTER('Fund Data'!$V:$V, 'Fund Data'!$C:$C = $A30, 'Fund Data'!$A:$A = 'Parameters and Distribution Sum'!$C$4 - 1, 'Fund Data'!$B:$B &gt;= 4, 'Fund Data'!$B:$B &lt;= 6)) * 'Parameters and Distribution Sum'!$B$4, 0)) / 4)"),0.0)</f>
        <v>0</v>
      </c>
      <c r="L30" s="126">
        <f>IFERROR(__xludf.DUMMYFUNCTION("((IFERROR(SUM(FILTER('Fund Data'!$V:$V, 'Fund Data'!$C:$C = $A30, 'Fund Data'!$A:$A = 'Parameters and Distribution Sum'!$C$4 - 1, 'Fund Data'!$B:$B &gt;= 4, 'Fund Data'!$B:$B &lt;= 9)) * 'Parameters and Distribution Sum'!$B$4, 0)) / 4)"),0.0)</f>
        <v>0</v>
      </c>
      <c r="M30" s="126">
        <f>IFERROR(__xludf.DUMMYFUNCTION("((IFERROR(SUM(FILTER('Fund Data'!$V:$V, 'Fund Data'!$C:$C = $A30, 'Fund Data'!$A:$A = 'Parameters and Distribution Sum'!$C$4 - 1, 'Fund Data'!$B:$B &gt;= 4, 'Fund Data'!$B:$B &lt;= 12)) * 'Parameters and Distribution Sum'!$B$4, 0)) / 4)"),56.25)</f>
        <v>56.25</v>
      </c>
      <c r="N30" s="126">
        <f>IFERROR(__xludf.DUMMYFUNCTION("((IFERROR(SUM(FILTER('Fund Data'!$V:$V, 'Fund Data'!$C:$C = $A30, 'Fund Data'!$A:$A = 'Parameters and Distribution Sum'!$C$4 - 1, 'Fund Data'!$B:$B &gt;= 4, 'Fund Data'!$B:$B &lt;= 12)) * 'Parameters and Distribution Sum'!$B$4, 0) + IFERROR(SUM(FILTER('Fund Dat"&amp;"a'!$V:$V, 'Fund Data'!$C:$C = $A30, 'Fund Data'!$A:$A = 'Parameters and Distribution Sum'!$C$4, 'Fund Data'!$B:$B &lt;= 3)) * 'Parameters and Distribution Sum'!$B$4, 0)) / 4)"),56.25)</f>
        <v>56.25</v>
      </c>
      <c r="O30" s="127">
        <f>IFERROR(__xludf.DUMMYFUNCTION("((IFERROR(SUM(FILTER('Fund Data'!$V:$V, 'Fund Data'!$C:$C = $A30, 'Fund Data'!$A:$A = 'Parameters and Distribution Sum'!$C$4 - 2, 'Fund Data'!$B:$B &gt;= 4)) * 'Parameters and Distribution Sum'!$B$4,0) + IFERROR(SUM(FILTER('Fund Data'!$V:$V, 'Fund Data'!$C:$"&amp;"C = $A30, 'Fund Data'!$A:$A = 'Parameters and Distribution Sum'!$C$4 - 1, 'Fund Data'!$B:$B &lt;= 3)) * 'Parameters and Distribution Sum'!$B$4,0)))"),0.0)</f>
        <v>0</v>
      </c>
      <c r="P30" s="127">
        <f>IFERROR(__xludf.DUMMYFUNCTION("IFERROR(FILTER('Fund Data'!$AE:$AE,'Fund Data'!$C:$C = $A30,'Fund Data'!$A:$A = ('Parameters and Distribution Sum'!$C$4 - 1), 'Fund Data'!$B:$B = 12),0)"),0.0)</f>
        <v>0</v>
      </c>
      <c r="Q30" s="128">
        <f t="shared" si="3"/>
        <v>6474.960112</v>
      </c>
      <c r="R30" s="129"/>
    </row>
    <row r="31">
      <c r="A31" s="36" t="s">
        <v>78</v>
      </c>
      <c r="B31" s="38" t="str">
        <f>IFERROR(__xludf.DUMMYFUNCTION("FILTER('Endowed Funds'!$C:$C,'Endowed Funds'!$B:$B = $A31)")," Research Institute ")</f>
        <v>Research Institute</v>
      </c>
      <c r="C31" s="39">
        <f>IFERROR(__xludf.DUMMYFUNCTION("IFERROR(sum(FILTER('Fund Data'!$D:$D, 'Fund Data'!$C:$C = $A31, 'Fund Data'!$A:$A &lt;= ('Parameters and Distribution Sum'!$C$4 - 2), 'Fund Data'!$B:$B = 12)),0)"),210000.0)</f>
        <v>210000</v>
      </c>
      <c r="D31" s="52">
        <f t="array" ref="D31">INDEX('Fund YTD Target Values'!$1:$1000, MATCH($A31,'Fund YTD Target Values'!$A:$A,0), MATCH('Parameters and Distribution Sum'!$C$4 - 2,'Fund YTD Target Values'!$1:$1,0))</f>
        <v>213886.3799</v>
      </c>
      <c r="E31" s="39">
        <f>IFERROR(__xludf.DUMMYFUNCTION("IFERROR(FILTER('Fund Data'!$P:$P,'Fund Data'!$C:$C = $A31,'Fund Data'!$A:$A = ('Parameters and Distribution Sum'!$C$4 - 2), 'Fund Data'!$B:$B = 12) - FILTER('Fund Data'!$AE:$AE,'Fund Data'!$C:$C = $A31,'Fund Data'!$A:$A = ('Parameters and Distribution Sum"&amp;"'!$C$4 - 2), 'Fund Data'!$B:$B = 12),0)"),229064.75999999995)</f>
        <v>229064.76</v>
      </c>
      <c r="F31" s="38">
        <f t="shared" si="1"/>
        <v>15178.38006</v>
      </c>
      <c r="G31" s="40">
        <f>IFERROR(__xludf.DUMMYFUNCTION("IF('Parameters and Distribution Sum'!$C$4 = 2019, FILTER('Fund Data'!$Y:$Y, 'Fund Data'!$C:$C = $A31, 'Fund Data'!$A:$A = 'Parameters and Distribution Sum'!$C$4 - 1, 'Fund Data'!$B:$B = 12) + FILTER('Fund Data'!$AA:$AA, 'Fund Data'!$C:$C = $A31, 'Fund Dat"&amp;"a'!$A:$A = 'Parameters and Distribution Sum'!$C$4 - 1, 'Fund Data'!$B:$B = 12),((FILTER('Fund Data'!$Y:$Y, 'Fund Data'!$C:$C = $A31, 'Fund Data'!$A:$A = 'Parameters and Distribution Sum'!$C$4 - 2, 'Fund Data'!$B:$B = 12) + FILTER('Fund Data'!$AA:$AA, 'Fun"&amp;"d Data'!$C:$C = $A31,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$A31, 'Fund Data'!$A:$A = ('Parameters and Distribution Sum'!$C$4 - 3), 'Fund Data'!$B:$B = 12) - SUM(FILTER('Fund Data'!$V:$V, 'Fund Data'!$C:$C = $A31, 'Fund Data'!$A:$A = ('Parameters an"&amp;"d Distribution Sum'!$C$4 - 3), 'Fund Data'!$B:$B &gt; 3)))  * 'Parameters and Distribution Sum'!$B$4 * (1 - 'Parameters and Distribution Sum'!$A$4)) + ((SUM(FILTER('Fund Data'!$V:$V, 'Fund Data'!$C:$C = $A31, 'Fund Data'!$A:$A = 'Parameters and Distribution "&amp;"Sum'!$C$4 - 3, 'Fund Data'!$B:$B &gt;= 4)) + SUM(FILTER('Fund Data'!$V:$V, 'Fund Data'!$C:$C = $A31, 'Fund Data'!$A:$A = 'Parameters and Distribution Sum'!$C$4 - 2, 'Fund Data'!$B:$B &lt;= 3))) * 'Parameters and Distribution Sum'!$B$4))"),9624.887097314764)</f>
        <v>9624.887097</v>
      </c>
      <c r="H31" s="41">
        <f>IFERROR(__xludf.DUMMYFUNCTION("IFERROR(($G31 * (1 + AVERAGE(FILTER('Inflation Data'!$C:$C,'Inflation Data'!$A:$A = ('Parameters and Distribution Sum'!$C$4 - 2)))) * 'Parameters and Distribution Sum'!$A$4),0)"),6881.036839036868)</f>
        <v>6881.036839</v>
      </c>
      <c r="I31" s="41">
        <f>IFERROR(__xludf.DUMMYFUNCTION("IF('Parameters and Distribution Sum'!$C$4 = 2019,IFERROR((IFERROR(FILTER('Fund Data'!$P:$P,'Fund Data'!$C:$C = $A31,'Fund Data'!$A:$A = ('Parameters and Distribution Sum'!$C$4 - 2), 'Fund Data'!$B:$B = 12),0) - SUM(FILTER('Fund Data'!$V:$V, 'Fund Data'!$C"&amp;":$C = $A31, 'Fund Data'!$A:$A = ('Parameters and Distribution Sum'!$C$4 - 2), 'Fund Data'!$B:$B &gt; 3)))  * 'Parameters and Distribution Sum'!$B$4 * (1 - 'Parameters and Distribution Sum'!$A$4),0), ($E31  - SUM(FILTER('Fund Data'!$V:$V, 'Fund Data'!$C:$C = "&amp;"$A31, 'Fund Data'!$A:$A = ('Parameters and Distribution Sum'!$C$4 - 2), 'Fund Data'!$B:$B &gt; 3)))  * 'Parameters and Distribution Sum'!$B$4 * (1 - 'Parameters and Distribution Sum'!$A$4))"),2147.3742599999996)</f>
        <v>2147.37426</v>
      </c>
      <c r="J31" s="125">
        <f t="shared" si="2"/>
        <v>9028.411099</v>
      </c>
      <c r="K31" s="126">
        <f>IFERROR(__xludf.DUMMYFUNCTION("((IFERROR(SUM(FILTER('Fund Data'!$V:$V, 'Fund Data'!$C:$C = $A31, 'Fund Data'!$A:$A = 'Parameters and Distribution Sum'!$C$4 - 1, 'Fund Data'!$B:$B &gt;= 4, 'Fund Data'!$B:$B &lt;= 6)) * 'Parameters and Distribution Sum'!$B$4, 0)) / 4)"),0.0)</f>
        <v>0</v>
      </c>
      <c r="L31" s="126">
        <f>IFERROR(__xludf.DUMMYFUNCTION("((IFERROR(SUM(FILTER('Fund Data'!$V:$V, 'Fund Data'!$C:$C = $A31, 'Fund Data'!$A:$A = 'Parameters and Distribution Sum'!$C$4 - 1, 'Fund Data'!$B:$B &gt;= 4, 'Fund Data'!$B:$B &lt;= 9)) * 'Parameters and Distribution Sum'!$B$4, 0)) / 4)"),0.0)</f>
        <v>0</v>
      </c>
      <c r="M31" s="126">
        <f>IFERROR(__xludf.DUMMYFUNCTION("((IFERROR(SUM(FILTER('Fund Data'!$V:$V, 'Fund Data'!$C:$C = $A31, 'Fund Data'!$A:$A = 'Parameters and Distribution Sum'!$C$4 - 1, 'Fund Data'!$B:$B &gt;= 4, 'Fund Data'!$B:$B &lt;= 12)) * 'Parameters and Distribution Sum'!$B$4, 0)) / 4)"),787.5)</f>
        <v>787.5</v>
      </c>
      <c r="N31" s="126">
        <f>IFERROR(__xludf.DUMMYFUNCTION("((IFERROR(SUM(FILTER('Fund Data'!$V:$V, 'Fund Data'!$C:$C = $A31, 'Fund Data'!$A:$A = 'Parameters and Distribution Sum'!$C$4 - 1, 'Fund Data'!$B:$B &gt;= 4, 'Fund Data'!$B:$B &lt;= 12)) * 'Parameters and Distribution Sum'!$B$4, 0) + IFERROR(SUM(FILTER('Fund Dat"&amp;"a'!$V:$V, 'Fund Data'!$C:$C = $A31, 'Fund Data'!$A:$A = 'Parameters and Distribution Sum'!$C$4, 'Fund Data'!$B:$B &lt;= 3)) * 'Parameters and Distribution Sum'!$B$4, 0)) / 4)"),787.5)</f>
        <v>787.5</v>
      </c>
      <c r="O31" s="127">
        <f>IFERROR(__xludf.DUMMYFUNCTION("((IFERROR(SUM(FILTER('Fund Data'!$V:$V, 'Fund Data'!$C:$C = $A31, 'Fund Data'!$A:$A = 'Parameters and Distribution Sum'!$C$4 - 2, 'Fund Data'!$B:$B &gt;= 4)) * 'Parameters and Distribution Sum'!$B$4,0) + IFERROR(SUM(FILTER('Fund Data'!$V:$V, 'Fund Data'!$C:$"&amp;"C = $A31, 'Fund Data'!$A:$A = 'Parameters and Distribution Sum'!$C$4 - 1, 'Fund Data'!$B:$B &lt;= 3)) * 'Parameters and Distribution Sum'!$B$4,0)))"),3150.0)</f>
        <v>3150</v>
      </c>
      <c r="P31" s="127">
        <f>IFERROR(__xludf.DUMMYFUNCTION("IFERROR(FILTER('Fund Data'!$AE:$AE,'Fund Data'!$C:$C = $A31,'Fund Data'!$A:$A = ('Parameters and Distribution Sum'!$C$4 - 1), 'Fund Data'!$B:$B = 12),0)"),5000.0)</f>
        <v>5000</v>
      </c>
      <c r="Q31" s="128">
        <f t="shared" si="3"/>
        <v>18753.4111</v>
      </c>
      <c r="R31" s="129"/>
    </row>
    <row r="32">
      <c r="A32" s="36" t="s">
        <v>64</v>
      </c>
      <c r="B32" s="38" t="str">
        <f>IFERROR(__xludf.DUMMYFUNCTION("FILTER('Endowed Funds'!$C:$C,'Endowed Funds'!$B:$B = $A32)")," Education ")</f>
        <v>Education</v>
      </c>
      <c r="C32" s="39">
        <f>IFERROR(__xludf.DUMMYFUNCTION("IFERROR(sum(FILTER('Fund Data'!$D:$D, 'Fund Data'!$C:$C = $A32, 'Fund Data'!$A:$A &lt;= ('Parameters and Distribution Sum'!$C$4 - 2), 'Fund Data'!$B:$B = 12)),0)"),250000.0)</f>
        <v>250000</v>
      </c>
      <c r="D32" s="52">
        <f t="array" ref="D32">INDEX('Fund YTD Target Values'!$1:$1000, MATCH($A32,'Fund YTD Target Values'!$A:$A,0), MATCH('Parameters and Distribution Sum'!$C$4 - 2,'Fund YTD Target Values'!$1:$1,0))</f>
        <v>313918.5223</v>
      </c>
      <c r="E32" s="39">
        <f>IFERROR(__xludf.DUMMYFUNCTION("IFERROR(FILTER('Fund Data'!$P:$P,'Fund Data'!$C:$C = $A32,'Fund Data'!$A:$A = ('Parameters and Distribution Sum'!$C$4 - 2), 'Fund Data'!$B:$B = 12) - FILTER('Fund Data'!$AE:$AE,'Fund Data'!$C:$C = $A32,'Fund Data'!$A:$A = ('Parameters and Distribution Sum"&amp;"'!$C$4 - 2), 'Fund Data'!$B:$B = 12),0)"),286636.47)</f>
        <v>286636.47</v>
      </c>
      <c r="F32" s="38">
        <f t="shared" si="1"/>
        <v>-27282.05227</v>
      </c>
      <c r="G32" s="40">
        <f>IFERROR(__xludf.DUMMYFUNCTION("IF('Parameters and Distribution Sum'!$C$4 = 2019, FILTER('Fund Data'!$Y:$Y, 'Fund Data'!$C:$C = $A32, 'Fund Data'!$A:$A = 'Parameters and Distribution Sum'!$C$4 - 1, 'Fund Data'!$B:$B = 12) + FILTER('Fund Data'!$AA:$AA, 'Fund Data'!$C:$C = $A32, 'Fund Dat"&amp;"a'!$A:$A = 'Parameters and Distribution Sum'!$C$4 - 1, 'Fund Data'!$B:$B = 12),((FILTER('Fund Data'!$Y:$Y, 'Fund Data'!$C:$C = $A32, 'Fund Data'!$A:$A = 'Parameters and Distribution Sum'!$C$4 - 2, 'Fund Data'!$B:$B = 12) + FILTER('Fund Data'!$AA:$AA, 'Fun"&amp;"d Data'!$C:$C = $A32,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$A32, 'Fund Data'!$A:$A = ('Parameters and Distribution Sum'!$C$4 - 3), 'Fund Data'!$B:$B = 12) - SUM(FILTER('Fund Data'!$V:$V, 'Fund Data'!$C:$C = $A32, 'Fund Data'!$A:$A = ('Parameters an"&amp;"d Distribution Sum'!$C$4 - 3), 'Fund Data'!$B:$B &gt; 3)))  * 'Parameters and Distribution Sum'!$B$4 * (1 - 'Parameters and Distribution Sum'!$A$4)) + ((SUM(FILTER('Fund Data'!$V:$V, 'Fund Data'!$C:$C = $A32, 'Fund Data'!$A:$A = 'Parameters and Distribution "&amp;"Sum'!$C$4 - 3, 'Fund Data'!$B:$B &gt;= 4)) + SUM(FILTER('Fund Data'!$V:$V, 'Fund Data'!$C:$C = $A32, 'Fund Data'!$A:$A = 'Parameters and Distribution Sum'!$C$4 - 2, 'Fund Data'!$B:$B &lt;= 3))) * 'Parameters and Distribution Sum'!$B$4))"),12898.641150000003)</f>
        <v>12898.64115</v>
      </c>
      <c r="H32" s="41">
        <f>IFERROR(__xludf.DUMMYFUNCTION("IFERROR(($G32 * (1 + AVERAGE(FILTER('Inflation Data'!$C:$C,'Inflation Data'!$A:$A = ('Parameters and Distribution Sum'!$C$4 - 2)))) * 'Parameters and Distribution Sum'!$A$4),0)"),9221.513356912916)</f>
        <v>9221.513357</v>
      </c>
      <c r="I32" s="41">
        <f>IFERROR(__xludf.DUMMYFUNCTION("IF('Parameters and Distribution Sum'!$C$4 = 2019,IFERROR((IFERROR(FILTER('Fund Data'!$P:$P,'Fund Data'!$C:$C = $A32,'Fund Data'!$A:$A = ('Parameters and Distribution Sum'!$C$4 - 2), 'Fund Data'!$B:$B = 12),0) - SUM(FILTER('Fund Data'!$V:$V, 'Fund Data'!$C"&amp;":$C = $A32, 'Fund Data'!$A:$A = ('Parameters and Distribution Sum'!$C$4 - 2), 'Fund Data'!$B:$B &gt; 3)))  * 'Parameters and Distribution Sum'!$B$4 * (1 - 'Parameters and Distribution Sum'!$A$4),0), ($E32  - SUM(FILTER('Fund Data'!$V:$V, 'Fund Data'!$C:$C = "&amp;"$A32, 'Fund Data'!$A:$A = ('Parameters and Distribution Sum'!$C$4 - 2), 'Fund Data'!$B:$B &gt; 3)))  * 'Parameters and Distribution Sum'!$B$4 * (1 - 'Parameters and Distribution Sum'!$A$4))"),3869.592345)</f>
        <v>3869.592345</v>
      </c>
      <c r="J32" s="125">
        <f t="shared" si="2"/>
        <v>13091.1057</v>
      </c>
      <c r="K32" s="126">
        <f>IFERROR(__xludf.DUMMYFUNCTION("((IFERROR(SUM(FILTER('Fund Data'!$V:$V, 'Fund Data'!$C:$C = $A32, 'Fund Data'!$A:$A = 'Parameters and Distribution Sum'!$C$4 - 1, 'Fund Data'!$B:$B &gt;= 4, 'Fund Data'!$B:$B &lt;= 6)) * 'Parameters and Distribution Sum'!$B$4, 0)) / 4)"),0.0)</f>
        <v>0</v>
      </c>
      <c r="L32" s="126">
        <f>IFERROR(__xludf.DUMMYFUNCTION("((IFERROR(SUM(FILTER('Fund Data'!$V:$V, 'Fund Data'!$C:$C = $A32, 'Fund Data'!$A:$A = 'Parameters and Distribution Sum'!$C$4 - 1, 'Fund Data'!$B:$B &gt;= 4, 'Fund Data'!$B:$B &lt;= 9)) * 'Parameters and Distribution Sum'!$B$4, 0)) / 4)"),0.0)</f>
        <v>0</v>
      </c>
      <c r="M32" s="126">
        <f>IFERROR(__xludf.DUMMYFUNCTION("((IFERROR(SUM(FILTER('Fund Data'!$V:$V, 'Fund Data'!$C:$C = $A32, 'Fund Data'!$A:$A = 'Parameters and Distribution Sum'!$C$4 - 1, 'Fund Data'!$B:$B &gt;= 4, 'Fund Data'!$B:$B &lt;= 12)) * 'Parameters and Distribution Sum'!$B$4, 0)) / 4)"),0.0)</f>
        <v>0</v>
      </c>
      <c r="N32" s="126">
        <f>IFERROR(__xludf.DUMMYFUNCTION("((IFERROR(SUM(FILTER('Fund Data'!$V:$V, 'Fund Data'!$C:$C = $A32, 'Fund Data'!$A:$A = 'Parameters and Distribution Sum'!$C$4 - 1, 'Fund Data'!$B:$B &gt;= 4, 'Fund Data'!$B:$B &lt;= 12)) * 'Parameters and Distribution Sum'!$B$4, 0) + IFERROR(SUM(FILTER('Fund Dat"&amp;"a'!$V:$V, 'Fund Data'!$C:$C = $A32, 'Fund Data'!$A:$A = 'Parameters and Distribution Sum'!$C$4, 'Fund Data'!$B:$B &lt;= 3)) * 'Parameters and Distribution Sum'!$B$4, 0)) / 4)"),0.0)</f>
        <v>0</v>
      </c>
      <c r="O32" s="127">
        <f>IFERROR(__xludf.DUMMYFUNCTION("((IFERROR(SUM(FILTER('Fund Data'!$V:$V, 'Fund Data'!$C:$C = $A32, 'Fund Data'!$A:$A = 'Parameters and Distribution Sum'!$C$4 - 2, 'Fund Data'!$B:$B &gt;= 4)) * 'Parameters and Distribution Sum'!$B$4,0) + IFERROR(SUM(FILTER('Fund Data'!$V:$V, 'Fund Data'!$C:$"&amp;"C = $A32, 'Fund Data'!$A:$A = 'Parameters and Distribution Sum'!$C$4 - 1, 'Fund Data'!$B:$B &lt;= 3)) * 'Parameters and Distribution Sum'!$B$4,0)))"),0.0)</f>
        <v>0</v>
      </c>
      <c r="P32" s="127">
        <f>IFERROR(__xludf.DUMMYFUNCTION("IFERROR(FILTER('Fund Data'!$AE:$AE,'Fund Data'!$C:$C = $A32,'Fund Data'!$A:$A = ('Parameters and Distribution Sum'!$C$4 - 1), 'Fund Data'!$B:$B = 12),0)"),0.0)</f>
        <v>0</v>
      </c>
      <c r="Q32" s="128">
        <f t="shared" si="3"/>
        <v>13091.1057</v>
      </c>
      <c r="R32" s="129"/>
    </row>
    <row r="33">
      <c r="A33" s="36" t="s">
        <v>65</v>
      </c>
      <c r="B33" s="38" t="str">
        <f>IFERROR(__xludf.DUMMYFUNCTION("FILTER('Endowed Funds'!$C:$C,'Endowed Funds'!$B:$B = $A33)")," Education ")</f>
        <v>Education</v>
      </c>
      <c r="C33" s="39">
        <f>IFERROR(__xludf.DUMMYFUNCTION("IFERROR(sum(FILTER('Fund Data'!$D:$D, 'Fund Data'!$C:$C = $A33, 'Fund Data'!$A:$A &lt;= ('Parameters and Distribution Sum'!$C$4 - 2), 'Fund Data'!$B:$B = 12)),0)"),100000.0)</f>
        <v>100000</v>
      </c>
      <c r="D33" s="52">
        <f t="array" ref="D33">INDEX('Fund YTD Target Values'!$1:$1000, MATCH($A33,'Fund YTD Target Values'!$A:$A,0), MATCH('Parameters and Distribution Sum'!$C$4 - 2,'Fund YTD Target Values'!$1:$1,0))</f>
        <v>118351.1878</v>
      </c>
      <c r="E33" s="39">
        <f>IFERROR(__xludf.DUMMYFUNCTION("IFERROR(FILTER('Fund Data'!$P:$P,'Fund Data'!$C:$C = $A33,'Fund Data'!$A:$A = ('Parameters and Distribution Sum'!$C$4 - 2), 'Fund Data'!$B:$B = 12) - FILTER('Fund Data'!$AE:$AE,'Fund Data'!$C:$C = $A33,'Fund Data'!$A:$A = ('Parameters and Distribution Sum"&amp;"'!$C$4 - 2), 'Fund Data'!$B:$B = 12),0)"),148402.29)</f>
        <v>148402.29</v>
      </c>
      <c r="F33" s="38">
        <f t="shared" si="1"/>
        <v>30051.10219</v>
      </c>
      <c r="G33" s="40">
        <f>IFERROR(__xludf.DUMMYFUNCTION("IF('Parameters and Distribution Sum'!$C$4 = 2019, FILTER('Fund Data'!$Y:$Y, 'Fund Data'!$C:$C = $A33, 'Fund Data'!$A:$A = 'Parameters and Distribution Sum'!$C$4 - 1, 'Fund Data'!$B:$B = 12) + FILTER('Fund Data'!$AA:$AA, 'Fund Data'!$C:$C = $A33, 'Fund Dat"&amp;"a'!$A:$A = 'Parameters and Distribution Sum'!$C$4 - 1, 'Fund Data'!$B:$B = 12),((FILTER('Fund Data'!$Y:$Y, 'Fund Data'!$C:$C = $A33, 'Fund Data'!$A:$A = 'Parameters and Distribution Sum'!$C$4 - 2, 'Fund Data'!$B:$B = 12) + FILTER('Fund Data'!$AA:$AA, 'Fun"&amp;"d Data'!$C:$C = $A33,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$A33, 'Fund Data'!$A:$A = ('Parameters and Distribution Sum'!$C$4 - 3), 'Fund Data'!$B:$B = 12) - SUM(FILTER('Fund Data'!$V:$V, 'Fund Data'!$C:$C = $A33, 'Fund Data'!$A:$A = ('Parameters an"&amp;"d Distribution Sum'!$C$4 - 3), 'Fund Data'!$B:$B &gt; 3)))  * 'Parameters and Distribution Sum'!$B$4 * (1 - 'Parameters and Distribution Sum'!$A$4)) + ((SUM(FILTER('Fund Data'!$V:$V, 'Fund Data'!$C:$C = $A33, 'Fund Data'!$A:$A = 'Parameters and Distribution "&amp;"Sum'!$C$4 - 3, 'Fund Data'!$B:$B &gt;= 4)) + SUM(FILTER('Fund Data'!$V:$V, 'Fund Data'!$C:$C = $A33, 'Fund Data'!$A:$A = 'Parameters and Distribution Sum'!$C$4 - 2, 'Fund Data'!$B:$B &lt;= 3))) * 'Parameters and Distribution Sum'!$B$4))"),5325.8034515521795)</f>
        <v>5325.803452</v>
      </c>
      <c r="H33" s="41">
        <f>IFERROR(__xludf.DUMMYFUNCTION("IFERROR(($G33 * (1 + AVERAGE(FILTER('Inflation Data'!$C:$C,'Inflation Data'!$A:$A = ('Parameters and Distribution Sum'!$C$4 - 2)))) * 'Parameters and Distribution Sum'!$A$4),0)"),3807.5303509611413)</f>
        <v>3807.530351</v>
      </c>
      <c r="I33" s="41">
        <f>IFERROR(__xludf.DUMMYFUNCTION("IF('Parameters and Distribution Sum'!$C$4 = 2019,IFERROR((IFERROR(FILTER('Fund Data'!$P:$P,'Fund Data'!$C:$C = $A33,'Fund Data'!$A:$A = ('Parameters and Distribution Sum'!$C$4 - 2), 'Fund Data'!$B:$B = 12),0) - SUM(FILTER('Fund Data'!$V:$V, 'Fund Data'!$C"&amp;":$C = $A33, 'Fund Data'!$A:$A = ('Parameters and Distribution Sum'!$C$4 - 2), 'Fund Data'!$B:$B &gt; 3)))  * 'Parameters and Distribution Sum'!$B$4 * (1 - 'Parameters and Distribution Sum'!$A$4),0), ($E33  - SUM(FILTER('Fund Data'!$V:$V, 'Fund Data'!$C:$C = "&amp;"$A33, 'Fund Data'!$A:$A = ('Parameters and Distribution Sum'!$C$4 - 2), 'Fund Data'!$B:$B &gt; 3)))  * 'Parameters and Distribution Sum'!$B$4 * (1 - 'Parameters and Distribution Sum'!$A$4))"),2003.4309150000001)</f>
        <v>2003.430915</v>
      </c>
      <c r="J33" s="125">
        <f t="shared" si="2"/>
        <v>5810.961266</v>
      </c>
      <c r="K33" s="126">
        <f>IFERROR(__xludf.DUMMYFUNCTION("((IFERROR(SUM(FILTER('Fund Data'!$V:$V, 'Fund Data'!$C:$C = $A33, 'Fund Data'!$A:$A = 'Parameters and Distribution Sum'!$C$4 - 1, 'Fund Data'!$B:$B &gt;= 4, 'Fund Data'!$B:$B &lt;= 6)) * 'Parameters and Distribution Sum'!$B$4, 0)) / 4)"),0.0)</f>
        <v>0</v>
      </c>
      <c r="L33" s="126">
        <f>IFERROR(__xludf.DUMMYFUNCTION("((IFERROR(SUM(FILTER('Fund Data'!$V:$V, 'Fund Data'!$C:$C = $A33, 'Fund Data'!$A:$A = 'Parameters and Distribution Sum'!$C$4 - 1, 'Fund Data'!$B:$B &gt;= 4, 'Fund Data'!$B:$B &lt;= 9)) * 'Parameters and Distribution Sum'!$B$4, 0)) / 4)"),0.0)</f>
        <v>0</v>
      </c>
      <c r="M33" s="126">
        <f>IFERROR(__xludf.DUMMYFUNCTION("((IFERROR(SUM(FILTER('Fund Data'!$V:$V, 'Fund Data'!$C:$C = $A33, 'Fund Data'!$A:$A = 'Parameters and Distribution Sum'!$C$4 - 1, 'Fund Data'!$B:$B &gt;= 4, 'Fund Data'!$B:$B &lt;= 12)) * 'Parameters and Distribution Sum'!$B$4, 0)) / 4)"),0.0)</f>
        <v>0</v>
      </c>
      <c r="N33" s="126">
        <f>IFERROR(__xludf.DUMMYFUNCTION("((IFERROR(SUM(FILTER('Fund Data'!$V:$V, 'Fund Data'!$C:$C = $A33, 'Fund Data'!$A:$A = 'Parameters and Distribution Sum'!$C$4 - 1, 'Fund Data'!$B:$B &gt;= 4, 'Fund Data'!$B:$B &lt;= 12)) * 'Parameters and Distribution Sum'!$B$4, 0) + IFERROR(SUM(FILTER('Fund Dat"&amp;"a'!$V:$V, 'Fund Data'!$C:$C = $A33, 'Fund Data'!$A:$A = 'Parameters and Distribution Sum'!$C$4, 'Fund Data'!$B:$B &lt;= 3)) * 'Parameters and Distribution Sum'!$B$4, 0)) / 4)"),0.0)</f>
        <v>0</v>
      </c>
      <c r="O33" s="127">
        <f>IFERROR(__xludf.DUMMYFUNCTION("((IFERROR(SUM(FILTER('Fund Data'!$V:$V, 'Fund Data'!$C:$C = $A33, 'Fund Data'!$A:$A = 'Parameters and Distribution Sum'!$C$4 - 2, 'Fund Data'!$B:$B &gt;= 4)) * 'Parameters and Distribution Sum'!$B$4,0) + IFERROR(SUM(FILTER('Fund Data'!$V:$V, 'Fund Data'!$C:$"&amp;"C = $A33, 'Fund Data'!$A:$A = 'Parameters and Distribution Sum'!$C$4 - 1, 'Fund Data'!$B:$B &lt;= 3)) * 'Parameters and Distribution Sum'!$B$4,0)))"),0.0)</f>
        <v>0</v>
      </c>
      <c r="P33" s="127">
        <f>IFERROR(__xludf.DUMMYFUNCTION("IFERROR(FILTER('Fund Data'!$AE:$AE,'Fund Data'!$C:$C = $A33,'Fund Data'!$A:$A = ('Parameters and Distribution Sum'!$C$4 - 1), 'Fund Data'!$B:$B = 12),0)"),0.0)</f>
        <v>0</v>
      </c>
      <c r="Q33" s="128">
        <f t="shared" si="3"/>
        <v>5810.961266</v>
      </c>
      <c r="R33" s="129"/>
    </row>
    <row r="34">
      <c r="A34" s="36" t="s">
        <v>46</v>
      </c>
      <c r="B34" s="38" t="str">
        <f>IFERROR(__xludf.DUMMYFUNCTION("FILTER('Endowed Funds'!$C:$C,'Endowed Funds'!$B:$B = $A34)")," Archaeology ")</f>
        <v>Archaeology</v>
      </c>
      <c r="C34" s="39">
        <f>IFERROR(__xludf.DUMMYFUNCTION("IFERROR(sum(FILTER('Fund Data'!$D:$D, 'Fund Data'!$C:$C = $A34, 'Fund Data'!$A:$A &lt;= ('Parameters and Distribution Sum'!$C$4 - 2), 'Fund Data'!$B:$B = 12)),0)"),1086625.0)</f>
        <v>1086625</v>
      </c>
      <c r="D34" s="52">
        <f t="array" ref="D34">INDEX('Fund YTD Target Values'!$1:$1000, MATCH($A34,'Fund YTD Target Values'!$A:$A,0), MATCH('Parameters and Distribution Sum'!$C$4 - 2,'Fund YTD Target Values'!$1:$1,0))</f>
        <v>1541591.16</v>
      </c>
      <c r="E34" s="39">
        <f>IFERROR(__xludf.DUMMYFUNCTION("IFERROR(FILTER('Fund Data'!$P:$P,'Fund Data'!$C:$C = $A34,'Fund Data'!$A:$A = ('Parameters and Distribution Sum'!$C$4 - 2), 'Fund Data'!$B:$B = 12) - FILTER('Fund Data'!$AE:$AE,'Fund Data'!$C:$C = $A34,'Fund Data'!$A:$A = ('Parameters and Distribution Sum"&amp;"'!$C$4 - 2), 'Fund Data'!$B:$B = 12),0)"),1466141.56)</f>
        <v>1466141.56</v>
      </c>
      <c r="F34" s="38">
        <f t="shared" si="1"/>
        <v>-75449.59951</v>
      </c>
      <c r="G34" s="40">
        <f>IFERROR(__xludf.DUMMYFUNCTION("IF('Parameters and Distribution Sum'!$C$4 = 2019, FILTER('Fund Data'!$Y:$Y, 'Fund Data'!$C:$C = $A34, 'Fund Data'!$A:$A = 'Parameters and Distribution Sum'!$C$4 - 1, 'Fund Data'!$B:$B = 12) + FILTER('Fund Data'!$AA:$AA, 'Fund Data'!$C:$C = $A34, 'Fund Dat"&amp;"a'!$A:$A = 'Parameters and Distribution Sum'!$C$4 - 1, 'Fund Data'!$B:$B = 12),((FILTER('Fund Data'!$Y:$Y, 'Fund Data'!$C:$C = $A34, 'Fund Data'!$A:$A = 'Parameters and Distribution Sum'!$C$4 - 2, 'Fund Data'!$B:$B = 12) + FILTER('Fund Data'!$AA:$AA, 'Fun"&amp;"d Data'!$C:$C = $A34,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$A34, 'Fund Data'!$A:$A = ('Parameters and Distribution Sum'!$C$4 - 3), 'Fund Data'!$B:$B = 12) - SUM(FILTER('Fund Data'!$V:$V, 'Fund Data'!$C:$C = $A34, 'Fund Data'!$A:$A = ('Parameters an"&amp;"d Distribution Sum'!$C$4 - 3), 'Fund Data'!$B:$B &gt; 3)))  * 'Parameters and Distribution Sum'!$B$4 * (1 - 'Parameters and Distribution Sum'!$A$4)) + ((SUM(FILTER('Fund Data'!$V:$V, 'Fund Data'!$C:$C = $A34, 'Fund Data'!$A:$A = 'Parameters and Distribution "&amp;"Sum'!$C$4 - 3, 'Fund Data'!$B:$B &gt;= 4)) + SUM(FILTER('Fund Data'!$V:$V, 'Fund Data'!$C:$C = $A34, 'Fund Data'!$A:$A = 'Parameters and Distribution Sum'!$C$4 - 2, 'Fund Data'!$B:$B &lt;= 3))) * 'Parameters and Distribution Sum'!$B$4))"),65976.3702)</f>
        <v>65976.3702</v>
      </c>
      <c r="H34" s="41">
        <f>IFERROR(__xludf.DUMMYFUNCTION("IFERROR(($G34 * (1 + AVERAGE(FILTER('Inflation Data'!$C:$C,'Inflation Data'!$A:$A = ('Parameters and Distribution Sum'!$C$4 - 2)))) * 'Parameters and Distribution Sum'!$A$4),0)"),47167.912647909514)</f>
        <v>47167.91265</v>
      </c>
      <c r="I34" s="41">
        <f>IFERROR(__xludf.DUMMYFUNCTION("IF('Parameters and Distribution Sum'!$C$4 = 2019,IFERROR((IFERROR(FILTER('Fund Data'!$P:$P,'Fund Data'!$C:$C = $A34,'Fund Data'!$A:$A = ('Parameters and Distribution Sum'!$C$4 - 2), 'Fund Data'!$B:$B = 12),0) - SUM(FILTER('Fund Data'!$V:$V, 'Fund Data'!$C"&amp;":$C = $A34, 'Fund Data'!$A:$A = ('Parameters and Distribution Sum'!$C$4 - 2), 'Fund Data'!$B:$B &gt; 3)))  * 'Parameters and Distribution Sum'!$B$4 * (1 - 'Parameters and Distribution Sum'!$A$4),0), ($E34  - SUM(FILTER('Fund Data'!$V:$V, 'Fund Data'!$C:$C = "&amp;"$A34, 'Fund Data'!$A:$A = ('Parameters and Distribution Sum'!$C$4 - 2), 'Fund Data'!$B:$B &gt; 3)))  * 'Parameters and Distribution Sum'!$B$4 * (1 - 'Parameters and Distribution Sum'!$A$4))"),19792.911060000006)</f>
        <v>19792.91106</v>
      </c>
      <c r="J34" s="125">
        <f t="shared" si="2"/>
        <v>66960.82371</v>
      </c>
      <c r="K34" s="126">
        <f>IFERROR(__xludf.DUMMYFUNCTION("((IFERROR(SUM(FILTER('Fund Data'!$V:$V, 'Fund Data'!$C:$C = $A34, 'Fund Data'!$A:$A = 'Parameters and Distribution Sum'!$C$4 - 1, 'Fund Data'!$B:$B &gt;= 4, 'Fund Data'!$B:$B &lt;= 6)) * 'Parameters and Distribution Sum'!$B$4, 0)) / 4)"),0.0)</f>
        <v>0</v>
      </c>
      <c r="L34" s="126">
        <f>IFERROR(__xludf.DUMMYFUNCTION("((IFERROR(SUM(FILTER('Fund Data'!$V:$V, 'Fund Data'!$C:$C = $A34, 'Fund Data'!$A:$A = 'Parameters and Distribution Sum'!$C$4 - 1, 'Fund Data'!$B:$B &gt;= 4, 'Fund Data'!$B:$B &lt;= 9)) * 'Parameters and Distribution Sum'!$B$4, 0)) / 4)"),0.0)</f>
        <v>0</v>
      </c>
      <c r="M34" s="126">
        <f>IFERROR(__xludf.DUMMYFUNCTION("((IFERROR(SUM(FILTER('Fund Data'!$V:$V, 'Fund Data'!$C:$C = $A34, 'Fund Data'!$A:$A = 'Parameters and Distribution Sum'!$C$4 - 1, 'Fund Data'!$B:$B &gt;= 4, 'Fund Data'!$B:$B &lt;= 12)) * 'Parameters and Distribution Sum'!$B$4, 0)) / 4)"),0.0)</f>
        <v>0</v>
      </c>
      <c r="N34" s="126">
        <f>IFERROR(__xludf.DUMMYFUNCTION("((IFERROR(SUM(FILTER('Fund Data'!$V:$V, 'Fund Data'!$C:$C = $A34, 'Fund Data'!$A:$A = 'Parameters and Distribution Sum'!$C$4 - 1, 'Fund Data'!$B:$B &gt;= 4, 'Fund Data'!$B:$B &lt;= 12)) * 'Parameters and Distribution Sum'!$B$4, 0) + IFERROR(SUM(FILTER('Fund Dat"&amp;"a'!$V:$V, 'Fund Data'!$C:$C = $A34, 'Fund Data'!$A:$A = 'Parameters and Distribution Sum'!$C$4, 'Fund Data'!$B:$B &lt;= 3)) * 'Parameters and Distribution Sum'!$B$4, 0)) / 4)"),0.0)</f>
        <v>0</v>
      </c>
      <c r="O34" s="127">
        <f>IFERROR(__xludf.DUMMYFUNCTION("((IFERROR(SUM(FILTER('Fund Data'!$V:$V, 'Fund Data'!$C:$C = $A34, 'Fund Data'!$A:$A = 'Parameters and Distribution Sum'!$C$4 - 2, 'Fund Data'!$B:$B &gt;= 4)) * 'Parameters and Distribution Sum'!$B$4,0) + IFERROR(SUM(FILTER('Fund Data'!$V:$V, 'Fund Data'!$C:$"&amp;"C = $A34, 'Fund Data'!$A:$A = 'Parameters and Distribution Sum'!$C$4 - 1, 'Fund Data'!$B:$B &lt;= 3)) * 'Parameters and Distribution Sum'!$B$4,0)))"),0.0)</f>
        <v>0</v>
      </c>
      <c r="P34" s="127">
        <f>IFERROR(__xludf.DUMMYFUNCTION("IFERROR(FILTER('Fund Data'!$AE:$AE,'Fund Data'!$C:$C = $A34,'Fund Data'!$A:$A = ('Parameters and Distribution Sum'!$C$4 - 1), 'Fund Data'!$B:$B = 12),0)"),0.0)</f>
        <v>0</v>
      </c>
      <c r="Q34" s="128">
        <f t="shared" si="3"/>
        <v>66960.82371</v>
      </c>
      <c r="R34" s="129"/>
    </row>
    <row r="35">
      <c r="A35" s="36" t="s">
        <v>79</v>
      </c>
      <c r="B35" s="38" t="str">
        <f>IFERROR(__xludf.DUMMYFUNCTION("FILTER('Endowed Funds'!$C:$C,'Endowed Funds'!$B:$B = $A35)")," Research Institute ")</f>
        <v>Research Institute</v>
      </c>
      <c r="C35" s="39">
        <f>IFERROR(__xludf.DUMMYFUNCTION("IFERROR(sum(FILTER('Fund Data'!$D:$D, 'Fund Data'!$C:$C = $A35, 'Fund Data'!$A:$A &lt;= ('Parameters and Distribution Sum'!$C$4 - 2), 'Fund Data'!$B:$B = 12)),0)"),1000000.0)</f>
        <v>1000000</v>
      </c>
      <c r="D35" s="52">
        <f t="array" ref="D35">INDEX('Fund YTD Target Values'!$1:$1000, MATCH($A35,'Fund YTD Target Values'!$A:$A,0), MATCH('Parameters and Distribution Sum'!$C$4 - 2,'Fund YTD Target Values'!$1:$1,0))</f>
        <v>1035433.228</v>
      </c>
      <c r="E35" s="39">
        <f>IFERROR(__xludf.DUMMYFUNCTION("IFERROR(FILTER('Fund Data'!$P:$P,'Fund Data'!$C:$C = $A35,'Fund Data'!$A:$A = ('Parameters and Distribution Sum'!$C$4 - 2), 'Fund Data'!$B:$B = 12) - FILTER('Fund Data'!$AE:$AE,'Fund Data'!$C:$C = $A35,'Fund Data'!$A:$A = ('Parameters and Distribution Sum"&amp;"'!$C$4 - 2), 'Fund Data'!$B:$B = 12),0)"),1132977.83)</f>
        <v>1132977.83</v>
      </c>
      <c r="F35" s="38">
        <f t="shared" si="1"/>
        <v>97544.60235</v>
      </c>
      <c r="G35" s="40">
        <f>IFERROR(__xludf.DUMMYFUNCTION("IF('Parameters and Distribution Sum'!$C$4 = 2019, FILTER('Fund Data'!$Y:$Y, 'Fund Data'!$C:$C = $A35, 'Fund Data'!$A:$A = 'Parameters and Distribution Sum'!$C$4 - 1, 'Fund Data'!$B:$B = 12) + FILTER('Fund Data'!$AA:$AA, 'Fund Data'!$C:$C = $A35, 'Fund Dat"&amp;"a'!$A:$A = 'Parameters and Distribution Sum'!$C$4 - 1, 'Fund Data'!$B:$B = 12),((FILTER('Fund Data'!$Y:$Y, 'Fund Data'!$C:$C = $A35, 'Fund Data'!$A:$A = 'Parameters and Distribution Sum'!$C$4 - 2, 'Fund Data'!$B:$B = 12) + FILTER('Fund Data'!$AA:$AA, 'Fun"&amp;"d Data'!$C:$C = $A35,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$A35, 'Fund Data'!$A:$A = ('Parameters and Distribution Sum'!$C$4 - 3), 'Fund Data'!$B:$B = 12) - SUM(FILTER('Fund Data'!$V:$V, 'Fund Data'!$C:$C = $A35, 'Fund Data'!$A:$A = ('Parameters an"&amp;"d Distribution Sum'!$C$4 - 3), 'Fund Data'!$B:$B &gt; 3)))  * 'Parameters and Distribution Sum'!$B$4 * (1 - 'Parameters and Distribution Sum'!$A$4)) + ((SUM(FILTER('Fund Data'!$V:$V, 'Fund Data'!$C:$C = $A35, 'Fund Data'!$A:$A = 'Parameters and Distribution "&amp;"Sum'!$C$4 - 3, 'Fund Data'!$B:$B &gt;= 4)) + SUM(FILTER('Fund Data'!$V:$V, 'Fund Data'!$C:$C = $A35, 'Fund Data'!$A:$A = 'Parameters and Distribution Sum'!$C$4 - 2, 'Fund Data'!$B:$B &lt;= 3))) * 'Parameters and Distribution Sum'!$B$4))"),46594.49524440029)</f>
        <v>46594.49524</v>
      </c>
      <c r="H35" s="41">
        <f>IFERROR(__xludf.DUMMYFUNCTION("IFERROR(($G35 * (1 + AVERAGE(FILTER('Inflation Data'!$C:$C,'Inflation Data'!$A:$A = ('Parameters and Distribution Sum'!$C$4 - 2)))) * 'Parameters and Distribution Sum'!$A$4),0)"),33311.397321480836)</f>
        <v>33311.39732</v>
      </c>
      <c r="I35" s="41">
        <f>IFERROR(__xludf.DUMMYFUNCTION("IF('Parameters and Distribution Sum'!$C$4 = 2019,IFERROR((IFERROR(FILTER('Fund Data'!$P:$P,'Fund Data'!$C:$C = $A35,'Fund Data'!$A:$A = ('Parameters and Distribution Sum'!$C$4 - 2), 'Fund Data'!$B:$B = 12),0) - SUM(FILTER('Fund Data'!$V:$V, 'Fund Data'!$C"&amp;":$C = $A35, 'Fund Data'!$A:$A = ('Parameters and Distribution Sum'!$C$4 - 2), 'Fund Data'!$B:$B &gt; 3)))  * 'Parameters and Distribution Sum'!$B$4 * (1 - 'Parameters and Distribution Sum'!$A$4),0), ($E35  - SUM(FILTER('Fund Data'!$V:$V, 'Fund Data'!$C:$C = "&amp;"$A35, 'Fund Data'!$A:$A = ('Parameters and Distribution Sum'!$C$4 - 2), 'Fund Data'!$B:$B &gt; 3)))  * 'Parameters and Distribution Sum'!$B$4 * (1 - 'Parameters and Distribution Sum'!$A$4))"),15295.200705000003)</f>
        <v>15295.20071</v>
      </c>
      <c r="J35" s="125">
        <f t="shared" si="2"/>
        <v>48606.59803</v>
      </c>
      <c r="K35" s="126">
        <f>IFERROR(__xludf.DUMMYFUNCTION("((IFERROR(SUM(FILTER('Fund Data'!$V:$V, 'Fund Data'!$C:$C = $A35, 'Fund Data'!$A:$A = 'Parameters and Distribution Sum'!$C$4 - 1, 'Fund Data'!$B:$B &gt;= 4, 'Fund Data'!$B:$B &lt;= 6)) * 'Parameters and Distribution Sum'!$B$4, 0)) / 4)"),0.0)</f>
        <v>0</v>
      </c>
      <c r="L35" s="126">
        <f>IFERROR(__xludf.DUMMYFUNCTION("((IFERROR(SUM(FILTER('Fund Data'!$V:$V, 'Fund Data'!$C:$C = $A35, 'Fund Data'!$A:$A = 'Parameters and Distribution Sum'!$C$4 - 1, 'Fund Data'!$B:$B &gt;= 4, 'Fund Data'!$B:$B &lt;= 9)) * 'Parameters and Distribution Sum'!$B$4, 0)) / 4)"),0.0)</f>
        <v>0</v>
      </c>
      <c r="M35" s="126">
        <f>IFERROR(__xludf.DUMMYFUNCTION("((IFERROR(SUM(FILTER('Fund Data'!$V:$V, 'Fund Data'!$C:$C = $A35, 'Fund Data'!$A:$A = 'Parameters and Distribution Sum'!$C$4 - 1, 'Fund Data'!$B:$B &gt;= 4, 'Fund Data'!$B:$B &lt;= 12)) * 'Parameters and Distribution Sum'!$B$4, 0)) / 4)"),0.0)</f>
        <v>0</v>
      </c>
      <c r="N35" s="126">
        <f>IFERROR(__xludf.DUMMYFUNCTION("((IFERROR(SUM(FILTER('Fund Data'!$V:$V, 'Fund Data'!$C:$C = $A35, 'Fund Data'!$A:$A = 'Parameters and Distribution Sum'!$C$4 - 1, 'Fund Data'!$B:$B &gt;= 4, 'Fund Data'!$B:$B &lt;= 12)) * 'Parameters and Distribution Sum'!$B$4, 0) + IFERROR(SUM(FILTER('Fund Dat"&amp;"a'!$V:$V, 'Fund Data'!$C:$C = $A35, 'Fund Data'!$A:$A = 'Parameters and Distribution Sum'!$C$4, 'Fund Data'!$B:$B &lt;= 3)) * 'Parameters and Distribution Sum'!$B$4, 0)) / 4)"),0.0)</f>
        <v>0</v>
      </c>
      <c r="O35" s="127">
        <f>IFERROR(__xludf.DUMMYFUNCTION("((IFERROR(SUM(FILTER('Fund Data'!$V:$V, 'Fund Data'!$C:$C = $A35, 'Fund Data'!$A:$A = 'Parameters and Distribution Sum'!$C$4 - 2, 'Fund Data'!$B:$B &gt;= 4)) * 'Parameters and Distribution Sum'!$B$4,0) + IFERROR(SUM(FILTER('Fund Data'!$V:$V, 'Fund Data'!$C:$"&amp;"C = $A35, 'Fund Data'!$A:$A = 'Parameters and Distribution Sum'!$C$4 - 1, 'Fund Data'!$B:$B &lt;= 3)) * 'Parameters and Distribution Sum'!$B$4,0)))"),0.0)</f>
        <v>0</v>
      </c>
      <c r="P35" s="127">
        <f>IFERROR(__xludf.DUMMYFUNCTION("IFERROR(FILTER('Fund Data'!$AE:$AE,'Fund Data'!$C:$C = $A35,'Fund Data'!$A:$A = ('Parameters and Distribution Sum'!$C$4 - 1), 'Fund Data'!$B:$B = 12),0)"),0.0)</f>
        <v>0</v>
      </c>
      <c r="Q35" s="128">
        <f t="shared" si="3"/>
        <v>48606.59803</v>
      </c>
      <c r="R35" s="129"/>
    </row>
    <row r="36">
      <c r="A36" s="86" t="s">
        <v>80</v>
      </c>
      <c r="B36" s="38" t="str">
        <f>IFERROR(__xludf.DUMMYFUNCTION("FILTER('Endowed Funds'!$C:$C,'Endowed Funds'!$B:$B = $A36)")," Research Institute ")</f>
        <v>Research Institute</v>
      </c>
      <c r="C36" s="39">
        <f>IFERROR(__xludf.DUMMYFUNCTION("IFERROR(sum(FILTER('Fund Data'!$D:$D, 'Fund Data'!$C:$C = $A36, 'Fund Data'!$A:$A &lt;= ('Parameters and Distribution Sum'!$C$4 - 2), 'Fund Data'!$B:$B = 12)),0)"),2000000.0)</f>
        <v>2000000</v>
      </c>
      <c r="D36" s="52">
        <f t="array" ref="D36">INDEX('Fund YTD Target Values'!$1:$1000, MATCH($A36,'Fund YTD Target Values'!$A:$A,0), MATCH('Parameters and Distribution Sum'!$C$4 - 2,'Fund YTD Target Values'!$1:$1,0))</f>
        <v>2000000</v>
      </c>
      <c r="E36" s="39">
        <f>IFERROR(__xludf.DUMMYFUNCTION("IFERROR(FILTER('Fund Data'!$P:$P,'Fund Data'!$C:$C = $A36,'Fund Data'!$A:$A = ('Parameters and Distribution Sum'!$C$4 - 2), 'Fund Data'!$B:$B = 12) - FILTER('Fund Data'!$AE:$AE,'Fund Data'!$C:$C = $A36,'Fund Data'!$A:$A = ('Parameters and Distribution Sum"&amp;"'!$C$4 - 2), 'Fund Data'!$B:$B = 12),0)"),2035178.83)</f>
        <v>2035178.83</v>
      </c>
      <c r="F36" s="38">
        <f t="shared" si="1"/>
        <v>35178.83</v>
      </c>
      <c r="G36" s="40">
        <f>IFERROR(__xludf.DUMMYFUNCTION("IF('Parameters and Distribution Sum'!$C$4 = 2019, FILTER('Fund Data'!$Y:$Y, 'Fund Data'!$C:$C = $A36, 'Fund Data'!$A:$A = 'Parameters and Distribution Sum'!$C$4 - 1, 'Fund Data'!$B:$B = 12) + FILTER('Fund Data'!$AA:$AA, 'Fund Data'!$C:$C = $A36, 'Fund Dat"&amp;"a'!$A:$A = 'Parameters and Distribution Sum'!$C$4 - 1, 'Fund Data'!$B:$B = 12),((FILTER('Fund Data'!$Y:$Y, 'Fund Data'!$C:$C = $A36, 'Fund Data'!$A:$A = 'Parameters and Distribution Sum'!$C$4 - 2, 'Fund Data'!$B:$B = 12) + FILTER('Fund Data'!$AA:$AA, 'Fun"&amp;"d Data'!$C:$C = $A36,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$A36, 'Fund Data'!$A:$A = ('Parameters and Distribution Sum'!$C$4 - 3), 'Fund Data'!$B:$B = 12) - SUM(FILTER('Fund Data'!$V:$V, 'Fund Data'!$C:$C = $A36, 'Fund Data'!$A:$A = ('Parameters an"&amp;"d Distribution Sum'!$C$4 - 3), 'Fund Data'!$B:$B &gt; 3)))  * 'Parameters and Distribution Sum'!$B$4 * (1 - 'Parameters and Distribution Sum'!$A$4)) + ((SUM(FILTER('Fund Data'!$V:$V, 'Fund Data'!$C:$C = $A36, 'Fund Data'!$A:$A = 'Parameters and Distribution "&amp;"Sum'!$C$4 - 3, 'Fund Data'!$B:$B &gt;= 4)) + SUM(FILTER('Fund Data'!$V:$V, 'Fund Data'!$C:$C = $A36, 'Fund Data'!$A:$A = 'Parameters and Distribution Sum'!$C$4 - 2, 'Fund Data'!$B:$B &lt;= 3))) * 'Parameters and Distribution Sum'!$B$4))"),0.0)</f>
        <v>0</v>
      </c>
      <c r="H36" s="41">
        <f>IFERROR(__xludf.DUMMYFUNCTION("IFERROR(($G36 * (1 + AVERAGE(FILTER('Inflation Data'!$C:$C,'Inflation Data'!$A:$A = ('Parameters and Distribution Sum'!$C$4 - 2)))) * 'Parameters and Distribution Sum'!$A$4),0)"),0.0)</f>
        <v>0</v>
      </c>
      <c r="I36" s="41">
        <f>IFERROR(__xludf.DUMMYFUNCTION("IF('Parameters and Distribution Sum'!$C$4 = 2019,IFERROR((IFERROR(FILTER('Fund Data'!$P:$P,'Fund Data'!$C:$C = $A36,'Fund Data'!$A:$A = ('Parameters and Distribution Sum'!$C$4 - 2), 'Fund Data'!$B:$B = 12),0) - SUM(FILTER('Fund Data'!$V:$V, 'Fund Data'!$C"&amp;":$C = $A36, 'Fund Data'!$A:$A = ('Parameters and Distribution Sum'!$C$4 - 2), 'Fund Data'!$B:$B &gt; 3)))  * 'Parameters and Distribution Sum'!$B$4 * (1 - 'Parameters and Distribution Sum'!$A$4),0), ($E36  - SUM(FILTER('Fund Data'!$V:$V, 'Fund Data'!$C:$C = "&amp;"$A36, 'Fund Data'!$A:$A = ('Parameters and Distribution Sum'!$C$4 - 2), 'Fund Data'!$B:$B &gt; 3)))  * 'Parameters and Distribution Sum'!$B$4 * (1 - 'Parameters and Distribution Sum'!$A$4))"),474.91420500000106)</f>
        <v>474.914205</v>
      </c>
      <c r="J36" s="125">
        <f t="shared" si="2"/>
        <v>474.914205</v>
      </c>
      <c r="K36" s="126">
        <f>IFERROR(__xludf.DUMMYFUNCTION("((IFERROR(SUM(FILTER('Fund Data'!$V:$V, 'Fund Data'!$C:$C = $A36, 'Fund Data'!$A:$A = 'Parameters and Distribution Sum'!$C$4 - 1, 'Fund Data'!$B:$B &gt;= 4, 'Fund Data'!$B:$B &lt;= 6)) * 'Parameters and Distribution Sum'!$B$4, 0)) / 4)"),0.0)</f>
        <v>0</v>
      </c>
      <c r="L36" s="126">
        <f>IFERROR(__xludf.DUMMYFUNCTION("((IFERROR(SUM(FILTER('Fund Data'!$V:$V, 'Fund Data'!$C:$C = $A36, 'Fund Data'!$A:$A = 'Parameters and Distribution Sum'!$C$4 - 1, 'Fund Data'!$B:$B &gt;= 4, 'Fund Data'!$B:$B &lt;= 9)) * 'Parameters and Distribution Sum'!$B$4, 0)) / 4)"),0.0)</f>
        <v>0</v>
      </c>
      <c r="M36" s="126">
        <f>IFERROR(__xludf.DUMMYFUNCTION("((IFERROR(SUM(FILTER('Fund Data'!$V:$V, 'Fund Data'!$C:$C = $A36, 'Fund Data'!$A:$A = 'Parameters and Distribution Sum'!$C$4 - 1, 'Fund Data'!$B:$B &gt;= 4, 'Fund Data'!$B:$B &lt;= 12)) * 'Parameters and Distribution Sum'!$B$4, 0)) / 4)"),0.0)</f>
        <v>0</v>
      </c>
      <c r="N36" s="126">
        <f>IFERROR(__xludf.DUMMYFUNCTION("((IFERROR(SUM(FILTER('Fund Data'!$V:$V, 'Fund Data'!$C:$C = $A36, 'Fund Data'!$A:$A = 'Parameters and Distribution Sum'!$C$4 - 1, 'Fund Data'!$B:$B &gt;= 4, 'Fund Data'!$B:$B &lt;= 12)) * 'Parameters and Distribution Sum'!$B$4, 0) + IFERROR(SUM(FILTER('Fund Dat"&amp;"a'!$V:$V, 'Fund Data'!$C:$C = $A36, 'Fund Data'!$A:$A = 'Parameters and Distribution Sum'!$C$4, 'Fund Data'!$B:$B &lt;= 3)) * 'Parameters and Distribution Sum'!$B$4, 0)) / 4)"),0.0)</f>
        <v>0</v>
      </c>
      <c r="O36" s="127">
        <f>IFERROR(__xludf.DUMMYFUNCTION("((IFERROR(SUM(FILTER('Fund Data'!$V:$V, 'Fund Data'!$C:$C = $A36, 'Fund Data'!$A:$A = 'Parameters and Distribution Sum'!$C$4 - 2, 'Fund Data'!$B:$B &gt;= 4)) * 'Parameters and Distribution Sum'!$B$4,0) + IFERROR(SUM(FILTER('Fund Data'!$V:$V, 'Fund Data'!$C:$"&amp;"C = $A36, 'Fund Data'!$A:$A = 'Parameters and Distribution Sum'!$C$4 - 1, 'Fund Data'!$B:$B &lt;= 3)) * 'Parameters and Distribution Sum'!$B$4,0)))"),90000.0)</f>
        <v>90000</v>
      </c>
      <c r="P36" s="127">
        <f>IFERROR(__xludf.DUMMYFUNCTION("IFERROR(FILTER('Fund Data'!$AE:$AE,'Fund Data'!$C:$C = $A36,'Fund Data'!$A:$A = ('Parameters and Distribution Sum'!$C$4 - 1), 'Fund Data'!$B:$B = 12),0)"),45000.0)</f>
        <v>45000</v>
      </c>
      <c r="Q36" s="128">
        <f t="shared" si="3"/>
        <v>135474.9142</v>
      </c>
      <c r="R36" s="129"/>
    </row>
    <row r="37">
      <c r="A37" s="154" t="s">
        <v>81</v>
      </c>
      <c r="B37" s="155" t="str">
        <f>IFERROR(__xludf.DUMMYFUNCTION("FILTER('Endowed Funds'!$C:$C,'Endowed Funds'!$B:$B = $A37)")," Research Institute ")</f>
        <v>Research Institute</v>
      </c>
      <c r="C37" s="156">
        <f>IFERROR(__xludf.DUMMYFUNCTION("IFERROR(sum(FILTER('Fund Data'!$D:$D, 'Fund Data'!$C:$C = $A37, 'Fund Data'!$A:$A &lt;= ('Parameters and Distribution Sum'!$C$4 - 2), 'Fund Data'!$B:$B = 12)),0)"),2000000.0)</f>
        <v>2000000</v>
      </c>
      <c r="D37" s="57">
        <f t="array" ref="D37">INDEX('Fund YTD Target Values'!$1:$1000, MATCH($A37,'Fund YTD Target Values'!$A:$A,0), MATCH('Parameters and Distribution Sum'!$C$4 - 2,'Fund YTD Target Values'!$1:$1,0))</f>
        <v>2000000</v>
      </c>
      <c r="E37" s="156">
        <f>IFERROR(__xludf.DUMMYFUNCTION("IFERROR(FILTER('Fund Data'!$P:$P,'Fund Data'!$C:$C = $A37,'Fund Data'!$A:$A = ('Parameters and Distribution Sum'!$C$4 - 2), 'Fund Data'!$B:$B = 12) - FILTER('Fund Data'!$AE:$AE,'Fund Data'!$C:$C = $A37,'Fund Data'!$A:$A = ('Parameters and Distribution Sum"&amp;"'!$C$4 - 2), 'Fund Data'!$B:$B = 12),0)"),2035178.83)</f>
        <v>2035178.83</v>
      </c>
      <c r="F37" s="155">
        <f t="shared" si="1"/>
        <v>35178.83</v>
      </c>
      <c r="G37" s="157">
        <f>IFERROR(__xludf.DUMMYFUNCTION("IF('Parameters and Distribution Sum'!$C$4 = 2019, FILTER('Fund Data'!$Y:$Y, 'Fund Data'!$C:$C = $A37, 'Fund Data'!$A:$A = 'Parameters and Distribution Sum'!$C$4 - 1, 'Fund Data'!$B:$B = 12) + FILTER('Fund Data'!$AA:$AA, 'Fund Data'!$C:$C = $A37, 'Fund Dat"&amp;"a'!$A:$A = 'Parameters and Distribution Sum'!$C$4 - 1, 'Fund Data'!$B:$B = 12),((FILTER('Fund Data'!$Y:$Y, 'Fund Data'!$C:$C = $A37, 'Fund Data'!$A:$A = 'Parameters and Distribution Sum'!$C$4 - 2, 'Fund Data'!$B:$B = 12) + FILTER('Fund Data'!$AA:$AA, 'Fun"&amp;"d Data'!$C:$C = $A37, 'Fund Data'!$A:$A = 'Parameters and Distribution Sum'!$C$4 - 2, 'Fund Data'!$B:$B = 12)) * (1 + AVERAGE(FILTER('Inflation Data'!$C:$C,'Inflation Data'!$A:$A = ('Parameters and Distribution Sum'!$C$4 - 3)))) * 'Parameters and Distribu"&amp;"tion Sum'!$A$4) + ((FILTER('Fund Data'!$P:$P, 'Fund Data'!$C:$C = $A37, 'Fund Data'!$A:$A = ('Parameters and Distribution Sum'!$C$4 - 3), 'Fund Data'!$B:$B = 12) - SUM(FILTER('Fund Data'!$V:$V, 'Fund Data'!$C:$C = $A37, 'Fund Data'!$A:$A = ('Parameters an"&amp;"d Distribution Sum'!$C$4 - 3), 'Fund Data'!$B:$B &gt; 3)))  * 'Parameters and Distribution Sum'!$B$4 * (1 - 'Parameters and Distribution Sum'!$A$4)) + ((SUM(FILTER('Fund Data'!$V:$V, 'Fund Data'!$C:$C = $A37, 'Fund Data'!$A:$A = 'Parameters and Distribution "&amp;"Sum'!$C$4 - 3, 'Fund Data'!$B:$B &gt;= 4)) + SUM(FILTER('Fund Data'!$V:$V, 'Fund Data'!$C:$C = $A37, 'Fund Data'!$A:$A = 'Parameters and Distribution Sum'!$C$4 - 2, 'Fund Data'!$B:$B &lt;= 3))) * 'Parameters and Distribution Sum'!$B$4))"),0.0)</f>
        <v>0</v>
      </c>
      <c r="H37" s="158">
        <f>IFERROR(__xludf.DUMMYFUNCTION("IFERROR(($G37 * (1 + AVERAGE(FILTER('Inflation Data'!$C:$C,'Inflation Data'!$A:$A = ('Parameters and Distribution Sum'!$C$4 - 2)))) * 'Parameters and Distribution Sum'!$A$4),0)"),0.0)</f>
        <v>0</v>
      </c>
      <c r="I37" s="158">
        <f>IFERROR(__xludf.DUMMYFUNCTION("IF('Parameters and Distribution Sum'!$C$4 = 2019,IFERROR((IFERROR(FILTER('Fund Data'!$P:$P,'Fund Data'!$C:$C = $A37,'Fund Data'!$A:$A = ('Parameters and Distribution Sum'!$C$4 - 2), 'Fund Data'!$B:$B = 12),0) - SUM(FILTER('Fund Data'!$V:$V, 'Fund Data'!$C"&amp;":$C = $A37, 'Fund Data'!$A:$A = ('Parameters and Distribution Sum'!$C$4 - 2), 'Fund Data'!$B:$B &gt; 3)))  * 'Parameters and Distribution Sum'!$B$4 * (1 - 'Parameters and Distribution Sum'!$A$4),0), ($E37  - SUM(FILTER('Fund Data'!$V:$V, 'Fund Data'!$C:$C = "&amp;"$A37, 'Fund Data'!$A:$A = ('Parameters and Distribution Sum'!$C$4 - 2), 'Fund Data'!$B:$B &gt; 3)))  * 'Parameters and Distribution Sum'!$B$4 * (1 - 'Parameters and Distribution Sum'!$A$4))"),474.91420500000106)</f>
        <v>474.914205</v>
      </c>
      <c r="J37" s="159">
        <f t="shared" si="2"/>
        <v>474.914205</v>
      </c>
      <c r="K37" s="160">
        <f>IFERROR(__xludf.DUMMYFUNCTION("((IFERROR(SUM(FILTER('Fund Data'!$V:$V, 'Fund Data'!$C:$C = $A37, 'Fund Data'!$A:$A = 'Parameters and Distribution Sum'!$C$4 - 1, 'Fund Data'!$B:$B &gt;= 4, 'Fund Data'!$B:$B &lt;= 6)) * 'Parameters and Distribution Sum'!$B$4, 0)) / 4)"),0.0)</f>
        <v>0</v>
      </c>
      <c r="L37" s="160">
        <f>IFERROR(__xludf.DUMMYFUNCTION("((IFERROR(SUM(FILTER('Fund Data'!$V:$V, 'Fund Data'!$C:$C = $A37, 'Fund Data'!$A:$A = 'Parameters and Distribution Sum'!$C$4 - 1, 'Fund Data'!$B:$B &gt;= 4, 'Fund Data'!$B:$B &lt;= 9)) * 'Parameters and Distribution Sum'!$B$4, 0)) / 4)"),0.0)</f>
        <v>0</v>
      </c>
      <c r="M37" s="160">
        <f>IFERROR(__xludf.DUMMYFUNCTION("((IFERROR(SUM(FILTER('Fund Data'!$V:$V, 'Fund Data'!$C:$C = $A37, 'Fund Data'!$A:$A = 'Parameters and Distribution Sum'!$C$4 - 1, 'Fund Data'!$B:$B &gt;= 4, 'Fund Data'!$B:$B &lt;= 12)) * 'Parameters and Distribution Sum'!$B$4, 0)) / 4)"),0.0)</f>
        <v>0</v>
      </c>
      <c r="N37" s="160">
        <f>IFERROR(__xludf.DUMMYFUNCTION("((IFERROR(SUM(FILTER('Fund Data'!$V:$V, 'Fund Data'!$C:$C = $A37, 'Fund Data'!$A:$A = 'Parameters and Distribution Sum'!$C$4 - 1, 'Fund Data'!$B:$B &gt;= 4, 'Fund Data'!$B:$B &lt;= 12)) * 'Parameters and Distribution Sum'!$B$4, 0) + IFERROR(SUM(FILTER('Fund Dat"&amp;"a'!$V:$V, 'Fund Data'!$C:$C = $A37, 'Fund Data'!$A:$A = 'Parameters and Distribution Sum'!$C$4, 'Fund Data'!$B:$B &lt;= 3)) * 'Parameters and Distribution Sum'!$B$4, 0)) / 4)"),0.0)</f>
        <v>0</v>
      </c>
      <c r="O37" s="161">
        <f>IFERROR(__xludf.DUMMYFUNCTION("((IFERROR(SUM(FILTER('Fund Data'!$V:$V, 'Fund Data'!$C:$C = $A37, 'Fund Data'!$A:$A = 'Parameters and Distribution Sum'!$C$4 - 2, 'Fund Data'!$B:$B &gt;= 4)) * 'Parameters and Distribution Sum'!$B$4,0) + IFERROR(SUM(FILTER('Fund Data'!$V:$V, 'Fund Data'!$C:$"&amp;"C = $A37, 'Fund Data'!$A:$A = 'Parameters and Distribution Sum'!$C$4 - 1, 'Fund Data'!$B:$B &lt;= 3)) * 'Parameters and Distribution Sum'!$B$4,0)))"),90000.0)</f>
        <v>90000</v>
      </c>
      <c r="P37" s="161">
        <f>IFERROR(__xludf.DUMMYFUNCTION("IFERROR(FILTER('Fund Data'!$AE:$AE,'Fund Data'!$C:$C = $A37,'Fund Data'!$A:$A = ('Parameters and Distribution Sum'!$C$4 - 1), 'Fund Data'!$B:$B = 12),0)"),25000.0)</f>
        <v>25000</v>
      </c>
      <c r="Q37" s="162">
        <f t="shared" si="3"/>
        <v>115474.9142</v>
      </c>
      <c r="R37" s="129"/>
    </row>
    <row r="38">
      <c r="A38" s="36"/>
      <c r="B38" s="163"/>
      <c r="C38" s="129"/>
      <c r="D38" s="52"/>
      <c r="E38" s="129"/>
      <c r="F38" s="164"/>
      <c r="G38" s="164"/>
      <c r="H38" s="129"/>
      <c r="I38" s="129"/>
      <c r="J38" s="129"/>
      <c r="K38" s="126"/>
      <c r="L38" s="126"/>
      <c r="M38" s="126"/>
      <c r="N38" s="126"/>
      <c r="O38" s="164"/>
      <c r="P38" s="129"/>
      <c r="Q38" s="129"/>
      <c r="R38" s="129"/>
    </row>
    <row r="39">
      <c r="A39" s="36"/>
      <c r="B39" s="165"/>
      <c r="C39" s="129"/>
      <c r="D39" s="52"/>
      <c r="E39" s="129"/>
      <c r="F39" s="164"/>
      <c r="G39" s="164"/>
      <c r="H39" s="129"/>
      <c r="I39" s="129"/>
      <c r="J39" s="129"/>
      <c r="K39" s="126"/>
      <c r="L39" s="126"/>
      <c r="M39" s="126"/>
      <c r="N39" s="126"/>
      <c r="O39" s="164"/>
      <c r="P39" s="129"/>
      <c r="Q39" s="129"/>
      <c r="R39" s="129"/>
    </row>
    <row r="40">
      <c r="A40" s="166"/>
      <c r="B40" s="167"/>
      <c r="C40" s="129"/>
      <c r="D40" s="52"/>
      <c r="E40" s="129"/>
      <c r="F40" s="164"/>
      <c r="G40" s="164"/>
      <c r="H40" s="129"/>
      <c r="I40" s="129"/>
      <c r="J40" s="129"/>
      <c r="K40" s="126"/>
      <c r="L40" s="126"/>
      <c r="M40" s="126"/>
      <c r="N40" s="126"/>
      <c r="O40" s="164"/>
      <c r="P40" s="129"/>
      <c r="Q40" s="129"/>
      <c r="R40" s="129"/>
    </row>
    <row r="41">
      <c r="A41" s="166"/>
      <c r="B41" s="167"/>
      <c r="C41" s="129"/>
      <c r="D41" s="52"/>
      <c r="E41" s="129"/>
      <c r="F41" s="164"/>
      <c r="G41" s="164"/>
      <c r="H41" s="129"/>
      <c r="I41" s="129"/>
      <c r="J41" s="129"/>
      <c r="K41" s="126"/>
      <c r="L41" s="126"/>
      <c r="M41" s="126"/>
      <c r="N41" s="126"/>
      <c r="O41" s="164"/>
      <c r="P41" s="129"/>
      <c r="Q41" s="129"/>
      <c r="R41" s="129"/>
    </row>
    <row r="42">
      <c r="A42" s="166"/>
      <c r="B42" s="167"/>
      <c r="C42" s="129"/>
      <c r="D42" s="52"/>
      <c r="E42" s="129"/>
      <c r="F42" s="164"/>
      <c r="G42" s="164"/>
      <c r="H42" s="129"/>
      <c r="I42" s="129"/>
      <c r="J42" s="129"/>
      <c r="K42" s="126"/>
      <c r="L42" s="126"/>
      <c r="M42" s="126"/>
      <c r="N42" s="126"/>
      <c r="O42" s="164"/>
      <c r="P42" s="129"/>
      <c r="Q42" s="129"/>
      <c r="R42" s="129"/>
    </row>
    <row r="43">
      <c r="A43" s="166"/>
      <c r="B43" s="167"/>
      <c r="C43" s="129"/>
      <c r="D43" s="52"/>
      <c r="E43" s="129"/>
      <c r="F43" s="164"/>
      <c r="G43" s="164"/>
      <c r="H43" s="129"/>
      <c r="I43" s="129"/>
      <c r="J43" s="129"/>
      <c r="K43" s="126"/>
      <c r="L43" s="126"/>
      <c r="M43" s="126"/>
      <c r="N43" s="126"/>
      <c r="O43" s="164"/>
      <c r="P43" s="129"/>
      <c r="Q43" s="129"/>
      <c r="R43" s="129"/>
    </row>
    <row r="44">
      <c r="A44" s="166"/>
      <c r="B44" s="167"/>
      <c r="C44" s="129"/>
      <c r="D44" s="52"/>
      <c r="E44" s="129"/>
      <c r="F44" s="164"/>
      <c r="G44" s="164"/>
      <c r="H44" s="129"/>
      <c r="I44" s="129"/>
      <c r="J44" s="129"/>
      <c r="K44" s="126"/>
      <c r="L44" s="126"/>
      <c r="M44" s="126"/>
      <c r="N44" s="126"/>
      <c r="O44" s="164"/>
      <c r="P44" s="129"/>
      <c r="Q44" s="129"/>
      <c r="R44" s="129"/>
    </row>
    <row r="45">
      <c r="A45" s="166"/>
      <c r="B45" s="167"/>
      <c r="C45" s="129"/>
      <c r="D45" s="52"/>
      <c r="E45" s="129"/>
      <c r="F45" s="164"/>
      <c r="G45" s="164"/>
      <c r="H45" s="129"/>
      <c r="I45" s="129"/>
      <c r="J45" s="129"/>
      <c r="K45" s="126"/>
      <c r="L45" s="126"/>
      <c r="M45" s="126"/>
      <c r="N45" s="126"/>
      <c r="O45" s="164"/>
      <c r="P45" s="129"/>
      <c r="Q45" s="129"/>
      <c r="R45" s="129"/>
    </row>
    <row r="46">
      <c r="A46" s="166"/>
      <c r="B46" s="167"/>
      <c r="C46" s="129"/>
      <c r="D46" s="52"/>
      <c r="E46" s="129"/>
      <c r="F46" s="164"/>
      <c r="G46" s="164"/>
      <c r="H46" s="129"/>
      <c r="I46" s="129"/>
      <c r="J46" s="129"/>
      <c r="K46" s="126"/>
      <c r="L46" s="126"/>
      <c r="M46" s="126"/>
      <c r="N46" s="126"/>
      <c r="O46" s="164"/>
      <c r="P46" s="129"/>
      <c r="Q46" s="129"/>
      <c r="R46" s="129"/>
    </row>
    <row r="47">
      <c r="A47" s="166"/>
      <c r="B47" s="167"/>
      <c r="C47" s="129"/>
      <c r="D47" s="52"/>
      <c r="E47" s="129"/>
      <c r="F47" s="164"/>
      <c r="G47" s="164"/>
      <c r="H47" s="129"/>
      <c r="I47" s="129"/>
      <c r="J47" s="129"/>
      <c r="K47" s="126"/>
      <c r="L47" s="126"/>
      <c r="M47" s="126"/>
      <c r="N47" s="126"/>
      <c r="O47" s="164"/>
      <c r="P47" s="129"/>
      <c r="Q47" s="129"/>
      <c r="R47" s="129"/>
    </row>
    <row r="48">
      <c r="A48" s="166"/>
      <c r="B48" s="167"/>
      <c r="C48" s="129"/>
      <c r="D48" s="52"/>
      <c r="E48" s="129"/>
      <c r="F48" s="164"/>
      <c r="G48" s="164"/>
      <c r="H48" s="129"/>
      <c r="I48" s="129"/>
      <c r="J48" s="129"/>
      <c r="K48" s="126"/>
      <c r="L48" s="126"/>
      <c r="M48" s="126"/>
      <c r="N48" s="126"/>
      <c r="O48" s="164"/>
      <c r="P48" s="129"/>
      <c r="Q48" s="129"/>
      <c r="R48" s="129"/>
    </row>
    <row r="49">
      <c r="A49" s="166"/>
      <c r="B49" s="167"/>
      <c r="C49" s="129"/>
      <c r="D49" s="52"/>
      <c r="E49" s="129"/>
      <c r="F49" s="164"/>
      <c r="G49" s="164"/>
      <c r="H49" s="129"/>
      <c r="I49" s="129"/>
      <c r="J49" s="129"/>
      <c r="K49" s="126"/>
      <c r="L49" s="126"/>
      <c r="M49" s="126"/>
      <c r="N49" s="126"/>
      <c r="O49" s="164"/>
      <c r="P49" s="129"/>
      <c r="Q49" s="129"/>
      <c r="R49" s="129"/>
    </row>
    <row r="50">
      <c r="A50" s="166"/>
      <c r="B50" s="167"/>
      <c r="C50" s="129"/>
      <c r="D50" s="52"/>
      <c r="E50" s="129"/>
      <c r="F50" s="164"/>
      <c r="G50" s="164"/>
      <c r="H50" s="129"/>
      <c r="I50" s="129"/>
      <c r="J50" s="129"/>
      <c r="K50" s="126"/>
      <c r="L50" s="126"/>
      <c r="M50" s="126"/>
      <c r="N50" s="126"/>
      <c r="O50" s="164"/>
      <c r="P50" s="129"/>
      <c r="Q50" s="129"/>
      <c r="R50" s="129"/>
    </row>
    <row r="51">
      <c r="A51" s="166"/>
      <c r="B51" s="167"/>
      <c r="C51" s="129"/>
      <c r="D51" s="52"/>
      <c r="E51" s="129"/>
      <c r="F51" s="164"/>
      <c r="G51" s="164"/>
      <c r="H51" s="129"/>
      <c r="I51" s="129"/>
      <c r="J51" s="129"/>
      <c r="K51" s="126"/>
      <c r="L51" s="126"/>
      <c r="M51" s="126"/>
      <c r="N51" s="126"/>
      <c r="O51" s="164"/>
      <c r="P51" s="129"/>
      <c r="Q51" s="129"/>
      <c r="R51" s="129"/>
    </row>
    <row r="52">
      <c r="A52" s="166"/>
      <c r="B52" s="167"/>
      <c r="C52" s="129"/>
      <c r="D52" s="52"/>
      <c r="E52" s="129"/>
      <c r="F52" s="164"/>
      <c r="G52" s="164"/>
      <c r="H52" s="129"/>
      <c r="I52" s="129"/>
      <c r="J52" s="129"/>
      <c r="K52" s="126"/>
      <c r="L52" s="126"/>
      <c r="M52" s="126"/>
      <c r="N52" s="126"/>
      <c r="O52" s="164"/>
      <c r="P52" s="129"/>
      <c r="Q52" s="129"/>
      <c r="R52" s="129"/>
    </row>
    <row r="53">
      <c r="A53" s="166"/>
      <c r="B53" s="167"/>
      <c r="C53" s="129"/>
      <c r="D53" s="52"/>
      <c r="E53" s="129"/>
      <c r="F53" s="164"/>
      <c r="G53" s="164"/>
      <c r="H53" s="129"/>
      <c r="I53" s="129"/>
      <c r="J53" s="129"/>
      <c r="K53" s="126"/>
      <c r="L53" s="126"/>
      <c r="M53" s="126"/>
      <c r="N53" s="126"/>
      <c r="O53" s="164"/>
      <c r="P53" s="129"/>
      <c r="Q53" s="129"/>
      <c r="R53" s="129"/>
    </row>
    <row r="54">
      <c r="A54" s="166"/>
      <c r="B54" s="167"/>
      <c r="C54" s="129"/>
      <c r="D54" s="52"/>
      <c r="E54" s="129"/>
      <c r="F54" s="164"/>
      <c r="G54" s="164"/>
      <c r="H54" s="129"/>
      <c r="I54" s="129"/>
      <c r="J54" s="129"/>
      <c r="K54" s="126"/>
      <c r="L54" s="126"/>
      <c r="M54" s="126"/>
      <c r="N54" s="126"/>
      <c r="O54" s="164"/>
      <c r="P54" s="129"/>
      <c r="Q54" s="129"/>
      <c r="R54" s="129"/>
    </row>
    <row r="55">
      <c r="A55" s="166"/>
      <c r="B55" s="167"/>
      <c r="C55" s="129"/>
      <c r="D55" s="52"/>
      <c r="E55" s="129"/>
      <c r="F55" s="164"/>
      <c r="G55" s="164"/>
      <c r="H55" s="129"/>
      <c r="I55" s="129"/>
      <c r="J55" s="129"/>
      <c r="K55" s="126"/>
      <c r="L55" s="126"/>
      <c r="M55" s="126"/>
      <c r="N55" s="126"/>
      <c r="O55" s="164"/>
      <c r="P55" s="129"/>
      <c r="Q55" s="129"/>
      <c r="R55" s="129"/>
    </row>
    <row r="56">
      <c r="A56" s="166"/>
      <c r="B56" s="167"/>
      <c r="C56" s="129"/>
      <c r="D56" s="52"/>
      <c r="E56" s="129"/>
      <c r="F56" s="164"/>
      <c r="G56" s="164"/>
      <c r="H56" s="129"/>
      <c r="I56" s="129"/>
      <c r="J56" s="129"/>
      <c r="K56" s="126"/>
      <c r="L56" s="126"/>
      <c r="M56" s="126"/>
      <c r="N56" s="126"/>
      <c r="O56" s="164"/>
      <c r="P56" s="129"/>
      <c r="Q56" s="129"/>
      <c r="R56" s="129"/>
    </row>
    <row r="57">
      <c r="A57" s="166"/>
      <c r="B57" s="167"/>
      <c r="C57" s="129"/>
      <c r="D57" s="52"/>
      <c r="E57" s="129"/>
      <c r="F57" s="164"/>
      <c r="G57" s="164"/>
      <c r="H57" s="129"/>
      <c r="I57" s="129"/>
      <c r="J57" s="129"/>
      <c r="K57" s="126"/>
      <c r="L57" s="126"/>
      <c r="M57" s="126"/>
      <c r="N57" s="126"/>
      <c r="O57" s="164"/>
      <c r="P57" s="129"/>
      <c r="Q57" s="129"/>
      <c r="R57" s="129"/>
    </row>
    <row r="58">
      <c r="A58" s="166"/>
      <c r="B58" s="167"/>
      <c r="C58" s="129"/>
      <c r="D58" s="52"/>
      <c r="E58" s="129"/>
      <c r="F58" s="164"/>
      <c r="G58" s="164"/>
      <c r="H58" s="129"/>
      <c r="I58" s="129"/>
      <c r="J58" s="129"/>
      <c r="K58" s="126"/>
      <c r="L58" s="126"/>
      <c r="M58" s="126"/>
      <c r="N58" s="126"/>
      <c r="O58" s="164"/>
      <c r="P58" s="129"/>
      <c r="Q58" s="129"/>
      <c r="R58" s="129"/>
    </row>
    <row r="59">
      <c r="A59" s="166"/>
      <c r="B59" s="167"/>
      <c r="C59" s="129"/>
      <c r="D59" s="52"/>
      <c r="E59" s="129"/>
      <c r="F59" s="164"/>
      <c r="G59" s="164"/>
      <c r="H59" s="129"/>
      <c r="I59" s="129"/>
      <c r="J59" s="129"/>
      <c r="K59" s="126"/>
      <c r="L59" s="126"/>
      <c r="M59" s="126"/>
      <c r="N59" s="126"/>
      <c r="O59" s="164"/>
      <c r="P59" s="129"/>
      <c r="Q59" s="129"/>
      <c r="R59" s="129"/>
    </row>
    <row r="60">
      <c r="A60" s="166"/>
      <c r="B60" s="167"/>
      <c r="C60" s="129"/>
      <c r="D60" s="52"/>
      <c r="E60" s="129"/>
      <c r="F60" s="164"/>
      <c r="G60" s="164"/>
      <c r="H60" s="129"/>
      <c r="I60" s="129"/>
      <c r="J60" s="129"/>
      <c r="K60" s="126"/>
      <c r="L60" s="126"/>
      <c r="M60" s="126"/>
      <c r="N60" s="126"/>
      <c r="O60" s="164"/>
      <c r="P60" s="129"/>
      <c r="Q60" s="129"/>
      <c r="R60" s="129"/>
    </row>
    <row r="61">
      <c r="A61" s="166"/>
      <c r="B61" s="167"/>
      <c r="C61" s="129"/>
      <c r="D61" s="52"/>
      <c r="E61" s="129"/>
      <c r="F61" s="164"/>
      <c r="G61" s="164"/>
      <c r="H61" s="129"/>
      <c r="I61" s="129"/>
      <c r="J61" s="129"/>
      <c r="K61" s="126"/>
      <c r="L61" s="126"/>
      <c r="M61" s="126"/>
      <c r="N61" s="126"/>
      <c r="O61" s="164"/>
      <c r="P61" s="129"/>
      <c r="Q61" s="129"/>
      <c r="R61" s="129"/>
    </row>
    <row r="62">
      <c r="A62" s="166"/>
      <c r="B62" s="167"/>
      <c r="C62" s="129"/>
      <c r="D62" s="52"/>
      <c r="E62" s="129"/>
      <c r="F62" s="164"/>
      <c r="G62" s="164"/>
      <c r="H62" s="129"/>
      <c r="I62" s="129"/>
      <c r="J62" s="129"/>
      <c r="K62" s="126"/>
      <c r="L62" s="126"/>
      <c r="M62" s="126"/>
      <c r="N62" s="126"/>
      <c r="O62" s="164"/>
      <c r="P62" s="129"/>
      <c r="Q62" s="129"/>
      <c r="R62" s="129"/>
    </row>
    <row r="63">
      <c r="A63" s="166"/>
      <c r="B63" s="167"/>
      <c r="C63" s="129"/>
      <c r="D63" s="52"/>
      <c r="E63" s="129"/>
      <c r="F63" s="164"/>
      <c r="G63" s="164"/>
      <c r="H63" s="129"/>
      <c r="I63" s="129"/>
      <c r="J63" s="129"/>
      <c r="K63" s="126"/>
      <c r="L63" s="126"/>
      <c r="M63" s="126"/>
      <c r="N63" s="126"/>
      <c r="O63" s="164"/>
      <c r="P63" s="129"/>
      <c r="Q63" s="129"/>
      <c r="R63" s="129"/>
    </row>
    <row r="64">
      <c r="A64" s="166"/>
      <c r="B64" s="167"/>
      <c r="C64" s="129"/>
      <c r="D64" s="52"/>
      <c r="E64" s="129"/>
      <c r="F64" s="164"/>
      <c r="G64" s="164"/>
      <c r="H64" s="129"/>
      <c r="I64" s="129"/>
      <c r="J64" s="129"/>
      <c r="K64" s="126"/>
      <c r="L64" s="126"/>
      <c r="M64" s="126"/>
      <c r="N64" s="126"/>
      <c r="O64" s="164"/>
      <c r="P64" s="129"/>
      <c r="Q64" s="129"/>
      <c r="R64" s="129"/>
    </row>
    <row r="65">
      <c r="A65" s="166"/>
      <c r="B65" s="167"/>
      <c r="C65" s="129"/>
      <c r="D65" s="52"/>
      <c r="E65" s="129"/>
      <c r="F65" s="164"/>
      <c r="G65" s="164"/>
      <c r="H65" s="129"/>
      <c r="I65" s="129"/>
      <c r="J65" s="129"/>
      <c r="K65" s="126"/>
      <c r="L65" s="126"/>
      <c r="M65" s="126"/>
      <c r="N65" s="126"/>
      <c r="O65" s="164"/>
      <c r="P65" s="129"/>
      <c r="Q65" s="129"/>
      <c r="R65" s="129"/>
    </row>
    <row r="66">
      <c r="A66" s="166"/>
      <c r="B66" s="167"/>
      <c r="C66" s="129"/>
      <c r="D66" s="52"/>
      <c r="E66" s="129"/>
      <c r="F66" s="164"/>
      <c r="G66" s="164"/>
      <c r="H66" s="129"/>
      <c r="I66" s="129"/>
      <c r="J66" s="129"/>
      <c r="K66" s="126"/>
      <c r="L66" s="126"/>
      <c r="M66" s="126"/>
      <c r="N66" s="126"/>
      <c r="O66" s="164"/>
      <c r="P66" s="129"/>
      <c r="Q66" s="129"/>
      <c r="R66" s="129"/>
    </row>
    <row r="67">
      <c r="A67" s="166"/>
      <c r="B67" s="167"/>
      <c r="C67" s="129"/>
      <c r="D67" s="52"/>
      <c r="E67" s="129"/>
      <c r="F67" s="164"/>
      <c r="G67" s="164"/>
      <c r="H67" s="129"/>
      <c r="I67" s="129"/>
      <c r="J67" s="129"/>
      <c r="K67" s="126"/>
      <c r="L67" s="126"/>
      <c r="M67" s="126"/>
      <c r="N67" s="126"/>
      <c r="O67" s="164"/>
      <c r="P67" s="129"/>
      <c r="Q67" s="129"/>
      <c r="R67" s="129"/>
    </row>
    <row r="68">
      <c r="A68" s="166"/>
      <c r="B68" s="167"/>
      <c r="C68" s="129"/>
      <c r="D68" s="52"/>
      <c r="E68" s="129"/>
      <c r="F68" s="164"/>
      <c r="G68" s="164"/>
      <c r="H68" s="129"/>
      <c r="I68" s="129"/>
      <c r="J68" s="129"/>
      <c r="K68" s="126"/>
      <c r="L68" s="126"/>
      <c r="M68" s="126"/>
      <c r="N68" s="126"/>
      <c r="O68" s="164"/>
      <c r="P68" s="129"/>
      <c r="Q68" s="129"/>
      <c r="R68" s="129"/>
    </row>
    <row r="69">
      <c r="A69" s="166"/>
      <c r="B69" s="167"/>
      <c r="C69" s="129"/>
      <c r="D69" s="52"/>
      <c r="E69" s="129"/>
      <c r="F69" s="164"/>
      <c r="G69" s="164"/>
      <c r="H69" s="129"/>
      <c r="I69" s="129"/>
      <c r="J69" s="129"/>
      <c r="K69" s="126"/>
      <c r="L69" s="126"/>
      <c r="M69" s="126"/>
      <c r="N69" s="126"/>
      <c r="O69" s="164"/>
      <c r="P69" s="129"/>
      <c r="Q69" s="129"/>
      <c r="R69" s="129"/>
    </row>
    <row r="70">
      <c r="A70" s="166"/>
      <c r="B70" s="167"/>
      <c r="C70" s="129"/>
      <c r="D70" s="52"/>
      <c r="E70" s="129"/>
      <c r="F70" s="164"/>
      <c r="G70" s="164"/>
      <c r="H70" s="129"/>
      <c r="I70" s="129"/>
      <c r="J70" s="129"/>
      <c r="K70" s="126"/>
      <c r="L70" s="126"/>
      <c r="M70" s="126"/>
      <c r="N70" s="126"/>
      <c r="O70" s="164"/>
      <c r="P70" s="129"/>
      <c r="Q70" s="129"/>
      <c r="R70" s="129"/>
    </row>
    <row r="71">
      <c r="A71" s="166"/>
      <c r="B71" s="167"/>
      <c r="C71" s="129"/>
      <c r="D71" s="52"/>
      <c r="E71" s="129"/>
      <c r="F71" s="164"/>
      <c r="G71" s="164"/>
      <c r="H71" s="129"/>
      <c r="I71" s="129"/>
      <c r="J71" s="129"/>
      <c r="K71" s="126"/>
      <c r="L71" s="126"/>
      <c r="M71" s="126"/>
      <c r="N71" s="126"/>
      <c r="O71" s="164"/>
      <c r="P71" s="129"/>
      <c r="Q71" s="129"/>
      <c r="R71" s="129"/>
    </row>
    <row r="72">
      <c r="A72" s="166"/>
      <c r="B72" s="167"/>
      <c r="C72" s="129"/>
      <c r="D72" s="52"/>
      <c r="E72" s="129"/>
      <c r="F72" s="164"/>
      <c r="G72" s="164"/>
      <c r="H72" s="129"/>
      <c r="I72" s="129"/>
      <c r="J72" s="129"/>
      <c r="K72" s="126"/>
      <c r="L72" s="126"/>
      <c r="M72" s="126"/>
      <c r="N72" s="126"/>
      <c r="O72" s="164"/>
      <c r="P72" s="129"/>
      <c r="Q72" s="129"/>
      <c r="R72" s="129"/>
    </row>
    <row r="73">
      <c r="A73" s="166"/>
      <c r="B73" s="167"/>
      <c r="C73" s="129"/>
      <c r="D73" s="52"/>
      <c r="E73" s="129"/>
      <c r="F73" s="164"/>
      <c r="G73" s="164"/>
      <c r="H73" s="129"/>
      <c r="I73" s="129"/>
      <c r="J73" s="129"/>
      <c r="K73" s="126"/>
      <c r="L73" s="126"/>
      <c r="M73" s="126"/>
      <c r="N73" s="126"/>
      <c r="O73" s="164"/>
      <c r="P73" s="129"/>
      <c r="Q73" s="129"/>
      <c r="R73" s="129"/>
    </row>
    <row r="74">
      <c r="A74" s="166"/>
      <c r="B74" s="167"/>
      <c r="C74" s="129"/>
      <c r="D74" s="52"/>
      <c r="E74" s="129"/>
      <c r="F74" s="164"/>
      <c r="G74" s="164"/>
      <c r="H74" s="129"/>
      <c r="I74" s="129"/>
      <c r="J74" s="129"/>
      <c r="K74" s="126"/>
      <c r="L74" s="126"/>
      <c r="M74" s="126"/>
      <c r="N74" s="126"/>
      <c r="O74" s="164"/>
      <c r="P74" s="129"/>
      <c r="Q74" s="129"/>
      <c r="R74" s="129"/>
    </row>
    <row r="75">
      <c r="A75" s="166"/>
      <c r="B75" s="167"/>
      <c r="C75" s="129"/>
      <c r="D75" s="52"/>
      <c r="E75" s="129"/>
      <c r="F75" s="164"/>
      <c r="G75" s="164"/>
      <c r="H75" s="129"/>
      <c r="I75" s="129"/>
      <c r="J75" s="129"/>
      <c r="K75" s="126"/>
      <c r="L75" s="126"/>
      <c r="M75" s="126"/>
      <c r="N75" s="126"/>
      <c r="O75" s="164"/>
      <c r="P75" s="129"/>
      <c r="Q75" s="129"/>
      <c r="R75" s="129"/>
    </row>
    <row r="76">
      <c r="A76" s="166"/>
      <c r="B76" s="167"/>
      <c r="C76" s="129"/>
      <c r="D76" s="52"/>
      <c r="E76" s="129"/>
      <c r="F76" s="164"/>
      <c r="G76" s="164"/>
      <c r="H76" s="129"/>
      <c r="I76" s="129"/>
      <c r="J76" s="129"/>
      <c r="K76" s="126"/>
      <c r="L76" s="126"/>
      <c r="M76" s="126"/>
      <c r="N76" s="126"/>
      <c r="O76" s="164"/>
      <c r="P76" s="129"/>
      <c r="Q76" s="129"/>
      <c r="R76" s="129"/>
    </row>
    <row r="77">
      <c r="A77" s="166"/>
      <c r="B77" s="167"/>
      <c r="C77" s="129"/>
      <c r="D77" s="52"/>
      <c r="E77" s="129"/>
      <c r="F77" s="164"/>
      <c r="G77" s="164"/>
      <c r="H77" s="129"/>
      <c r="I77" s="129"/>
      <c r="J77" s="129"/>
      <c r="K77" s="126"/>
      <c r="L77" s="126"/>
      <c r="M77" s="126"/>
      <c r="N77" s="126"/>
      <c r="O77" s="164"/>
      <c r="P77" s="129"/>
      <c r="Q77" s="129"/>
      <c r="R77" s="129"/>
    </row>
    <row r="78">
      <c r="A78" s="166"/>
      <c r="B78" s="167"/>
      <c r="C78" s="129"/>
      <c r="D78" s="52"/>
      <c r="E78" s="129"/>
      <c r="F78" s="164"/>
      <c r="G78" s="164"/>
      <c r="H78" s="129"/>
      <c r="I78" s="129"/>
      <c r="J78" s="129"/>
      <c r="K78" s="126"/>
      <c r="L78" s="126"/>
      <c r="M78" s="126"/>
      <c r="N78" s="126"/>
      <c r="O78" s="164"/>
      <c r="P78" s="129"/>
      <c r="Q78" s="129"/>
      <c r="R78" s="129"/>
    </row>
    <row r="79">
      <c r="A79" s="166"/>
      <c r="B79" s="167"/>
      <c r="C79" s="129"/>
      <c r="D79" s="52"/>
      <c r="E79" s="129"/>
      <c r="F79" s="164"/>
      <c r="G79" s="164"/>
      <c r="H79" s="129"/>
      <c r="I79" s="129"/>
      <c r="J79" s="129"/>
      <c r="K79" s="126"/>
      <c r="L79" s="126"/>
      <c r="M79" s="126"/>
      <c r="N79" s="126"/>
      <c r="O79" s="164"/>
      <c r="P79" s="129"/>
      <c r="Q79" s="129"/>
      <c r="R79" s="129"/>
    </row>
    <row r="80">
      <c r="A80" s="166"/>
      <c r="B80" s="167"/>
      <c r="C80" s="129"/>
      <c r="D80" s="52"/>
      <c r="E80" s="129"/>
      <c r="F80" s="164"/>
      <c r="G80" s="164"/>
      <c r="H80" s="129"/>
      <c r="I80" s="129"/>
      <c r="J80" s="129"/>
      <c r="K80" s="126"/>
      <c r="L80" s="126"/>
      <c r="M80" s="126"/>
      <c r="N80" s="126"/>
      <c r="O80" s="164"/>
      <c r="P80" s="129"/>
      <c r="Q80" s="129"/>
      <c r="R80" s="129"/>
    </row>
    <row r="81">
      <c r="A81" s="166"/>
      <c r="B81" s="167"/>
      <c r="C81" s="129"/>
      <c r="D81" s="52"/>
      <c r="E81" s="129"/>
      <c r="F81" s="164"/>
      <c r="G81" s="164"/>
      <c r="H81" s="129"/>
      <c r="I81" s="129"/>
      <c r="J81" s="129"/>
      <c r="K81" s="126"/>
      <c r="L81" s="126"/>
      <c r="M81" s="126"/>
      <c r="N81" s="126"/>
      <c r="O81" s="164"/>
      <c r="P81" s="129"/>
      <c r="Q81" s="129"/>
      <c r="R81" s="129"/>
    </row>
    <row r="82">
      <c r="A82" s="166"/>
      <c r="B82" s="167"/>
      <c r="C82" s="129"/>
      <c r="D82" s="52"/>
      <c r="E82" s="129"/>
      <c r="F82" s="164"/>
      <c r="G82" s="164"/>
      <c r="H82" s="129"/>
      <c r="I82" s="129"/>
      <c r="J82" s="129"/>
      <c r="K82" s="126"/>
      <c r="L82" s="126"/>
      <c r="M82" s="126"/>
      <c r="N82" s="126"/>
      <c r="O82" s="164"/>
      <c r="P82" s="129"/>
      <c r="Q82" s="129"/>
      <c r="R82" s="129"/>
    </row>
    <row r="83">
      <c r="A83" s="166"/>
      <c r="B83" s="167"/>
      <c r="C83" s="129"/>
      <c r="D83" s="52"/>
      <c r="E83" s="129"/>
      <c r="F83" s="164"/>
      <c r="G83" s="164"/>
      <c r="H83" s="129"/>
      <c r="I83" s="129"/>
      <c r="J83" s="129"/>
      <c r="K83" s="126"/>
      <c r="L83" s="126"/>
      <c r="M83" s="126"/>
      <c r="N83" s="126"/>
      <c r="O83" s="164"/>
      <c r="P83" s="129"/>
      <c r="Q83" s="129"/>
      <c r="R83" s="129"/>
    </row>
    <row r="84">
      <c r="A84" s="166"/>
      <c r="B84" s="167"/>
      <c r="C84" s="129"/>
      <c r="D84" s="52"/>
      <c r="E84" s="129"/>
      <c r="F84" s="164"/>
      <c r="G84" s="164"/>
      <c r="H84" s="129"/>
      <c r="I84" s="129"/>
      <c r="J84" s="129"/>
      <c r="K84" s="126"/>
      <c r="L84" s="126"/>
      <c r="M84" s="126"/>
      <c r="N84" s="126"/>
      <c r="O84" s="164"/>
      <c r="P84" s="129"/>
      <c r="Q84" s="129"/>
      <c r="R84" s="129"/>
    </row>
    <row r="85">
      <c r="A85" s="166"/>
      <c r="B85" s="167"/>
      <c r="C85" s="129"/>
      <c r="D85" s="52"/>
      <c r="E85" s="129"/>
      <c r="F85" s="164"/>
      <c r="G85" s="164"/>
      <c r="H85" s="129"/>
      <c r="I85" s="129"/>
      <c r="J85" s="129"/>
      <c r="K85" s="126"/>
      <c r="L85" s="126"/>
      <c r="M85" s="126"/>
      <c r="N85" s="126"/>
      <c r="O85" s="164"/>
      <c r="P85" s="129"/>
      <c r="Q85" s="129"/>
      <c r="R85" s="129"/>
    </row>
    <row r="86">
      <c r="A86" s="166"/>
      <c r="B86" s="167"/>
      <c r="C86" s="129"/>
      <c r="D86" s="52"/>
      <c r="E86" s="129"/>
      <c r="F86" s="164"/>
      <c r="G86" s="164"/>
      <c r="H86" s="129"/>
      <c r="I86" s="129"/>
      <c r="J86" s="129"/>
      <c r="K86" s="126"/>
      <c r="L86" s="126"/>
      <c r="M86" s="126"/>
      <c r="N86" s="126"/>
      <c r="O86" s="164"/>
      <c r="P86" s="129"/>
      <c r="Q86" s="129"/>
      <c r="R86" s="129"/>
    </row>
    <row r="87">
      <c r="A87" s="166"/>
      <c r="B87" s="167"/>
      <c r="C87" s="129"/>
      <c r="D87" s="52"/>
      <c r="E87" s="129"/>
      <c r="F87" s="164"/>
      <c r="G87" s="164"/>
      <c r="H87" s="129"/>
      <c r="I87" s="129"/>
      <c r="J87" s="129"/>
      <c r="K87" s="126"/>
      <c r="L87" s="126"/>
      <c r="M87" s="126"/>
      <c r="N87" s="126"/>
      <c r="O87" s="164"/>
      <c r="P87" s="129"/>
      <c r="Q87" s="129"/>
      <c r="R87" s="129"/>
    </row>
    <row r="88">
      <c r="A88" s="166"/>
      <c r="B88" s="167"/>
      <c r="C88" s="129"/>
      <c r="D88" s="52"/>
      <c r="E88" s="129"/>
      <c r="F88" s="164"/>
      <c r="G88" s="164"/>
      <c r="H88" s="129"/>
      <c r="I88" s="129"/>
      <c r="J88" s="129"/>
      <c r="K88" s="126"/>
      <c r="L88" s="126"/>
      <c r="M88" s="126"/>
      <c r="N88" s="126"/>
      <c r="O88" s="164"/>
      <c r="P88" s="129"/>
      <c r="Q88" s="129"/>
      <c r="R88" s="129"/>
    </row>
    <row r="89">
      <c r="A89" s="166"/>
      <c r="B89" s="167"/>
      <c r="C89" s="129"/>
      <c r="D89" s="52"/>
      <c r="E89" s="129"/>
      <c r="F89" s="164"/>
      <c r="G89" s="164"/>
      <c r="H89" s="129"/>
      <c r="I89" s="129"/>
      <c r="J89" s="129"/>
      <c r="K89" s="126"/>
      <c r="L89" s="126"/>
      <c r="M89" s="126"/>
      <c r="N89" s="126"/>
      <c r="O89" s="164"/>
      <c r="P89" s="129"/>
      <c r="Q89" s="129"/>
      <c r="R89" s="129"/>
    </row>
    <row r="90">
      <c r="A90" s="166"/>
      <c r="B90" s="167"/>
      <c r="C90" s="129"/>
      <c r="D90" s="52"/>
      <c r="E90" s="129"/>
      <c r="F90" s="164"/>
      <c r="G90" s="164"/>
      <c r="H90" s="129"/>
      <c r="I90" s="129"/>
      <c r="J90" s="129"/>
      <c r="K90" s="126"/>
      <c r="L90" s="126"/>
      <c r="M90" s="126"/>
      <c r="N90" s="126"/>
      <c r="O90" s="164"/>
      <c r="P90" s="129"/>
      <c r="Q90" s="129"/>
      <c r="R90" s="129"/>
    </row>
    <row r="91">
      <c r="A91" s="166"/>
      <c r="B91" s="167"/>
      <c r="C91" s="129"/>
      <c r="D91" s="52"/>
      <c r="E91" s="129"/>
      <c r="F91" s="164"/>
      <c r="G91" s="164"/>
      <c r="H91" s="129"/>
      <c r="I91" s="129"/>
      <c r="J91" s="129"/>
      <c r="K91" s="126"/>
      <c r="L91" s="126"/>
      <c r="M91" s="126"/>
      <c r="N91" s="126"/>
      <c r="O91" s="164"/>
      <c r="P91" s="129"/>
      <c r="Q91" s="129"/>
      <c r="R91" s="129"/>
    </row>
    <row r="92">
      <c r="A92" s="166"/>
      <c r="B92" s="167"/>
      <c r="C92" s="129"/>
      <c r="D92" s="52"/>
      <c r="E92" s="129"/>
      <c r="F92" s="164"/>
      <c r="G92" s="164"/>
      <c r="H92" s="129"/>
      <c r="I92" s="129"/>
      <c r="J92" s="129"/>
      <c r="K92" s="126"/>
      <c r="L92" s="126"/>
      <c r="M92" s="126"/>
      <c r="N92" s="126"/>
      <c r="O92" s="164"/>
      <c r="P92" s="129"/>
      <c r="Q92" s="129"/>
      <c r="R92" s="129"/>
    </row>
    <row r="93">
      <c r="A93" s="166"/>
      <c r="B93" s="167"/>
      <c r="C93" s="129"/>
      <c r="D93" s="52"/>
      <c r="E93" s="129"/>
      <c r="F93" s="164"/>
      <c r="G93" s="164"/>
      <c r="H93" s="129"/>
      <c r="I93" s="129"/>
      <c r="J93" s="129"/>
      <c r="K93" s="126"/>
      <c r="L93" s="126"/>
      <c r="M93" s="126"/>
      <c r="N93" s="126"/>
      <c r="O93" s="164"/>
      <c r="P93" s="129"/>
      <c r="Q93" s="129"/>
      <c r="R93" s="129"/>
    </row>
    <row r="94">
      <c r="A94" s="166"/>
      <c r="B94" s="167"/>
      <c r="C94" s="129"/>
      <c r="D94" s="52"/>
      <c r="E94" s="129"/>
      <c r="F94" s="164"/>
      <c r="G94" s="164"/>
      <c r="H94" s="129"/>
      <c r="I94" s="129"/>
      <c r="J94" s="129"/>
      <c r="K94" s="126"/>
      <c r="L94" s="126"/>
      <c r="M94" s="126"/>
      <c r="N94" s="126"/>
      <c r="O94" s="164"/>
      <c r="P94" s="129"/>
      <c r="Q94" s="129"/>
      <c r="R94" s="129"/>
    </row>
    <row r="95">
      <c r="A95" s="166"/>
      <c r="B95" s="167"/>
      <c r="C95" s="129"/>
      <c r="D95" s="52"/>
      <c r="E95" s="129"/>
      <c r="F95" s="164"/>
      <c r="G95" s="164"/>
      <c r="H95" s="129"/>
      <c r="I95" s="129"/>
      <c r="J95" s="129"/>
      <c r="K95" s="126"/>
      <c r="L95" s="126"/>
      <c r="M95" s="126"/>
      <c r="N95" s="126"/>
      <c r="O95" s="164"/>
      <c r="P95" s="129"/>
      <c r="Q95" s="129"/>
      <c r="R95" s="129"/>
    </row>
    <row r="96">
      <c r="A96" s="166"/>
      <c r="B96" s="167"/>
      <c r="C96" s="129"/>
      <c r="D96" s="52"/>
      <c r="E96" s="129"/>
      <c r="F96" s="164"/>
      <c r="G96" s="164"/>
      <c r="H96" s="129"/>
      <c r="I96" s="129"/>
      <c r="J96" s="129"/>
      <c r="K96" s="126"/>
      <c r="L96" s="126"/>
      <c r="M96" s="126"/>
      <c r="N96" s="126"/>
      <c r="O96" s="164"/>
      <c r="P96" s="129"/>
      <c r="Q96" s="129"/>
      <c r="R96" s="129"/>
    </row>
    <row r="97">
      <c r="A97" s="166"/>
      <c r="B97" s="167"/>
      <c r="C97" s="129"/>
      <c r="D97" s="52"/>
      <c r="E97" s="129"/>
      <c r="F97" s="164"/>
      <c r="G97" s="164"/>
      <c r="H97" s="129"/>
      <c r="I97" s="129"/>
      <c r="J97" s="129"/>
      <c r="K97" s="126"/>
      <c r="L97" s="126"/>
      <c r="M97" s="126"/>
      <c r="N97" s="126"/>
      <c r="O97" s="164"/>
      <c r="P97" s="129"/>
      <c r="Q97" s="129"/>
      <c r="R97" s="129"/>
    </row>
    <row r="98">
      <c r="A98" s="166"/>
      <c r="B98" s="167"/>
      <c r="C98" s="129"/>
      <c r="D98" s="52"/>
      <c r="E98" s="129"/>
      <c r="F98" s="164"/>
      <c r="G98" s="164"/>
      <c r="H98" s="129"/>
      <c r="I98" s="129"/>
      <c r="J98" s="129"/>
      <c r="K98" s="126"/>
      <c r="L98" s="126"/>
      <c r="M98" s="126"/>
      <c r="N98" s="126"/>
      <c r="O98" s="164"/>
      <c r="P98" s="129"/>
      <c r="Q98" s="129"/>
      <c r="R98" s="129"/>
    </row>
    <row r="99">
      <c r="A99" s="166"/>
      <c r="B99" s="167"/>
      <c r="C99" s="129"/>
      <c r="D99" s="52"/>
      <c r="E99" s="129"/>
      <c r="F99" s="164"/>
      <c r="G99" s="164"/>
      <c r="H99" s="129"/>
      <c r="I99" s="129"/>
      <c r="J99" s="129"/>
      <c r="K99" s="126"/>
      <c r="L99" s="126"/>
      <c r="M99" s="126"/>
      <c r="N99" s="126"/>
      <c r="O99" s="164"/>
      <c r="P99" s="129"/>
      <c r="Q99" s="129"/>
      <c r="R99" s="129"/>
    </row>
    <row r="100">
      <c r="A100" s="166"/>
      <c r="B100" s="167"/>
      <c r="C100" s="129"/>
      <c r="D100" s="52"/>
      <c r="E100" s="129"/>
      <c r="F100" s="164"/>
      <c r="G100" s="164"/>
      <c r="H100" s="129"/>
      <c r="I100" s="129"/>
      <c r="J100" s="129"/>
      <c r="K100" s="126"/>
      <c r="L100" s="126"/>
      <c r="M100" s="126"/>
      <c r="N100" s="126"/>
      <c r="O100" s="164"/>
      <c r="P100" s="129"/>
      <c r="Q100" s="129"/>
      <c r="R100" s="129"/>
    </row>
    <row r="101">
      <c r="A101" s="166"/>
      <c r="B101" s="167"/>
      <c r="C101" s="129"/>
      <c r="D101" s="52"/>
      <c r="E101" s="129"/>
      <c r="F101" s="164"/>
      <c r="G101" s="164"/>
      <c r="H101" s="129"/>
      <c r="I101" s="129"/>
      <c r="J101" s="129"/>
      <c r="K101" s="126"/>
      <c r="L101" s="126"/>
      <c r="M101" s="126"/>
      <c r="N101" s="126"/>
      <c r="O101" s="164"/>
      <c r="P101" s="129"/>
      <c r="Q101" s="129"/>
      <c r="R101" s="129"/>
    </row>
    <row r="102">
      <c r="A102" s="166"/>
      <c r="B102" s="167"/>
      <c r="C102" s="129"/>
      <c r="D102" s="52"/>
      <c r="E102" s="129"/>
      <c r="F102" s="164"/>
      <c r="G102" s="164"/>
      <c r="H102" s="129"/>
      <c r="I102" s="129"/>
      <c r="J102" s="129"/>
      <c r="K102" s="126"/>
      <c r="L102" s="126"/>
      <c r="M102" s="126"/>
      <c r="N102" s="126"/>
      <c r="O102" s="164"/>
      <c r="P102" s="129"/>
      <c r="Q102" s="129"/>
      <c r="R102" s="129"/>
    </row>
    <row r="103">
      <c r="A103" s="166"/>
      <c r="B103" s="167"/>
      <c r="C103" s="129"/>
      <c r="D103" s="52"/>
      <c r="E103" s="129"/>
      <c r="F103" s="164"/>
      <c r="G103" s="164"/>
      <c r="H103" s="129"/>
      <c r="I103" s="129"/>
      <c r="J103" s="129"/>
      <c r="K103" s="126"/>
      <c r="L103" s="126"/>
      <c r="M103" s="126"/>
      <c r="N103" s="126"/>
      <c r="O103" s="164"/>
      <c r="P103" s="129"/>
      <c r="Q103" s="129"/>
      <c r="R103" s="129"/>
    </row>
    <row r="104">
      <c r="A104" s="166"/>
      <c r="B104" s="167"/>
      <c r="C104" s="129"/>
      <c r="D104" s="52"/>
      <c r="E104" s="129"/>
      <c r="F104" s="164"/>
      <c r="G104" s="164"/>
      <c r="H104" s="129"/>
      <c r="I104" s="129"/>
      <c r="J104" s="129"/>
      <c r="K104" s="126"/>
      <c r="L104" s="126"/>
      <c r="M104" s="126"/>
      <c r="N104" s="126"/>
      <c r="O104" s="164"/>
      <c r="P104" s="129"/>
      <c r="Q104" s="129"/>
      <c r="R104" s="129"/>
    </row>
    <row r="105">
      <c r="A105" s="166"/>
      <c r="B105" s="167"/>
      <c r="C105" s="129"/>
      <c r="D105" s="52"/>
      <c r="E105" s="129"/>
      <c r="F105" s="164"/>
      <c r="G105" s="164"/>
      <c r="H105" s="129"/>
      <c r="I105" s="129"/>
      <c r="J105" s="129"/>
      <c r="K105" s="126"/>
      <c r="L105" s="126"/>
      <c r="M105" s="126"/>
      <c r="N105" s="126"/>
      <c r="O105" s="164"/>
      <c r="P105" s="129"/>
      <c r="Q105" s="129"/>
      <c r="R105" s="129"/>
    </row>
    <row r="106">
      <c r="A106" s="166"/>
      <c r="B106" s="167"/>
      <c r="C106" s="129"/>
      <c r="D106" s="52"/>
      <c r="E106" s="129"/>
      <c r="F106" s="164"/>
      <c r="G106" s="164"/>
      <c r="H106" s="129"/>
      <c r="I106" s="129"/>
      <c r="J106" s="129"/>
      <c r="K106" s="126"/>
      <c r="L106" s="126"/>
      <c r="M106" s="126"/>
      <c r="N106" s="126"/>
      <c r="O106" s="164"/>
      <c r="P106" s="129"/>
      <c r="Q106" s="129"/>
      <c r="R106" s="129"/>
    </row>
    <row r="107">
      <c r="A107" s="166"/>
      <c r="B107" s="167"/>
      <c r="C107" s="129"/>
      <c r="D107" s="52"/>
      <c r="E107" s="129"/>
      <c r="F107" s="164"/>
      <c r="G107" s="164"/>
      <c r="H107" s="129"/>
      <c r="I107" s="129"/>
      <c r="J107" s="129"/>
      <c r="K107" s="126"/>
      <c r="L107" s="126"/>
      <c r="M107" s="126"/>
      <c r="N107" s="126"/>
      <c r="O107" s="164"/>
      <c r="P107" s="129"/>
      <c r="Q107" s="129"/>
      <c r="R107" s="129"/>
    </row>
    <row r="108">
      <c r="A108" s="166"/>
      <c r="B108" s="167"/>
      <c r="C108" s="129"/>
      <c r="D108" s="52"/>
      <c r="E108" s="129"/>
      <c r="F108" s="164"/>
      <c r="G108" s="164"/>
      <c r="H108" s="129"/>
      <c r="I108" s="129"/>
      <c r="J108" s="129"/>
      <c r="K108" s="126"/>
      <c r="L108" s="126"/>
      <c r="M108" s="126"/>
      <c r="N108" s="126"/>
      <c r="O108" s="164"/>
      <c r="P108" s="129"/>
      <c r="Q108" s="129"/>
      <c r="R108" s="129"/>
    </row>
    <row r="109">
      <c r="A109" s="166"/>
      <c r="B109" s="167"/>
      <c r="C109" s="129"/>
      <c r="D109" s="52"/>
      <c r="E109" s="129"/>
      <c r="F109" s="164"/>
      <c r="G109" s="164"/>
      <c r="H109" s="129"/>
      <c r="I109" s="129"/>
      <c r="J109" s="129"/>
      <c r="K109" s="126"/>
      <c r="L109" s="126"/>
      <c r="M109" s="126"/>
      <c r="N109" s="126"/>
      <c r="O109" s="164"/>
      <c r="P109" s="129"/>
      <c r="Q109" s="129"/>
      <c r="R109" s="129"/>
    </row>
    <row r="110">
      <c r="A110" s="166"/>
      <c r="B110" s="167"/>
      <c r="C110" s="129"/>
      <c r="D110" s="129"/>
      <c r="E110" s="129"/>
      <c r="F110" s="164"/>
      <c r="G110" s="164"/>
      <c r="H110" s="129"/>
      <c r="I110" s="129"/>
      <c r="J110" s="129"/>
      <c r="K110" s="126"/>
      <c r="L110" s="126"/>
      <c r="M110" s="126"/>
      <c r="N110" s="126"/>
      <c r="O110" s="164"/>
      <c r="P110" s="129"/>
      <c r="Q110" s="129"/>
      <c r="R110" s="129"/>
    </row>
    <row r="111">
      <c r="A111" s="166"/>
      <c r="B111" s="167"/>
      <c r="C111" s="129"/>
      <c r="D111" s="129"/>
      <c r="E111" s="129"/>
      <c r="F111" s="164"/>
      <c r="G111" s="164"/>
      <c r="H111" s="129"/>
      <c r="I111" s="129"/>
      <c r="J111" s="129"/>
      <c r="K111" s="126"/>
      <c r="L111" s="126"/>
      <c r="M111" s="126"/>
      <c r="N111" s="126"/>
      <c r="O111" s="164"/>
      <c r="P111" s="129"/>
      <c r="Q111" s="129"/>
      <c r="R111" s="129"/>
    </row>
    <row r="112">
      <c r="A112" s="166"/>
      <c r="B112" s="167"/>
      <c r="C112" s="129"/>
      <c r="D112" s="129"/>
      <c r="E112" s="129"/>
      <c r="F112" s="164"/>
      <c r="G112" s="164"/>
      <c r="H112" s="129"/>
      <c r="I112" s="129"/>
      <c r="J112" s="129"/>
      <c r="K112" s="126"/>
      <c r="L112" s="126"/>
      <c r="M112" s="126"/>
      <c r="N112" s="126"/>
      <c r="O112" s="164"/>
      <c r="P112" s="129"/>
      <c r="Q112" s="129"/>
      <c r="R112" s="129"/>
    </row>
    <row r="113">
      <c r="A113" s="166"/>
      <c r="B113" s="167"/>
      <c r="C113" s="129"/>
      <c r="D113" s="129"/>
      <c r="E113" s="129"/>
      <c r="F113" s="164"/>
      <c r="G113" s="164"/>
      <c r="H113" s="129"/>
      <c r="I113" s="129"/>
      <c r="J113" s="129"/>
      <c r="K113" s="126"/>
      <c r="L113" s="126"/>
      <c r="M113" s="126"/>
      <c r="N113" s="126"/>
      <c r="O113" s="164"/>
      <c r="P113" s="129"/>
      <c r="Q113" s="129"/>
      <c r="R113" s="129"/>
    </row>
    <row r="114">
      <c r="A114" s="166"/>
      <c r="B114" s="167"/>
      <c r="C114" s="129"/>
      <c r="D114" s="129"/>
      <c r="E114" s="129"/>
      <c r="F114" s="164"/>
      <c r="G114" s="164"/>
      <c r="H114" s="129"/>
      <c r="I114" s="129"/>
      <c r="J114" s="129"/>
      <c r="K114" s="126"/>
      <c r="L114" s="126"/>
      <c r="M114" s="126"/>
      <c r="N114" s="126"/>
      <c r="O114" s="164"/>
      <c r="P114" s="129"/>
      <c r="Q114" s="129"/>
      <c r="R114" s="129"/>
    </row>
    <row r="115">
      <c r="A115" s="166"/>
      <c r="B115" s="167"/>
      <c r="C115" s="129"/>
      <c r="D115" s="129"/>
      <c r="E115" s="129"/>
      <c r="F115" s="164"/>
      <c r="G115" s="164"/>
      <c r="H115" s="129"/>
      <c r="I115" s="129"/>
      <c r="J115" s="129"/>
      <c r="K115" s="126"/>
      <c r="L115" s="126"/>
      <c r="M115" s="126"/>
      <c r="N115" s="126"/>
      <c r="O115" s="164"/>
      <c r="P115" s="129"/>
      <c r="Q115" s="129"/>
      <c r="R115" s="129"/>
    </row>
    <row r="116">
      <c r="A116" s="166"/>
      <c r="B116" s="167"/>
      <c r="C116" s="129"/>
      <c r="D116" s="129"/>
      <c r="E116" s="129"/>
      <c r="F116" s="164"/>
      <c r="G116" s="164"/>
      <c r="H116" s="129"/>
      <c r="I116" s="129"/>
      <c r="J116" s="129"/>
      <c r="K116" s="126"/>
      <c r="L116" s="126"/>
      <c r="M116" s="126"/>
      <c r="N116" s="126"/>
      <c r="O116" s="164"/>
      <c r="P116" s="129"/>
      <c r="Q116" s="129"/>
      <c r="R116" s="129"/>
    </row>
    <row r="117">
      <c r="A117" s="166"/>
      <c r="B117" s="167"/>
      <c r="C117" s="129"/>
      <c r="D117" s="129"/>
      <c r="E117" s="129"/>
      <c r="F117" s="164"/>
      <c r="G117" s="164"/>
      <c r="H117" s="129"/>
      <c r="I117" s="129"/>
      <c r="J117" s="129"/>
      <c r="K117" s="126"/>
      <c r="L117" s="126"/>
      <c r="M117" s="126"/>
      <c r="N117" s="126"/>
      <c r="O117" s="164"/>
      <c r="P117" s="129"/>
      <c r="Q117" s="129"/>
      <c r="R117" s="129"/>
    </row>
    <row r="118">
      <c r="A118" s="166"/>
      <c r="B118" s="167"/>
      <c r="C118" s="129"/>
      <c r="D118" s="129"/>
      <c r="E118" s="129"/>
      <c r="F118" s="164"/>
      <c r="G118" s="164"/>
      <c r="H118" s="129"/>
      <c r="I118" s="129"/>
      <c r="J118" s="129"/>
      <c r="K118" s="126"/>
      <c r="L118" s="126"/>
      <c r="M118" s="126"/>
      <c r="N118" s="126"/>
      <c r="O118" s="164"/>
      <c r="P118" s="129"/>
      <c r="Q118" s="129"/>
      <c r="R118" s="129"/>
    </row>
    <row r="119">
      <c r="A119" s="166"/>
      <c r="B119" s="167"/>
      <c r="C119" s="129"/>
      <c r="D119" s="129"/>
      <c r="E119" s="129"/>
      <c r="F119" s="164"/>
      <c r="G119" s="164"/>
      <c r="H119" s="129"/>
      <c r="I119" s="129"/>
      <c r="J119" s="129"/>
      <c r="K119" s="126"/>
      <c r="L119" s="126"/>
      <c r="M119" s="126"/>
      <c r="N119" s="126"/>
      <c r="O119" s="164"/>
      <c r="P119" s="129"/>
      <c r="Q119" s="129"/>
      <c r="R119" s="129"/>
    </row>
    <row r="120">
      <c r="A120" s="166"/>
      <c r="B120" s="167"/>
      <c r="C120" s="129"/>
      <c r="D120" s="129"/>
      <c r="E120" s="129"/>
      <c r="F120" s="164"/>
      <c r="G120" s="164"/>
      <c r="H120" s="129"/>
      <c r="I120" s="129"/>
      <c r="J120" s="129"/>
      <c r="K120" s="126"/>
      <c r="L120" s="126"/>
      <c r="M120" s="126"/>
      <c r="N120" s="126"/>
      <c r="O120" s="164"/>
      <c r="P120" s="129"/>
      <c r="Q120" s="129"/>
      <c r="R120" s="129"/>
    </row>
    <row r="121">
      <c r="A121" s="166"/>
      <c r="B121" s="167"/>
      <c r="C121" s="129"/>
      <c r="D121" s="129"/>
      <c r="E121" s="129"/>
      <c r="F121" s="164"/>
      <c r="G121" s="164"/>
      <c r="H121" s="129"/>
      <c r="I121" s="129"/>
      <c r="J121" s="129"/>
      <c r="K121" s="126"/>
      <c r="L121" s="126"/>
      <c r="M121" s="126"/>
      <c r="N121" s="126"/>
      <c r="O121" s="164"/>
      <c r="P121" s="129"/>
      <c r="Q121" s="129"/>
      <c r="R121" s="129"/>
    </row>
    <row r="122">
      <c r="A122" s="166"/>
      <c r="B122" s="167"/>
      <c r="C122" s="129"/>
      <c r="D122" s="129"/>
      <c r="E122" s="129"/>
      <c r="F122" s="164"/>
      <c r="G122" s="164"/>
      <c r="H122" s="129"/>
      <c r="I122" s="129"/>
      <c r="J122" s="129"/>
      <c r="K122" s="126"/>
      <c r="L122" s="126"/>
      <c r="M122" s="126"/>
      <c r="N122" s="126"/>
      <c r="O122" s="164"/>
      <c r="P122" s="129"/>
      <c r="Q122" s="129"/>
      <c r="R122" s="129"/>
    </row>
    <row r="123">
      <c r="A123" s="166"/>
      <c r="B123" s="167"/>
      <c r="C123" s="129"/>
      <c r="D123" s="129"/>
      <c r="E123" s="129"/>
      <c r="F123" s="164"/>
      <c r="G123" s="164"/>
      <c r="H123" s="129"/>
      <c r="I123" s="129"/>
      <c r="J123" s="129"/>
      <c r="K123" s="126"/>
      <c r="L123" s="126"/>
      <c r="M123" s="126"/>
      <c r="N123" s="126"/>
      <c r="O123" s="164"/>
      <c r="P123" s="129"/>
      <c r="Q123" s="129"/>
      <c r="R123" s="129"/>
    </row>
    <row r="124">
      <c r="A124" s="166"/>
      <c r="B124" s="167"/>
      <c r="C124" s="129"/>
      <c r="D124" s="129"/>
      <c r="E124" s="129"/>
      <c r="F124" s="164"/>
      <c r="G124" s="164"/>
      <c r="H124" s="129"/>
      <c r="I124" s="129"/>
      <c r="J124" s="129"/>
      <c r="K124" s="126"/>
      <c r="L124" s="126"/>
      <c r="M124" s="126"/>
      <c r="N124" s="126"/>
      <c r="O124" s="164"/>
      <c r="P124" s="129"/>
      <c r="Q124" s="129"/>
      <c r="R124" s="129"/>
    </row>
    <row r="125">
      <c r="A125" s="166"/>
      <c r="B125" s="167"/>
      <c r="C125" s="129"/>
      <c r="D125" s="129"/>
      <c r="E125" s="129"/>
      <c r="F125" s="164"/>
      <c r="G125" s="164"/>
      <c r="H125" s="129"/>
      <c r="I125" s="129"/>
      <c r="J125" s="129"/>
      <c r="K125" s="126"/>
      <c r="L125" s="126"/>
      <c r="M125" s="126"/>
      <c r="N125" s="126"/>
      <c r="O125" s="164"/>
      <c r="P125" s="129"/>
      <c r="Q125" s="129"/>
      <c r="R125" s="129"/>
    </row>
    <row r="126">
      <c r="A126" s="166"/>
      <c r="B126" s="167"/>
      <c r="C126" s="129"/>
      <c r="D126" s="129"/>
      <c r="E126" s="129"/>
      <c r="F126" s="164"/>
      <c r="G126" s="164"/>
      <c r="H126" s="129"/>
      <c r="I126" s="129"/>
      <c r="J126" s="129"/>
      <c r="K126" s="126"/>
      <c r="L126" s="126"/>
      <c r="M126" s="126"/>
      <c r="N126" s="126"/>
      <c r="O126" s="164"/>
      <c r="P126" s="129"/>
      <c r="Q126" s="129"/>
      <c r="R126" s="129"/>
    </row>
    <row r="127">
      <c r="A127" s="166"/>
      <c r="B127" s="167"/>
      <c r="C127" s="129"/>
      <c r="D127" s="129"/>
      <c r="E127" s="129"/>
      <c r="F127" s="164"/>
      <c r="G127" s="164"/>
      <c r="H127" s="129"/>
      <c r="I127" s="129"/>
      <c r="J127" s="129"/>
      <c r="K127" s="126"/>
      <c r="L127" s="126"/>
      <c r="M127" s="126"/>
      <c r="N127" s="126"/>
      <c r="O127" s="164"/>
      <c r="P127" s="129"/>
      <c r="Q127" s="129"/>
      <c r="R127" s="129"/>
    </row>
    <row r="128">
      <c r="A128" s="166"/>
      <c r="B128" s="167"/>
      <c r="C128" s="129"/>
      <c r="D128" s="129"/>
      <c r="E128" s="129"/>
      <c r="F128" s="164"/>
      <c r="G128" s="164"/>
      <c r="H128" s="129"/>
      <c r="I128" s="129"/>
      <c r="J128" s="129"/>
      <c r="K128" s="126"/>
      <c r="L128" s="126"/>
      <c r="M128" s="126"/>
      <c r="N128" s="126"/>
      <c r="O128" s="164"/>
      <c r="P128" s="129"/>
      <c r="Q128" s="129"/>
      <c r="R128" s="129"/>
    </row>
    <row r="129">
      <c r="A129" s="166"/>
      <c r="B129" s="167"/>
      <c r="C129" s="129"/>
      <c r="D129" s="129"/>
      <c r="E129" s="129"/>
      <c r="F129" s="164"/>
      <c r="G129" s="164"/>
      <c r="H129" s="129"/>
      <c r="I129" s="129"/>
      <c r="J129" s="129"/>
      <c r="K129" s="126"/>
      <c r="L129" s="126"/>
      <c r="M129" s="126"/>
      <c r="N129" s="126"/>
      <c r="O129" s="164"/>
      <c r="P129" s="129"/>
      <c r="Q129" s="129"/>
      <c r="R129" s="129"/>
    </row>
    <row r="130">
      <c r="A130" s="166"/>
      <c r="B130" s="167"/>
      <c r="C130" s="129"/>
      <c r="D130" s="129"/>
      <c r="E130" s="129"/>
      <c r="F130" s="164"/>
      <c r="G130" s="164"/>
      <c r="H130" s="129"/>
      <c r="I130" s="129"/>
      <c r="J130" s="129"/>
      <c r="K130" s="126"/>
      <c r="L130" s="126"/>
      <c r="M130" s="126"/>
      <c r="N130" s="126"/>
      <c r="O130" s="164"/>
      <c r="P130" s="129"/>
      <c r="Q130" s="129"/>
      <c r="R130" s="129"/>
    </row>
    <row r="131">
      <c r="A131" s="166"/>
      <c r="B131" s="167"/>
      <c r="C131" s="129"/>
      <c r="D131" s="129"/>
      <c r="E131" s="129"/>
      <c r="F131" s="164"/>
      <c r="G131" s="164"/>
      <c r="H131" s="129"/>
      <c r="I131" s="129"/>
      <c r="J131" s="129"/>
      <c r="K131" s="126"/>
      <c r="L131" s="126"/>
      <c r="M131" s="126"/>
      <c r="N131" s="126"/>
      <c r="O131" s="164"/>
      <c r="P131" s="129"/>
      <c r="Q131" s="129"/>
      <c r="R131" s="129"/>
    </row>
    <row r="132">
      <c r="A132" s="166"/>
      <c r="B132" s="167"/>
      <c r="C132" s="129"/>
      <c r="D132" s="129"/>
      <c r="E132" s="129"/>
      <c r="F132" s="164"/>
      <c r="G132" s="164"/>
      <c r="H132" s="129"/>
      <c r="I132" s="129"/>
      <c r="J132" s="129"/>
      <c r="K132" s="126"/>
      <c r="L132" s="126"/>
      <c r="M132" s="126"/>
      <c r="N132" s="126"/>
      <c r="O132" s="164"/>
      <c r="P132" s="129"/>
      <c r="Q132" s="129"/>
      <c r="R132" s="129"/>
    </row>
    <row r="133">
      <c r="A133" s="166"/>
      <c r="B133" s="167"/>
      <c r="C133" s="129"/>
      <c r="D133" s="129"/>
      <c r="E133" s="129"/>
      <c r="F133" s="164"/>
      <c r="G133" s="164"/>
      <c r="H133" s="129"/>
      <c r="I133" s="129"/>
      <c r="J133" s="129"/>
      <c r="K133" s="126"/>
      <c r="L133" s="126"/>
      <c r="M133" s="126"/>
      <c r="N133" s="126"/>
      <c r="O133" s="164"/>
      <c r="P133" s="129"/>
      <c r="Q133" s="129"/>
      <c r="R133" s="129"/>
    </row>
    <row r="134">
      <c r="A134" s="166"/>
      <c r="B134" s="167"/>
      <c r="C134" s="129"/>
      <c r="D134" s="129"/>
      <c r="E134" s="129"/>
      <c r="F134" s="164"/>
      <c r="G134" s="164"/>
      <c r="H134" s="129"/>
      <c r="I134" s="129"/>
      <c r="J134" s="129"/>
      <c r="K134" s="126"/>
      <c r="L134" s="126"/>
      <c r="M134" s="126"/>
      <c r="N134" s="126"/>
      <c r="O134" s="164"/>
      <c r="P134" s="129"/>
      <c r="Q134" s="129"/>
      <c r="R134" s="129"/>
    </row>
    <row r="135">
      <c r="A135" s="166"/>
      <c r="B135" s="167"/>
      <c r="C135" s="129"/>
      <c r="D135" s="129"/>
      <c r="E135" s="129"/>
      <c r="F135" s="164"/>
      <c r="G135" s="164"/>
      <c r="H135" s="129"/>
      <c r="I135" s="129"/>
      <c r="J135" s="129"/>
      <c r="K135" s="126"/>
      <c r="L135" s="126"/>
      <c r="M135" s="126"/>
      <c r="N135" s="126"/>
      <c r="O135" s="164"/>
      <c r="P135" s="129"/>
      <c r="Q135" s="129"/>
      <c r="R135" s="129"/>
    </row>
    <row r="136">
      <c r="A136" s="166"/>
      <c r="B136" s="167"/>
      <c r="C136" s="129"/>
      <c r="D136" s="129"/>
      <c r="E136" s="129"/>
      <c r="F136" s="164"/>
      <c r="G136" s="164"/>
      <c r="H136" s="129"/>
      <c r="I136" s="129"/>
      <c r="J136" s="129"/>
      <c r="K136" s="126"/>
      <c r="L136" s="126"/>
      <c r="M136" s="126"/>
      <c r="N136" s="126"/>
      <c r="O136" s="164"/>
      <c r="P136" s="129"/>
      <c r="Q136" s="129"/>
      <c r="R136" s="129"/>
    </row>
    <row r="137">
      <c r="A137" s="166"/>
      <c r="B137" s="167"/>
      <c r="C137" s="129"/>
      <c r="D137" s="129"/>
      <c r="E137" s="129"/>
      <c r="F137" s="164"/>
      <c r="G137" s="164"/>
      <c r="H137" s="129"/>
      <c r="I137" s="129"/>
      <c r="J137" s="129"/>
      <c r="K137" s="126"/>
      <c r="L137" s="126"/>
      <c r="M137" s="126"/>
      <c r="N137" s="126"/>
      <c r="O137" s="164"/>
      <c r="P137" s="129"/>
      <c r="Q137" s="129"/>
      <c r="R137" s="129"/>
    </row>
    <row r="138">
      <c r="A138" s="166"/>
      <c r="B138" s="167"/>
      <c r="C138" s="129"/>
      <c r="D138" s="129"/>
      <c r="E138" s="129"/>
      <c r="F138" s="164"/>
      <c r="G138" s="164"/>
      <c r="H138" s="129"/>
      <c r="I138" s="129"/>
      <c r="J138" s="129"/>
      <c r="K138" s="126"/>
      <c r="L138" s="126"/>
      <c r="M138" s="126"/>
      <c r="N138" s="126"/>
      <c r="O138" s="164"/>
      <c r="P138" s="129"/>
      <c r="Q138" s="129"/>
      <c r="R138" s="129"/>
    </row>
    <row r="139">
      <c r="A139" s="166"/>
      <c r="B139" s="167"/>
      <c r="C139" s="129"/>
      <c r="D139" s="129"/>
      <c r="E139" s="129"/>
      <c r="F139" s="164"/>
      <c r="G139" s="164"/>
      <c r="H139" s="129"/>
      <c r="I139" s="129"/>
      <c r="J139" s="129"/>
      <c r="K139" s="126"/>
      <c r="L139" s="126"/>
      <c r="M139" s="126"/>
      <c r="N139" s="126"/>
      <c r="O139" s="164"/>
      <c r="P139" s="129"/>
      <c r="Q139" s="129"/>
      <c r="R139" s="129"/>
    </row>
    <row r="140">
      <c r="A140" s="166"/>
      <c r="B140" s="167"/>
      <c r="C140" s="129"/>
      <c r="D140" s="129"/>
      <c r="E140" s="129"/>
      <c r="F140" s="164"/>
      <c r="G140" s="164"/>
      <c r="H140" s="129"/>
      <c r="I140" s="129"/>
      <c r="J140" s="129"/>
      <c r="K140" s="126"/>
      <c r="L140" s="126"/>
      <c r="M140" s="126"/>
      <c r="N140" s="126"/>
      <c r="O140" s="164"/>
      <c r="P140" s="129"/>
      <c r="Q140" s="129"/>
      <c r="R140" s="129"/>
    </row>
    <row r="141">
      <c r="A141" s="166"/>
      <c r="B141" s="167"/>
      <c r="C141" s="129"/>
      <c r="D141" s="129"/>
      <c r="E141" s="129"/>
      <c r="F141" s="164"/>
      <c r="G141" s="164"/>
      <c r="H141" s="129"/>
      <c r="I141" s="129"/>
      <c r="J141" s="129"/>
      <c r="K141" s="126"/>
      <c r="L141" s="126"/>
      <c r="M141" s="126"/>
      <c r="N141" s="126"/>
      <c r="O141" s="164"/>
      <c r="P141" s="129"/>
      <c r="Q141" s="129"/>
      <c r="R141" s="129"/>
    </row>
    <row r="142">
      <c r="A142" s="166"/>
      <c r="B142" s="167"/>
      <c r="C142" s="129"/>
      <c r="D142" s="129"/>
      <c r="E142" s="129"/>
      <c r="F142" s="164"/>
      <c r="G142" s="164"/>
      <c r="H142" s="129"/>
      <c r="I142" s="129"/>
      <c r="J142" s="129"/>
      <c r="K142" s="126"/>
      <c r="L142" s="126"/>
      <c r="M142" s="126"/>
      <c r="N142" s="126"/>
      <c r="O142" s="164"/>
      <c r="P142" s="129"/>
      <c r="Q142" s="129"/>
      <c r="R142" s="129"/>
    </row>
    <row r="143">
      <c r="A143" s="166"/>
      <c r="B143" s="167"/>
      <c r="C143" s="129"/>
      <c r="D143" s="129"/>
      <c r="E143" s="129"/>
      <c r="F143" s="164"/>
      <c r="G143" s="164"/>
      <c r="H143" s="129"/>
      <c r="I143" s="129"/>
      <c r="J143" s="129"/>
      <c r="K143" s="126"/>
      <c r="L143" s="126"/>
      <c r="M143" s="126"/>
      <c r="N143" s="126"/>
      <c r="O143" s="164"/>
      <c r="P143" s="129"/>
      <c r="Q143" s="129"/>
      <c r="R143" s="129"/>
    </row>
    <row r="144">
      <c r="A144" s="166"/>
      <c r="B144" s="167"/>
      <c r="C144" s="129"/>
      <c r="D144" s="129"/>
      <c r="E144" s="129"/>
      <c r="F144" s="164"/>
      <c r="G144" s="164"/>
      <c r="H144" s="129"/>
      <c r="I144" s="129"/>
      <c r="J144" s="129"/>
      <c r="K144" s="126"/>
      <c r="L144" s="126"/>
      <c r="M144" s="126"/>
      <c r="N144" s="126"/>
      <c r="O144" s="164"/>
      <c r="P144" s="129"/>
      <c r="Q144" s="129"/>
      <c r="R144" s="129"/>
    </row>
    <row r="145">
      <c r="A145" s="166"/>
      <c r="B145" s="167"/>
      <c r="C145" s="129"/>
      <c r="D145" s="129"/>
      <c r="E145" s="129"/>
      <c r="F145" s="164"/>
      <c r="G145" s="164"/>
      <c r="H145" s="129"/>
      <c r="I145" s="129"/>
      <c r="J145" s="129"/>
      <c r="K145" s="126"/>
      <c r="L145" s="126"/>
      <c r="M145" s="126"/>
      <c r="N145" s="126"/>
      <c r="O145" s="164"/>
      <c r="P145" s="129"/>
      <c r="Q145" s="129"/>
      <c r="R145" s="129"/>
    </row>
    <row r="146">
      <c r="A146" s="166"/>
      <c r="B146" s="167"/>
      <c r="C146" s="129"/>
      <c r="D146" s="129"/>
      <c r="E146" s="129"/>
      <c r="F146" s="164"/>
      <c r="G146" s="164"/>
      <c r="H146" s="129"/>
      <c r="I146" s="129"/>
      <c r="J146" s="129"/>
      <c r="K146" s="126"/>
      <c r="L146" s="126"/>
      <c r="M146" s="126"/>
      <c r="N146" s="126"/>
      <c r="O146" s="164"/>
      <c r="P146" s="129"/>
      <c r="Q146" s="129"/>
      <c r="R146" s="129"/>
    </row>
    <row r="147">
      <c r="A147" s="166"/>
      <c r="B147" s="167"/>
      <c r="C147" s="129"/>
      <c r="D147" s="129"/>
      <c r="E147" s="129"/>
      <c r="F147" s="164"/>
      <c r="G147" s="164"/>
      <c r="H147" s="129"/>
      <c r="I147" s="129"/>
      <c r="J147" s="129"/>
      <c r="K147" s="126"/>
      <c r="L147" s="126"/>
      <c r="M147" s="126"/>
      <c r="N147" s="126"/>
      <c r="O147" s="164"/>
      <c r="P147" s="129"/>
      <c r="Q147" s="129"/>
      <c r="R147" s="129"/>
    </row>
    <row r="148">
      <c r="A148" s="166"/>
      <c r="B148" s="167"/>
      <c r="C148" s="129"/>
      <c r="D148" s="129"/>
      <c r="E148" s="129"/>
      <c r="F148" s="164"/>
      <c r="G148" s="164"/>
      <c r="H148" s="129"/>
      <c r="I148" s="129"/>
      <c r="J148" s="129"/>
      <c r="K148" s="126"/>
      <c r="L148" s="126"/>
      <c r="M148" s="126"/>
      <c r="N148" s="126"/>
      <c r="O148" s="164"/>
      <c r="P148" s="129"/>
      <c r="Q148" s="129"/>
      <c r="R148" s="129"/>
    </row>
    <row r="149">
      <c r="A149" s="166"/>
      <c r="B149" s="167"/>
      <c r="C149" s="129"/>
      <c r="D149" s="129"/>
      <c r="E149" s="129"/>
      <c r="F149" s="164"/>
      <c r="G149" s="164"/>
      <c r="H149" s="129"/>
      <c r="I149" s="129"/>
      <c r="J149" s="129"/>
      <c r="K149" s="126"/>
      <c r="L149" s="126"/>
      <c r="M149" s="126"/>
      <c r="N149" s="126"/>
      <c r="O149" s="164"/>
      <c r="P149" s="129"/>
      <c r="Q149" s="129"/>
      <c r="R149" s="129"/>
    </row>
    <row r="150">
      <c r="A150" s="166"/>
      <c r="B150" s="167"/>
      <c r="C150" s="129"/>
      <c r="D150" s="129"/>
      <c r="E150" s="129"/>
      <c r="F150" s="164"/>
      <c r="G150" s="164"/>
      <c r="H150" s="129"/>
      <c r="I150" s="129"/>
      <c r="J150" s="129"/>
      <c r="K150" s="126"/>
      <c r="L150" s="126"/>
      <c r="M150" s="126"/>
      <c r="N150" s="126"/>
      <c r="O150" s="164"/>
      <c r="P150" s="129"/>
      <c r="Q150" s="129"/>
      <c r="R150" s="129"/>
    </row>
    <row r="151">
      <c r="A151" s="166"/>
      <c r="B151" s="167"/>
      <c r="C151" s="129"/>
      <c r="D151" s="129"/>
      <c r="E151" s="129"/>
      <c r="F151" s="164"/>
      <c r="G151" s="164"/>
      <c r="H151" s="129"/>
      <c r="I151" s="129"/>
      <c r="J151" s="129"/>
      <c r="K151" s="126"/>
      <c r="L151" s="126"/>
      <c r="M151" s="126"/>
      <c r="N151" s="126"/>
      <c r="O151" s="164"/>
      <c r="P151" s="129"/>
      <c r="Q151" s="129"/>
      <c r="R151" s="129"/>
    </row>
    <row r="152">
      <c r="A152" s="166"/>
      <c r="B152" s="167"/>
      <c r="C152" s="129"/>
      <c r="D152" s="129"/>
      <c r="E152" s="129"/>
      <c r="F152" s="164"/>
      <c r="G152" s="164"/>
      <c r="H152" s="129"/>
      <c r="I152" s="129"/>
      <c r="J152" s="129"/>
      <c r="K152" s="126"/>
      <c r="L152" s="126"/>
      <c r="M152" s="126"/>
      <c r="N152" s="126"/>
      <c r="O152" s="164"/>
      <c r="P152" s="129"/>
      <c r="Q152" s="129"/>
      <c r="R152" s="129"/>
    </row>
    <row r="153">
      <c r="A153" s="166"/>
      <c r="B153" s="167"/>
      <c r="C153" s="129"/>
      <c r="D153" s="129"/>
      <c r="E153" s="129"/>
      <c r="F153" s="164"/>
      <c r="G153" s="164"/>
      <c r="H153" s="129"/>
      <c r="I153" s="129"/>
      <c r="J153" s="129"/>
      <c r="K153" s="126"/>
      <c r="L153" s="126"/>
      <c r="M153" s="126"/>
      <c r="N153" s="126"/>
      <c r="O153" s="164"/>
      <c r="P153" s="129"/>
      <c r="Q153" s="129"/>
      <c r="R153" s="129"/>
    </row>
    <row r="154">
      <c r="A154" s="166"/>
      <c r="B154" s="167"/>
      <c r="C154" s="129"/>
      <c r="D154" s="129"/>
      <c r="E154" s="129"/>
      <c r="F154" s="164"/>
      <c r="G154" s="164"/>
      <c r="H154" s="129"/>
      <c r="I154" s="129"/>
      <c r="J154" s="129"/>
      <c r="K154" s="126"/>
      <c r="L154" s="126"/>
      <c r="M154" s="126"/>
      <c r="N154" s="126"/>
      <c r="O154" s="164"/>
      <c r="P154" s="129"/>
      <c r="Q154" s="129"/>
      <c r="R154" s="129"/>
    </row>
    <row r="155">
      <c r="A155" s="166"/>
      <c r="B155" s="167"/>
      <c r="C155" s="129"/>
      <c r="D155" s="129"/>
      <c r="E155" s="129"/>
      <c r="F155" s="164"/>
      <c r="G155" s="164"/>
      <c r="H155" s="129"/>
      <c r="I155" s="129"/>
      <c r="J155" s="129"/>
      <c r="K155" s="126"/>
      <c r="L155" s="126"/>
      <c r="M155" s="126"/>
      <c r="N155" s="126"/>
      <c r="O155" s="164"/>
      <c r="P155" s="129"/>
      <c r="Q155" s="129"/>
      <c r="R155" s="129"/>
    </row>
    <row r="156">
      <c r="A156" s="166"/>
      <c r="B156" s="167"/>
      <c r="C156" s="129"/>
      <c r="D156" s="129"/>
      <c r="E156" s="129"/>
      <c r="F156" s="164"/>
      <c r="G156" s="164"/>
      <c r="H156" s="129"/>
      <c r="I156" s="129"/>
      <c r="J156" s="129"/>
      <c r="K156" s="126"/>
      <c r="L156" s="126"/>
      <c r="M156" s="126"/>
      <c r="N156" s="126"/>
      <c r="O156" s="164"/>
      <c r="P156" s="129"/>
      <c r="Q156" s="129"/>
      <c r="R156" s="129"/>
    </row>
    <row r="157">
      <c r="A157" s="166"/>
      <c r="B157" s="167"/>
      <c r="C157" s="129"/>
      <c r="D157" s="129"/>
      <c r="E157" s="129"/>
      <c r="F157" s="164"/>
      <c r="G157" s="164"/>
      <c r="H157" s="129"/>
      <c r="I157" s="129"/>
      <c r="J157" s="129"/>
      <c r="K157" s="126"/>
      <c r="L157" s="126"/>
      <c r="M157" s="126"/>
      <c r="N157" s="126"/>
      <c r="O157" s="164"/>
      <c r="P157" s="129"/>
      <c r="Q157" s="129"/>
      <c r="R157" s="129"/>
    </row>
    <row r="158">
      <c r="A158" s="166"/>
      <c r="B158" s="167"/>
      <c r="C158" s="129"/>
      <c r="D158" s="129"/>
      <c r="E158" s="129"/>
      <c r="F158" s="164"/>
      <c r="G158" s="164"/>
      <c r="H158" s="129"/>
      <c r="I158" s="129"/>
      <c r="J158" s="129"/>
      <c r="K158" s="126"/>
      <c r="L158" s="126"/>
      <c r="M158" s="126"/>
      <c r="N158" s="126"/>
      <c r="O158" s="164"/>
      <c r="P158" s="129"/>
      <c r="Q158" s="129"/>
      <c r="R158" s="129"/>
    </row>
    <row r="159">
      <c r="A159" s="166"/>
      <c r="B159" s="167"/>
      <c r="C159" s="129"/>
      <c r="D159" s="129"/>
      <c r="E159" s="129"/>
      <c r="F159" s="164"/>
      <c r="G159" s="164"/>
      <c r="H159" s="129"/>
      <c r="I159" s="129"/>
      <c r="J159" s="129"/>
      <c r="K159" s="126"/>
      <c r="L159" s="126"/>
      <c r="M159" s="126"/>
      <c r="N159" s="126"/>
      <c r="O159" s="164"/>
      <c r="P159" s="129"/>
      <c r="Q159" s="129"/>
      <c r="R159" s="129"/>
    </row>
    <row r="160">
      <c r="A160" s="166"/>
      <c r="B160" s="167"/>
      <c r="C160" s="129"/>
      <c r="D160" s="129"/>
      <c r="E160" s="129"/>
      <c r="F160" s="164"/>
      <c r="G160" s="164"/>
      <c r="H160" s="129"/>
      <c r="I160" s="129"/>
      <c r="J160" s="129"/>
      <c r="K160" s="126"/>
      <c r="L160" s="126"/>
      <c r="M160" s="126"/>
      <c r="N160" s="126"/>
      <c r="O160" s="164"/>
      <c r="P160" s="129"/>
      <c r="Q160" s="129"/>
      <c r="R160" s="129"/>
    </row>
    <row r="161">
      <c r="A161" s="166"/>
      <c r="B161" s="167"/>
      <c r="C161" s="129"/>
      <c r="D161" s="129"/>
      <c r="E161" s="129"/>
      <c r="F161" s="164"/>
      <c r="G161" s="164"/>
      <c r="H161" s="129"/>
      <c r="I161" s="129"/>
      <c r="J161" s="129"/>
      <c r="K161" s="126"/>
      <c r="L161" s="126"/>
      <c r="M161" s="126"/>
      <c r="N161" s="126"/>
      <c r="O161" s="164"/>
      <c r="P161" s="129"/>
      <c r="Q161" s="129"/>
      <c r="R161" s="129"/>
    </row>
    <row r="162">
      <c r="A162" s="166"/>
      <c r="B162" s="167"/>
      <c r="C162" s="129"/>
      <c r="D162" s="129"/>
      <c r="E162" s="129"/>
      <c r="F162" s="164"/>
      <c r="G162" s="164"/>
      <c r="H162" s="129"/>
      <c r="I162" s="129"/>
      <c r="J162" s="129"/>
      <c r="K162" s="126"/>
      <c r="L162" s="126"/>
      <c r="M162" s="126"/>
      <c r="N162" s="126"/>
      <c r="O162" s="164"/>
      <c r="P162" s="129"/>
      <c r="Q162" s="129"/>
      <c r="R162" s="129"/>
    </row>
    <row r="163">
      <c r="A163" s="166"/>
      <c r="B163" s="167"/>
      <c r="C163" s="129"/>
      <c r="D163" s="129"/>
      <c r="E163" s="129"/>
      <c r="F163" s="164"/>
      <c r="G163" s="164"/>
      <c r="H163" s="129"/>
      <c r="I163" s="129"/>
      <c r="J163" s="129"/>
      <c r="K163" s="126"/>
      <c r="L163" s="126"/>
      <c r="M163" s="126"/>
      <c r="N163" s="126"/>
      <c r="O163" s="164"/>
      <c r="P163" s="129"/>
      <c r="Q163" s="129"/>
      <c r="R163" s="129"/>
    </row>
    <row r="164">
      <c r="A164" s="166"/>
      <c r="B164" s="167"/>
      <c r="C164" s="129"/>
      <c r="D164" s="129"/>
      <c r="E164" s="129"/>
      <c r="F164" s="164"/>
      <c r="G164" s="164"/>
      <c r="H164" s="129"/>
      <c r="I164" s="129"/>
      <c r="J164" s="129"/>
      <c r="K164" s="126"/>
      <c r="L164" s="126"/>
      <c r="M164" s="126"/>
      <c r="N164" s="126"/>
      <c r="O164" s="164"/>
      <c r="P164" s="129"/>
      <c r="Q164" s="129"/>
      <c r="R164" s="129"/>
    </row>
    <row r="165">
      <c r="A165" s="166"/>
      <c r="B165" s="167"/>
      <c r="C165" s="129"/>
      <c r="D165" s="129"/>
      <c r="E165" s="129"/>
      <c r="F165" s="164"/>
      <c r="G165" s="164"/>
      <c r="H165" s="129"/>
      <c r="I165" s="129"/>
      <c r="J165" s="129"/>
      <c r="K165" s="126"/>
      <c r="L165" s="126"/>
      <c r="M165" s="126"/>
      <c r="N165" s="126"/>
      <c r="O165" s="164"/>
      <c r="P165" s="129"/>
      <c r="Q165" s="129"/>
      <c r="R165" s="129"/>
    </row>
    <row r="166">
      <c r="A166" s="166"/>
      <c r="B166" s="167"/>
      <c r="C166" s="129"/>
      <c r="D166" s="129"/>
      <c r="E166" s="129"/>
      <c r="F166" s="164"/>
      <c r="G166" s="164"/>
      <c r="H166" s="129"/>
      <c r="I166" s="129"/>
      <c r="J166" s="129"/>
      <c r="K166" s="126"/>
      <c r="L166" s="126"/>
      <c r="M166" s="126"/>
      <c r="N166" s="126"/>
      <c r="O166" s="164"/>
      <c r="P166" s="129"/>
      <c r="Q166" s="129"/>
      <c r="R166" s="129"/>
    </row>
    <row r="167">
      <c r="A167" s="166"/>
      <c r="B167" s="167"/>
      <c r="C167" s="129"/>
      <c r="D167" s="129"/>
      <c r="E167" s="129"/>
      <c r="F167" s="164"/>
      <c r="G167" s="164"/>
      <c r="H167" s="129"/>
      <c r="I167" s="129"/>
      <c r="J167" s="129"/>
      <c r="K167" s="126"/>
      <c r="L167" s="126"/>
      <c r="M167" s="126"/>
      <c r="N167" s="126"/>
      <c r="O167" s="164"/>
      <c r="P167" s="129"/>
      <c r="Q167" s="129"/>
      <c r="R167" s="129"/>
    </row>
    <row r="168">
      <c r="A168" s="166"/>
      <c r="B168" s="167"/>
      <c r="C168" s="129"/>
      <c r="D168" s="129"/>
      <c r="E168" s="129"/>
      <c r="F168" s="164"/>
      <c r="G168" s="164"/>
      <c r="H168" s="129"/>
      <c r="I168" s="129"/>
      <c r="J168" s="129"/>
      <c r="K168" s="126"/>
      <c r="L168" s="126"/>
      <c r="M168" s="126"/>
      <c r="N168" s="126"/>
      <c r="O168" s="164"/>
      <c r="P168" s="129"/>
      <c r="Q168" s="129"/>
      <c r="R168" s="129"/>
    </row>
    <row r="169">
      <c r="A169" s="166"/>
      <c r="B169" s="167"/>
      <c r="C169" s="129"/>
      <c r="D169" s="129"/>
      <c r="E169" s="129"/>
      <c r="F169" s="164"/>
      <c r="G169" s="164"/>
      <c r="H169" s="129"/>
      <c r="I169" s="129"/>
      <c r="J169" s="129"/>
      <c r="K169" s="126"/>
      <c r="L169" s="126"/>
      <c r="M169" s="126"/>
      <c r="N169" s="126"/>
      <c r="O169" s="164"/>
      <c r="P169" s="129"/>
      <c r="Q169" s="129"/>
      <c r="R169" s="129"/>
    </row>
    <row r="170">
      <c r="A170" s="166"/>
      <c r="B170" s="167"/>
      <c r="C170" s="129"/>
      <c r="D170" s="129"/>
      <c r="E170" s="129"/>
      <c r="F170" s="164"/>
      <c r="G170" s="164"/>
      <c r="H170" s="129"/>
      <c r="I170" s="129"/>
      <c r="J170" s="129"/>
      <c r="K170" s="126"/>
      <c r="L170" s="126"/>
      <c r="M170" s="126"/>
      <c r="N170" s="126"/>
      <c r="O170" s="164"/>
      <c r="P170" s="129"/>
      <c r="Q170" s="129"/>
      <c r="R170" s="129"/>
    </row>
    <row r="171">
      <c r="A171" s="166"/>
      <c r="B171" s="167"/>
      <c r="C171" s="129"/>
      <c r="D171" s="129"/>
      <c r="E171" s="129"/>
      <c r="F171" s="164"/>
      <c r="G171" s="164"/>
      <c r="H171" s="129"/>
      <c r="I171" s="129"/>
      <c r="J171" s="129"/>
      <c r="K171" s="126"/>
      <c r="L171" s="126"/>
      <c r="M171" s="126"/>
      <c r="N171" s="126"/>
      <c r="O171" s="164"/>
      <c r="P171" s="129"/>
      <c r="Q171" s="129"/>
      <c r="R171" s="129"/>
    </row>
    <row r="172">
      <c r="A172" s="166"/>
      <c r="B172" s="167"/>
      <c r="C172" s="129"/>
      <c r="D172" s="129"/>
      <c r="E172" s="129"/>
      <c r="F172" s="164"/>
      <c r="G172" s="164"/>
      <c r="H172" s="129"/>
      <c r="I172" s="129"/>
      <c r="J172" s="129"/>
      <c r="K172" s="126"/>
      <c r="L172" s="126"/>
      <c r="M172" s="126"/>
      <c r="N172" s="126"/>
      <c r="O172" s="164"/>
      <c r="P172" s="129"/>
      <c r="Q172" s="129"/>
      <c r="R172" s="129"/>
    </row>
    <row r="173">
      <c r="A173" s="166"/>
      <c r="B173" s="167"/>
      <c r="C173" s="129"/>
      <c r="D173" s="129"/>
      <c r="E173" s="129"/>
      <c r="F173" s="164"/>
      <c r="G173" s="164"/>
      <c r="H173" s="129"/>
      <c r="I173" s="129"/>
      <c r="J173" s="129"/>
      <c r="K173" s="126"/>
      <c r="L173" s="126"/>
      <c r="M173" s="126"/>
      <c r="N173" s="126"/>
      <c r="O173" s="164"/>
      <c r="P173" s="129"/>
      <c r="Q173" s="129"/>
      <c r="R173" s="129"/>
    </row>
    <row r="174">
      <c r="A174" s="166"/>
      <c r="B174" s="167"/>
      <c r="C174" s="129"/>
      <c r="D174" s="129"/>
      <c r="E174" s="129"/>
      <c r="F174" s="164"/>
      <c r="G174" s="164"/>
      <c r="H174" s="129"/>
      <c r="I174" s="129"/>
      <c r="J174" s="129"/>
      <c r="K174" s="126"/>
      <c r="L174" s="126"/>
      <c r="M174" s="126"/>
      <c r="N174" s="126"/>
      <c r="O174" s="164"/>
      <c r="P174" s="129"/>
      <c r="Q174" s="129"/>
      <c r="R174" s="129"/>
    </row>
    <row r="175">
      <c r="A175" s="166"/>
      <c r="B175" s="167"/>
      <c r="C175" s="129"/>
      <c r="D175" s="129"/>
      <c r="E175" s="129"/>
      <c r="F175" s="164"/>
      <c r="G175" s="164"/>
      <c r="H175" s="129"/>
      <c r="I175" s="129"/>
      <c r="J175" s="129"/>
      <c r="K175" s="126"/>
      <c r="L175" s="126"/>
      <c r="M175" s="126"/>
      <c r="N175" s="126"/>
      <c r="O175" s="164"/>
      <c r="P175" s="129"/>
      <c r="Q175" s="129"/>
      <c r="R175" s="129"/>
    </row>
    <row r="176">
      <c r="A176" s="166"/>
      <c r="B176" s="167"/>
      <c r="C176" s="129"/>
      <c r="D176" s="129"/>
      <c r="E176" s="129"/>
      <c r="F176" s="164"/>
      <c r="G176" s="164"/>
      <c r="H176" s="129"/>
      <c r="I176" s="129"/>
      <c r="J176" s="129"/>
      <c r="K176" s="126"/>
      <c r="L176" s="126"/>
      <c r="M176" s="126"/>
      <c r="N176" s="126"/>
      <c r="O176" s="164"/>
      <c r="P176" s="129"/>
      <c r="Q176" s="129"/>
      <c r="R176" s="129"/>
    </row>
    <row r="177">
      <c r="A177" s="166"/>
      <c r="B177" s="167"/>
      <c r="C177" s="129"/>
      <c r="D177" s="129"/>
      <c r="E177" s="129"/>
      <c r="F177" s="164"/>
      <c r="G177" s="164"/>
      <c r="H177" s="129"/>
      <c r="I177" s="129"/>
      <c r="J177" s="129"/>
      <c r="K177" s="126"/>
      <c r="L177" s="126"/>
      <c r="M177" s="126"/>
      <c r="N177" s="126"/>
      <c r="O177" s="164"/>
      <c r="P177" s="129"/>
      <c r="Q177" s="129"/>
      <c r="R177" s="129"/>
    </row>
    <row r="178">
      <c r="A178" s="166"/>
      <c r="B178" s="167"/>
      <c r="C178" s="129"/>
      <c r="D178" s="129"/>
      <c r="E178" s="129"/>
      <c r="F178" s="164"/>
      <c r="G178" s="164"/>
      <c r="H178" s="129"/>
      <c r="I178" s="129"/>
      <c r="J178" s="129"/>
      <c r="K178" s="126"/>
      <c r="L178" s="126"/>
      <c r="M178" s="126"/>
      <c r="N178" s="126"/>
      <c r="O178" s="164"/>
      <c r="P178" s="129"/>
      <c r="Q178" s="129"/>
      <c r="R178" s="129"/>
    </row>
    <row r="179">
      <c r="A179" s="166"/>
      <c r="B179" s="167"/>
      <c r="C179" s="129"/>
      <c r="D179" s="129"/>
      <c r="E179" s="129"/>
      <c r="F179" s="164"/>
      <c r="G179" s="164"/>
      <c r="H179" s="129"/>
      <c r="I179" s="129"/>
      <c r="J179" s="129"/>
      <c r="K179" s="126"/>
      <c r="L179" s="126"/>
      <c r="M179" s="126"/>
      <c r="N179" s="126"/>
      <c r="O179" s="164"/>
      <c r="P179" s="129"/>
      <c r="Q179" s="129"/>
      <c r="R179" s="129"/>
    </row>
    <row r="180">
      <c r="A180" s="166"/>
      <c r="B180" s="167"/>
      <c r="C180" s="129"/>
      <c r="D180" s="129"/>
      <c r="E180" s="129"/>
      <c r="F180" s="164"/>
      <c r="G180" s="164"/>
      <c r="H180" s="129"/>
      <c r="I180" s="129"/>
      <c r="J180" s="129"/>
      <c r="K180" s="126"/>
      <c r="L180" s="126"/>
      <c r="M180" s="126"/>
      <c r="N180" s="126"/>
      <c r="O180" s="164"/>
      <c r="P180" s="129"/>
      <c r="Q180" s="129"/>
      <c r="R180" s="129"/>
    </row>
    <row r="181">
      <c r="A181" s="166"/>
      <c r="B181" s="167"/>
      <c r="C181" s="129"/>
      <c r="D181" s="129"/>
      <c r="E181" s="129"/>
      <c r="F181" s="164"/>
      <c r="G181" s="164"/>
      <c r="H181" s="129"/>
      <c r="I181" s="129"/>
      <c r="J181" s="129"/>
      <c r="K181" s="126"/>
      <c r="L181" s="126"/>
      <c r="M181" s="126"/>
      <c r="N181" s="126"/>
      <c r="O181" s="164"/>
      <c r="P181" s="129"/>
      <c r="Q181" s="129"/>
      <c r="R181" s="129"/>
    </row>
    <row r="182">
      <c r="A182" s="166"/>
      <c r="B182" s="167"/>
      <c r="C182" s="129"/>
      <c r="D182" s="129"/>
      <c r="E182" s="129"/>
      <c r="F182" s="164"/>
      <c r="G182" s="164"/>
      <c r="H182" s="129"/>
      <c r="I182" s="129"/>
      <c r="J182" s="129"/>
      <c r="K182" s="126"/>
      <c r="L182" s="126"/>
      <c r="M182" s="126"/>
      <c r="N182" s="126"/>
      <c r="O182" s="164"/>
      <c r="P182" s="129"/>
      <c r="Q182" s="129"/>
      <c r="R182" s="129"/>
    </row>
    <row r="183">
      <c r="A183" s="166"/>
      <c r="B183" s="167"/>
      <c r="C183" s="129"/>
      <c r="D183" s="129"/>
      <c r="E183" s="129"/>
      <c r="F183" s="164"/>
      <c r="G183" s="164"/>
      <c r="H183" s="129"/>
      <c r="I183" s="129"/>
      <c r="J183" s="129"/>
      <c r="K183" s="126"/>
      <c r="L183" s="126"/>
      <c r="M183" s="126"/>
      <c r="N183" s="126"/>
      <c r="O183" s="164"/>
      <c r="P183" s="129"/>
      <c r="Q183" s="129"/>
      <c r="R183" s="129"/>
    </row>
    <row r="184">
      <c r="A184" s="166"/>
      <c r="B184" s="167"/>
      <c r="C184" s="129"/>
      <c r="D184" s="129"/>
      <c r="E184" s="129"/>
      <c r="F184" s="164"/>
      <c r="G184" s="164"/>
      <c r="H184" s="129"/>
      <c r="I184" s="129"/>
      <c r="J184" s="129"/>
      <c r="K184" s="126"/>
      <c r="L184" s="126"/>
      <c r="M184" s="126"/>
      <c r="N184" s="126"/>
      <c r="O184" s="164"/>
      <c r="P184" s="129"/>
      <c r="Q184" s="129"/>
      <c r="R184" s="129"/>
    </row>
    <row r="185">
      <c r="A185" s="166"/>
      <c r="B185" s="167"/>
      <c r="C185" s="129"/>
      <c r="D185" s="129"/>
      <c r="E185" s="129"/>
      <c r="F185" s="164"/>
      <c r="G185" s="164"/>
      <c r="H185" s="129"/>
      <c r="I185" s="129"/>
      <c r="J185" s="129"/>
      <c r="K185" s="126"/>
      <c r="L185" s="126"/>
      <c r="M185" s="126"/>
      <c r="N185" s="126"/>
      <c r="O185" s="164"/>
      <c r="P185" s="129"/>
      <c r="Q185" s="129"/>
      <c r="R185" s="129"/>
    </row>
    <row r="186">
      <c r="A186" s="166"/>
      <c r="B186" s="167"/>
      <c r="C186" s="129"/>
      <c r="D186" s="129"/>
      <c r="E186" s="129"/>
      <c r="F186" s="164"/>
      <c r="G186" s="164"/>
      <c r="H186" s="129"/>
      <c r="I186" s="129"/>
      <c r="J186" s="129"/>
      <c r="K186" s="126"/>
      <c r="L186" s="126"/>
      <c r="M186" s="126"/>
      <c r="N186" s="126"/>
      <c r="O186" s="164"/>
      <c r="P186" s="129"/>
      <c r="Q186" s="129"/>
      <c r="R186" s="129"/>
    </row>
    <row r="187">
      <c r="A187" s="166"/>
      <c r="B187" s="167"/>
      <c r="C187" s="129"/>
      <c r="D187" s="129"/>
      <c r="E187" s="129"/>
      <c r="F187" s="164"/>
      <c r="G187" s="164"/>
      <c r="H187" s="129"/>
      <c r="I187" s="129"/>
      <c r="J187" s="129"/>
      <c r="K187" s="126"/>
      <c r="L187" s="126"/>
      <c r="M187" s="126"/>
      <c r="N187" s="126"/>
      <c r="O187" s="164"/>
      <c r="P187" s="129"/>
      <c r="Q187" s="129"/>
      <c r="R187" s="129"/>
    </row>
    <row r="188">
      <c r="A188" s="166"/>
      <c r="B188" s="167"/>
      <c r="C188" s="129"/>
      <c r="D188" s="129"/>
      <c r="E188" s="129"/>
      <c r="F188" s="164"/>
      <c r="G188" s="164"/>
      <c r="H188" s="129"/>
      <c r="I188" s="129"/>
      <c r="J188" s="129"/>
      <c r="K188" s="126"/>
      <c r="L188" s="126"/>
      <c r="M188" s="126"/>
      <c r="N188" s="126"/>
      <c r="O188" s="164"/>
      <c r="P188" s="129"/>
      <c r="Q188" s="129"/>
      <c r="R188" s="129"/>
    </row>
    <row r="189">
      <c r="A189" s="166"/>
      <c r="B189" s="167"/>
      <c r="C189" s="129"/>
      <c r="D189" s="129"/>
      <c r="E189" s="129"/>
      <c r="F189" s="164"/>
      <c r="G189" s="164"/>
      <c r="H189" s="129"/>
      <c r="I189" s="129"/>
      <c r="J189" s="129"/>
      <c r="K189" s="126"/>
      <c r="L189" s="126"/>
      <c r="M189" s="126"/>
      <c r="N189" s="126"/>
      <c r="O189" s="164"/>
      <c r="P189" s="129"/>
      <c r="Q189" s="129"/>
      <c r="R189" s="129"/>
    </row>
    <row r="190">
      <c r="A190" s="166"/>
      <c r="B190" s="167"/>
      <c r="C190" s="129"/>
      <c r="D190" s="129"/>
      <c r="E190" s="129"/>
      <c r="F190" s="164"/>
      <c r="G190" s="164"/>
      <c r="H190" s="129"/>
      <c r="I190" s="129"/>
      <c r="J190" s="129"/>
      <c r="K190" s="126"/>
      <c r="L190" s="126"/>
      <c r="M190" s="126"/>
      <c r="N190" s="126"/>
      <c r="O190" s="164"/>
      <c r="P190" s="129"/>
      <c r="Q190" s="129"/>
      <c r="R190" s="129"/>
    </row>
    <row r="191">
      <c r="A191" s="166"/>
      <c r="B191" s="167"/>
      <c r="C191" s="129"/>
      <c r="D191" s="129"/>
      <c r="E191" s="129"/>
      <c r="F191" s="164"/>
      <c r="G191" s="164"/>
      <c r="H191" s="129"/>
      <c r="I191" s="129"/>
      <c r="J191" s="129"/>
      <c r="K191" s="126"/>
      <c r="L191" s="126"/>
      <c r="M191" s="126"/>
      <c r="N191" s="126"/>
      <c r="O191" s="164"/>
      <c r="P191" s="129"/>
      <c r="Q191" s="129"/>
      <c r="R191" s="129"/>
    </row>
    <row r="192">
      <c r="A192" s="166"/>
      <c r="B192" s="167"/>
      <c r="C192" s="129"/>
      <c r="D192" s="129"/>
      <c r="E192" s="129"/>
      <c r="F192" s="164"/>
      <c r="G192" s="164"/>
      <c r="H192" s="129"/>
      <c r="I192" s="129"/>
      <c r="J192" s="129"/>
      <c r="K192" s="126"/>
      <c r="L192" s="126"/>
      <c r="M192" s="126"/>
      <c r="N192" s="126"/>
      <c r="O192" s="164"/>
      <c r="P192" s="129"/>
      <c r="Q192" s="129"/>
      <c r="R192" s="129"/>
    </row>
    <row r="193">
      <c r="A193" s="166"/>
      <c r="B193" s="167"/>
      <c r="C193" s="129"/>
      <c r="D193" s="129"/>
      <c r="E193" s="129"/>
      <c r="F193" s="164"/>
      <c r="G193" s="164"/>
      <c r="H193" s="129"/>
      <c r="I193" s="129"/>
      <c r="J193" s="129"/>
      <c r="K193" s="126"/>
      <c r="L193" s="126"/>
      <c r="M193" s="126"/>
      <c r="N193" s="126"/>
      <c r="O193" s="164"/>
      <c r="P193" s="129"/>
      <c r="Q193" s="129"/>
      <c r="R193" s="129"/>
    </row>
    <row r="194">
      <c r="A194" s="166"/>
      <c r="B194" s="167"/>
      <c r="C194" s="129"/>
      <c r="D194" s="129"/>
      <c r="E194" s="129"/>
      <c r="F194" s="164"/>
      <c r="G194" s="164"/>
      <c r="H194" s="129"/>
      <c r="I194" s="129"/>
      <c r="J194" s="129"/>
      <c r="K194" s="126"/>
      <c r="L194" s="126"/>
      <c r="M194" s="126"/>
      <c r="N194" s="126"/>
      <c r="O194" s="164"/>
      <c r="P194" s="129"/>
      <c r="Q194" s="129"/>
      <c r="R194" s="129"/>
    </row>
    <row r="195">
      <c r="A195" s="166"/>
      <c r="B195" s="167"/>
      <c r="C195" s="129"/>
      <c r="D195" s="129"/>
      <c r="E195" s="129"/>
      <c r="F195" s="164"/>
      <c r="G195" s="164"/>
      <c r="H195" s="129"/>
      <c r="I195" s="129"/>
      <c r="J195" s="129"/>
      <c r="K195" s="126"/>
      <c r="L195" s="126"/>
      <c r="M195" s="126"/>
      <c r="N195" s="126"/>
      <c r="O195" s="164"/>
      <c r="P195" s="129"/>
      <c r="Q195" s="129"/>
      <c r="R195" s="129"/>
    </row>
    <row r="196">
      <c r="A196" s="166"/>
      <c r="B196" s="167"/>
      <c r="C196" s="129"/>
      <c r="D196" s="129"/>
      <c r="E196" s="129"/>
      <c r="F196" s="164"/>
      <c r="G196" s="164"/>
      <c r="H196" s="129"/>
      <c r="I196" s="129"/>
      <c r="J196" s="129"/>
      <c r="K196" s="126"/>
      <c r="L196" s="126"/>
      <c r="M196" s="126"/>
      <c r="N196" s="126"/>
      <c r="O196" s="164"/>
      <c r="P196" s="129"/>
      <c r="Q196" s="129"/>
      <c r="R196" s="129"/>
    </row>
    <row r="197">
      <c r="A197" s="166"/>
      <c r="B197" s="167"/>
      <c r="C197" s="129"/>
      <c r="D197" s="129"/>
      <c r="E197" s="129"/>
      <c r="F197" s="164"/>
      <c r="G197" s="164"/>
      <c r="H197" s="129"/>
      <c r="I197" s="129"/>
      <c r="J197" s="129"/>
      <c r="K197" s="126"/>
      <c r="L197" s="126"/>
      <c r="M197" s="126"/>
      <c r="N197" s="126"/>
      <c r="O197" s="164"/>
      <c r="P197" s="129"/>
      <c r="Q197" s="129"/>
      <c r="R197" s="129"/>
    </row>
    <row r="198">
      <c r="A198" s="166"/>
      <c r="B198" s="167"/>
      <c r="C198" s="129"/>
      <c r="D198" s="129"/>
      <c r="E198" s="129"/>
      <c r="F198" s="164"/>
      <c r="G198" s="164"/>
      <c r="H198" s="129"/>
      <c r="I198" s="129"/>
      <c r="J198" s="129"/>
      <c r="K198" s="126"/>
      <c r="L198" s="126"/>
      <c r="M198" s="126"/>
      <c r="N198" s="126"/>
      <c r="O198" s="164"/>
      <c r="P198" s="129"/>
      <c r="Q198" s="129"/>
      <c r="R198" s="129"/>
    </row>
    <row r="199">
      <c r="A199" s="166"/>
      <c r="B199" s="167"/>
      <c r="C199" s="129"/>
      <c r="D199" s="129"/>
      <c r="E199" s="129"/>
      <c r="F199" s="164"/>
      <c r="G199" s="164"/>
      <c r="H199" s="129"/>
      <c r="I199" s="129"/>
      <c r="J199" s="129"/>
      <c r="K199" s="126"/>
      <c r="L199" s="126"/>
      <c r="M199" s="126"/>
      <c r="N199" s="126"/>
      <c r="O199" s="164"/>
      <c r="P199" s="129"/>
      <c r="Q199" s="129"/>
      <c r="R199" s="129"/>
    </row>
    <row r="200">
      <c r="A200" s="166"/>
      <c r="B200" s="167"/>
      <c r="C200" s="129"/>
      <c r="D200" s="129"/>
      <c r="E200" s="129"/>
      <c r="F200" s="164"/>
      <c r="G200" s="164"/>
      <c r="H200" s="129"/>
      <c r="I200" s="129"/>
      <c r="J200" s="129"/>
      <c r="K200" s="126"/>
      <c r="L200" s="126"/>
      <c r="M200" s="126"/>
      <c r="N200" s="126"/>
      <c r="O200" s="164"/>
      <c r="P200" s="129"/>
      <c r="Q200" s="129"/>
      <c r="R200" s="129"/>
    </row>
    <row r="201">
      <c r="A201" s="166"/>
      <c r="B201" s="167"/>
      <c r="C201" s="129"/>
      <c r="D201" s="129"/>
      <c r="E201" s="129"/>
      <c r="F201" s="164"/>
      <c r="G201" s="164"/>
      <c r="H201" s="129"/>
      <c r="I201" s="129"/>
      <c r="J201" s="129"/>
      <c r="K201" s="126"/>
      <c r="L201" s="126"/>
      <c r="M201" s="126"/>
      <c r="N201" s="126"/>
      <c r="O201" s="164"/>
      <c r="P201" s="129"/>
      <c r="Q201" s="129"/>
      <c r="R201" s="129"/>
    </row>
    <row r="202">
      <c r="A202" s="166"/>
      <c r="B202" s="167"/>
      <c r="C202" s="129"/>
      <c r="D202" s="129"/>
      <c r="E202" s="129"/>
      <c r="F202" s="164"/>
      <c r="G202" s="164"/>
      <c r="H202" s="129"/>
      <c r="I202" s="129"/>
      <c r="J202" s="129"/>
      <c r="K202" s="126"/>
      <c r="L202" s="126"/>
      <c r="M202" s="126"/>
      <c r="N202" s="126"/>
      <c r="O202" s="164"/>
      <c r="P202" s="129"/>
      <c r="Q202" s="129"/>
      <c r="R202" s="129"/>
    </row>
    <row r="203">
      <c r="A203" s="166"/>
      <c r="B203" s="167"/>
      <c r="C203" s="129"/>
      <c r="D203" s="129"/>
      <c r="E203" s="129"/>
      <c r="F203" s="164"/>
      <c r="G203" s="164"/>
      <c r="H203" s="129"/>
      <c r="I203" s="129"/>
      <c r="J203" s="129"/>
      <c r="K203" s="126"/>
      <c r="L203" s="126"/>
      <c r="M203" s="126"/>
      <c r="N203" s="126"/>
      <c r="O203" s="164"/>
      <c r="P203" s="129"/>
      <c r="Q203" s="129"/>
      <c r="R203" s="129"/>
    </row>
    <row r="204">
      <c r="A204" s="166"/>
      <c r="B204" s="167"/>
      <c r="C204" s="129"/>
      <c r="D204" s="129"/>
      <c r="E204" s="129"/>
      <c r="F204" s="164"/>
      <c r="G204" s="164"/>
      <c r="H204" s="129"/>
      <c r="I204" s="129"/>
      <c r="J204" s="129"/>
      <c r="K204" s="126"/>
      <c r="L204" s="126"/>
      <c r="M204" s="126"/>
      <c r="N204" s="126"/>
      <c r="O204" s="164"/>
      <c r="P204" s="129"/>
      <c r="Q204" s="129"/>
      <c r="R204" s="129"/>
    </row>
    <row r="205">
      <c r="A205" s="166"/>
      <c r="B205" s="167"/>
      <c r="C205" s="129"/>
      <c r="D205" s="129"/>
      <c r="E205" s="129"/>
      <c r="F205" s="164"/>
      <c r="G205" s="164"/>
      <c r="H205" s="129"/>
      <c r="I205" s="129"/>
      <c r="J205" s="129"/>
      <c r="K205" s="126"/>
      <c r="L205" s="126"/>
      <c r="M205" s="126"/>
      <c r="N205" s="126"/>
      <c r="O205" s="164"/>
      <c r="P205" s="129"/>
      <c r="Q205" s="129"/>
      <c r="R205" s="129"/>
    </row>
    <row r="206">
      <c r="A206" s="166"/>
      <c r="B206" s="167"/>
      <c r="C206" s="129"/>
      <c r="D206" s="129"/>
      <c r="E206" s="129"/>
      <c r="F206" s="164"/>
      <c r="G206" s="164"/>
      <c r="H206" s="129"/>
      <c r="I206" s="129"/>
      <c r="J206" s="129"/>
      <c r="K206" s="126"/>
      <c r="L206" s="126"/>
      <c r="M206" s="126"/>
      <c r="N206" s="126"/>
      <c r="O206" s="164"/>
      <c r="P206" s="129"/>
      <c r="Q206" s="129"/>
      <c r="R206" s="129"/>
    </row>
    <row r="207">
      <c r="A207" s="166"/>
      <c r="B207" s="167"/>
      <c r="C207" s="129"/>
      <c r="D207" s="129"/>
      <c r="E207" s="129"/>
      <c r="F207" s="164"/>
      <c r="G207" s="164"/>
      <c r="H207" s="129"/>
      <c r="I207" s="129"/>
      <c r="J207" s="129"/>
      <c r="K207" s="126"/>
      <c r="L207" s="126"/>
      <c r="M207" s="126"/>
      <c r="N207" s="126"/>
      <c r="O207" s="164"/>
      <c r="P207" s="129"/>
      <c r="Q207" s="129"/>
      <c r="R207" s="129"/>
    </row>
    <row r="208">
      <c r="A208" s="166"/>
      <c r="B208" s="167"/>
      <c r="C208" s="129"/>
      <c r="D208" s="129"/>
      <c r="E208" s="129"/>
      <c r="F208" s="164"/>
      <c r="G208" s="164"/>
      <c r="H208" s="129"/>
      <c r="I208" s="129"/>
      <c r="J208" s="129"/>
      <c r="K208" s="126"/>
      <c r="L208" s="126"/>
      <c r="M208" s="126"/>
      <c r="N208" s="126"/>
      <c r="O208" s="164"/>
      <c r="P208" s="129"/>
      <c r="Q208" s="129"/>
      <c r="R208" s="129"/>
    </row>
    <row r="209">
      <c r="A209" s="166"/>
      <c r="B209" s="167"/>
      <c r="C209" s="129"/>
      <c r="D209" s="129"/>
      <c r="E209" s="129"/>
      <c r="F209" s="164"/>
      <c r="G209" s="164"/>
      <c r="H209" s="129"/>
      <c r="I209" s="129"/>
      <c r="J209" s="129"/>
      <c r="K209" s="126"/>
      <c r="L209" s="126"/>
      <c r="M209" s="126"/>
      <c r="N209" s="126"/>
      <c r="O209" s="164"/>
      <c r="P209" s="129"/>
      <c r="Q209" s="129"/>
      <c r="R209" s="129"/>
    </row>
    <row r="210">
      <c r="A210" s="166"/>
      <c r="B210" s="167"/>
      <c r="C210" s="129"/>
      <c r="D210" s="129"/>
      <c r="E210" s="129"/>
      <c r="F210" s="164"/>
      <c r="G210" s="164"/>
      <c r="H210" s="129"/>
      <c r="I210" s="129"/>
      <c r="J210" s="129"/>
      <c r="K210" s="126"/>
      <c r="L210" s="126"/>
      <c r="M210" s="126"/>
      <c r="N210" s="126"/>
      <c r="O210" s="164"/>
      <c r="P210" s="129"/>
      <c r="Q210" s="129"/>
      <c r="R210" s="129"/>
    </row>
    <row r="211">
      <c r="A211" s="166"/>
      <c r="B211" s="167"/>
      <c r="C211" s="129"/>
      <c r="D211" s="129"/>
      <c r="E211" s="129"/>
      <c r="F211" s="164"/>
      <c r="G211" s="164"/>
      <c r="H211" s="129"/>
      <c r="I211" s="129"/>
      <c r="J211" s="129"/>
      <c r="K211" s="126"/>
      <c r="L211" s="126"/>
      <c r="M211" s="126"/>
      <c r="N211" s="126"/>
      <c r="O211" s="164"/>
      <c r="P211" s="129"/>
      <c r="Q211" s="129"/>
      <c r="R211" s="129"/>
    </row>
    <row r="212">
      <c r="A212" s="166"/>
      <c r="B212" s="167"/>
      <c r="C212" s="129"/>
      <c r="D212" s="129"/>
      <c r="E212" s="129"/>
      <c r="F212" s="164"/>
      <c r="G212" s="164"/>
      <c r="H212" s="129"/>
      <c r="I212" s="129"/>
      <c r="J212" s="129"/>
      <c r="K212" s="126"/>
      <c r="L212" s="126"/>
      <c r="M212" s="126"/>
      <c r="N212" s="126"/>
      <c r="O212" s="164"/>
      <c r="P212" s="129"/>
      <c r="Q212" s="129"/>
      <c r="R212" s="129"/>
    </row>
    <row r="213">
      <c r="A213" s="166"/>
      <c r="B213" s="167"/>
      <c r="C213" s="129"/>
      <c r="D213" s="129"/>
      <c r="E213" s="129"/>
      <c r="F213" s="164"/>
      <c r="G213" s="164"/>
      <c r="H213" s="129"/>
      <c r="I213" s="129"/>
      <c r="J213" s="129"/>
      <c r="K213" s="126"/>
      <c r="L213" s="126"/>
      <c r="M213" s="126"/>
      <c r="N213" s="126"/>
      <c r="O213" s="164"/>
      <c r="P213" s="129"/>
      <c r="Q213" s="129"/>
      <c r="R213" s="129"/>
    </row>
    <row r="214">
      <c r="A214" s="166"/>
      <c r="B214" s="167"/>
      <c r="C214" s="129"/>
      <c r="D214" s="129"/>
      <c r="E214" s="129"/>
      <c r="F214" s="164"/>
      <c r="G214" s="164"/>
      <c r="H214" s="129"/>
      <c r="I214" s="129"/>
      <c r="J214" s="129"/>
      <c r="K214" s="126"/>
      <c r="L214" s="126"/>
      <c r="M214" s="126"/>
      <c r="N214" s="126"/>
      <c r="O214" s="164"/>
      <c r="P214" s="129"/>
      <c r="Q214" s="129"/>
      <c r="R214" s="129"/>
    </row>
    <row r="215">
      <c r="A215" s="166"/>
      <c r="B215" s="167"/>
      <c r="C215" s="129"/>
      <c r="D215" s="129"/>
      <c r="E215" s="129"/>
      <c r="F215" s="164"/>
      <c r="G215" s="164"/>
      <c r="H215" s="129"/>
      <c r="I215" s="129"/>
      <c r="J215" s="129"/>
      <c r="K215" s="126"/>
      <c r="L215" s="126"/>
      <c r="M215" s="126"/>
      <c r="N215" s="126"/>
      <c r="O215" s="164"/>
      <c r="P215" s="129"/>
      <c r="Q215" s="129"/>
      <c r="R215" s="129"/>
    </row>
    <row r="216">
      <c r="A216" s="166"/>
      <c r="B216" s="167"/>
      <c r="C216" s="129"/>
      <c r="D216" s="129"/>
      <c r="E216" s="129"/>
      <c r="F216" s="164"/>
      <c r="G216" s="164"/>
      <c r="H216" s="129"/>
      <c r="I216" s="129"/>
      <c r="J216" s="129"/>
      <c r="K216" s="126"/>
      <c r="L216" s="126"/>
      <c r="M216" s="126"/>
      <c r="N216" s="126"/>
      <c r="O216" s="164"/>
      <c r="P216" s="129"/>
      <c r="Q216" s="129"/>
      <c r="R216" s="129"/>
    </row>
    <row r="217">
      <c r="A217" s="166"/>
      <c r="B217" s="167"/>
      <c r="C217" s="129"/>
      <c r="D217" s="129"/>
      <c r="E217" s="129"/>
      <c r="F217" s="164"/>
      <c r="G217" s="164"/>
      <c r="H217" s="129"/>
      <c r="I217" s="129"/>
      <c r="J217" s="129"/>
      <c r="K217" s="126"/>
      <c r="L217" s="126"/>
      <c r="M217" s="126"/>
      <c r="N217" s="126"/>
      <c r="O217" s="164"/>
      <c r="P217" s="129"/>
      <c r="Q217" s="129"/>
      <c r="R217" s="129"/>
    </row>
    <row r="218">
      <c r="A218" s="166"/>
      <c r="B218" s="167"/>
      <c r="C218" s="129"/>
      <c r="D218" s="129"/>
      <c r="E218" s="129"/>
      <c r="F218" s="164"/>
      <c r="G218" s="164"/>
      <c r="H218" s="129"/>
      <c r="I218" s="129"/>
      <c r="J218" s="129"/>
      <c r="K218" s="126"/>
      <c r="L218" s="126"/>
      <c r="M218" s="126"/>
      <c r="N218" s="126"/>
      <c r="O218" s="164"/>
      <c r="P218" s="129"/>
      <c r="Q218" s="129"/>
      <c r="R218" s="129"/>
    </row>
    <row r="219">
      <c r="A219" s="166"/>
      <c r="B219" s="167"/>
      <c r="C219" s="129"/>
      <c r="D219" s="129"/>
      <c r="E219" s="129"/>
      <c r="F219" s="164"/>
      <c r="G219" s="164"/>
      <c r="H219" s="129"/>
      <c r="I219" s="129"/>
      <c r="J219" s="129"/>
      <c r="K219" s="126"/>
      <c r="L219" s="126"/>
      <c r="M219" s="126"/>
      <c r="N219" s="126"/>
      <c r="O219" s="164"/>
      <c r="P219" s="129"/>
      <c r="Q219" s="129"/>
      <c r="R219" s="129"/>
    </row>
    <row r="220">
      <c r="A220" s="166"/>
      <c r="B220" s="167"/>
      <c r="C220" s="129"/>
      <c r="D220" s="129"/>
      <c r="E220" s="129"/>
      <c r="F220" s="164"/>
      <c r="G220" s="164"/>
      <c r="H220" s="129"/>
      <c r="I220" s="129"/>
      <c r="J220" s="129"/>
      <c r="K220" s="126"/>
      <c r="L220" s="126"/>
      <c r="M220" s="126"/>
      <c r="N220" s="126"/>
      <c r="O220" s="164"/>
      <c r="P220" s="129"/>
      <c r="Q220" s="129"/>
      <c r="R220" s="129"/>
    </row>
    <row r="221">
      <c r="A221" s="166"/>
      <c r="B221" s="167"/>
      <c r="C221" s="129"/>
      <c r="D221" s="129"/>
      <c r="E221" s="129"/>
      <c r="F221" s="164"/>
      <c r="G221" s="164"/>
      <c r="H221" s="129"/>
      <c r="I221" s="129"/>
      <c r="J221" s="129"/>
      <c r="K221" s="126"/>
      <c r="L221" s="126"/>
      <c r="M221" s="126"/>
      <c r="N221" s="126"/>
      <c r="O221" s="164"/>
      <c r="P221" s="129"/>
      <c r="Q221" s="129"/>
      <c r="R221" s="129"/>
    </row>
    <row r="222">
      <c r="A222" s="166"/>
      <c r="B222" s="167"/>
      <c r="C222" s="129"/>
      <c r="D222" s="129"/>
      <c r="E222" s="129"/>
      <c r="F222" s="164"/>
      <c r="G222" s="164"/>
      <c r="H222" s="129"/>
      <c r="I222" s="129"/>
      <c r="J222" s="129"/>
      <c r="K222" s="126"/>
      <c r="L222" s="126"/>
      <c r="M222" s="126"/>
      <c r="N222" s="126"/>
      <c r="O222" s="164"/>
      <c r="P222" s="129"/>
      <c r="Q222" s="129"/>
      <c r="R222" s="129"/>
    </row>
    <row r="223">
      <c r="A223" s="166"/>
      <c r="B223" s="167"/>
      <c r="C223" s="129"/>
      <c r="D223" s="129"/>
      <c r="E223" s="129"/>
      <c r="F223" s="164"/>
      <c r="G223" s="164"/>
      <c r="H223" s="129"/>
      <c r="I223" s="129"/>
      <c r="J223" s="129"/>
      <c r="K223" s="126"/>
      <c r="L223" s="126"/>
      <c r="M223" s="126"/>
      <c r="N223" s="126"/>
      <c r="O223" s="164"/>
      <c r="P223" s="129"/>
      <c r="Q223" s="129"/>
      <c r="R223" s="129"/>
    </row>
    <row r="224">
      <c r="A224" s="166"/>
      <c r="B224" s="167"/>
      <c r="C224" s="129"/>
      <c r="D224" s="129"/>
      <c r="E224" s="129"/>
      <c r="F224" s="164"/>
      <c r="G224" s="164"/>
      <c r="H224" s="129"/>
      <c r="I224" s="129"/>
      <c r="J224" s="129"/>
      <c r="K224" s="126"/>
      <c r="L224" s="126"/>
      <c r="M224" s="126"/>
      <c r="N224" s="126"/>
      <c r="O224" s="164"/>
      <c r="P224" s="129"/>
      <c r="Q224" s="129"/>
      <c r="R224" s="129"/>
    </row>
    <row r="225">
      <c r="A225" s="166"/>
      <c r="B225" s="167"/>
      <c r="C225" s="129"/>
      <c r="D225" s="129"/>
      <c r="E225" s="129"/>
      <c r="F225" s="164"/>
      <c r="G225" s="164"/>
      <c r="H225" s="129"/>
      <c r="I225" s="129"/>
      <c r="J225" s="129"/>
      <c r="K225" s="126"/>
      <c r="L225" s="126"/>
      <c r="M225" s="126"/>
      <c r="N225" s="126"/>
      <c r="O225" s="164"/>
      <c r="P225" s="129"/>
      <c r="Q225" s="129"/>
      <c r="R225" s="129"/>
    </row>
    <row r="226">
      <c r="A226" s="166"/>
      <c r="B226" s="167"/>
      <c r="C226" s="129"/>
      <c r="D226" s="129"/>
      <c r="E226" s="129"/>
      <c r="F226" s="164"/>
      <c r="G226" s="164"/>
      <c r="H226" s="129"/>
      <c r="I226" s="129"/>
      <c r="J226" s="129"/>
      <c r="K226" s="126"/>
      <c r="L226" s="126"/>
      <c r="M226" s="126"/>
      <c r="N226" s="126"/>
      <c r="O226" s="164"/>
      <c r="P226" s="129"/>
      <c r="Q226" s="129"/>
      <c r="R226" s="129"/>
    </row>
    <row r="227">
      <c r="A227" s="166"/>
      <c r="B227" s="167"/>
      <c r="C227" s="129"/>
      <c r="D227" s="129"/>
      <c r="E227" s="129"/>
      <c r="F227" s="164"/>
      <c r="G227" s="164"/>
      <c r="H227" s="129"/>
      <c r="I227" s="129"/>
      <c r="J227" s="129"/>
      <c r="K227" s="126"/>
      <c r="L227" s="126"/>
      <c r="M227" s="126"/>
      <c r="N227" s="126"/>
      <c r="O227" s="164"/>
      <c r="P227" s="129"/>
      <c r="Q227" s="129"/>
      <c r="R227" s="129"/>
    </row>
    <row r="228">
      <c r="A228" s="166"/>
      <c r="B228" s="167"/>
      <c r="C228" s="129"/>
      <c r="D228" s="129"/>
      <c r="E228" s="129"/>
      <c r="F228" s="164"/>
      <c r="G228" s="164"/>
      <c r="H228" s="129"/>
      <c r="I228" s="129"/>
      <c r="J228" s="129"/>
      <c r="K228" s="126"/>
      <c r="L228" s="126"/>
      <c r="M228" s="126"/>
      <c r="N228" s="126"/>
      <c r="O228" s="164"/>
      <c r="P228" s="129"/>
      <c r="Q228" s="129"/>
      <c r="R228" s="129"/>
    </row>
    <row r="229">
      <c r="A229" s="166"/>
      <c r="B229" s="167"/>
      <c r="C229" s="129"/>
      <c r="D229" s="129"/>
      <c r="E229" s="129"/>
      <c r="F229" s="164"/>
      <c r="G229" s="164"/>
      <c r="H229" s="129"/>
      <c r="I229" s="129"/>
      <c r="J229" s="129"/>
      <c r="K229" s="126"/>
      <c r="L229" s="126"/>
      <c r="M229" s="126"/>
      <c r="N229" s="126"/>
      <c r="O229" s="164"/>
      <c r="P229" s="129"/>
      <c r="Q229" s="129"/>
      <c r="R229" s="129"/>
    </row>
    <row r="230">
      <c r="A230" s="166"/>
      <c r="B230" s="167"/>
      <c r="C230" s="129"/>
      <c r="D230" s="129"/>
      <c r="E230" s="129"/>
      <c r="F230" s="164"/>
      <c r="G230" s="164"/>
      <c r="H230" s="129"/>
      <c r="I230" s="129"/>
      <c r="J230" s="129"/>
      <c r="K230" s="126"/>
      <c r="L230" s="126"/>
      <c r="M230" s="126"/>
      <c r="N230" s="126"/>
      <c r="O230" s="164"/>
      <c r="P230" s="129"/>
      <c r="Q230" s="129"/>
      <c r="R230" s="129"/>
    </row>
    <row r="231">
      <c r="A231" s="166"/>
      <c r="B231" s="167"/>
      <c r="C231" s="129"/>
      <c r="D231" s="129"/>
      <c r="E231" s="129"/>
      <c r="F231" s="164"/>
      <c r="G231" s="164"/>
      <c r="H231" s="129"/>
      <c r="I231" s="129"/>
      <c r="J231" s="129"/>
      <c r="K231" s="126"/>
      <c r="L231" s="126"/>
      <c r="M231" s="126"/>
      <c r="N231" s="126"/>
      <c r="O231" s="164"/>
      <c r="P231" s="129"/>
      <c r="Q231" s="129"/>
      <c r="R231" s="129"/>
    </row>
    <row r="232">
      <c r="A232" s="166"/>
      <c r="B232" s="167"/>
      <c r="C232" s="129"/>
      <c r="D232" s="129"/>
      <c r="E232" s="129"/>
      <c r="F232" s="164"/>
      <c r="G232" s="164"/>
      <c r="H232" s="129"/>
      <c r="I232" s="129"/>
      <c r="J232" s="129"/>
      <c r="K232" s="126"/>
      <c r="L232" s="126"/>
      <c r="M232" s="126"/>
      <c r="N232" s="126"/>
      <c r="O232" s="164"/>
      <c r="P232" s="129"/>
      <c r="Q232" s="129"/>
      <c r="R232" s="129"/>
    </row>
    <row r="233">
      <c r="A233" s="166"/>
      <c r="B233" s="167"/>
      <c r="C233" s="129"/>
      <c r="D233" s="129"/>
      <c r="E233" s="129"/>
      <c r="F233" s="164"/>
      <c r="G233" s="164"/>
      <c r="H233" s="129"/>
      <c r="I233" s="129"/>
      <c r="J233" s="129"/>
      <c r="K233" s="126"/>
      <c r="L233" s="126"/>
      <c r="M233" s="126"/>
      <c r="N233" s="126"/>
      <c r="O233" s="164"/>
      <c r="P233" s="129"/>
      <c r="Q233" s="129"/>
      <c r="R233" s="129"/>
    </row>
    <row r="234">
      <c r="A234" s="166"/>
      <c r="B234" s="167"/>
      <c r="C234" s="129"/>
      <c r="D234" s="129"/>
      <c r="E234" s="129"/>
      <c r="F234" s="164"/>
      <c r="G234" s="164"/>
      <c r="H234" s="129"/>
      <c r="I234" s="129"/>
      <c r="J234" s="129"/>
      <c r="K234" s="126"/>
      <c r="L234" s="126"/>
      <c r="M234" s="126"/>
      <c r="N234" s="126"/>
      <c r="O234" s="164"/>
      <c r="P234" s="129"/>
      <c r="Q234" s="129"/>
      <c r="R234" s="129"/>
    </row>
    <row r="235">
      <c r="A235" s="166"/>
      <c r="B235" s="167"/>
      <c r="C235" s="129"/>
      <c r="D235" s="129"/>
      <c r="E235" s="129"/>
      <c r="F235" s="164"/>
      <c r="G235" s="164"/>
      <c r="H235" s="129"/>
      <c r="I235" s="129"/>
      <c r="J235" s="129"/>
      <c r="K235" s="126"/>
      <c r="L235" s="126"/>
      <c r="M235" s="126"/>
      <c r="N235" s="126"/>
      <c r="O235" s="164"/>
      <c r="P235" s="129"/>
      <c r="Q235" s="129"/>
      <c r="R235" s="129"/>
    </row>
    <row r="236">
      <c r="A236" s="166"/>
      <c r="B236" s="167"/>
      <c r="C236" s="129"/>
      <c r="D236" s="129"/>
      <c r="E236" s="129"/>
      <c r="F236" s="164"/>
      <c r="G236" s="164"/>
      <c r="H236" s="129"/>
      <c r="I236" s="129"/>
      <c r="J236" s="129"/>
      <c r="K236" s="126"/>
      <c r="L236" s="126"/>
      <c r="M236" s="126"/>
      <c r="N236" s="126"/>
      <c r="O236" s="164"/>
      <c r="P236" s="129"/>
      <c r="Q236" s="129"/>
      <c r="R236" s="129"/>
    </row>
    <row r="237">
      <c r="A237" s="166"/>
      <c r="B237" s="167"/>
      <c r="C237" s="129"/>
      <c r="D237" s="129"/>
      <c r="E237" s="129"/>
      <c r="F237" s="164"/>
      <c r="G237" s="164"/>
      <c r="H237" s="129"/>
      <c r="I237" s="129"/>
      <c r="J237" s="129"/>
      <c r="K237" s="126"/>
      <c r="L237" s="126"/>
      <c r="M237" s="126"/>
      <c r="N237" s="126"/>
      <c r="O237" s="164"/>
      <c r="P237" s="129"/>
      <c r="Q237" s="129"/>
      <c r="R237" s="129"/>
    </row>
    <row r="238">
      <c r="A238" s="166"/>
      <c r="B238" s="167"/>
      <c r="C238" s="129"/>
      <c r="D238" s="129"/>
      <c r="E238" s="129"/>
      <c r="F238" s="164"/>
      <c r="G238" s="164"/>
      <c r="H238" s="129"/>
      <c r="I238" s="129"/>
      <c r="J238" s="129"/>
      <c r="K238" s="126"/>
      <c r="L238" s="126"/>
      <c r="M238" s="126"/>
      <c r="N238" s="126"/>
      <c r="O238" s="164"/>
      <c r="P238" s="129"/>
      <c r="Q238" s="129"/>
      <c r="R238" s="129"/>
    </row>
    <row r="239">
      <c r="A239" s="166"/>
      <c r="B239" s="167"/>
      <c r="C239" s="129"/>
      <c r="D239" s="129"/>
      <c r="E239" s="129"/>
      <c r="F239" s="164"/>
      <c r="G239" s="164"/>
      <c r="H239" s="129"/>
      <c r="I239" s="129"/>
      <c r="J239" s="129"/>
      <c r="K239" s="126"/>
      <c r="L239" s="126"/>
      <c r="M239" s="126"/>
      <c r="N239" s="126"/>
      <c r="O239" s="164"/>
      <c r="P239" s="129"/>
      <c r="Q239" s="129"/>
      <c r="R239" s="129"/>
    </row>
    <row r="240">
      <c r="A240" s="166"/>
      <c r="B240" s="167"/>
      <c r="C240" s="129"/>
      <c r="D240" s="129"/>
      <c r="E240" s="129"/>
      <c r="F240" s="164"/>
      <c r="G240" s="164"/>
      <c r="H240" s="129"/>
      <c r="I240" s="129"/>
      <c r="J240" s="129"/>
      <c r="K240" s="126"/>
      <c r="L240" s="126"/>
      <c r="M240" s="126"/>
      <c r="N240" s="126"/>
      <c r="O240" s="164"/>
      <c r="P240" s="129"/>
      <c r="Q240" s="129"/>
      <c r="R240" s="129"/>
    </row>
    <row r="241">
      <c r="A241" s="166"/>
      <c r="B241" s="167"/>
      <c r="C241" s="129"/>
      <c r="D241" s="129"/>
      <c r="E241" s="129"/>
      <c r="F241" s="164"/>
      <c r="G241" s="164"/>
      <c r="H241" s="129"/>
      <c r="I241" s="129"/>
      <c r="J241" s="129"/>
      <c r="K241" s="126"/>
      <c r="L241" s="126"/>
      <c r="M241" s="126"/>
      <c r="N241" s="126"/>
      <c r="O241" s="164"/>
      <c r="P241" s="129"/>
      <c r="Q241" s="129"/>
      <c r="R241" s="129"/>
    </row>
    <row r="242">
      <c r="A242" s="166"/>
      <c r="B242" s="167"/>
      <c r="C242" s="129"/>
      <c r="D242" s="129"/>
      <c r="E242" s="129"/>
      <c r="F242" s="164"/>
      <c r="G242" s="164"/>
      <c r="H242" s="129"/>
      <c r="I242" s="129"/>
      <c r="J242" s="129"/>
      <c r="K242" s="126"/>
      <c r="L242" s="126"/>
      <c r="M242" s="126"/>
      <c r="N242" s="126"/>
      <c r="O242" s="164"/>
      <c r="P242" s="129"/>
      <c r="Q242" s="129"/>
      <c r="R242" s="129"/>
    </row>
    <row r="243">
      <c r="A243" s="166"/>
      <c r="B243" s="167"/>
      <c r="C243" s="129"/>
      <c r="D243" s="129"/>
      <c r="E243" s="129"/>
      <c r="F243" s="164"/>
      <c r="G243" s="164"/>
      <c r="H243" s="129"/>
      <c r="I243" s="129"/>
      <c r="J243" s="129"/>
      <c r="K243" s="126"/>
      <c r="L243" s="126"/>
      <c r="M243" s="126"/>
      <c r="N243" s="126"/>
      <c r="O243" s="164"/>
      <c r="P243" s="129"/>
      <c r="Q243" s="129"/>
      <c r="R243" s="129"/>
    </row>
    <row r="244">
      <c r="A244" s="166"/>
      <c r="B244" s="167"/>
      <c r="C244" s="129"/>
      <c r="D244" s="129"/>
      <c r="E244" s="129"/>
      <c r="F244" s="164"/>
      <c r="G244" s="164"/>
      <c r="H244" s="129"/>
      <c r="I244" s="129"/>
      <c r="J244" s="129"/>
      <c r="K244" s="126"/>
      <c r="L244" s="126"/>
      <c r="M244" s="126"/>
      <c r="N244" s="126"/>
      <c r="O244" s="164"/>
      <c r="P244" s="129"/>
      <c r="Q244" s="129"/>
      <c r="R244" s="129"/>
    </row>
    <row r="245">
      <c r="A245" s="166"/>
      <c r="B245" s="167"/>
      <c r="C245" s="129"/>
      <c r="D245" s="129"/>
      <c r="E245" s="129"/>
      <c r="F245" s="164"/>
      <c r="G245" s="164"/>
      <c r="H245" s="129"/>
      <c r="I245" s="129"/>
      <c r="J245" s="129"/>
      <c r="K245" s="126"/>
      <c r="L245" s="126"/>
      <c r="M245" s="126"/>
      <c r="N245" s="126"/>
      <c r="O245" s="164"/>
      <c r="P245" s="129"/>
      <c r="Q245" s="129"/>
      <c r="R245" s="129"/>
    </row>
    <row r="246">
      <c r="A246" s="166"/>
      <c r="B246" s="167"/>
      <c r="C246" s="129"/>
      <c r="D246" s="129"/>
      <c r="E246" s="129"/>
      <c r="F246" s="164"/>
      <c r="G246" s="164"/>
      <c r="H246" s="129"/>
      <c r="I246" s="129"/>
      <c r="J246" s="129"/>
      <c r="K246" s="126"/>
      <c r="L246" s="126"/>
      <c r="M246" s="126"/>
      <c r="N246" s="126"/>
      <c r="O246" s="164"/>
      <c r="P246" s="129"/>
      <c r="Q246" s="129"/>
      <c r="R246" s="129"/>
    </row>
    <row r="247">
      <c r="A247" s="166"/>
      <c r="B247" s="167"/>
      <c r="C247" s="129"/>
      <c r="D247" s="129"/>
      <c r="E247" s="129"/>
      <c r="F247" s="164"/>
      <c r="G247" s="164"/>
      <c r="H247" s="129"/>
      <c r="I247" s="129"/>
      <c r="J247" s="129"/>
      <c r="K247" s="126"/>
      <c r="L247" s="126"/>
      <c r="M247" s="126"/>
      <c r="N247" s="126"/>
      <c r="O247" s="164"/>
      <c r="P247" s="129"/>
      <c r="Q247" s="129"/>
      <c r="R247" s="129"/>
    </row>
    <row r="248">
      <c r="A248" s="166"/>
      <c r="B248" s="167"/>
      <c r="C248" s="129"/>
      <c r="D248" s="129"/>
      <c r="E248" s="129"/>
      <c r="F248" s="164"/>
      <c r="G248" s="164"/>
      <c r="H248" s="129"/>
      <c r="I248" s="129"/>
      <c r="J248" s="129"/>
      <c r="K248" s="126"/>
      <c r="L248" s="126"/>
      <c r="M248" s="126"/>
      <c r="N248" s="126"/>
      <c r="O248" s="164"/>
      <c r="P248" s="129"/>
      <c r="Q248" s="129"/>
      <c r="R248" s="129"/>
    </row>
    <row r="249">
      <c r="A249" s="166"/>
      <c r="B249" s="167"/>
      <c r="C249" s="129"/>
      <c r="D249" s="129"/>
      <c r="E249" s="129"/>
      <c r="F249" s="164"/>
      <c r="G249" s="164"/>
      <c r="H249" s="129"/>
      <c r="I249" s="129"/>
      <c r="J249" s="129"/>
      <c r="K249" s="126"/>
      <c r="L249" s="126"/>
      <c r="M249" s="126"/>
      <c r="N249" s="126"/>
      <c r="O249" s="164"/>
      <c r="P249" s="129"/>
      <c r="Q249" s="129"/>
      <c r="R249" s="129"/>
    </row>
    <row r="250">
      <c r="A250" s="166"/>
      <c r="B250" s="167"/>
      <c r="C250" s="129"/>
      <c r="D250" s="129"/>
      <c r="E250" s="129"/>
      <c r="F250" s="164"/>
      <c r="G250" s="164"/>
      <c r="H250" s="129"/>
      <c r="I250" s="129"/>
      <c r="J250" s="129"/>
      <c r="K250" s="126"/>
      <c r="L250" s="126"/>
      <c r="M250" s="126"/>
      <c r="N250" s="126"/>
      <c r="O250" s="164"/>
      <c r="P250" s="129"/>
      <c r="Q250" s="129"/>
      <c r="R250" s="129"/>
    </row>
    <row r="251">
      <c r="A251" s="166"/>
      <c r="B251" s="167"/>
      <c r="C251" s="129"/>
      <c r="D251" s="129"/>
      <c r="E251" s="129"/>
      <c r="F251" s="164"/>
      <c r="G251" s="164"/>
      <c r="H251" s="129"/>
      <c r="I251" s="129"/>
      <c r="J251" s="129"/>
      <c r="K251" s="126"/>
      <c r="L251" s="126"/>
      <c r="M251" s="126"/>
      <c r="N251" s="126"/>
      <c r="O251" s="164"/>
      <c r="P251" s="129"/>
      <c r="Q251" s="129"/>
      <c r="R251" s="129"/>
    </row>
    <row r="252">
      <c r="A252" s="166"/>
      <c r="B252" s="167"/>
      <c r="C252" s="129"/>
      <c r="D252" s="129"/>
      <c r="E252" s="129"/>
      <c r="F252" s="164"/>
      <c r="G252" s="164"/>
      <c r="H252" s="129"/>
      <c r="I252" s="129"/>
      <c r="J252" s="129"/>
      <c r="K252" s="126"/>
      <c r="L252" s="126"/>
      <c r="M252" s="126"/>
      <c r="N252" s="126"/>
      <c r="O252" s="164"/>
      <c r="P252" s="129"/>
      <c r="Q252" s="129"/>
      <c r="R252" s="129"/>
    </row>
    <row r="253">
      <c r="A253" s="166"/>
      <c r="B253" s="167"/>
      <c r="C253" s="129"/>
      <c r="D253" s="129"/>
      <c r="E253" s="129"/>
      <c r="F253" s="164"/>
      <c r="G253" s="164"/>
      <c r="H253" s="129"/>
      <c r="I253" s="129"/>
      <c r="J253" s="129"/>
      <c r="K253" s="126"/>
      <c r="L253" s="126"/>
      <c r="M253" s="126"/>
      <c r="N253" s="126"/>
      <c r="O253" s="164"/>
      <c r="P253" s="129"/>
      <c r="Q253" s="129"/>
      <c r="R253" s="129"/>
    </row>
    <row r="254">
      <c r="A254" s="166"/>
      <c r="B254" s="167"/>
      <c r="C254" s="129"/>
      <c r="D254" s="129"/>
      <c r="E254" s="129"/>
      <c r="F254" s="164"/>
      <c r="G254" s="164"/>
      <c r="H254" s="129"/>
      <c r="I254" s="129"/>
      <c r="J254" s="129"/>
      <c r="K254" s="126"/>
      <c r="L254" s="126"/>
      <c r="M254" s="126"/>
      <c r="N254" s="126"/>
      <c r="O254" s="164"/>
      <c r="P254" s="129"/>
      <c r="Q254" s="129"/>
      <c r="R254" s="129"/>
    </row>
    <row r="255">
      <c r="A255" s="166"/>
      <c r="B255" s="167"/>
      <c r="C255" s="129"/>
      <c r="D255" s="129"/>
      <c r="E255" s="129"/>
      <c r="F255" s="164"/>
      <c r="G255" s="164"/>
      <c r="H255" s="129"/>
      <c r="I255" s="129"/>
      <c r="J255" s="129"/>
      <c r="K255" s="126"/>
      <c r="L255" s="126"/>
      <c r="M255" s="126"/>
      <c r="N255" s="126"/>
      <c r="O255" s="164"/>
      <c r="P255" s="129"/>
      <c r="Q255" s="129"/>
      <c r="R255" s="129"/>
    </row>
    <row r="256">
      <c r="A256" s="166"/>
      <c r="B256" s="167"/>
      <c r="C256" s="129"/>
      <c r="D256" s="129"/>
      <c r="E256" s="129"/>
      <c r="F256" s="164"/>
      <c r="G256" s="164"/>
      <c r="H256" s="129"/>
      <c r="I256" s="129"/>
      <c r="J256" s="129"/>
      <c r="K256" s="126"/>
      <c r="L256" s="126"/>
      <c r="M256" s="126"/>
      <c r="N256" s="126"/>
      <c r="O256" s="164"/>
      <c r="P256" s="129"/>
      <c r="Q256" s="129"/>
      <c r="R256" s="129"/>
    </row>
    <row r="257">
      <c r="A257" s="166"/>
      <c r="B257" s="167"/>
      <c r="C257" s="129"/>
      <c r="D257" s="129"/>
      <c r="E257" s="129"/>
      <c r="F257" s="164"/>
      <c r="G257" s="164"/>
      <c r="H257" s="129"/>
      <c r="I257" s="129"/>
      <c r="J257" s="129"/>
      <c r="K257" s="126"/>
      <c r="L257" s="126"/>
      <c r="M257" s="126"/>
      <c r="N257" s="126"/>
      <c r="O257" s="164"/>
      <c r="P257" s="129"/>
      <c r="Q257" s="129"/>
      <c r="R257" s="129"/>
    </row>
    <row r="258">
      <c r="A258" s="166"/>
      <c r="B258" s="167"/>
      <c r="C258" s="129"/>
      <c r="D258" s="129"/>
      <c r="E258" s="129"/>
      <c r="F258" s="164"/>
      <c r="G258" s="164"/>
      <c r="H258" s="129"/>
      <c r="I258" s="129"/>
      <c r="J258" s="129"/>
      <c r="K258" s="126"/>
      <c r="L258" s="126"/>
      <c r="M258" s="126"/>
      <c r="N258" s="126"/>
      <c r="O258" s="164"/>
      <c r="P258" s="129"/>
      <c r="Q258" s="129"/>
      <c r="R258" s="129"/>
    </row>
    <row r="259">
      <c r="A259" s="166"/>
      <c r="B259" s="167"/>
      <c r="C259" s="129"/>
      <c r="D259" s="129"/>
      <c r="E259" s="129"/>
      <c r="F259" s="164"/>
      <c r="G259" s="164"/>
      <c r="H259" s="129"/>
      <c r="I259" s="129"/>
      <c r="J259" s="129"/>
      <c r="K259" s="126"/>
      <c r="L259" s="126"/>
      <c r="M259" s="126"/>
      <c r="N259" s="126"/>
      <c r="O259" s="164"/>
      <c r="P259" s="129"/>
      <c r="Q259" s="129"/>
      <c r="R259" s="129"/>
    </row>
    <row r="260">
      <c r="A260" s="166"/>
      <c r="B260" s="167"/>
      <c r="C260" s="129"/>
      <c r="D260" s="129"/>
      <c r="E260" s="129"/>
      <c r="F260" s="164"/>
      <c r="G260" s="164"/>
      <c r="H260" s="129"/>
      <c r="I260" s="129"/>
      <c r="J260" s="129"/>
      <c r="K260" s="126"/>
      <c r="L260" s="126"/>
      <c r="M260" s="126"/>
      <c r="N260" s="126"/>
      <c r="O260" s="164"/>
      <c r="P260" s="129"/>
      <c r="Q260" s="129"/>
      <c r="R260" s="129"/>
    </row>
    <row r="261">
      <c r="A261" s="166"/>
      <c r="B261" s="167"/>
      <c r="C261" s="129"/>
      <c r="D261" s="129"/>
      <c r="E261" s="129"/>
      <c r="F261" s="164"/>
      <c r="G261" s="164"/>
      <c r="H261" s="129"/>
      <c r="I261" s="129"/>
      <c r="J261" s="129"/>
      <c r="K261" s="126"/>
      <c r="L261" s="126"/>
      <c r="M261" s="126"/>
      <c r="N261" s="126"/>
      <c r="O261" s="164"/>
      <c r="P261" s="129"/>
      <c r="Q261" s="129"/>
      <c r="R261" s="129"/>
    </row>
    <row r="262">
      <c r="A262" s="166"/>
      <c r="B262" s="167"/>
      <c r="C262" s="129"/>
      <c r="D262" s="129"/>
      <c r="E262" s="129"/>
      <c r="F262" s="164"/>
      <c r="G262" s="164"/>
      <c r="H262" s="129"/>
      <c r="I262" s="129"/>
      <c r="J262" s="129"/>
      <c r="K262" s="126"/>
      <c r="L262" s="126"/>
      <c r="M262" s="126"/>
      <c r="N262" s="126"/>
      <c r="O262" s="164"/>
      <c r="P262" s="129"/>
      <c r="Q262" s="129"/>
      <c r="R262" s="129"/>
    </row>
    <row r="263">
      <c r="A263" s="166"/>
      <c r="B263" s="167"/>
      <c r="C263" s="129"/>
      <c r="D263" s="129"/>
      <c r="E263" s="129"/>
      <c r="F263" s="164"/>
      <c r="G263" s="164"/>
      <c r="H263" s="129"/>
      <c r="I263" s="129"/>
      <c r="J263" s="129"/>
      <c r="K263" s="126"/>
      <c r="L263" s="126"/>
      <c r="M263" s="126"/>
      <c r="N263" s="126"/>
      <c r="O263" s="164"/>
      <c r="P263" s="129"/>
      <c r="Q263" s="129"/>
      <c r="R263" s="129"/>
    </row>
    <row r="264">
      <c r="A264" s="166"/>
      <c r="B264" s="167"/>
      <c r="C264" s="129"/>
      <c r="D264" s="129"/>
      <c r="E264" s="129"/>
      <c r="F264" s="164"/>
      <c r="G264" s="164"/>
      <c r="H264" s="129"/>
      <c r="I264" s="129"/>
      <c r="J264" s="129"/>
      <c r="K264" s="126"/>
      <c r="L264" s="126"/>
      <c r="M264" s="126"/>
      <c r="N264" s="126"/>
      <c r="O264" s="164"/>
      <c r="P264" s="129"/>
      <c r="Q264" s="129"/>
      <c r="R264" s="129"/>
    </row>
    <row r="265">
      <c r="A265" s="166"/>
      <c r="B265" s="167"/>
      <c r="C265" s="129"/>
      <c r="D265" s="129"/>
      <c r="E265" s="129"/>
      <c r="F265" s="164"/>
      <c r="G265" s="164"/>
      <c r="H265" s="129"/>
      <c r="I265" s="129"/>
      <c r="J265" s="129"/>
      <c r="K265" s="126"/>
      <c r="L265" s="126"/>
      <c r="M265" s="126"/>
      <c r="N265" s="126"/>
      <c r="O265" s="164"/>
      <c r="P265" s="129"/>
      <c r="Q265" s="129"/>
      <c r="R265" s="129"/>
    </row>
    <row r="266">
      <c r="A266" s="166"/>
      <c r="B266" s="167"/>
      <c r="C266" s="129"/>
      <c r="D266" s="129"/>
      <c r="E266" s="129"/>
      <c r="F266" s="164"/>
      <c r="G266" s="164"/>
      <c r="H266" s="129"/>
      <c r="I266" s="129"/>
      <c r="J266" s="129"/>
      <c r="K266" s="126"/>
      <c r="L266" s="126"/>
      <c r="M266" s="126"/>
      <c r="N266" s="126"/>
      <c r="O266" s="164"/>
      <c r="P266" s="129"/>
      <c r="Q266" s="129"/>
      <c r="R266" s="129"/>
    </row>
    <row r="267">
      <c r="A267" s="166"/>
      <c r="B267" s="167"/>
      <c r="C267" s="129"/>
      <c r="D267" s="129"/>
      <c r="E267" s="129"/>
      <c r="F267" s="164"/>
      <c r="G267" s="164"/>
      <c r="H267" s="129"/>
      <c r="I267" s="129"/>
      <c r="J267" s="129"/>
      <c r="K267" s="126"/>
      <c r="L267" s="126"/>
      <c r="M267" s="126"/>
      <c r="N267" s="126"/>
      <c r="O267" s="164"/>
      <c r="P267" s="129"/>
      <c r="Q267" s="129"/>
      <c r="R267" s="129"/>
    </row>
    <row r="268">
      <c r="A268" s="166"/>
      <c r="B268" s="167"/>
      <c r="C268" s="129"/>
      <c r="D268" s="129"/>
      <c r="E268" s="129"/>
      <c r="F268" s="164"/>
      <c r="G268" s="164"/>
      <c r="H268" s="129"/>
      <c r="I268" s="129"/>
      <c r="J268" s="129"/>
      <c r="K268" s="126"/>
      <c r="L268" s="126"/>
      <c r="M268" s="126"/>
      <c r="N268" s="126"/>
      <c r="O268" s="164"/>
      <c r="P268" s="129"/>
      <c r="Q268" s="129"/>
      <c r="R268" s="129"/>
    </row>
    <row r="269">
      <c r="A269" s="166"/>
      <c r="B269" s="167"/>
      <c r="C269" s="129"/>
      <c r="D269" s="129"/>
      <c r="E269" s="129"/>
      <c r="F269" s="164"/>
      <c r="G269" s="164"/>
      <c r="H269" s="129"/>
      <c r="I269" s="129"/>
      <c r="J269" s="129"/>
      <c r="K269" s="126"/>
      <c r="L269" s="126"/>
      <c r="M269" s="126"/>
      <c r="N269" s="126"/>
      <c r="O269" s="164"/>
      <c r="P269" s="129"/>
      <c r="Q269" s="129"/>
      <c r="R269" s="129"/>
    </row>
    <row r="270">
      <c r="A270" s="166"/>
      <c r="B270" s="167"/>
      <c r="C270" s="129"/>
      <c r="D270" s="129"/>
      <c r="E270" s="129"/>
      <c r="F270" s="164"/>
      <c r="G270" s="164"/>
      <c r="H270" s="129"/>
      <c r="I270" s="129"/>
      <c r="J270" s="129"/>
      <c r="K270" s="126"/>
      <c r="L270" s="126"/>
      <c r="M270" s="126"/>
      <c r="N270" s="126"/>
      <c r="O270" s="164"/>
      <c r="P270" s="129"/>
      <c r="Q270" s="129"/>
      <c r="R270" s="129"/>
    </row>
    <row r="271">
      <c r="A271" s="166"/>
      <c r="B271" s="167"/>
      <c r="C271" s="129"/>
      <c r="D271" s="129"/>
      <c r="E271" s="129"/>
      <c r="F271" s="164"/>
      <c r="G271" s="164"/>
      <c r="H271" s="129"/>
      <c r="I271" s="129"/>
      <c r="J271" s="129"/>
      <c r="K271" s="126"/>
      <c r="L271" s="126"/>
      <c r="M271" s="126"/>
      <c r="N271" s="126"/>
      <c r="O271" s="164"/>
      <c r="P271" s="129"/>
      <c r="Q271" s="129"/>
      <c r="R271" s="129"/>
    </row>
    <row r="272">
      <c r="A272" s="166"/>
      <c r="B272" s="167"/>
      <c r="C272" s="129"/>
      <c r="D272" s="129"/>
      <c r="E272" s="129"/>
      <c r="F272" s="164"/>
      <c r="G272" s="164"/>
      <c r="H272" s="129"/>
      <c r="I272" s="129"/>
      <c r="J272" s="129"/>
      <c r="K272" s="126"/>
      <c r="L272" s="126"/>
      <c r="M272" s="126"/>
      <c r="N272" s="126"/>
      <c r="O272" s="164"/>
      <c r="P272" s="129"/>
      <c r="Q272" s="129"/>
      <c r="R272" s="129"/>
    </row>
    <row r="273">
      <c r="A273" s="166"/>
      <c r="B273" s="167"/>
      <c r="C273" s="129"/>
      <c r="D273" s="129"/>
      <c r="E273" s="129"/>
      <c r="F273" s="164"/>
      <c r="G273" s="164"/>
      <c r="H273" s="129"/>
      <c r="I273" s="129"/>
      <c r="J273" s="129"/>
      <c r="K273" s="126"/>
      <c r="L273" s="126"/>
      <c r="M273" s="126"/>
      <c r="N273" s="126"/>
      <c r="O273" s="164"/>
      <c r="P273" s="129"/>
      <c r="Q273" s="129"/>
      <c r="R273" s="129"/>
    </row>
    <row r="274">
      <c r="A274" s="166"/>
      <c r="B274" s="167"/>
      <c r="C274" s="129"/>
      <c r="D274" s="129"/>
      <c r="E274" s="129"/>
      <c r="F274" s="164"/>
      <c r="G274" s="164"/>
      <c r="H274" s="129"/>
      <c r="I274" s="129"/>
      <c r="J274" s="129"/>
      <c r="K274" s="126"/>
      <c r="L274" s="126"/>
      <c r="M274" s="126"/>
      <c r="N274" s="126"/>
      <c r="O274" s="164"/>
      <c r="P274" s="129"/>
      <c r="Q274" s="129"/>
      <c r="R274" s="129"/>
    </row>
    <row r="275">
      <c r="A275" s="166"/>
      <c r="B275" s="167"/>
      <c r="C275" s="129"/>
      <c r="D275" s="129"/>
      <c r="E275" s="129"/>
      <c r="F275" s="164"/>
      <c r="G275" s="164"/>
      <c r="H275" s="129"/>
      <c r="I275" s="129"/>
      <c r="J275" s="129"/>
      <c r="K275" s="126"/>
      <c r="L275" s="126"/>
      <c r="M275" s="126"/>
      <c r="N275" s="126"/>
      <c r="O275" s="164"/>
      <c r="P275" s="129"/>
      <c r="Q275" s="129"/>
      <c r="R275" s="129"/>
    </row>
    <row r="276">
      <c r="A276" s="166"/>
      <c r="B276" s="167"/>
      <c r="C276" s="129"/>
      <c r="D276" s="129"/>
      <c r="E276" s="129"/>
      <c r="F276" s="164"/>
      <c r="G276" s="164"/>
      <c r="H276" s="129"/>
      <c r="I276" s="129"/>
      <c r="J276" s="129"/>
      <c r="K276" s="126"/>
      <c r="L276" s="126"/>
      <c r="M276" s="126"/>
      <c r="N276" s="126"/>
      <c r="O276" s="164"/>
      <c r="P276" s="129"/>
      <c r="Q276" s="129"/>
      <c r="R276" s="129"/>
    </row>
    <row r="277">
      <c r="A277" s="166"/>
      <c r="B277" s="167"/>
      <c r="C277" s="129"/>
      <c r="D277" s="129"/>
      <c r="E277" s="129"/>
      <c r="F277" s="164"/>
      <c r="G277" s="164"/>
      <c r="H277" s="129"/>
      <c r="I277" s="129"/>
      <c r="J277" s="129"/>
      <c r="K277" s="126"/>
      <c r="L277" s="126"/>
      <c r="M277" s="126"/>
      <c r="N277" s="126"/>
      <c r="O277" s="164"/>
      <c r="P277" s="129"/>
      <c r="Q277" s="129"/>
      <c r="R277" s="129"/>
    </row>
    <row r="278">
      <c r="A278" s="166"/>
      <c r="B278" s="167"/>
      <c r="C278" s="129"/>
      <c r="D278" s="129"/>
      <c r="E278" s="129"/>
      <c r="F278" s="164"/>
      <c r="G278" s="164"/>
      <c r="H278" s="129"/>
      <c r="I278" s="129"/>
      <c r="J278" s="129"/>
      <c r="K278" s="126"/>
      <c r="L278" s="126"/>
      <c r="M278" s="126"/>
      <c r="N278" s="126"/>
      <c r="O278" s="164"/>
      <c r="P278" s="129"/>
      <c r="Q278" s="129"/>
      <c r="R278" s="129"/>
    </row>
    <row r="279">
      <c r="A279" s="166"/>
      <c r="B279" s="167"/>
      <c r="C279" s="129"/>
      <c r="D279" s="129"/>
      <c r="E279" s="129"/>
      <c r="F279" s="164"/>
      <c r="G279" s="164"/>
      <c r="H279" s="129"/>
      <c r="I279" s="129"/>
      <c r="J279" s="129"/>
      <c r="K279" s="126"/>
      <c r="L279" s="126"/>
      <c r="M279" s="126"/>
      <c r="N279" s="126"/>
      <c r="O279" s="164"/>
      <c r="P279" s="129"/>
      <c r="Q279" s="129"/>
      <c r="R279" s="129"/>
    </row>
    <row r="280">
      <c r="A280" s="166"/>
      <c r="B280" s="167"/>
      <c r="C280" s="129"/>
      <c r="D280" s="129"/>
      <c r="E280" s="129"/>
      <c r="F280" s="164"/>
      <c r="G280" s="164"/>
      <c r="H280" s="129"/>
      <c r="I280" s="129"/>
      <c r="J280" s="129"/>
      <c r="K280" s="126"/>
      <c r="L280" s="126"/>
      <c r="M280" s="126"/>
      <c r="N280" s="126"/>
      <c r="O280" s="164"/>
      <c r="P280" s="129"/>
      <c r="Q280" s="129"/>
      <c r="R280" s="129"/>
    </row>
    <row r="281">
      <c r="A281" s="166"/>
      <c r="B281" s="167"/>
      <c r="C281" s="129"/>
      <c r="D281" s="129"/>
      <c r="E281" s="129"/>
      <c r="F281" s="164"/>
      <c r="G281" s="164"/>
      <c r="H281" s="129"/>
      <c r="I281" s="129"/>
      <c r="J281" s="129"/>
      <c r="K281" s="126"/>
      <c r="L281" s="126"/>
      <c r="M281" s="126"/>
      <c r="N281" s="126"/>
      <c r="O281" s="164"/>
      <c r="P281" s="129"/>
      <c r="Q281" s="129"/>
      <c r="R281" s="129"/>
    </row>
    <row r="282">
      <c r="A282" s="166"/>
      <c r="B282" s="167"/>
      <c r="C282" s="129"/>
      <c r="D282" s="129"/>
      <c r="E282" s="129"/>
      <c r="F282" s="164"/>
      <c r="G282" s="164"/>
      <c r="H282" s="129"/>
      <c r="I282" s="129"/>
      <c r="J282" s="129"/>
      <c r="K282" s="126"/>
      <c r="L282" s="126"/>
      <c r="M282" s="126"/>
      <c r="N282" s="126"/>
      <c r="O282" s="164"/>
      <c r="P282" s="129"/>
      <c r="Q282" s="129"/>
      <c r="R282" s="129"/>
    </row>
    <row r="283">
      <c r="A283" s="166"/>
      <c r="B283" s="167"/>
      <c r="C283" s="129"/>
      <c r="D283" s="129"/>
      <c r="E283" s="129"/>
      <c r="F283" s="164"/>
      <c r="G283" s="164"/>
      <c r="H283" s="129"/>
      <c r="I283" s="129"/>
      <c r="J283" s="129"/>
      <c r="K283" s="126"/>
      <c r="L283" s="126"/>
      <c r="M283" s="126"/>
      <c r="N283" s="126"/>
      <c r="O283" s="164"/>
      <c r="P283" s="129"/>
      <c r="Q283" s="129"/>
      <c r="R283" s="129"/>
    </row>
    <row r="284">
      <c r="A284" s="166"/>
      <c r="B284" s="167"/>
      <c r="C284" s="129"/>
      <c r="D284" s="129"/>
      <c r="E284" s="129"/>
      <c r="F284" s="164"/>
      <c r="G284" s="164"/>
      <c r="H284" s="129"/>
      <c r="I284" s="129"/>
      <c r="J284" s="129"/>
      <c r="K284" s="126"/>
      <c r="L284" s="126"/>
      <c r="M284" s="126"/>
      <c r="N284" s="126"/>
      <c r="O284" s="164"/>
      <c r="P284" s="129"/>
      <c r="Q284" s="129"/>
      <c r="R284" s="129"/>
    </row>
    <row r="285">
      <c r="A285" s="166"/>
      <c r="B285" s="167"/>
      <c r="C285" s="129"/>
      <c r="D285" s="129"/>
      <c r="E285" s="129"/>
      <c r="F285" s="164"/>
      <c r="G285" s="164"/>
      <c r="H285" s="129"/>
      <c r="I285" s="129"/>
      <c r="J285" s="129"/>
      <c r="K285" s="126"/>
      <c r="L285" s="126"/>
      <c r="M285" s="126"/>
      <c r="N285" s="126"/>
      <c r="O285" s="164"/>
      <c r="P285" s="129"/>
      <c r="Q285" s="129"/>
      <c r="R285" s="129"/>
    </row>
    <row r="286">
      <c r="A286" s="166"/>
      <c r="B286" s="167"/>
      <c r="C286" s="129"/>
      <c r="D286" s="129"/>
      <c r="E286" s="129"/>
      <c r="F286" s="164"/>
      <c r="G286" s="164"/>
      <c r="H286" s="129"/>
      <c r="I286" s="129"/>
      <c r="J286" s="129"/>
      <c r="K286" s="126"/>
      <c r="L286" s="126"/>
      <c r="M286" s="126"/>
      <c r="N286" s="126"/>
      <c r="O286" s="164"/>
      <c r="P286" s="129"/>
      <c r="Q286" s="129"/>
      <c r="R286" s="129"/>
    </row>
    <row r="287">
      <c r="A287" s="166"/>
      <c r="B287" s="167"/>
      <c r="C287" s="129"/>
      <c r="D287" s="129"/>
      <c r="E287" s="129"/>
      <c r="F287" s="164"/>
      <c r="G287" s="164"/>
      <c r="H287" s="129"/>
      <c r="I287" s="129"/>
      <c r="J287" s="129"/>
      <c r="K287" s="126"/>
      <c r="L287" s="126"/>
      <c r="M287" s="126"/>
      <c r="N287" s="126"/>
      <c r="O287" s="164"/>
      <c r="P287" s="129"/>
      <c r="Q287" s="129"/>
      <c r="R287" s="129"/>
    </row>
    <row r="288">
      <c r="A288" s="166"/>
      <c r="B288" s="167"/>
      <c r="C288" s="129"/>
      <c r="D288" s="129"/>
      <c r="E288" s="129"/>
      <c r="F288" s="164"/>
      <c r="G288" s="164"/>
      <c r="H288" s="129"/>
      <c r="I288" s="129"/>
      <c r="J288" s="129"/>
      <c r="K288" s="126"/>
      <c r="L288" s="126"/>
      <c r="M288" s="126"/>
      <c r="N288" s="126"/>
      <c r="O288" s="164"/>
      <c r="P288" s="129"/>
      <c r="Q288" s="129"/>
      <c r="R288" s="129"/>
    </row>
    <row r="289">
      <c r="A289" s="166"/>
      <c r="B289" s="167"/>
      <c r="C289" s="129"/>
      <c r="D289" s="129"/>
      <c r="E289" s="129"/>
      <c r="F289" s="164"/>
      <c r="G289" s="164"/>
      <c r="H289" s="129"/>
      <c r="I289" s="129"/>
      <c r="J289" s="129"/>
      <c r="K289" s="126"/>
      <c r="L289" s="126"/>
      <c r="M289" s="126"/>
      <c r="N289" s="126"/>
      <c r="O289" s="164"/>
      <c r="P289" s="129"/>
      <c r="Q289" s="129"/>
      <c r="R289" s="129"/>
    </row>
    <row r="290">
      <c r="A290" s="166"/>
      <c r="B290" s="167"/>
      <c r="C290" s="129"/>
      <c r="D290" s="129"/>
      <c r="E290" s="129"/>
      <c r="F290" s="164"/>
      <c r="G290" s="164"/>
      <c r="H290" s="129"/>
      <c r="I290" s="129"/>
      <c r="J290" s="129"/>
      <c r="K290" s="126"/>
      <c r="L290" s="126"/>
      <c r="M290" s="126"/>
      <c r="N290" s="126"/>
      <c r="O290" s="164"/>
      <c r="P290" s="129"/>
      <c r="Q290" s="129"/>
      <c r="R290" s="129"/>
    </row>
    <row r="291">
      <c r="A291" s="166"/>
      <c r="B291" s="167"/>
      <c r="C291" s="129"/>
      <c r="D291" s="129"/>
      <c r="E291" s="129"/>
      <c r="F291" s="164"/>
      <c r="G291" s="164"/>
      <c r="H291" s="129"/>
      <c r="I291" s="129"/>
      <c r="J291" s="129"/>
      <c r="K291" s="126"/>
      <c r="L291" s="126"/>
      <c r="M291" s="126"/>
      <c r="N291" s="126"/>
      <c r="O291" s="164"/>
      <c r="P291" s="129"/>
      <c r="Q291" s="129"/>
      <c r="R291" s="129"/>
    </row>
    <row r="292">
      <c r="A292" s="166"/>
      <c r="B292" s="167"/>
      <c r="C292" s="129"/>
      <c r="D292" s="129"/>
      <c r="E292" s="129"/>
      <c r="F292" s="164"/>
      <c r="G292" s="164"/>
      <c r="H292" s="129"/>
      <c r="I292" s="129"/>
      <c r="J292" s="129"/>
      <c r="K292" s="126"/>
      <c r="L292" s="126"/>
      <c r="M292" s="126"/>
      <c r="N292" s="126"/>
      <c r="O292" s="164"/>
      <c r="P292" s="129"/>
      <c r="Q292" s="129"/>
      <c r="R292" s="129"/>
    </row>
    <row r="293">
      <c r="A293" s="166"/>
      <c r="B293" s="167"/>
      <c r="C293" s="129"/>
      <c r="D293" s="129"/>
      <c r="E293" s="129"/>
      <c r="F293" s="164"/>
      <c r="G293" s="164"/>
      <c r="H293" s="129"/>
      <c r="I293" s="129"/>
      <c r="J293" s="129"/>
      <c r="K293" s="126"/>
      <c r="L293" s="126"/>
      <c r="M293" s="126"/>
      <c r="N293" s="126"/>
      <c r="O293" s="164"/>
      <c r="P293" s="129"/>
      <c r="Q293" s="129"/>
      <c r="R293" s="129"/>
    </row>
    <row r="294">
      <c r="A294" s="166"/>
      <c r="B294" s="167"/>
      <c r="C294" s="129"/>
      <c r="D294" s="129"/>
      <c r="E294" s="129"/>
      <c r="F294" s="164"/>
      <c r="G294" s="164"/>
      <c r="H294" s="129"/>
      <c r="I294" s="129"/>
      <c r="J294" s="129"/>
      <c r="K294" s="126"/>
      <c r="L294" s="126"/>
      <c r="M294" s="126"/>
      <c r="N294" s="126"/>
      <c r="O294" s="164"/>
      <c r="P294" s="129"/>
      <c r="Q294" s="129"/>
      <c r="R294" s="129"/>
    </row>
    <row r="295">
      <c r="A295" s="166"/>
      <c r="B295" s="167"/>
      <c r="C295" s="129"/>
      <c r="D295" s="129"/>
      <c r="E295" s="129"/>
      <c r="F295" s="164"/>
      <c r="G295" s="164"/>
      <c r="H295" s="129"/>
      <c r="I295" s="129"/>
      <c r="J295" s="129"/>
      <c r="K295" s="126"/>
      <c r="L295" s="126"/>
      <c r="M295" s="126"/>
      <c r="N295" s="126"/>
      <c r="O295" s="164"/>
      <c r="P295" s="129"/>
      <c r="Q295" s="129"/>
      <c r="R295" s="129"/>
    </row>
    <row r="296">
      <c r="A296" s="166"/>
      <c r="B296" s="167"/>
      <c r="C296" s="129"/>
      <c r="D296" s="129"/>
      <c r="E296" s="129"/>
      <c r="F296" s="164"/>
      <c r="G296" s="164"/>
      <c r="H296" s="129"/>
      <c r="I296" s="129"/>
      <c r="J296" s="129"/>
      <c r="K296" s="126"/>
      <c r="L296" s="126"/>
      <c r="M296" s="126"/>
      <c r="N296" s="126"/>
      <c r="O296" s="164"/>
      <c r="P296" s="129"/>
      <c r="Q296" s="129"/>
      <c r="R296" s="129"/>
    </row>
    <row r="297">
      <c r="A297" s="166"/>
      <c r="B297" s="167"/>
      <c r="C297" s="129"/>
      <c r="D297" s="129"/>
      <c r="E297" s="129"/>
      <c r="F297" s="164"/>
      <c r="G297" s="164"/>
      <c r="H297" s="129"/>
      <c r="I297" s="129"/>
      <c r="J297" s="129"/>
      <c r="K297" s="126"/>
      <c r="L297" s="126"/>
      <c r="M297" s="126"/>
      <c r="N297" s="126"/>
      <c r="O297" s="164"/>
      <c r="P297" s="129"/>
      <c r="Q297" s="129"/>
      <c r="R297" s="129"/>
    </row>
    <row r="298">
      <c r="A298" s="166"/>
      <c r="B298" s="167"/>
      <c r="C298" s="129"/>
      <c r="D298" s="129"/>
      <c r="E298" s="129"/>
      <c r="F298" s="164"/>
      <c r="G298" s="164"/>
      <c r="H298" s="129"/>
      <c r="I298" s="129"/>
      <c r="J298" s="129"/>
      <c r="K298" s="126"/>
      <c r="L298" s="126"/>
      <c r="M298" s="126"/>
      <c r="N298" s="126"/>
      <c r="O298" s="164"/>
      <c r="P298" s="129"/>
      <c r="Q298" s="129"/>
      <c r="R298" s="129"/>
    </row>
    <row r="299">
      <c r="A299" s="166"/>
      <c r="B299" s="167"/>
      <c r="C299" s="129"/>
      <c r="D299" s="129"/>
      <c r="E299" s="129"/>
      <c r="F299" s="164"/>
      <c r="G299" s="164"/>
      <c r="H299" s="129"/>
      <c r="I299" s="129"/>
      <c r="J299" s="129"/>
      <c r="K299" s="126"/>
      <c r="L299" s="126"/>
      <c r="M299" s="126"/>
      <c r="N299" s="126"/>
      <c r="O299" s="164"/>
      <c r="P299" s="129"/>
      <c r="Q299" s="129"/>
      <c r="R299" s="129"/>
    </row>
    <row r="300">
      <c r="A300" s="166"/>
      <c r="B300" s="167"/>
      <c r="C300" s="129"/>
      <c r="D300" s="129"/>
      <c r="E300" s="129"/>
      <c r="F300" s="164"/>
      <c r="G300" s="164"/>
      <c r="H300" s="129"/>
      <c r="I300" s="129"/>
      <c r="J300" s="129"/>
      <c r="K300" s="126"/>
      <c r="L300" s="126"/>
      <c r="M300" s="126"/>
      <c r="N300" s="126"/>
      <c r="O300" s="164"/>
      <c r="P300" s="129"/>
      <c r="Q300" s="129"/>
      <c r="R300" s="129"/>
    </row>
    <row r="301">
      <c r="A301" s="166"/>
      <c r="B301" s="167"/>
      <c r="C301" s="129"/>
      <c r="D301" s="129"/>
      <c r="E301" s="129"/>
      <c r="F301" s="164"/>
      <c r="G301" s="164"/>
      <c r="H301" s="129"/>
      <c r="I301" s="129"/>
      <c r="J301" s="129"/>
      <c r="K301" s="126"/>
      <c r="L301" s="126"/>
      <c r="M301" s="126"/>
      <c r="N301" s="126"/>
      <c r="O301" s="164"/>
      <c r="P301" s="129"/>
      <c r="Q301" s="129"/>
      <c r="R301" s="129"/>
    </row>
    <row r="302">
      <c r="A302" s="166"/>
      <c r="B302" s="167"/>
      <c r="C302" s="129"/>
      <c r="D302" s="129"/>
      <c r="E302" s="129"/>
      <c r="F302" s="164"/>
      <c r="G302" s="164"/>
      <c r="H302" s="129"/>
      <c r="I302" s="129"/>
      <c r="J302" s="129"/>
      <c r="K302" s="126"/>
      <c r="L302" s="126"/>
      <c r="M302" s="126"/>
      <c r="N302" s="126"/>
      <c r="O302" s="164"/>
      <c r="P302" s="129"/>
      <c r="Q302" s="129"/>
      <c r="R302" s="129"/>
    </row>
    <row r="303">
      <c r="A303" s="166"/>
      <c r="B303" s="167"/>
      <c r="C303" s="129"/>
      <c r="D303" s="129"/>
      <c r="E303" s="129"/>
      <c r="F303" s="164"/>
      <c r="G303" s="164"/>
      <c r="H303" s="129"/>
      <c r="I303" s="129"/>
      <c r="J303" s="129"/>
      <c r="K303" s="126"/>
      <c r="L303" s="126"/>
      <c r="M303" s="126"/>
      <c r="N303" s="126"/>
      <c r="O303" s="164"/>
      <c r="P303" s="129"/>
      <c r="Q303" s="129"/>
      <c r="R303" s="129"/>
    </row>
    <row r="304">
      <c r="A304" s="166"/>
      <c r="B304" s="167"/>
      <c r="C304" s="129"/>
      <c r="D304" s="129"/>
      <c r="E304" s="129"/>
      <c r="F304" s="164"/>
      <c r="G304" s="164"/>
      <c r="H304" s="129"/>
      <c r="I304" s="129"/>
      <c r="J304" s="129"/>
      <c r="K304" s="126"/>
      <c r="L304" s="126"/>
      <c r="M304" s="126"/>
      <c r="N304" s="126"/>
      <c r="O304" s="164"/>
      <c r="P304" s="129"/>
      <c r="Q304" s="129"/>
      <c r="R304" s="129"/>
    </row>
    <row r="305">
      <c r="A305" s="166"/>
      <c r="B305" s="167"/>
      <c r="C305" s="129"/>
      <c r="D305" s="129"/>
      <c r="E305" s="129"/>
      <c r="F305" s="164"/>
      <c r="G305" s="164"/>
      <c r="H305" s="129"/>
      <c r="I305" s="129"/>
      <c r="J305" s="129"/>
      <c r="K305" s="126"/>
      <c r="L305" s="126"/>
      <c r="M305" s="126"/>
      <c r="N305" s="126"/>
      <c r="O305" s="164"/>
      <c r="P305" s="129"/>
      <c r="Q305" s="129"/>
      <c r="R305" s="129"/>
    </row>
    <row r="306">
      <c r="A306" s="166"/>
      <c r="B306" s="167"/>
      <c r="C306" s="129"/>
      <c r="D306" s="129"/>
      <c r="E306" s="129"/>
      <c r="F306" s="164"/>
      <c r="G306" s="164"/>
      <c r="H306" s="129"/>
      <c r="I306" s="129"/>
      <c r="J306" s="129"/>
      <c r="K306" s="126"/>
      <c r="L306" s="126"/>
      <c r="M306" s="126"/>
      <c r="N306" s="126"/>
      <c r="O306" s="164"/>
      <c r="P306" s="129"/>
      <c r="Q306" s="129"/>
      <c r="R306" s="129"/>
    </row>
    <row r="307">
      <c r="A307" s="166"/>
      <c r="B307" s="167"/>
      <c r="C307" s="129"/>
      <c r="D307" s="129"/>
      <c r="E307" s="129"/>
      <c r="F307" s="164"/>
      <c r="G307" s="164"/>
      <c r="H307" s="129"/>
      <c r="I307" s="129"/>
      <c r="J307" s="129"/>
      <c r="K307" s="126"/>
      <c r="L307" s="126"/>
      <c r="M307" s="126"/>
      <c r="N307" s="126"/>
      <c r="O307" s="164"/>
      <c r="P307" s="129"/>
      <c r="Q307" s="129"/>
      <c r="R307" s="129"/>
    </row>
    <row r="308">
      <c r="A308" s="166"/>
      <c r="B308" s="167"/>
      <c r="C308" s="129"/>
      <c r="D308" s="129"/>
      <c r="E308" s="129"/>
      <c r="F308" s="164"/>
      <c r="G308" s="164"/>
      <c r="H308" s="129"/>
      <c r="I308" s="129"/>
      <c r="J308" s="129"/>
      <c r="K308" s="126"/>
      <c r="L308" s="126"/>
      <c r="M308" s="126"/>
      <c r="N308" s="126"/>
      <c r="O308" s="164"/>
      <c r="P308" s="129"/>
      <c r="Q308" s="129"/>
      <c r="R308" s="129"/>
    </row>
    <row r="309">
      <c r="A309" s="166"/>
      <c r="B309" s="167"/>
      <c r="C309" s="129"/>
      <c r="D309" s="129"/>
      <c r="E309" s="129"/>
      <c r="F309" s="164"/>
      <c r="G309" s="164"/>
      <c r="H309" s="129"/>
      <c r="I309" s="129"/>
      <c r="J309" s="129"/>
      <c r="K309" s="126"/>
      <c r="L309" s="126"/>
      <c r="M309" s="126"/>
      <c r="N309" s="126"/>
      <c r="O309" s="164"/>
      <c r="P309" s="129"/>
      <c r="Q309" s="129"/>
      <c r="R309" s="129"/>
    </row>
    <row r="310">
      <c r="A310" s="166"/>
      <c r="B310" s="167"/>
      <c r="C310" s="129"/>
      <c r="D310" s="129"/>
      <c r="E310" s="129"/>
      <c r="F310" s="164"/>
      <c r="G310" s="164"/>
      <c r="H310" s="129"/>
      <c r="I310" s="129"/>
      <c r="J310" s="129"/>
      <c r="K310" s="126"/>
      <c r="L310" s="126"/>
      <c r="M310" s="126"/>
      <c r="N310" s="126"/>
      <c r="O310" s="164"/>
      <c r="P310" s="129"/>
      <c r="Q310" s="129"/>
      <c r="R310" s="129"/>
    </row>
    <row r="311">
      <c r="A311" s="166"/>
      <c r="B311" s="167"/>
      <c r="C311" s="129"/>
      <c r="D311" s="129"/>
      <c r="E311" s="129"/>
      <c r="F311" s="164"/>
      <c r="G311" s="164"/>
      <c r="H311" s="129"/>
      <c r="I311" s="129"/>
      <c r="J311" s="129"/>
      <c r="K311" s="126"/>
      <c r="L311" s="126"/>
      <c r="M311" s="126"/>
      <c r="N311" s="126"/>
      <c r="O311" s="164"/>
      <c r="P311" s="129"/>
      <c r="Q311" s="129"/>
      <c r="R311" s="129"/>
    </row>
    <row r="312">
      <c r="A312" s="166"/>
      <c r="B312" s="167"/>
      <c r="C312" s="129"/>
      <c r="D312" s="129"/>
      <c r="E312" s="129"/>
      <c r="F312" s="164"/>
      <c r="G312" s="164"/>
      <c r="H312" s="129"/>
      <c r="I312" s="129"/>
      <c r="J312" s="129"/>
      <c r="K312" s="126"/>
      <c r="L312" s="126"/>
      <c r="M312" s="126"/>
      <c r="N312" s="126"/>
      <c r="O312" s="164"/>
      <c r="P312" s="129"/>
      <c r="Q312" s="129"/>
      <c r="R312" s="129"/>
    </row>
    <row r="313">
      <c r="A313" s="166"/>
      <c r="B313" s="167"/>
      <c r="C313" s="129"/>
      <c r="D313" s="129"/>
      <c r="E313" s="129"/>
      <c r="F313" s="164"/>
      <c r="G313" s="164"/>
      <c r="H313" s="129"/>
      <c r="I313" s="129"/>
      <c r="J313" s="129"/>
      <c r="K313" s="126"/>
      <c r="L313" s="126"/>
      <c r="M313" s="126"/>
      <c r="N313" s="126"/>
      <c r="O313" s="164"/>
      <c r="P313" s="129"/>
      <c r="Q313" s="129"/>
      <c r="R313" s="129"/>
    </row>
    <row r="314">
      <c r="A314" s="166"/>
      <c r="B314" s="167"/>
      <c r="C314" s="129"/>
      <c r="D314" s="129"/>
      <c r="E314" s="129"/>
      <c r="F314" s="164"/>
      <c r="G314" s="164"/>
      <c r="H314" s="129"/>
      <c r="I314" s="129"/>
      <c r="J314" s="129"/>
      <c r="K314" s="126"/>
      <c r="L314" s="126"/>
      <c r="M314" s="126"/>
      <c r="N314" s="126"/>
      <c r="O314" s="164"/>
      <c r="P314" s="129"/>
      <c r="Q314" s="129"/>
      <c r="R314" s="129"/>
    </row>
    <row r="315">
      <c r="A315" s="166"/>
      <c r="B315" s="167"/>
      <c r="C315" s="129"/>
      <c r="D315" s="129"/>
      <c r="E315" s="129"/>
      <c r="F315" s="164"/>
      <c r="G315" s="164"/>
      <c r="H315" s="129"/>
      <c r="I315" s="129"/>
      <c r="J315" s="129"/>
      <c r="K315" s="126"/>
      <c r="L315" s="126"/>
      <c r="M315" s="126"/>
      <c r="N315" s="126"/>
      <c r="O315" s="164"/>
      <c r="P315" s="129"/>
      <c r="Q315" s="129"/>
      <c r="R315" s="129"/>
    </row>
    <row r="316">
      <c r="A316" s="166"/>
      <c r="B316" s="167"/>
      <c r="C316" s="129"/>
      <c r="D316" s="129"/>
      <c r="E316" s="129"/>
      <c r="F316" s="164"/>
      <c r="G316" s="164"/>
      <c r="H316" s="129"/>
      <c r="I316" s="129"/>
      <c r="J316" s="129"/>
      <c r="K316" s="126"/>
      <c r="L316" s="126"/>
      <c r="M316" s="126"/>
      <c r="N316" s="126"/>
      <c r="O316" s="164"/>
      <c r="P316" s="129"/>
      <c r="Q316" s="129"/>
      <c r="R316" s="129"/>
    </row>
    <row r="317">
      <c r="A317" s="166"/>
      <c r="B317" s="167"/>
      <c r="C317" s="129"/>
      <c r="D317" s="129"/>
      <c r="E317" s="129"/>
      <c r="F317" s="164"/>
      <c r="G317" s="164"/>
      <c r="H317" s="129"/>
      <c r="I317" s="129"/>
      <c r="J317" s="129"/>
      <c r="K317" s="126"/>
      <c r="L317" s="126"/>
      <c r="M317" s="126"/>
      <c r="N317" s="126"/>
      <c r="O317" s="164"/>
      <c r="P317" s="129"/>
      <c r="Q317" s="129"/>
      <c r="R317" s="129"/>
    </row>
    <row r="318">
      <c r="A318" s="166"/>
      <c r="B318" s="167"/>
      <c r="C318" s="129"/>
      <c r="D318" s="129"/>
      <c r="E318" s="129"/>
      <c r="F318" s="164"/>
      <c r="G318" s="164"/>
      <c r="H318" s="129"/>
      <c r="I318" s="129"/>
      <c r="J318" s="129"/>
      <c r="K318" s="126"/>
      <c r="L318" s="126"/>
      <c r="M318" s="126"/>
      <c r="N318" s="126"/>
      <c r="O318" s="164"/>
      <c r="P318" s="129"/>
      <c r="Q318" s="129"/>
      <c r="R318" s="129"/>
    </row>
    <row r="319">
      <c r="A319" s="166"/>
      <c r="B319" s="167"/>
      <c r="C319" s="129"/>
      <c r="D319" s="129"/>
      <c r="E319" s="129"/>
      <c r="F319" s="164"/>
      <c r="G319" s="164"/>
      <c r="H319" s="129"/>
      <c r="I319" s="129"/>
      <c r="J319" s="129"/>
      <c r="K319" s="126"/>
      <c r="L319" s="126"/>
      <c r="M319" s="126"/>
      <c r="N319" s="126"/>
      <c r="O319" s="164"/>
      <c r="P319" s="129"/>
      <c r="Q319" s="129"/>
      <c r="R319" s="129"/>
    </row>
    <row r="320">
      <c r="A320" s="166"/>
      <c r="B320" s="167"/>
      <c r="C320" s="129"/>
      <c r="D320" s="129"/>
      <c r="E320" s="129"/>
      <c r="F320" s="164"/>
      <c r="G320" s="164"/>
      <c r="H320" s="129"/>
      <c r="I320" s="129"/>
      <c r="J320" s="129"/>
      <c r="K320" s="126"/>
      <c r="L320" s="126"/>
      <c r="M320" s="126"/>
      <c r="N320" s="126"/>
      <c r="O320" s="164"/>
      <c r="P320" s="129"/>
      <c r="Q320" s="129"/>
      <c r="R320" s="129"/>
    </row>
    <row r="321">
      <c r="A321" s="166"/>
      <c r="B321" s="167"/>
      <c r="C321" s="129"/>
      <c r="D321" s="129"/>
      <c r="E321" s="129"/>
      <c r="F321" s="164"/>
      <c r="G321" s="164"/>
      <c r="H321" s="129"/>
      <c r="I321" s="129"/>
      <c r="J321" s="129"/>
      <c r="K321" s="126"/>
      <c r="L321" s="126"/>
      <c r="M321" s="126"/>
      <c r="N321" s="126"/>
      <c r="O321" s="164"/>
      <c r="P321" s="129"/>
      <c r="Q321" s="129"/>
      <c r="R321" s="129"/>
    </row>
    <row r="322">
      <c r="A322" s="166"/>
      <c r="B322" s="167"/>
      <c r="C322" s="129"/>
      <c r="D322" s="129"/>
      <c r="E322" s="129"/>
      <c r="F322" s="164"/>
      <c r="G322" s="164"/>
      <c r="H322" s="129"/>
      <c r="I322" s="129"/>
      <c r="J322" s="129"/>
      <c r="K322" s="126"/>
      <c r="L322" s="126"/>
      <c r="M322" s="126"/>
      <c r="N322" s="126"/>
      <c r="O322" s="164"/>
      <c r="P322" s="129"/>
      <c r="Q322" s="129"/>
      <c r="R322" s="129"/>
    </row>
    <row r="323">
      <c r="A323" s="166"/>
      <c r="B323" s="167"/>
      <c r="C323" s="129"/>
      <c r="D323" s="129"/>
      <c r="E323" s="129"/>
      <c r="F323" s="164"/>
      <c r="G323" s="164"/>
      <c r="H323" s="129"/>
      <c r="I323" s="129"/>
      <c r="J323" s="129"/>
      <c r="K323" s="126"/>
      <c r="L323" s="126"/>
      <c r="M323" s="126"/>
      <c r="N323" s="126"/>
      <c r="O323" s="164"/>
      <c r="P323" s="129"/>
      <c r="Q323" s="129"/>
      <c r="R323" s="129"/>
    </row>
    <row r="324">
      <c r="A324" s="166"/>
      <c r="B324" s="167"/>
      <c r="C324" s="129"/>
      <c r="D324" s="129"/>
      <c r="E324" s="129"/>
      <c r="F324" s="164"/>
      <c r="G324" s="164"/>
      <c r="H324" s="129"/>
      <c r="I324" s="129"/>
      <c r="J324" s="129"/>
      <c r="K324" s="126"/>
      <c r="L324" s="126"/>
      <c r="M324" s="126"/>
      <c r="N324" s="126"/>
      <c r="O324" s="164"/>
      <c r="P324" s="129"/>
      <c r="Q324" s="129"/>
      <c r="R324" s="129"/>
    </row>
    <row r="325">
      <c r="A325" s="166"/>
      <c r="B325" s="167"/>
      <c r="C325" s="129"/>
      <c r="D325" s="129"/>
      <c r="E325" s="129"/>
      <c r="F325" s="164"/>
      <c r="G325" s="164"/>
      <c r="H325" s="129"/>
      <c r="I325" s="129"/>
      <c r="J325" s="129"/>
      <c r="K325" s="126"/>
      <c r="L325" s="126"/>
      <c r="M325" s="126"/>
      <c r="N325" s="126"/>
      <c r="O325" s="164"/>
      <c r="P325" s="129"/>
      <c r="Q325" s="129"/>
      <c r="R325" s="129"/>
    </row>
    <row r="326">
      <c r="A326" s="166"/>
      <c r="B326" s="167"/>
      <c r="C326" s="129"/>
      <c r="D326" s="129"/>
      <c r="E326" s="129"/>
      <c r="F326" s="164"/>
      <c r="G326" s="164"/>
      <c r="H326" s="129"/>
      <c r="I326" s="129"/>
      <c r="J326" s="129"/>
      <c r="K326" s="126"/>
      <c r="L326" s="126"/>
      <c r="M326" s="126"/>
      <c r="N326" s="126"/>
      <c r="O326" s="164"/>
      <c r="P326" s="129"/>
      <c r="Q326" s="129"/>
      <c r="R326" s="129"/>
    </row>
    <row r="327">
      <c r="A327" s="166"/>
      <c r="B327" s="167"/>
      <c r="C327" s="129"/>
      <c r="D327" s="129"/>
      <c r="E327" s="129"/>
      <c r="F327" s="164"/>
      <c r="G327" s="164"/>
      <c r="H327" s="129"/>
      <c r="I327" s="129"/>
      <c r="J327" s="129"/>
      <c r="K327" s="126"/>
      <c r="L327" s="126"/>
      <c r="M327" s="126"/>
      <c r="N327" s="126"/>
      <c r="O327" s="164"/>
      <c r="P327" s="129"/>
      <c r="Q327" s="129"/>
      <c r="R327" s="129"/>
    </row>
    <row r="328">
      <c r="A328" s="166"/>
      <c r="B328" s="167"/>
      <c r="C328" s="129"/>
      <c r="D328" s="129"/>
      <c r="E328" s="129"/>
      <c r="F328" s="164"/>
      <c r="G328" s="164"/>
      <c r="H328" s="129"/>
      <c r="I328" s="129"/>
      <c r="J328" s="129"/>
      <c r="K328" s="126"/>
      <c r="L328" s="126"/>
      <c r="M328" s="126"/>
      <c r="N328" s="126"/>
      <c r="O328" s="164"/>
      <c r="P328" s="129"/>
      <c r="Q328" s="129"/>
      <c r="R328" s="129"/>
    </row>
    <row r="329">
      <c r="A329" s="166"/>
      <c r="B329" s="167"/>
      <c r="C329" s="129"/>
      <c r="D329" s="129"/>
      <c r="E329" s="129"/>
      <c r="F329" s="164"/>
      <c r="G329" s="164"/>
      <c r="H329" s="129"/>
      <c r="I329" s="129"/>
      <c r="J329" s="129"/>
      <c r="K329" s="126"/>
      <c r="L329" s="126"/>
      <c r="M329" s="126"/>
      <c r="N329" s="126"/>
      <c r="O329" s="164"/>
      <c r="P329" s="129"/>
      <c r="Q329" s="129"/>
      <c r="R329" s="129"/>
    </row>
    <row r="330">
      <c r="A330" s="166"/>
      <c r="B330" s="167"/>
      <c r="C330" s="129"/>
      <c r="D330" s="129"/>
      <c r="E330" s="129"/>
      <c r="F330" s="164"/>
      <c r="G330" s="164"/>
      <c r="H330" s="129"/>
      <c r="I330" s="129"/>
      <c r="J330" s="129"/>
      <c r="K330" s="126"/>
      <c r="L330" s="126"/>
      <c r="M330" s="126"/>
      <c r="N330" s="126"/>
      <c r="O330" s="164"/>
      <c r="P330" s="129"/>
      <c r="Q330" s="129"/>
      <c r="R330" s="129"/>
    </row>
    <row r="331">
      <c r="A331" s="166"/>
      <c r="B331" s="167"/>
      <c r="C331" s="129"/>
      <c r="D331" s="129"/>
      <c r="E331" s="129"/>
      <c r="F331" s="164"/>
      <c r="G331" s="164"/>
      <c r="H331" s="129"/>
      <c r="I331" s="129"/>
      <c r="J331" s="129"/>
      <c r="K331" s="126"/>
      <c r="L331" s="126"/>
      <c r="M331" s="126"/>
      <c r="N331" s="126"/>
      <c r="O331" s="164"/>
      <c r="P331" s="129"/>
      <c r="Q331" s="129"/>
      <c r="R331" s="129"/>
    </row>
    <row r="332">
      <c r="A332" s="166"/>
      <c r="B332" s="167"/>
      <c r="C332" s="129"/>
      <c r="D332" s="129"/>
      <c r="E332" s="129"/>
      <c r="F332" s="164"/>
      <c r="G332" s="164"/>
      <c r="H332" s="129"/>
      <c r="I332" s="129"/>
      <c r="J332" s="129"/>
      <c r="K332" s="126"/>
      <c r="L332" s="126"/>
      <c r="M332" s="126"/>
      <c r="N332" s="126"/>
      <c r="O332" s="164"/>
      <c r="P332" s="129"/>
      <c r="Q332" s="129"/>
      <c r="R332" s="129"/>
    </row>
    <row r="333">
      <c r="A333" s="166"/>
      <c r="B333" s="167"/>
      <c r="C333" s="129"/>
      <c r="D333" s="129"/>
      <c r="E333" s="129"/>
      <c r="F333" s="164"/>
      <c r="G333" s="164"/>
      <c r="H333" s="129"/>
      <c r="I333" s="129"/>
      <c r="J333" s="129"/>
      <c r="K333" s="126"/>
      <c r="L333" s="126"/>
      <c r="M333" s="126"/>
      <c r="N333" s="126"/>
      <c r="O333" s="164"/>
      <c r="P333" s="129"/>
      <c r="Q333" s="129"/>
      <c r="R333" s="129"/>
    </row>
    <row r="334">
      <c r="A334" s="166"/>
      <c r="B334" s="167"/>
      <c r="C334" s="129"/>
      <c r="D334" s="129"/>
      <c r="E334" s="129"/>
      <c r="F334" s="164"/>
      <c r="G334" s="164"/>
      <c r="H334" s="129"/>
      <c r="I334" s="129"/>
      <c r="J334" s="129"/>
      <c r="K334" s="126"/>
      <c r="L334" s="126"/>
      <c r="M334" s="126"/>
      <c r="N334" s="126"/>
      <c r="O334" s="164"/>
      <c r="P334" s="129"/>
      <c r="Q334" s="129"/>
      <c r="R334" s="129"/>
    </row>
    <row r="335">
      <c r="A335" s="166"/>
      <c r="B335" s="167"/>
      <c r="C335" s="129"/>
      <c r="D335" s="129"/>
      <c r="E335" s="129"/>
      <c r="F335" s="164"/>
      <c r="G335" s="164"/>
      <c r="H335" s="129"/>
      <c r="I335" s="129"/>
      <c r="J335" s="129"/>
      <c r="K335" s="126"/>
      <c r="L335" s="126"/>
      <c r="M335" s="126"/>
      <c r="N335" s="126"/>
      <c r="O335" s="164"/>
      <c r="P335" s="129"/>
      <c r="Q335" s="129"/>
      <c r="R335" s="129"/>
    </row>
    <row r="336">
      <c r="A336" s="166"/>
      <c r="B336" s="167"/>
      <c r="C336" s="129"/>
      <c r="D336" s="129"/>
      <c r="E336" s="129"/>
      <c r="F336" s="164"/>
      <c r="G336" s="164"/>
      <c r="H336" s="129"/>
      <c r="I336" s="129"/>
      <c r="J336" s="129"/>
      <c r="K336" s="126"/>
      <c r="L336" s="126"/>
      <c r="M336" s="126"/>
      <c r="N336" s="126"/>
      <c r="O336" s="164"/>
      <c r="P336" s="129"/>
      <c r="Q336" s="129"/>
      <c r="R336" s="129"/>
    </row>
    <row r="337">
      <c r="A337" s="166"/>
      <c r="B337" s="167"/>
      <c r="C337" s="129"/>
      <c r="D337" s="129"/>
      <c r="E337" s="129"/>
      <c r="F337" s="164"/>
      <c r="G337" s="164"/>
      <c r="H337" s="129"/>
      <c r="I337" s="129"/>
      <c r="J337" s="129"/>
      <c r="K337" s="126"/>
      <c r="L337" s="126"/>
      <c r="M337" s="126"/>
      <c r="N337" s="126"/>
      <c r="O337" s="164"/>
      <c r="P337" s="129"/>
      <c r="Q337" s="129"/>
      <c r="R337" s="129"/>
    </row>
    <row r="338">
      <c r="A338" s="166"/>
      <c r="B338" s="167"/>
      <c r="C338" s="129"/>
      <c r="D338" s="129"/>
      <c r="E338" s="129"/>
      <c r="F338" s="164"/>
      <c r="G338" s="164"/>
      <c r="H338" s="129"/>
      <c r="I338" s="129"/>
      <c r="J338" s="129"/>
      <c r="K338" s="126"/>
      <c r="L338" s="126"/>
      <c r="M338" s="126"/>
      <c r="N338" s="126"/>
      <c r="O338" s="164"/>
      <c r="P338" s="129"/>
      <c r="Q338" s="129"/>
      <c r="R338" s="129"/>
    </row>
    <row r="339">
      <c r="A339" s="166"/>
      <c r="B339" s="167"/>
      <c r="C339" s="129"/>
      <c r="D339" s="129"/>
      <c r="E339" s="129"/>
      <c r="F339" s="164"/>
      <c r="G339" s="164"/>
      <c r="H339" s="129"/>
      <c r="I339" s="129"/>
      <c r="J339" s="129"/>
      <c r="K339" s="126"/>
      <c r="L339" s="126"/>
      <c r="M339" s="126"/>
      <c r="N339" s="126"/>
      <c r="O339" s="164"/>
      <c r="P339" s="129"/>
      <c r="Q339" s="129"/>
      <c r="R339" s="129"/>
    </row>
    <row r="340">
      <c r="A340" s="166"/>
      <c r="B340" s="167"/>
      <c r="C340" s="129"/>
      <c r="D340" s="129"/>
      <c r="E340" s="129"/>
      <c r="F340" s="164"/>
      <c r="G340" s="164"/>
      <c r="H340" s="129"/>
      <c r="I340" s="129"/>
      <c r="J340" s="129"/>
      <c r="K340" s="126"/>
      <c r="L340" s="126"/>
      <c r="M340" s="126"/>
      <c r="N340" s="126"/>
      <c r="O340" s="164"/>
      <c r="P340" s="129"/>
      <c r="Q340" s="129"/>
      <c r="R340" s="129"/>
    </row>
    <row r="341">
      <c r="A341" s="166"/>
      <c r="B341" s="167"/>
      <c r="C341" s="129"/>
      <c r="D341" s="129"/>
      <c r="E341" s="129"/>
      <c r="F341" s="164"/>
      <c r="G341" s="164"/>
      <c r="H341" s="129"/>
      <c r="I341" s="129"/>
      <c r="J341" s="129"/>
      <c r="K341" s="126"/>
      <c r="L341" s="126"/>
      <c r="M341" s="126"/>
      <c r="N341" s="126"/>
      <c r="O341" s="164"/>
      <c r="P341" s="129"/>
      <c r="Q341" s="129"/>
      <c r="R341" s="129"/>
    </row>
    <row r="342">
      <c r="A342" s="166"/>
      <c r="B342" s="167"/>
      <c r="C342" s="129"/>
      <c r="D342" s="129"/>
      <c r="E342" s="129"/>
      <c r="F342" s="164"/>
      <c r="G342" s="164"/>
      <c r="H342" s="129"/>
      <c r="I342" s="129"/>
      <c r="J342" s="129"/>
      <c r="K342" s="126"/>
      <c r="L342" s="126"/>
      <c r="M342" s="126"/>
      <c r="N342" s="126"/>
      <c r="O342" s="164"/>
      <c r="P342" s="129"/>
      <c r="Q342" s="129"/>
      <c r="R342" s="129"/>
    </row>
    <row r="343">
      <c r="A343" s="166"/>
      <c r="B343" s="167"/>
      <c r="C343" s="129"/>
      <c r="D343" s="129"/>
      <c r="E343" s="129"/>
      <c r="F343" s="164"/>
      <c r="G343" s="164"/>
      <c r="H343" s="129"/>
      <c r="I343" s="129"/>
      <c r="J343" s="129"/>
      <c r="K343" s="126"/>
      <c r="L343" s="126"/>
      <c r="M343" s="126"/>
      <c r="N343" s="126"/>
      <c r="O343" s="164"/>
      <c r="P343" s="129"/>
      <c r="Q343" s="129"/>
      <c r="R343" s="129"/>
    </row>
    <row r="344">
      <c r="A344" s="166"/>
      <c r="B344" s="167"/>
      <c r="C344" s="129"/>
      <c r="D344" s="129"/>
      <c r="E344" s="129"/>
      <c r="F344" s="164"/>
      <c r="G344" s="164"/>
      <c r="H344" s="129"/>
      <c r="I344" s="129"/>
      <c r="J344" s="129"/>
      <c r="K344" s="126"/>
      <c r="L344" s="126"/>
      <c r="M344" s="126"/>
      <c r="N344" s="126"/>
      <c r="O344" s="164"/>
      <c r="P344" s="129"/>
      <c r="Q344" s="129"/>
      <c r="R344" s="129"/>
    </row>
    <row r="345">
      <c r="A345" s="166"/>
      <c r="B345" s="167"/>
      <c r="C345" s="129"/>
      <c r="D345" s="129"/>
      <c r="E345" s="129"/>
      <c r="F345" s="164"/>
      <c r="G345" s="164"/>
      <c r="H345" s="129"/>
      <c r="I345" s="129"/>
      <c r="J345" s="129"/>
      <c r="K345" s="126"/>
      <c r="L345" s="126"/>
      <c r="M345" s="126"/>
      <c r="N345" s="126"/>
      <c r="O345" s="164"/>
      <c r="P345" s="129"/>
      <c r="Q345" s="129"/>
      <c r="R345" s="129"/>
    </row>
    <row r="346">
      <c r="A346" s="166"/>
      <c r="B346" s="167"/>
      <c r="C346" s="129"/>
      <c r="D346" s="129"/>
      <c r="E346" s="129"/>
      <c r="F346" s="164"/>
      <c r="G346" s="164"/>
      <c r="H346" s="129"/>
      <c r="I346" s="129"/>
      <c r="J346" s="129"/>
      <c r="K346" s="126"/>
      <c r="L346" s="126"/>
      <c r="M346" s="126"/>
      <c r="N346" s="126"/>
      <c r="O346" s="164"/>
      <c r="P346" s="129"/>
      <c r="Q346" s="129"/>
      <c r="R346" s="129"/>
    </row>
    <row r="347">
      <c r="A347" s="166"/>
      <c r="B347" s="167"/>
      <c r="C347" s="129"/>
      <c r="D347" s="129"/>
      <c r="E347" s="129"/>
      <c r="F347" s="164"/>
      <c r="G347" s="164"/>
      <c r="H347" s="129"/>
      <c r="I347" s="129"/>
      <c r="J347" s="129"/>
      <c r="K347" s="126"/>
      <c r="L347" s="126"/>
      <c r="M347" s="126"/>
      <c r="N347" s="126"/>
      <c r="O347" s="164"/>
      <c r="P347" s="129"/>
      <c r="Q347" s="129"/>
      <c r="R347" s="129"/>
    </row>
    <row r="348">
      <c r="A348" s="166"/>
      <c r="B348" s="167"/>
      <c r="C348" s="129"/>
      <c r="D348" s="129"/>
      <c r="E348" s="129"/>
      <c r="F348" s="164"/>
      <c r="G348" s="164"/>
      <c r="H348" s="129"/>
      <c r="I348" s="129"/>
      <c r="J348" s="129"/>
      <c r="K348" s="126"/>
      <c r="L348" s="126"/>
      <c r="M348" s="126"/>
      <c r="N348" s="126"/>
      <c r="O348" s="164"/>
      <c r="P348" s="129"/>
      <c r="Q348" s="129"/>
      <c r="R348" s="129"/>
    </row>
    <row r="349">
      <c r="A349" s="166"/>
      <c r="B349" s="167"/>
      <c r="C349" s="129"/>
      <c r="D349" s="129"/>
      <c r="E349" s="129"/>
      <c r="F349" s="164"/>
      <c r="G349" s="164"/>
      <c r="H349" s="129"/>
      <c r="I349" s="129"/>
      <c r="J349" s="129"/>
      <c r="K349" s="126"/>
      <c r="L349" s="126"/>
      <c r="M349" s="126"/>
      <c r="N349" s="126"/>
      <c r="O349" s="164"/>
      <c r="P349" s="129"/>
      <c r="Q349" s="129"/>
      <c r="R349" s="129"/>
    </row>
    <row r="350">
      <c r="A350" s="166"/>
      <c r="B350" s="167"/>
      <c r="C350" s="129"/>
      <c r="D350" s="129"/>
      <c r="E350" s="129"/>
      <c r="F350" s="164"/>
      <c r="G350" s="164"/>
      <c r="H350" s="129"/>
      <c r="I350" s="129"/>
      <c r="J350" s="129"/>
      <c r="K350" s="126"/>
      <c r="L350" s="126"/>
      <c r="M350" s="126"/>
      <c r="N350" s="126"/>
      <c r="O350" s="164"/>
      <c r="P350" s="129"/>
      <c r="Q350" s="129"/>
      <c r="R350" s="129"/>
    </row>
    <row r="351">
      <c r="A351" s="166"/>
      <c r="B351" s="167"/>
      <c r="C351" s="129"/>
      <c r="D351" s="129"/>
      <c r="E351" s="129"/>
      <c r="F351" s="164"/>
      <c r="G351" s="164"/>
      <c r="H351" s="129"/>
      <c r="I351" s="129"/>
      <c r="J351" s="129"/>
      <c r="K351" s="126"/>
      <c r="L351" s="126"/>
      <c r="M351" s="126"/>
      <c r="N351" s="126"/>
      <c r="O351" s="164"/>
      <c r="P351" s="129"/>
      <c r="Q351" s="129"/>
      <c r="R351" s="129"/>
    </row>
    <row r="352">
      <c r="A352" s="166"/>
      <c r="B352" s="167"/>
      <c r="C352" s="129"/>
      <c r="D352" s="129"/>
      <c r="E352" s="129"/>
      <c r="F352" s="164"/>
      <c r="G352" s="164"/>
      <c r="H352" s="129"/>
      <c r="I352" s="129"/>
      <c r="J352" s="129"/>
      <c r="K352" s="126"/>
      <c r="L352" s="126"/>
      <c r="M352" s="126"/>
      <c r="N352" s="126"/>
      <c r="O352" s="164"/>
      <c r="P352" s="129"/>
      <c r="Q352" s="129"/>
      <c r="R352" s="129"/>
    </row>
    <row r="353">
      <c r="A353" s="166"/>
      <c r="B353" s="167"/>
      <c r="C353" s="129"/>
      <c r="D353" s="129"/>
      <c r="E353" s="129"/>
      <c r="F353" s="164"/>
      <c r="G353" s="164"/>
      <c r="H353" s="129"/>
      <c r="I353" s="129"/>
      <c r="J353" s="129"/>
      <c r="K353" s="126"/>
      <c r="L353" s="126"/>
      <c r="M353" s="126"/>
      <c r="N353" s="126"/>
      <c r="O353" s="164"/>
      <c r="P353" s="129"/>
      <c r="Q353" s="129"/>
      <c r="R353" s="129"/>
    </row>
    <row r="354">
      <c r="A354" s="166"/>
      <c r="B354" s="167"/>
      <c r="C354" s="129"/>
      <c r="D354" s="129"/>
      <c r="E354" s="129"/>
      <c r="F354" s="164"/>
      <c r="G354" s="164"/>
      <c r="H354" s="129"/>
      <c r="I354" s="129"/>
      <c r="J354" s="129"/>
      <c r="K354" s="126"/>
      <c r="L354" s="126"/>
      <c r="M354" s="126"/>
      <c r="N354" s="126"/>
      <c r="O354" s="164"/>
      <c r="P354" s="129"/>
      <c r="Q354" s="129"/>
      <c r="R354" s="129"/>
    </row>
    <row r="355">
      <c r="A355" s="166"/>
      <c r="B355" s="167"/>
      <c r="C355" s="129"/>
      <c r="D355" s="129"/>
      <c r="E355" s="129"/>
      <c r="F355" s="164"/>
      <c r="G355" s="164"/>
      <c r="H355" s="129"/>
      <c r="I355" s="129"/>
      <c r="J355" s="129"/>
      <c r="K355" s="126"/>
      <c r="L355" s="126"/>
      <c r="M355" s="126"/>
      <c r="N355" s="126"/>
      <c r="O355" s="164"/>
      <c r="P355" s="129"/>
      <c r="Q355" s="129"/>
      <c r="R355" s="129"/>
    </row>
    <row r="356">
      <c r="A356" s="166"/>
      <c r="B356" s="167"/>
      <c r="C356" s="129"/>
      <c r="D356" s="129"/>
      <c r="E356" s="129"/>
      <c r="F356" s="164"/>
      <c r="G356" s="164"/>
      <c r="H356" s="129"/>
      <c r="I356" s="129"/>
      <c r="J356" s="129"/>
      <c r="K356" s="126"/>
      <c r="L356" s="126"/>
      <c r="M356" s="126"/>
      <c r="N356" s="126"/>
      <c r="O356" s="164"/>
      <c r="P356" s="129"/>
      <c r="Q356" s="129"/>
      <c r="R356" s="129"/>
    </row>
    <row r="357">
      <c r="A357" s="166"/>
      <c r="B357" s="167"/>
      <c r="C357" s="129"/>
      <c r="D357" s="129"/>
      <c r="E357" s="129"/>
      <c r="F357" s="164"/>
      <c r="G357" s="164"/>
      <c r="H357" s="129"/>
      <c r="I357" s="129"/>
      <c r="J357" s="129"/>
      <c r="K357" s="126"/>
      <c r="L357" s="126"/>
      <c r="M357" s="126"/>
      <c r="N357" s="126"/>
      <c r="O357" s="164"/>
      <c r="P357" s="129"/>
      <c r="Q357" s="129"/>
      <c r="R357" s="129"/>
    </row>
    <row r="358">
      <c r="A358" s="166"/>
      <c r="B358" s="167"/>
      <c r="C358" s="129"/>
      <c r="D358" s="129"/>
      <c r="E358" s="129"/>
      <c r="F358" s="164"/>
      <c r="G358" s="164"/>
      <c r="H358" s="129"/>
      <c r="I358" s="129"/>
      <c r="J358" s="129"/>
      <c r="K358" s="126"/>
      <c r="L358" s="126"/>
      <c r="M358" s="126"/>
      <c r="N358" s="126"/>
      <c r="O358" s="164"/>
      <c r="P358" s="129"/>
      <c r="Q358" s="129"/>
      <c r="R358" s="129"/>
    </row>
    <row r="359">
      <c r="A359" s="166"/>
      <c r="B359" s="167"/>
      <c r="C359" s="129"/>
      <c r="D359" s="129"/>
      <c r="E359" s="129"/>
      <c r="F359" s="164"/>
      <c r="G359" s="164"/>
      <c r="H359" s="129"/>
      <c r="I359" s="129"/>
      <c r="J359" s="129"/>
      <c r="K359" s="126"/>
      <c r="L359" s="126"/>
      <c r="M359" s="126"/>
      <c r="N359" s="126"/>
      <c r="O359" s="164"/>
      <c r="P359" s="129"/>
      <c r="Q359" s="129"/>
      <c r="R359" s="129"/>
    </row>
    <row r="360">
      <c r="A360" s="166"/>
      <c r="B360" s="167"/>
      <c r="C360" s="129"/>
      <c r="D360" s="129"/>
      <c r="E360" s="129"/>
      <c r="F360" s="164"/>
      <c r="G360" s="164"/>
      <c r="H360" s="129"/>
      <c r="I360" s="129"/>
      <c r="J360" s="129"/>
      <c r="K360" s="126"/>
      <c r="L360" s="126"/>
      <c r="M360" s="126"/>
      <c r="N360" s="126"/>
      <c r="O360" s="164"/>
      <c r="P360" s="129"/>
      <c r="Q360" s="129"/>
      <c r="R360" s="129"/>
    </row>
    <row r="361">
      <c r="A361" s="166"/>
      <c r="B361" s="167"/>
      <c r="C361" s="129"/>
      <c r="D361" s="129"/>
      <c r="E361" s="129"/>
      <c r="F361" s="164"/>
      <c r="G361" s="164"/>
      <c r="H361" s="129"/>
      <c r="I361" s="129"/>
      <c r="J361" s="129"/>
      <c r="K361" s="126"/>
      <c r="L361" s="126"/>
      <c r="M361" s="126"/>
      <c r="N361" s="126"/>
      <c r="O361" s="164"/>
      <c r="P361" s="129"/>
      <c r="Q361" s="129"/>
      <c r="R361" s="129"/>
    </row>
    <row r="362">
      <c r="A362" s="166"/>
      <c r="B362" s="167"/>
      <c r="C362" s="129"/>
      <c r="D362" s="129"/>
      <c r="E362" s="129"/>
      <c r="F362" s="164"/>
      <c r="G362" s="164"/>
      <c r="H362" s="129"/>
      <c r="I362" s="129"/>
      <c r="J362" s="129"/>
      <c r="K362" s="126"/>
      <c r="L362" s="126"/>
      <c r="M362" s="126"/>
      <c r="N362" s="126"/>
      <c r="O362" s="164"/>
      <c r="P362" s="129"/>
      <c r="Q362" s="129"/>
      <c r="R362" s="129"/>
    </row>
    <row r="363">
      <c r="A363" s="166"/>
      <c r="B363" s="167"/>
      <c r="C363" s="129"/>
      <c r="D363" s="129"/>
      <c r="E363" s="129"/>
      <c r="F363" s="164"/>
      <c r="G363" s="164"/>
      <c r="H363" s="129"/>
      <c r="I363" s="129"/>
      <c r="J363" s="129"/>
      <c r="K363" s="126"/>
      <c r="L363" s="126"/>
      <c r="M363" s="126"/>
      <c r="N363" s="126"/>
      <c r="O363" s="164"/>
      <c r="P363" s="129"/>
      <c r="Q363" s="129"/>
      <c r="R363" s="129"/>
    </row>
    <row r="364">
      <c r="A364" s="166"/>
      <c r="B364" s="167"/>
      <c r="C364" s="129"/>
      <c r="D364" s="129"/>
      <c r="E364" s="129"/>
      <c r="F364" s="164"/>
      <c r="G364" s="164"/>
      <c r="H364" s="129"/>
      <c r="I364" s="129"/>
      <c r="J364" s="129"/>
      <c r="K364" s="126"/>
      <c r="L364" s="126"/>
      <c r="M364" s="126"/>
      <c r="N364" s="126"/>
      <c r="O364" s="164"/>
      <c r="P364" s="129"/>
      <c r="Q364" s="129"/>
      <c r="R364" s="129"/>
    </row>
    <row r="365">
      <c r="A365" s="166"/>
      <c r="B365" s="167"/>
      <c r="C365" s="129"/>
      <c r="D365" s="129"/>
      <c r="E365" s="129"/>
      <c r="F365" s="164"/>
      <c r="G365" s="164"/>
      <c r="H365" s="129"/>
      <c r="I365" s="129"/>
      <c r="J365" s="129"/>
      <c r="K365" s="126"/>
      <c r="L365" s="126"/>
      <c r="M365" s="126"/>
      <c r="N365" s="126"/>
      <c r="O365" s="164"/>
      <c r="P365" s="129"/>
      <c r="Q365" s="129"/>
      <c r="R365" s="129"/>
    </row>
    <row r="366">
      <c r="A366" s="166"/>
      <c r="B366" s="167"/>
      <c r="C366" s="129"/>
      <c r="D366" s="129"/>
      <c r="E366" s="129"/>
      <c r="F366" s="164"/>
      <c r="G366" s="164"/>
      <c r="H366" s="129"/>
      <c r="I366" s="129"/>
      <c r="J366" s="129"/>
      <c r="K366" s="126"/>
      <c r="L366" s="126"/>
      <c r="M366" s="126"/>
      <c r="N366" s="126"/>
      <c r="O366" s="164"/>
      <c r="P366" s="129"/>
      <c r="Q366" s="129"/>
      <c r="R366" s="129"/>
    </row>
    <row r="367">
      <c r="A367" s="166"/>
      <c r="B367" s="167"/>
      <c r="C367" s="129"/>
      <c r="D367" s="129"/>
      <c r="E367" s="129"/>
      <c r="F367" s="164"/>
      <c r="G367" s="164"/>
      <c r="H367" s="129"/>
      <c r="I367" s="129"/>
      <c r="J367" s="129"/>
      <c r="K367" s="126"/>
      <c r="L367" s="126"/>
      <c r="M367" s="126"/>
      <c r="N367" s="126"/>
      <c r="O367" s="164"/>
      <c r="P367" s="129"/>
      <c r="Q367" s="129"/>
      <c r="R367" s="129"/>
    </row>
    <row r="368">
      <c r="A368" s="166"/>
      <c r="B368" s="167"/>
      <c r="C368" s="129"/>
      <c r="D368" s="129"/>
      <c r="E368" s="129"/>
      <c r="F368" s="164"/>
      <c r="G368" s="164"/>
      <c r="H368" s="129"/>
      <c r="I368" s="129"/>
      <c r="J368" s="129"/>
      <c r="K368" s="126"/>
      <c r="L368" s="126"/>
      <c r="M368" s="126"/>
      <c r="N368" s="126"/>
      <c r="O368" s="164"/>
      <c r="P368" s="129"/>
      <c r="Q368" s="129"/>
      <c r="R368" s="129"/>
    </row>
    <row r="369">
      <c r="A369" s="166"/>
      <c r="B369" s="167"/>
      <c r="C369" s="129"/>
      <c r="D369" s="129"/>
      <c r="E369" s="129"/>
      <c r="F369" s="164"/>
      <c r="G369" s="164"/>
      <c r="H369" s="129"/>
      <c r="I369" s="129"/>
      <c r="J369" s="129"/>
      <c r="K369" s="126"/>
      <c r="L369" s="126"/>
      <c r="M369" s="126"/>
      <c r="N369" s="126"/>
      <c r="O369" s="164"/>
      <c r="P369" s="129"/>
      <c r="Q369" s="129"/>
      <c r="R369" s="129"/>
    </row>
    <row r="370">
      <c r="A370" s="166"/>
      <c r="B370" s="167"/>
      <c r="C370" s="129"/>
      <c r="D370" s="129"/>
      <c r="E370" s="129"/>
      <c r="F370" s="164"/>
      <c r="G370" s="164"/>
      <c r="H370" s="129"/>
      <c r="I370" s="129"/>
      <c r="J370" s="129"/>
      <c r="K370" s="126"/>
      <c r="L370" s="126"/>
      <c r="M370" s="126"/>
      <c r="N370" s="126"/>
      <c r="O370" s="164"/>
      <c r="P370" s="129"/>
      <c r="Q370" s="129"/>
      <c r="R370" s="129"/>
    </row>
    <row r="371">
      <c r="A371" s="166"/>
      <c r="B371" s="167"/>
      <c r="C371" s="129"/>
      <c r="D371" s="129"/>
      <c r="E371" s="129"/>
      <c r="F371" s="164"/>
      <c r="G371" s="164"/>
      <c r="H371" s="129"/>
      <c r="I371" s="129"/>
      <c r="J371" s="129"/>
      <c r="K371" s="126"/>
      <c r="L371" s="126"/>
      <c r="M371" s="126"/>
      <c r="N371" s="126"/>
      <c r="O371" s="164"/>
      <c r="P371" s="129"/>
      <c r="Q371" s="129"/>
      <c r="R371" s="129"/>
    </row>
    <row r="372">
      <c r="A372" s="166"/>
      <c r="B372" s="167"/>
      <c r="C372" s="129"/>
      <c r="D372" s="129"/>
      <c r="E372" s="129"/>
      <c r="F372" s="164"/>
      <c r="G372" s="164"/>
      <c r="H372" s="129"/>
      <c r="I372" s="129"/>
      <c r="J372" s="129"/>
      <c r="K372" s="126"/>
      <c r="L372" s="126"/>
      <c r="M372" s="126"/>
      <c r="N372" s="126"/>
      <c r="O372" s="164"/>
      <c r="P372" s="129"/>
      <c r="Q372" s="129"/>
      <c r="R372" s="129"/>
    </row>
    <row r="373">
      <c r="A373" s="166"/>
      <c r="B373" s="167"/>
      <c r="C373" s="129"/>
      <c r="D373" s="129"/>
      <c r="E373" s="129"/>
      <c r="F373" s="164"/>
      <c r="G373" s="164"/>
      <c r="H373" s="129"/>
      <c r="I373" s="129"/>
      <c r="J373" s="129"/>
      <c r="K373" s="126"/>
      <c r="L373" s="126"/>
      <c r="M373" s="126"/>
      <c r="N373" s="126"/>
      <c r="O373" s="164"/>
      <c r="P373" s="129"/>
      <c r="Q373" s="129"/>
      <c r="R373" s="129"/>
    </row>
    <row r="374">
      <c r="A374" s="166"/>
      <c r="B374" s="167"/>
      <c r="C374" s="129"/>
      <c r="D374" s="129"/>
      <c r="E374" s="129"/>
      <c r="F374" s="164"/>
      <c r="G374" s="164"/>
      <c r="H374" s="129"/>
      <c r="I374" s="129"/>
      <c r="J374" s="129"/>
      <c r="K374" s="126"/>
      <c r="L374" s="126"/>
      <c r="M374" s="126"/>
      <c r="N374" s="126"/>
      <c r="O374" s="164"/>
      <c r="P374" s="129"/>
      <c r="Q374" s="129"/>
      <c r="R374" s="129"/>
    </row>
    <row r="375">
      <c r="A375" s="166"/>
      <c r="B375" s="167"/>
      <c r="C375" s="129"/>
      <c r="D375" s="129"/>
      <c r="E375" s="129"/>
      <c r="F375" s="164"/>
      <c r="G375" s="164"/>
      <c r="H375" s="129"/>
      <c r="I375" s="129"/>
      <c r="J375" s="129"/>
      <c r="K375" s="126"/>
      <c r="L375" s="126"/>
      <c r="M375" s="126"/>
      <c r="N375" s="126"/>
      <c r="O375" s="164"/>
      <c r="P375" s="129"/>
      <c r="Q375" s="129"/>
      <c r="R375" s="129"/>
    </row>
    <row r="376">
      <c r="A376" s="166"/>
      <c r="B376" s="167"/>
      <c r="C376" s="129"/>
      <c r="D376" s="129"/>
      <c r="E376" s="129"/>
      <c r="F376" s="164"/>
      <c r="G376" s="164"/>
      <c r="H376" s="129"/>
      <c r="I376" s="129"/>
      <c r="J376" s="129"/>
      <c r="K376" s="126"/>
      <c r="L376" s="126"/>
      <c r="M376" s="126"/>
      <c r="N376" s="126"/>
      <c r="O376" s="164"/>
      <c r="P376" s="129"/>
      <c r="Q376" s="129"/>
      <c r="R376" s="129"/>
    </row>
    <row r="377">
      <c r="A377" s="166"/>
      <c r="B377" s="167"/>
      <c r="C377" s="129"/>
      <c r="D377" s="129"/>
      <c r="E377" s="129"/>
      <c r="F377" s="164"/>
      <c r="G377" s="164"/>
      <c r="H377" s="129"/>
      <c r="I377" s="129"/>
      <c r="J377" s="129"/>
      <c r="K377" s="126"/>
      <c r="L377" s="126"/>
      <c r="M377" s="126"/>
      <c r="N377" s="126"/>
      <c r="O377" s="164"/>
      <c r="P377" s="129"/>
      <c r="Q377" s="129"/>
      <c r="R377" s="129"/>
    </row>
    <row r="378">
      <c r="A378" s="166"/>
      <c r="B378" s="167"/>
      <c r="C378" s="129"/>
      <c r="D378" s="129"/>
      <c r="E378" s="129"/>
      <c r="F378" s="164"/>
      <c r="G378" s="164"/>
      <c r="H378" s="129"/>
      <c r="I378" s="129"/>
      <c r="J378" s="129"/>
      <c r="K378" s="126"/>
      <c r="L378" s="126"/>
      <c r="M378" s="126"/>
      <c r="N378" s="126"/>
      <c r="O378" s="164"/>
      <c r="P378" s="129"/>
      <c r="Q378" s="129"/>
      <c r="R378" s="129"/>
    </row>
    <row r="379">
      <c r="A379" s="166"/>
      <c r="B379" s="167"/>
      <c r="C379" s="129"/>
      <c r="D379" s="129"/>
      <c r="E379" s="129"/>
      <c r="F379" s="164"/>
      <c r="G379" s="164"/>
      <c r="H379" s="129"/>
      <c r="I379" s="129"/>
      <c r="J379" s="129"/>
      <c r="K379" s="126"/>
      <c r="L379" s="126"/>
      <c r="M379" s="126"/>
      <c r="N379" s="126"/>
      <c r="O379" s="164"/>
      <c r="P379" s="129"/>
      <c r="Q379" s="129"/>
      <c r="R379" s="129"/>
    </row>
    <row r="380">
      <c r="A380" s="166"/>
      <c r="B380" s="167"/>
      <c r="C380" s="129"/>
      <c r="D380" s="129"/>
      <c r="E380" s="129"/>
      <c r="F380" s="164"/>
      <c r="G380" s="164"/>
      <c r="H380" s="129"/>
      <c r="I380" s="129"/>
      <c r="J380" s="129"/>
      <c r="K380" s="126"/>
      <c r="L380" s="126"/>
      <c r="M380" s="126"/>
      <c r="N380" s="126"/>
      <c r="O380" s="164"/>
      <c r="P380" s="129"/>
      <c r="Q380" s="129"/>
      <c r="R380" s="129"/>
    </row>
    <row r="381">
      <c r="A381" s="166"/>
      <c r="B381" s="167"/>
      <c r="C381" s="129"/>
      <c r="D381" s="129"/>
      <c r="E381" s="129"/>
      <c r="F381" s="164"/>
      <c r="G381" s="164"/>
      <c r="H381" s="129"/>
      <c r="I381" s="129"/>
      <c r="J381" s="129"/>
      <c r="K381" s="126"/>
      <c r="L381" s="126"/>
      <c r="M381" s="126"/>
      <c r="N381" s="126"/>
      <c r="O381" s="164"/>
      <c r="P381" s="129"/>
      <c r="Q381" s="129"/>
      <c r="R381" s="129"/>
    </row>
    <row r="382">
      <c r="A382" s="166"/>
      <c r="B382" s="167"/>
      <c r="C382" s="129"/>
      <c r="D382" s="129"/>
      <c r="E382" s="129"/>
      <c r="F382" s="164"/>
      <c r="G382" s="164"/>
      <c r="H382" s="129"/>
      <c r="I382" s="129"/>
      <c r="J382" s="129"/>
      <c r="K382" s="126"/>
      <c r="L382" s="126"/>
      <c r="M382" s="126"/>
      <c r="N382" s="126"/>
      <c r="O382" s="164"/>
      <c r="P382" s="129"/>
      <c r="Q382" s="129"/>
      <c r="R382" s="129"/>
    </row>
    <row r="383">
      <c r="A383" s="166"/>
      <c r="B383" s="167"/>
      <c r="C383" s="129"/>
      <c r="D383" s="129"/>
      <c r="E383" s="129"/>
      <c r="F383" s="164"/>
      <c r="G383" s="164"/>
      <c r="H383" s="129"/>
      <c r="I383" s="129"/>
      <c r="J383" s="129"/>
      <c r="K383" s="126"/>
      <c r="L383" s="126"/>
      <c r="M383" s="126"/>
      <c r="N383" s="126"/>
      <c r="O383" s="164"/>
      <c r="P383" s="129"/>
      <c r="Q383" s="129"/>
      <c r="R383" s="129"/>
    </row>
    <row r="384">
      <c r="A384" s="166"/>
      <c r="B384" s="167"/>
      <c r="C384" s="129"/>
      <c r="D384" s="129"/>
      <c r="E384" s="129"/>
      <c r="F384" s="164"/>
      <c r="G384" s="164"/>
      <c r="H384" s="129"/>
      <c r="I384" s="129"/>
      <c r="J384" s="129"/>
      <c r="K384" s="126"/>
      <c r="L384" s="126"/>
      <c r="M384" s="126"/>
      <c r="N384" s="126"/>
      <c r="O384" s="164"/>
      <c r="P384" s="129"/>
      <c r="Q384" s="129"/>
      <c r="R384" s="129"/>
    </row>
    <row r="385">
      <c r="A385" s="166"/>
      <c r="B385" s="167"/>
      <c r="C385" s="129"/>
      <c r="D385" s="129"/>
      <c r="E385" s="129"/>
      <c r="F385" s="164"/>
      <c r="G385" s="164"/>
      <c r="H385" s="129"/>
      <c r="I385" s="129"/>
      <c r="J385" s="129"/>
      <c r="K385" s="126"/>
      <c r="L385" s="126"/>
      <c r="M385" s="126"/>
      <c r="N385" s="126"/>
      <c r="O385" s="164"/>
      <c r="P385" s="129"/>
      <c r="Q385" s="129"/>
      <c r="R385" s="129"/>
    </row>
    <row r="386">
      <c r="A386" s="166"/>
      <c r="B386" s="167"/>
      <c r="C386" s="129"/>
      <c r="D386" s="129"/>
      <c r="E386" s="129"/>
      <c r="F386" s="164"/>
      <c r="G386" s="164"/>
      <c r="H386" s="129"/>
      <c r="I386" s="129"/>
      <c r="J386" s="129"/>
      <c r="K386" s="126"/>
      <c r="L386" s="126"/>
      <c r="M386" s="126"/>
      <c r="N386" s="126"/>
      <c r="O386" s="164"/>
      <c r="P386" s="129"/>
      <c r="Q386" s="129"/>
      <c r="R386" s="129"/>
    </row>
    <row r="387">
      <c r="A387" s="166"/>
      <c r="B387" s="167"/>
      <c r="C387" s="129"/>
      <c r="D387" s="129"/>
      <c r="E387" s="129"/>
      <c r="F387" s="164"/>
      <c r="G387" s="164"/>
      <c r="H387" s="129"/>
      <c r="I387" s="129"/>
      <c r="J387" s="129"/>
      <c r="K387" s="126"/>
      <c r="L387" s="126"/>
      <c r="M387" s="126"/>
      <c r="N387" s="126"/>
      <c r="O387" s="164"/>
      <c r="P387" s="129"/>
      <c r="Q387" s="129"/>
      <c r="R387" s="129"/>
    </row>
    <row r="388">
      <c r="A388" s="166"/>
      <c r="B388" s="167"/>
      <c r="C388" s="129"/>
      <c r="D388" s="129"/>
      <c r="E388" s="129"/>
      <c r="F388" s="164"/>
      <c r="G388" s="164"/>
      <c r="H388" s="129"/>
      <c r="I388" s="129"/>
      <c r="J388" s="129"/>
      <c r="K388" s="126"/>
      <c r="L388" s="126"/>
      <c r="M388" s="126"/>
      <c r="N388" s="126"/>
      <c r="O388" s="164"/>
      <c r="P388" s="129"/>
      <c r="Q388" s="129"/>
      <c r="R388" s="129"/>
    </row>
    <row r="389">
      <c r="A389" s="166"/>
      <c r="B389" s="167"/>
      <c r="C389" s="129"/>
      <c r="D389" s="129"/>
      <c r="E389" s="129"/>
      <c r="F389" s="164"/>
      <c r="G389" s="164"/>
      <c r="H389" s="129"/>
      <c r="I389" s="129"/>
      <c r="J389" s="129"/>
      <c r="K389" s="126"/>
      <c r="L389" s="126"/>
      <c r="M389" s="126"/>
      <c r="N389" s="126"/>
      <c r="O389" s="164"/>
      <c r="P389" s="129"/>
      <c r="Q389" s="129"/>
      <c r="R389" s="129"/>
    </row>
    <row r="390">
      <c r="A390" s="166"/>
      <c r="B390" s="167"/>
      <c r="C390" s="129"/>
      <c r="D390" s="129"/>
      <c r="E390" s="129"/>
      <c r="F390" s="164"/>
      <c r="G390" s="164"/>
      <c r="H390" s="129"/>
      <c r="I390" s="129"/>
      <c r="J390" s="129"/>
      <c r="K390" s="126"/>
      <c r="L390" s="126"/>
      <c r="M390" s="126"/>
      <c r="N390" s="126"/>
      <c r="O390" s="164"/>
      <c r="P390" s="129"/>
      <c r="Q390" s="129"/>
      <c r="R390" s="129"/>
    </row>
    <row r="391">
      <c r="A391" s="166"/>
      <c r="B391" s="167"/>
      <c r="C391" s="129"/>
      <c r="D391" s="129"/>
      <c r="E391" s="129"/>
      <c r="F391" s="164"/>
      <c r="G391" s="164"/>
      <c r="H391" s="129"/>
      <c r="I391" s="129"/>
      <c r="J391" s="129"/>
      <c r="K391" s="126"/>
      <c r="L391" s="126"/>
      <c r="M391" s="126"/>
      <c r="N391" s="126"/>
      <c r="O391" s="164"/>
      <c r="P391" s="129"/>
      <c r="Q391" s="129"/>
      <c r="R391" s="129"/>
    </row>
    <row r="392">
      <c r="A392" s="166"/>
      <c r="B392" s="167"/>
      <c r="C392" s="129"/>
      <c r="D392" s="129"/>
      <c r="E392" s="129"/>
      <c r="F392" s="164"/>
      <c r="G392" s="164"/>
      <c r="H392" s="129"/>
      <c r="I392" s="129"/>
      <c r="J392" s="129"/>
      <c r="K392" s="126"/>
      <c r="L392" s="126"/>
      <c r="M392" s="126"/>
      <c r="N392" s="126"/>
      <c r="O392" s="164"/>
      <c r="P392" s="129"/>
      <c r="Q392" s="129"/>
      <c r="R392" s="129"/>
    </row>
    <row r="393">
      <c r="A393" s="166"/>
      <c r="B393" s="167"/>
      <c r="C393" s="129"/>
      <c r="D393" s="129"/>
      <c r="E393" s="129"/>
      <c r="F393" s="164"/>
      <c r="G393" s="164"/>
      <c r="H393" s="129"/>
      <c r="I393" s="129"/>
      <c r="J393" s="129"/>
      <c r="K393" s="126"/>
      <c r="L393" s="126"/>
      <c r="M393" s="126"/>
      <c r="N393" s="126"/>
      <c r="O393" s="164"/>
      <c r="P393" s="129"/>
      <c r="Q393" s="129"/>
      <c r="R393" s="129"/>
    </row>
    <row r="394">
      <c r="A394" s="166"/>
      <c r="B394" s="167"/>
      <c r="C394" s="129"/>
      <c r="D394" s="129"/>
      <c r="E394" s="129"/>
      <c r="F394" s="164"/>
      <c r="G394" s="164"/>
      <c r="H394" s="129"/>
      <c r="I394" s="129"/>
      <c r="J394" s="129"/>
      <c r="K394" s="126"/>
      <c r="L394" s="126"/>
      <c r="M394" s="126"/>
      <c r="N394" s="126"/>
      <c r="O394" s="164"/>
      <c r="P394" s="129"/>
      <c r="Q394" s="129"/>
      <c r="R394" s="129"/>
    </row>
    <row r="395">
      <c r="A395" s="166"/>
      <c r="B395" s="167"/>
      <c r="C395" s="129"/>
      <c r="D395" s="129"/>
      <c r="E395" s="129"/>
      <c r="F395" s="164"/>
      <c r="G395" s="164"/>
      <c r="H395" s="129"/>
      <c r="I395" s="129"/>
      <c r="J395" s="129"/>
      <c r="K395" s="126"/>
      <c r="L395" s="126"/>
      <c r="M395" s="126"/>
      <c r="N395" s="126"/>
      <c r="O395" s="164"/>
      <c r="P395" s="129"/>
      <c r="Q395" s="129"/>
      <c r="R395" s="129"/>
    </row>
    <row r="396">
      <c r="A396" s="166"/>
      <c r="B396" s="167"/>
      <c r="C396" s="129"/>
      <c r="D396" s="129"/>
      <c r="E396" s="129"/>
      <c r="F396" s="164"/>
      <c r="G396" s="164"/>
      <c r="H396" s="129"/>
      <c r="I396" s="129"/>
      <c r="J396" s="129"/>
      <c r="K396" s="126"/>
      <c r="L396" s="126"/>
      <c r="M396" s="126"/>
      <c r="N396" s="126"/>
      <c r="O396" s="164"/>
      <c r="P396" s="129"/>
      <c r="Q396" s="129"/>
      <c r="R396" s="129"/>
    </row>
    <row r="397">
      <c r="A397" s="166"/>
      <c r="B397" s="167"/>
      <c r="C397" s="129"/>
      <c r="D397" s="129"/>
      <c r="E397" s="129"/>
      <c r="F397" s="164"/>
      <c r="G397" s="164"/>
      <c r="H397" s="129"/>
      <c r="I397" s="129"/>
      <c r="J397" s="129"/>
      <c r="K397" s="126"/>
      <c r="L397" s="126"/>
      <c r="M397" s="126"/>
      <c r="N397" s="126"/>
      <c r="O397" s="164"/>
      <c r="P397" s="129"/>
      <c r="Q397" s="129"/>
      <c r="R397" s="129"/>
    </row>
    <row r="398">
      <c r="A398" s="166"/>
      <c r="B398" s="167"/>
      <c r="C398" s="129"/>
      <c r="D398" s="129"/>
      <c r="E398" s="129"/>
      <c r="F398" s="164"/>
      <c r="G398" s="164"/>
      <c r="H398" s="129"/>
      <c r="I398" s="129"/>
      <c r="J398" s="129"/>
      <c r="K398" s="126"/>
      <c r="L398" s="126"/>
      <c r="M398" s="126"/>
      <c r="N398" s="126"/>
      <c r="O398" s="164"/>
      <c r="P398" s="129"/>
      <c r="Q398" s="129"/>
      <c r="R398" s="129"/>
    </row>
    <row r="399">
      <c r="A399" s="166"/>
      <c r="B399" s="167"/>
      <c r="C399" s="129"/>
      <c r="D399" s="129"/>
      <c r="E399" s="129"/>
      <c r="F399" s="164"/>
      <c r="G399" s="164"/>
      <c r="H399" s="129"/>
      <c r="I399" s="129"/>
      <c r="J399" s="129"/>
      <c r="K399" s="126"/>
      <c r="L399" s="126"/>
      <c r="M399" s="126"/>
      <c r="N399" s="126"/>
      <c r="O399" s="164"/>
      <c r="P399" s="129"/>
      <c r="Q399" s="129"/>
      <c r="R399" s="129"/>
    </row>
    <row r="400">
      <c r="A400" s="166"/>
      <c r="B400" s="167"/>
      <c r="C400" s="129"/>
      <c r="D400" s="129"/>
      <c r="E400" s="129"/>
      <c r="F400" s="164"/>
      <c r="G400" s="164"/>
      <c r="H400" s="129"/>
      <c r="I400" s="129"/>
      <c r="J400" s="129"/>
      <c r="K400" s="126"/>
      <c r="L400" s="126"/>
      <c r="M400" s="126"/>
      <c r="N400" s="126"/>
      <c r="O400" s="164"/>
      <c r="P400" s="129"/>
      <c r="Q400" s="129"/>
      <c r="R400" s="129"/>
    </row>
    <row r="401">
      <c r="A401" s="166"/>
      <c r="B401" s="167"/>
      <c r="C401" s="129"/>
      <c r="D401" s="129"/>
      <c r="E401" s="129"/>
      <c r="F401" s="164"/>
      <c r="G401" s="164"/>
      <c r="H401" s="129"/>
      <c r="I401" s="129"/>
      <c r="J401" s="129"/>
      <c r="K401" s="126"/>
      <c r="L401" s="126"/>
      <c r="M401" s="126"/>
      <c r="N401" s="126"/>
      <c r="O401" s="164"/>
      <c r="P401" s="129"/>
      <c r="Q401" s="129"/>
      <c r="R401" s="129"/>
    </row>
    <row r="402">
      <c r="A402" s="166"/>
      <c r="B402" s="167"/>
      <c r="C402" s="129"/>
      <c r="D402" s="129"/>
      <c r="E402" s="129"/>
      <c r="F402" s="164"/>
      <c r="G402" s="164"/>
      <c r="H402" s="129"/>
      <c r="I402" s="129"/>
      <c r="J402" s="129"/>
      <c r="K402" s="126"/>
      <c r="L402" s="126"/>
      <c r="M402" s="126"/>
      <c r="N402" s="126"/>
      <c r="O402" s="164"/>
      <c r="P402" s="129"/>
      <c r="Q402" s="129"/>
      <c r="R402" s="129"/>
    </row>
    <row r="403">
      <c r="A403" s="166"/>
      <c r="B403" s="167"/>
      <c r="C403" s="129"/>
      <c r="D403" s="129"/>
      <c r="E403" s="129"/>
      <c r="F403" s="164"/>
      <c r="G403" s="164"/>
      <c r="H403" s="129"/>
      <c r="I403" s="129"/>
      <c r="J403" s="129"/>
      <c r="K403" s="126"/>
      <c r="L403" s="126"/>
      <c r="M403" s="126"/>
      <c r="N403" s="126"/>
      <c r="O403" s="164"/>
      <c r="P403" s="129"/>
      <c r="Q403" s="129"/>
      <c r="R403" s="129"/>
    </row>
    <row r="404">
      <c r="A404" s="166"/>
      <c r="B404" s="167"/>
      <c r="C404" s="129"/>
      <c r="D404" s="129"/>
      <c r="E404" s="129"/>
      <c r="F404" s="164"/>
      <c r="G404" s="164"/>
      <c r="H404" s="129"/>
      <c r="I404" s="129"/>
      <c r="J404" s="129"/>
      <c r="K404" s="126"/>
      <c r="L404" s="126"/>
      <c r="M404" s="126"/>
      <c r="N404" s="126"/>
      <c r="O404" s="164"/>
      <c r="P404" s="129"/>
      <c r="Q404" s="129"/>
      <c r="R404" s="129"/>
    </row>
    <row r="405">
      <c r="A405" s="166"/>
      <c r="B405" s="167"/>
      <c r="C405" s="129"/>
      <c r="D405" s="129"/>
      <c r="E405" s="129"/>
      <c r="F405" s="164"/>
      <c r="G405" s="164"/>
      <c r="H405" s="129"/>
      <c r="I405" s="129"/>
      <c r="J405" s="129"/>
      <c r="K405" s="126"/>
      <c r="L405" s="126"/>
      <c r="M405" s="126"/>
      <c r="N405" s="126"/>
      <c r="O405" s="164"/>
      <c r="P405" s="129"/>
      <c r="Q405" s="129"/>
      <c r="R405" s="129"/>
    </row>
    <row r="406">
      <c r="A406" s="166"/>
      <c r="B406" s="167"/>
      <c r="C406" s="129"/>
      <c r="D406" s="129"/>
      <c r="E406" s="129"/>
      <c r="F406" s="164"/>
      <c r="G406" s="164"/>
      <c r="H406" s="129"/>
      <c r="I406" s="129"/>
      <c r="J406" s="129"/>
      <c r="K406" s="126"/>
      <c r="L406" s="126"/>
      <c r="M406" s="126"/>
      <c r="N406" s="126"/>
      <c r="O406" s="164"/>
      <c r="P406" s="129"/>
      <c r="Q406" s="129"/>
      <c r="R406" s="129"/>
    </row>
    <row r="407">
      <c r="A407" s="166"/>
      <c r="B407" s="167"/>
      <c r="C407" s="129"/>
      <c r="D407" s="129"/>
      <c r="E407" s="129"/>
      <c r="F407" s="164"/>
      <c r="G407" s="164"/>
      <c r="H407" s="129"/>
      <c r="I407" s="129"/>
      <c r="J407" s="129"/>
      <c r="K407" s="126"/>
      <c r="L407" s="126"/>
      <c r="M407" s="126"/>
      <c r="N407" s="126"/>
      <c r="O407" s="164"/>
      <c r="P407" s="129"/>
      <c r="Q407" s="129"/>
      <c r="R407" s="129"/>
    </row>
    <row r="408">
      <c r="A408" s="166"/>
      <c r="B408" s="167"/>
      <c r="C408" s="129"/>
      <c r="D408" s="129"/>
      <c r="E408" s="129"/>
      <c r="F408" s="164"/>
      <c r="G408" s="164"/>
      <c r="H408" s="129"/>
      <c r="I408" s="129"/>
      <c r="J408" s="129"/>
      <c r="K408" s="126"/>
      <c r="L408" s="126"/>
      <c r="M408" s="126"/>
      <c r="N408" s="126"/>
      <c r="O408" s="164"/>
      <c r="P408" s="129"/>
      <c r="Q408" s="129"/>
      <c r="R408" s="129"/>
    </row>
    <row r="409">
      <c r="A409" s="166"/>
      <c r="B409" s="167"/>
      <c r="C409" s="129"/>
      <c r="D409" s="129"/>
      <c r="E409" s="129"/>
      <c r="F409" s="164"/>
      <c r="G409" s="164"/>
      <c r="H409" s="129"/>
      <c r="I409" s="129"/>
      <c r="J409" s="129"/>
      <c r="K409" s="126"/>
      <c r="L409" s="126"/>
      <c r="M409" s="126"/>
      <c r="N409" s="126"/>
      <c r="O409" s="164"/>
      <c r="P409" s="129"/>
      <c r="Q409" s="129"/>
      <c r="R409" s="129"/>
    </row>
    <row r="410">
      <c r="A410" s="166"/>
      <c r="B410" s="167"/>
      <c r="C410" s="129"/>
      <c r="D410" s="129"/>
      <c r="E410" s="129"/>
      <c r="F410" s="164"/>
      <c r="G410" s="164"/>
      <c r="H410" s="129"/>
      <c r="I410" s="129"/>
      <c r="J410" s="129"/>
      <c r="K410" s="126"/>
      <c r="L410" s="126"/>
      <c r="M410" s="126"/>
      <c r="N410" s="126"/>
      <c r="O410" s="164"/>
      <c r="P410" s="129"/>
      <c r="Q410" s="129"/>
      <c r="R410" s="129"/>
    </row>
    <row r="411">
      <c r="A411" s="166"/>
      <c r="B411" s="167"/>
      <c r="C411" s="129"/>
      <c r="D411" s="129"/>
      <c r="E411" s="129"/>
      <c r="F411" s="164"/>
      <c r="G411" s="164"/>
      <c r="H411" s="129"/>
      <c r="I411" s="129"/>
      <c r="J411" s="129"/>
      <c r="K411" s="126"/>
      <c r="L411" s="126"/>
      <c r="M411" s="126"/>
      <c r="N411" s="126"/>
      <c r="O411" s="164"/>
      <c r="P411" s="129"/>
      <c r="Q411" s="129"/>
      <c r="R411" s="129"/>
    </row>
    <row r="412">
      <c r="A412" s="166"/>
      <c r="B412" s="167"/>
      <c r="C412" s="129"/>
      <c r="D412" s="129"/>
      <c r="E412" s="129"/>
      <c r="F412" s="164"/>
      <c r="G412" s="164"/>
      <c r="H412" s="129"/>
      <c r="I412" s="129"/>
      <c r="J412" s="129"/>
      <c r="K412" s="126"/>
      <c r="L412" s="126"/>
      <c r="M412" s="126"/>
      <c r="N412" s="126"/>
      <c r="O412" s="164"/>
      <c r="P412" s="129"/>
      <c r="Q412" s="129"/>
      <c r="R412" s="129"/>
    </row>
    <row r="413">
      <c r="A413" s="166"/>
      <c r="B413" s="167"/>
      <c r="C413" s="129"/>
      <c r="D413" s="129"/>
      <c r="E413" s="129"/>
      <c r="F413" s="164"/>
      <c r="G413" s="164"/>
      <c r="H413" s="129"/>
      <c r="I413" s="129"/>
      <c r="J413" s="129"/>
      <c r="K413" s="126"/>
      <c r="L413" s="126"/>
      <c r="M413" s="126"/>
      <c r="N413" s="126"/>
      <c r="O413" s="164"/>
      <c r="P413" s="129"/>
      <c r="Q413" s="129"/>
      <c r="R413" s="129"/>
    </row>
    <row r="414">
      <c r="A414" s="166"/>
      <c r="B414" s="167"/>
      <c r="C414" s="129"/>
      <c r="D414" s="129"/>
      <c r="E414" s="129"/>
      <c r="F414" s="164"/>
      <c r="G414" s="164"/>
      <c r="H414" s="129"/>
      <c r="I414" s="129"/>
      <c r="J414" s="129"/>
      <c r="K414" s="126"/>
      <c r="L414" s="126"/>
      <c r="M414" s="126"/>
      <c r="N414" s="126"/>
      <c r="O414" s="164"/>
      <c r="P414" s="129"/>
      <c r="Q414" s="129"/>
      <c r="R414" s="129"/>
    </row>
    <row r="415">
      <c r="A415" s="166"/>
      <c r="B415" s="167"/>
      <c r="C415" s="129"/>
      <c r="D415" s="129"/>
      <c r="E415" s="129"/>
      <c r="F415" s="164"/>
      <c r="G415" s="164"/>
      <c r="H415" s="129"/>
      <c r="I415" s="129"/>
      <c r="J415" s="129"/>
      <c r="K415" s="126"/>
      <c r="L415" s="126"/>
      <c r="M415" s="126"/>
      <c r="N415" s="126"/>
      <c r="O415" s="164"/>
      <c r="P415" s="129"/>
      <c r="Q415" s="129"/>
      <c r="R415" s="129"/>
    </row>
    <row r="416">
      <c r="A416" s="166"/>
      <c r="B416" s="167"/>
      <c r="C416" s="129"/>
      <c r="D416" s="129"/>
      <c r="E416" s="129"/>
      <c r="F416" s="164"/>
      <c r="G416" s="164"/>
      <c r="H416" s="129"/>
      <c r="I416" s="129"/>
      <c r="J416" s="129"/>
      <c r="K416" s="126"/>
      <c r="L416" s="126"/>
      <c r="M416" s="126"/>
      <c r="N416" s="126"/>
      <c r="O416" s="164"/>
      <c r="P416" s="129"/>
      <c r="Q416" s="129"/>
      <c r="R416" s="129"/>
    </row>
    <row r="417">
      <c r="A417" s="166"/>
      <c r="B417" s="167"/>
      <c r="C417" s="129"/>
      <c r="D417" s="129"/>
      <c r="E417" s="129"/>
      <c r="F417" s="164"/>
      <c r="G417" s="164"/>
      <c r="H417" s="129"/>
      <c r="I417" s="129"/>
      <c r="J417" s="129"/>
      <c r="K417" s="126"/>
      <c r="L417" s="126"/>
      <c r="M417" s="126"/>
      <c r="N417" s="126"/>
      <c r="O417" s="164"/>
      <c r="P417" s="129"/>
      <c r="Q417" s="129"/>
      <c r="R417" s="129"/>
    </row>
    <row r="418">
      <c r="A418" s="166"/>
      <c r="B418" s="167"/>
      <c r="C418" s="129"/>
      <c r="D418" s="129"/>
      <c r="E418" s="129"/>
      <c r="F418" s="164"/>
      <c r="G418" s="164"/>
      <c r="H418" s="129"/>
      <c r="I418" s="129"/>
      <c r="J418" s="129"/>
      <c r="K418" s="126"/>
      <c r="L418" s="126"/>
      <c r="M418" s="126"/>
      <c r="N418" s="126"/>
      <c r="O418" s="164"/>
      <c r="P418" s="129"/>
      <c r="Q418" s="129"/>
      <c r="R418" s="129"/>
    </row>
    <row r="419">
      <c r="A419" s="166"/>
      <c r="B419" s="167"/>
      <c r="C419" s="129"/>
      <c r="D419" s="129"/>
      <c r="E419" s="129"/>
      <c r="F419" s="164"/>
      <c r="G419" s="164"/>
      <c r="H419" s="129"/>
      <c r="I419" s="129"/>
      <c r="J419" s="129"/>
      <c r="K419" s="126"/>
      <c r="L419" s="126"/>
      <c r="M419" s="126"/>
      <c r="N419" s="126"/>
      <c r="O419" s="164"/>
      <c r="P419" s="129"/>
      <c r="Q419" s="129"/>
      <c r="R419" s="129"/>
    </row>
    <row r="420">
      <c r="A420" s="166"/>
      <c r="B420" s="167"/>
      <c r="C420" s="129"/>
      <c r="D420" s="129"/>
      <c r="E420" s="129"/>
      <c r="F420" s="164"/>
      <c r="G420" s="164"/>
      <c r="H420" s="129"/>
      <c r="I420" s="129"/>
      <c r="J420" s="129"/>
      <c r="K420" s="126"/>
      <c r="L420" s="126"/>
      <c r="M420" s="126"/>
      <c r="N420" s="126"/>
      <c r="O420" s="164"/>
      <c r="P420" s="129"/>
      <c r="Q420" s="129"/>
      <c r="R420" s="129"/>
    </row>
    <row r="421">
      <c r="A421" s="166"/>
      <c r="B421" s="167"/>
      <c r="C421" s="129"/>
      <c r="D421" s="129"/>
      <c r="E421" s="129"/>
      <c r="F421" s="164"/>
      <c r="G421" s="164"/>
      <c r="H421" s="129"/>
      <c r="I421" s="129"/>
      <c r="J421" s="129"/>
      <c r="K421" s="126"/>
      <c r="L421" s="126"/>
      <c r="M421" s="126"/>
      <c r="N421" s="126"/>
      <c r="O421" s="164"/>
      <c r="P421" s="129"/>
      <c r="Q421" s="129"/>
      <c r="R421" s="129"/>
    </row>
    <row r="422">
      <c r="A422" s="166"/>
      <c r="B422" s="167"/>
      <c r="C422" s="129"/>
      <c r="D422" s="129"/>
      <c r="E422" s="129"/>
      <c r="F422" s="164"/>
      <c r="G422" s="164"/>
      <c r="H422" s="129"/>
      <c r="I422" s="129"/>
      <c r="J422" s="129"/>
      <c r="K422" s="126"/>
      <c r="L422" s="126"/>
      <c r="M422" s="126"/>
      <c r="N422" s="126"/>
      <c r="O422" s="164"/>
      <c r="P422" s="129"/>
      <c r="Q422" s="129"/>
      <c r="R422" s="129"/>
    </row>
    <row r="423">
      <c r="A423" s="166"/>
      <c r="B423" s="167"/>
      <c r="C423" s="129"/>
      <c r="D423" s="129"/>
      <c r="E423" s="129"/>
      <c r="F423" s="164"/>
      <c r="G423" s="164"/>
      <c r="H423" s="129"/>
      <c r="I423" s="129"/>
      <c r="J423" s="129"/>
      <c r="K423" s="126"/>
      <c r="L423" s="126"/>
      <c r="M423" s="126"/>
      <c r="N423" s="126"/>
      <c r="O423" s="164"/>
      <c r="P423" s="129"/>
      <c r="Q423" s="129"/>
      <c r="R423" s="129"/>
    </row>
    <row r="424">
      <c r="A424" s="166"/>
      <c r="B424" s="167"/>
      <c r="C424" s="129"/>
      <c r="D424" s="129"/>
      <c r="E424" s="129"/>
      <c r="F424" s="164"/>
      <c r="G424" s="164"/>
      <c r="H424" s="129"/>
      <c r="I424" s="129"/>
      <c r="J424" s="129"/>
      <c r="K424" s="126"/>
      <c r="L424" s="126"/>
      <c r="M424" s="126"/>
      <c r="N424" s="126"/>
      <c r="O424" s="164"/>
      <c r="P424" s="129"/>
      <c r="Q424" s="129"/>
      <c r="R424" s="129"/>
    </row>
    <row r="425">
      <c r="A425" s="166"/>
      <c r="B425" s="167"/>
      <c r="C425" s="129"/>
      <c r="D425" s="129"/>
      <c r="E425" s="129"/>
      <c r="F425" s="164"/>
      <c r="G425" s="164"/>
      <c r="H425" s="129"/>
      <c r="I425" s="129"/>
      <c r="J425" s="129"/>
      <c r="K425" s="126"/>
      <c r="L425" s="126"/>
      <c r="M425" s="126"/>
      <c r="N425" s="126"/>
      <c r="O425" s="164"/>
      <c r="P425" s="129"/>
      <c r="Q425" s="129"/>
      <c r="R425" s="129"/>
    </row>
    <row r="426">
      <c r="A426" s="166"/>
      <c r="B426" s="167"/>
      <c r="C426" s="129"/>
      <c r="D426" s="129"/>
      <c r="E426" s="129"/>
      <c r="F426" s="164"/>
      <c r="G426" s="164"/>
      <c r="H426" s="129"/>
      <c r="I426" s="129"/>
      <c r="J426" s="129"/>
      <c r="K426" s="126"/>
      <c r="L426" s="126"/>
      <c r="M426" s="126"/>
      <c r="N426" s="126"/>
      <c r="O426" s="164"/>
      <c r="P426" s="129"/>
      <c r="Q426" s="129"/>
      <c r="R426" s="129"/>
    </row>
    <row r="427">
      <c r="A427" s="166"/>
      <c r="B427" s="167"/>
      <c r="C427" s="129"/>
      <c r="D427" s="129"/>
      <c r="E427" s="129"/>
      <c r="F427" s="164"/>
      <c r="G427" s="164"/>
      <c r="H427" s="129"/>
      <c r="I427" s="129"/>
      <c r="J427" s="129"/>
      <c r="K427" s="126"/>
      <c r="L427" s="126"/>
      <c r="M427" s="126"/>
      <c r="N427" s="126"/>
      <c r="O427" s="164"/>
      <c r="P427" s="129"/>
      <c r="Q427" s="129"/>
      <c r="R427" s="129"/>
    </row>
    <row r="428">
      <c r="A428" s="166"/>
      <c r="B428" s="167"/>
      <c r="C428" s="129"/>
      <c r="D428" s="129"/>
      <c r="E428" s="129"/>
      <c r="F428" s="164"/>
      <c r="G428" s="164"/>
      <c r="H428" s="129"/>
      <c r="I428" s="129"/>
      <c r="J428" s="129"/>
      <c r="K428" s="126"/>
      <c r="L428" s="126"/>
      <c r="M428" s="126"/>
      <c r="N428" s="126"/>
      <c r="O428" s="164"/>
      <c r="P428" s="129"/>
      <c r="Q428" s="129"/>
      <c r="R428" s="129"/>
    </row>
    <row r="429">
      <c r="A429" s="166"/>
      <c r="B429" s="167"/>
      <c r="C429" s="129"/>
      <c r="D429" s="129"/>
      <c r="E429" s="129"/>
      <c r="F429" s="164"/>
      <c r="G429" s="164"/>
      <c r="H429" s="129"/>
      <c r="I429" s="129"/>
      <c r="J429" s="129"/>
      <c r="K429" s="126"/>
      <c r="L429" s="126"/>
      <c r="M429" s="126"/>
      <c r="N429" s="126"/>
      <c r="O429" s="164"/>
      <c r="P429" s="129"/>
      <c r="Q429" s="129"/>
      <c r="R429" s="129"/>
    </row>
    <row r="430">
      <c r="A430" s="166"/>
      <c r="B430" s="167"/>
      <c r="C430" s="129"/>
      <c r="D430" s="129"/>
      <c r="E430" s="129"/>
      <c r="F430" s="164"/>
      <c r="G430" s="164"/>
      <c r="H430" s="129"/>
      <c r="I430" s="129"/>
      <c r="J430" s="129"/>
      <c r="K430" s="126"/>
      <c r="L430" s="126"/>
      <c r="M430" s="126"/>
      <c r="N430" s="126"/>
      <c r="O430" s="164"/>
      <c r="P430" s="129"/>
      <c r="Q430" s="129"/>
      <c r="R430" s="129"/>
    </row>
    <row r="431">
      <c r="A431" s="166"/>
      <c r="B431" s="167"/>
      <c r="C431" s="129"/>
      <c r="D431" s="129"/>
      <c r="E431" s="129"/>
      <c r="F431" s="164"/>
      <c r="G431" s="164"/>
      <c r="H431" s="129"/>
      <c r="I431" s="129"/>
      <c r="J431" s="129"/>
      <c r="K431" s="126"/>
      <c r="L431" s="126"/>
      <c r="M431" s="126"/>
      <c r="N431" s="126"/>
      <c r="O431" s="164"/>
      <c r="P431" s="129"/>
      <c r="Q431" s="129"/>
      <c r="R431" s="129"/>
    </row>
    <row r="432">
      <c r="A432" s="166"/>
      <c r="B432" s="167"/>
      <c r="C432" s="129"/>
      <c r="D432" s="129"/>
      <c r="E432" s="129"/>
      <c r="F432" s="164"/>
      <c r="G432" s="164"/>
      <c r="H432" s="129"/>
      <c r="I432" s="129"/>
      <c r="J432" s="129"/>
      <c r="K432" s="126"/>
      <c r="L432" s="126"/>
      <c r="M432" s="126"/>
      <c r="N432" s="126"/>
      <c r="O432" s="164"/>
      <c r="P432" s="129"/>
      <c r="Q432" s="129"/>
      <c r="R432" s="129"/>
    </row>
    <row r="433">
      <c r="A433" s="166"/>
      <c r="B433" s="167"/>
      <c r="C433" s="129"/>
      <c r="D433" s="129"/>
      <c r="E433" s="129"/>
      <c r="F433" s="164"/>
      <c r="G433" s="164"/>
      <c r="H433" s="129"/>
      <c r="I433" s="129"/>
      <c r="J433" s="129"/>
      <c r="K433" s="126"/>
      <c r="L433" s="126"/>
      <c r="M433" s="126"/>
      <c r="N433" s="126"/>
      <c r="O433" s="164"/>
      <c r="P433" s="129"/>
      <c r="Q433" s="129"/>
      <c r="R433" s="129"/>
    </row>
    <row r="434">
      <c r="A434" s="166"/>
      <c r="B434" s="167"/>
      <c r="C434" s="129"/>
      <c r="D434" s="129"/>
      <c r="E434" s="129"/>
      <c r="F434" s="164"/>
      <c r="G434" s="164"/>
      <c r="H434" s="129"/>
      <c r="I434" s="129"/>
      <c r="J434" s="129"/>
      <c r="K434" s="126"/>
      <c r="L434" s="126"/>
      <c r="M434" s="126"/>
      <c r="N434" s="126"/>
      <c r="O434" s="164"/>
      <c r="P434" s="129"/>
      <c r="Q434" s="129"/>
      <c r="R434" s="129"/>
    </row>
    <row r="435">
      <c r="A435" s="166"/>
      <c r="B435" s="167"/>
      <c r="C435" s="129"/>
      <c r="D435" s="129"/>
      <c r="E435" s="129"/>
      <c r="F435" s="164"/>
      <c r="G435" s="164"/>
      <c r="H435" s="129"/>
      <c r="I435" s="129"/>
      <c r="J435" s="129"/>
      <c r="K435" s="126"/>
      <c r="L435" s="126"/>
      <c r="M435" s="126"/>
      <c r="N435" s="126"/>
      <c r="O435" s="164"/>
      <c r="P435" s="129"/>
      <c r="Q435" s="129"/>
      <c r="R435" s="129"/>
    </row>
    <row r="436">
      <c r="A436" s="166"/>
      <c r="B436" s="167"/>
      <c r="C436" s="129"/>
      <c r="D436" s="129"/>
      <c r="E436" s="129"/>
      <c r="F436" s="164"/>
      <c r="G436" s="164"/>
      <c r="H436" s="129"/>
      <c r="I436" s="129"/>
      <c r="J436" s="129"/>
      <c r="K436" s="126"/>
      <c r="L436" s="126"/>
      <c r="M436" s="126"/>
      <c r="N436" s="126"/>
      <c r="O436" s="164"/>
      <c r="P436" s="129"/>
      <c r="Q436" s="129"/>
      <c r="R436" s="129"/>
    </row>
    <row r="437">
      <c r="A437" s="166"/>
      <c r="B437" s="167"/>
      <c r="C437" s="129"/>
      <c r="D437" s="129"/>
      <c r="E437" s="129"/>
      <c r="F437" s="164"/>
      <c r="G437" s="164"/>
      <c r="H437" s="129"/>
      <c r="I437" s="129"/>
      <c r="J437" s="129"/>
      <c r="K437" s="126"/>
      <c r="L437" s="126"/>
      <c r="M437" s="126"/>
      <c r="N437" s="126"/>
      <c r="O437" s="164"/>
      <c r="P437" s="129"/>
      <c r="Q437" s="129"/>
      <c r="R437" s="129"/>
    </row>
    <row r="438">
      <c r="A438" s="166"/>
      <c r="B438" s="167"/>
      <c r="C438" s="129"/>
      <c r="D438" s="129"/>
      <c r="E438" s="129"/>
      <c r="F438" s="164"/>
      <c r="G438" s="164"/>
      <c r="H438" s="129"/>
      <c r="I438" s="129"/>
      <c r="J438" s="129"/>
      <c r="K438" s="126"/>
      <c r="L438" s="126"/>
      <c r="M438" s="126"/>
      <c r="N438" s="126"/>
      <c r="O438" s="164"/>
      <c r="P438" s="129"/>
      <c r="Q438" s="129"/>
      <c r="R438" s="129"/>
    </row>
    <row r="439">
      <c r="A439" s="166"/>
      <c r="B439" s="167"/>
      <c r="C439" s="129"/>
      <c r="D439" s="129"/>
      <c r="E439" s="129"/>
      <c r="F439" s="164"/>
      <c r="G439" s="164"/>
      <c r="H439" s="129"/>
      <c r="I439" s="129"/>
      <c r="J439" s="129"/>
      <c r="K439" s="126"/>
      <c r="L439" s="126"/>
      <c r="M439" s="126"/>
      <c r="N439" s="126"/>
      <c r="O439" s="164"/>
      <c r="P439" s="129"/>
      <c r="Q439" s="129"/>
      <c r="R439" s="129"/>
    </row>
    <row r="440">
      <c r="A440" s="166"/>
      <c r="B440" s="167"/>
      <c r="C440" s="129"/>
      <c r="D440" s="129"/>
      <c r="E440" s="129"/>
      <c r="F440" s="164"/>
      <c r="G440" s="164"/>
      <c r="H440" s="129"/>
      <c r="I440" s="129"/>
      <c r="J440" s="129"/>
      <c r="K440" s="126"/>
      <c r="L440" s="126"/>
      <c r="M440" s="126"/>
      <c r="N440" s="126"/>
      <c r="O440" s="164"/>
      <c r="P440" s="129"/>
      <c r="Q440" s="129"/>
      <c r="R440" s="129"/>
    </row>
    <row r="441">
      <c r="A441" s="166"/>
      <c r="B441" s="167"/>
      <c r="C441" s="129"/>
      <c r="D441" s="129"/>
      <c r="E441" s="129"/>
      <c r="F441" s="164"/>
      <c r="G441" s="164"/>
      <c r="H441" s="129"/>
      <c r="I441" s="129"/>
      <c r="J441" s="129"/>
      <c r="K441" s="126"/>
      <c r="L441" s="126"/>
      <c r="M441" s="126"/>
      <c r="N441" s="126"/>
      <c r="O441" s="164"/>
      <c r="P441" s="129"/>
      <c r="Q441" s="129"/>
      <c r="R441" s="129"/>
    </row>
    <row r="442">
      <c r="A442" s="166"/>
      <c r="B442" s="167"/>
      <c r="C442" s="129"/>
      <c r="D442" s="129"/>
      <c r="E442" s="129"/>
      <c r="F442" s="164"/>
      <c r="G442" s="164"/>
      <c r="H442" s="129"/>
      <c r="I442" s="129"/>
      <c r="J442" s="129"/>
      <c r="K442" s="126"/>
      <c r="L442" s="126"/>
      <c r="M442" s="126"/>
      <c r="N442" s="126"/>
      <c r="O442" s="164"/>
      <c r="P442" s="129"/>
      <c r="Q442" s="129"/>
      <c r="R442" s="129"/>
    </row>
    <row r="443">
      <c r="A443" s="166"/>
      <c r="B443" s="167"/>
      <c r="C443" s="129"/>
      <c r="D443" s="129"/>
      <c r="E443" s="129"/>
      <c r="F443" s="164"/>
      <c r="G443" s="164"/>
      <c r="H443" s="129"/>
      <c r="I443" s="129"/>
      <c r="J443" s="129"/>
      <c r="K443" s="126"/>
      <c r="L443" s="126"/>
      <c r="M443" s="126"/>
      <c r="N443" s="126"/>
      <c r="O443" s="164"/>
      <c r="P443" s="129"/>
      <c r="Q443" s="129"/>
      <c r="R443" s="129"/>
    </row>
    <row r="444">
      <c r="A444" s="166"/>
      <c r="B444" s="167"/>
      <c r="C444" s="129"/>
      <c r="D444" s="129"/>
      <c r="E444" s="129"/>
      <c r="F444" s="164"/>
      <c r="G444" s="164"/>
      <c r="H444" s="129"/>
      <c r="I444" s="129"/>
      <c r="J444" s="129"/>
      <c r="K444" s="126"/>
      <c r="L444" s="126"/>
      <c r="M444" s="126"/>
      <c r="N444" s="126"/>
      <c r="O444" s="164"/>
      <c r="P444" s="129"/>
      <c r="Q444" s="129"/>
      <c r="R444" s="129"/>
    </row>
    <row r="445">
      <c r="A445" s="166"/>
      <c r="B445" s="167"/>
      <c r="C445" s="129"/>
      <c r="D445" s="129"/>
      <c r="E445" s="129"/>
      <c r="F445" s="164"/>
      <c r="G445" s="164"/>
      <c r="H445" s="129"/>
      <c r="I445" s="129"/>
      <c r="J445" s="129"/>
      <c r="K445" s="126"/>
      <c r="L445" s="126"/>
      <c r="M445" s="126"/>
      <c r="N445" s="126"/>
      <c r="O445" s="164"/>
      <c r="P445" s="129"/>
      <c r="Q445" s="129"/>
      <c r="R445" s="129"/>
    </row>
    <row r="446">
      <c r="A446" s="166"/>
      <c r="B446" s="167"/>
      <c r="C446" s="129"/>
      <c r="D446" s="129"/>
      <c r="E446" s="129"/>
      <c r="F446" s="164"/>
      <c r="G446" s="164"/>
      <c r="H446" s="129"/>
      <c r="I446" s="129"/>
      <c r="J446" s="129"/>
      <c r="K446" s="126"/>
      <c r="L446" s="126"/>
      <c r="M446" s="126"/>
      <c r="N446" s="126"/>
      <c r="O446" s="164"/>
      <c r="P446" s="129"/>
      <c r="Q446" s="129"/>
      <c r="R446" s="129"/>
    </row>
    <row r="447">
      <c r="A447" s="166"/>
      <c r="B447" s="167"/>
      <c r="C447" s="129"/>
      <c r="D447" s="129"/>
      <c r="E447" s="129"/>
      <c r="F447" s="164"/>
      <c r="G447" s="164"/>
      <c r="H447" s="129"/>
      <c r="I447" s="129"/>
      <c r="J447" s="129"/>
      <c r="K447" s="126"/>
      <c r="L447" s="126"/>
      <c r="M447" s="126"/>
      <c r="N447" s="126"/>
      <c r="O447" s="164"/>
      <c r="P447" s="129"/>
      <c r="Q447" s="129"/>
      <c r="R447" s="129"/>
    </row>
    <row r="448">
      <c r="A448" s="166"/>
      <c r="B448" s="167"/>
      <c r="C448" s="129"/>
      <c r="D448" s="129"/>
      <c r="E448" s="129"/>
      <c r="F448" s="164"/>
      <c r="G448" s="164"/>
      <c r="H448" s="129"/>
      <c r="I448" s="129"/>
      <c r="J448" s="129"/>
      <c r="K448" s="126"/>
      <c r="L448" s="126"/>
      <c r="M448" s="126"/>
      <c r="N448" s="126"/>
      <c r="O448" s="164"/>
      <c r="P448" s="129"/>
      <c r="Q448" s="129"/>
      <c r="R448" s="129"/>
    </row>
    <row r="449">
      <c r="A449" s="166"/>
      <c r="B449" s="167"/>
      <c r="C449" s="129"/>
      <c r="D449" s="129"/>
      <c r="E449" s="129"/>
      <c r="F449" s="164"/>
      <c r="G449" s="164"/>
      <c r="H449" s="129"/>
      <c r="I449" s="129"/>
      <c r="J449" s="129"/>
      <c r="K449" s="126"/>
      <c r="L449" s="126"/>
      <c r="M449" s="126"/>
      <c r="N449" s="126"/>
      <c r="O449" s="164"/>
      <c r="P449" s="129"/>
      <c r="Q449" s="129"/>
      <c r="R449" s="129"/>
    </row>
    <row r="450">
      <c r="A450" s="166"/>
      <c r="B450" s="167"/>
      <c r="C450" s="129"/>
      <c r="D450" s="129"/>
      <c r="E450" s="129"/>
      <c r="F450" s="164"/>
      <c r="G450" s="164"/>
      <c r="H450" s="129"/>
      <c r="I450" s="129"/>
      <c r="J450" s="129"/>
      <c r="K450" s="126"/>
      <c r="L450" s="126"/>
      <c r="M450" s="126"/>
      <c r="N450" s="126"/>
      <c r="O450" s="164"/>
      <c r="P450" s="129"/>
      <c r="Q450" s="129"/>
      <c r="R450" s="129"/>
    </row>
    <row r="451">
      <c r="A451" s="166"/>
      <c r="B451" s="167"/>
      <c r="C451" s="129"/>
      <c r="D451" s="129"/>
      <c r="E451" s="129"/>
      <c r="F451" s="164"/>
      <c r="G451" s="164"/>
      <c r="H451" s="129"/>
      <c r="I451" s="129"/>
      <c r="J451" s="129"/>
      <c r="K451" s="126"/>
      <c r="L451" s="126"/>
      <c r="M451" s="126"/>
      <c r="N451" s="126"/>
      <c r="O451" s="164"/>
      <c r="P451" s="129"/>
      <c r="Q451" s="129"/>
      <c r="R451" s="129"/>
    </row>
    <row r="452">
      <c r="A452" s="166"/>
      <c r="B452" s="167"/>
      <c r="C452" s="129"/>
      <c r="D452" s="129"/>
      <c r="E452" s="129"/>
      <c r="F452" s="164"/>
      <c r="G452" s="164"/>
      <c r="H452" s="129"/>
      <c r="I452" s="129"/>
      <c r="J452" s="129"/>
      <c r="K452" s="126"/>
      <c r="L452" s="126"/>
      <c r="M452" s="126"/>
      <c r="N452" s="126"/>
      <c r="O452" s="164"/>
      <c r="P452" s="129"/>
      <c r="Q452" s="129"/>
      <c r="R452" s="129"/>
    </row>
    <row r="453">
      <c r="A453" s="166"/>
      <c r="B453" s="167"/>
      <c r="C453" s="129"/>
      <c r="D453" s="129"/>
      <c r="E453" s="129"/>
      <c r="F453" s="164"/>
      <c r="G453" s="164"/>
      <c r="H453" s="129"/>
      <c r="I453" s="129"/>
      <c r="J453" s="129"/>
      <c r="K453" s="126"/>
      <c r="L453" s="126"/>
      <c r="M453" s="126"/>
      <c r="N453" s="126"/>
      <c r="O453" s="164"/>
      <c r="P453" s="129"/>
      <c r="Q453" s="129"/>
      <c r="R453" s="129"/>
    </row>
    <row r="454">
      <c r="A454" s="166"/>
      <c r="B454" s="167"/>
      <c r="C454" s="129"/>
      <c r="D454" s="129"/>
      <c r="E454" s="129"/>
      <c r="F454" s="164"/>
      <c r="G454" s="164"/>
      <c r="H454" s="129"/>
      <c r="I454" s="129"/>
      <c r="J454" s="129"/>
      <c r="K454" s="126"/>
      <c r="L454" s="126"/>
      <c r="M454" s="126"/>
      <c r="N454" s="126"/>
      <c r="O454" s="164"/>
      <c r="P454" s="129"/>
      <c r="Q454" s="129"/>
      <c r="R454" s="129"/>
    </row>
    <row r="455">
      <c r="A455" s="166"/>
      <c r="B455" s="167"/>
      <c r="C455" s="129"/>
      <c r="D455" s="129"/>
      <c r="E455" s="129"/>
      <c r="F455" s="164"/>
      <c r="G455" s="164"/>
      <c r="H455" s="129"/>
      <c r="I455" s="129"/>
      <c r="J455" s="129"/>
      <c r="K455" s="126"/>
      <c r="L455" s="126"/>
      <c r="M455" s="126"/>
      <c r="N455" s="126"/>
      <c r="O455" s="164"/>
      <c r="P455" s="129"/>
      <c r="Q455" s="129"/>
      <c r="R455" s="129"/>
    </row>
    <row r="456">
      <c r="A456" s="166"/>
      <c r="B456" s="167"/>
      <c r="C456" s="129"/>
      <c r="D456" s="129"/>
      <c r="E456" s="129"/>
      <c r="F456" s="164"/>
      <c r="G456" s="164"/>
      <c r="H456" s="129"/>
      <c r="I456" s="129"/>
      <c r="J456" s="129"/>
      <c r="K456" s="126"/>
      <c r="L456" s="126"/>
      <c r="M456" s="126"/>
      <c r="N456" s="126"/>
      <c r="O456" s="164"/>
      <c r="P456" s="129"/>
      <c r="Q456" s="129"/>
      <c r="R456" s="129"/>
    </row>
    <row r="457">
      <c r="A457" s="166"/>
      <c r="B457" s="167"/>
      <c r="C457" s="129"/>
      <c r="D457" s="129"/>
      <c r="E457" s="129"/>
      <c r="F457" s="164"/>
      <c r="G457" s="164"/>
      <c r="H457" s="129"/>
      <c r="I457" s="129"/>
      <c r="J457" s="129"/>
      <c r="K457" s="126"/>
      <c r="L457" s="126"/>
      <c r="M457" s="126"/>
      <c r="N457" s="126"/>
      <c r="O457" s="164"/>
      <c r="P457" s="129"/>
      <c r="Q457" s="129"/>
      <c r="R457" s="129"/>
    </row>
    <row r="458">
      <c r="A458" s="166"/>
      <c r="B458" s="167"/>
      <c r="C458" s="129"/>
      <c r="D458" s="129"/>
      <c r="E458" s="129"/>
      <c r="F458" s="164"/>
      <c r="G458" s="164"/>
      <c r="H458" s="129"/>
      <c r="I458" s="129"/>
      <c r="J458" s="129"/>
      <c r="K458" s="126"/>
      <c r="L458" s="126"/>
      <c r="M458" s="126"/>
      <c r="N458" s="126"/>
      <c r="O458" s="164"/>
      <c r="P458" s="129"/>
      <c r="Q458" s="129"/>
      <c r="R458" s="129"/>
    </row>
    <row r="459">
      <c r="A459" s="166"/>
      <c r="B459" s="167"/>
      <c r="C459" s="129"/>
      <c r="D459" s="129"/>
      <c r="E459" s="129"/>
      <c r="F459" s="164"/>
      <c r="G459" s="164"/>
      <c r="H459" s="129"/>
      <c r="I459" s="129"/>
      <c r="J459" s="129"/>
      <c r="K459" s="126"/>
      <c r="L459" s="126"/>
      <c r="M459" s="126"/>
      <c r="N459" s="126"/>
      <c r="O459" s="164"/>
      <c r="P459" s="129"/>
      <c r="Q459" s="129"/>
      <c r="R459" s="129"/>
    </row>
    <row r="460">
      <c r="A460" s="166"/>
      <c r="B460" s="167"/>
      <c r="C460" s="129"/>
      <c r="D460" s="129"/>
      <c r="E460" s="129"/>
      <c r="F460" s="164"/>
      <c r="G460" s="164"/>
      <c r="H460" s="129"/>
      <c r="I460" s="129"/>
      <c r="J460" s="129"/>
      <c r="K460" s="126"/>
      <c r="L460" s="126"/>
      <c r="M460" s="126"/>
      <c r="N460" s="126"/>
      <c r="O460" s="164"/>
      <c r="P460" s="129"/>
      <c r="Q460" s="129"/>
      <c r="R460" s="129"/>
    </row>
    <row r="461">
      <c r="A461" s="166"/>
      <c r="B461" s="167"/>
      <c r="C461" s="129"/>
      <c r="D461" s="129"/>
      <c r="E461" s="129"/>
      <c r="F461" s="164"/>
      <c r="G461" s="164"/>
      <c r="H461" s="129"/>
      <c r="I461" s="129"/>
      <c r="J461" s="129"/>
      <c r="K461" s="126"/>
      <c r="L461" s="126"/>
      <c r="M461" s="126"/>
      <c r="N461" s="126"/>
      <c r="O461" s="164"/>
      <c r="P461" s="129"/>
      <c r="Q461" s="129"/>
      <c r="R461" s="129"/>
    </row>
    <row r="462">
      <c r="A462" s="166"/>
      <c r="B462" s="167"/>
      <c r="C462" s="129"/>
      <c r="D462" s="129"/>
      <c r="E462" s="129"/>
      <c r="F462" s="164"/>
      <c r="G462" s="164"/>
      <c r="H462" s="129"/>
      <c r="I462" s="129"/>
      <c r="J462" s="129"/>
      <c r="K462" s="126"/>
      <c r="L462" s="126"/>
      <c r="M462" s="126"/>
      <c r="N462" s="126"/>
      <c r="O462" s="164"/>
      <c r="P462" s="129"/>
      <c r="Q462" s="129"/>
      <c r="R462" s="129"/>
    </row>
    <row r="463">
      <c r="A463" s="166"/>
      <c r="B463" s="167"/>
      <c r="C463" s="129"/>
      <c r="D463" s="129"/>
      <c r="E463" s="129"/>
      <c r="F463" s="164"/>
      <c r="G463" s="164"/>
      <c r="H463" s="129"/>
      <c r="I463" s="129"/>
      <c r="J463" s="129"/>
      <c r="K463" s="126"/>
      <c r="L463" s="126"/>
      <c r="M463" s="126"/>
      <c r="N463" s="126"/>
      <c r="O463" s="164"/>
      <c r="P463" s="129"/>
      <c r="Q463" s="129"/>
      <c r="R463" s="129"/>
    </row>
    <row r="464">
      <c r="A464" s="166"/>
      <c r="B464" s="167"/>
      <c r="C464" s="129"/>
      <c r="D464" s="129"/>
      <c r="E464" s="129"/>
      <c r="F464" s="164"/>
      <c r="G464" s="164"/>
      <c r="H464" s="129"/>
      <c r="I464" s="129"/>
      <c r="J464" s="129"/>
      <c r="K464" s="126"/>
      <c r="L464" s="126"/>
      <c r="M464" s="126"/>
      <c r="N464" s="126"/>
      <c r="O464" s="164"/>
      <c r="P464" s="129"/>
      <c r="Q464" s="129"/>
      <c r="R464" s="129"/>
    </row>
    <row r="465">
      <c r="A465" s="166"/>
      <c r="B465" s="167"/>
      <c r="C465" s="129"/>
      <c r="D465" s="129"/>
      <c r="E465" s="129"/>
      <c r="F465" s="164"/>
      <c r="G465" s="164"/>
      <c r="H465" s="129"/>
      <c r="I465" s="129"/>
      <c r="J465" s="129"/>
      <c r="K465" s="126"/>
      <c r="L465" s="126"/>
      <c r="M465" s="126"/>
      <c r="N465" s="126"/>
      <c r="O465" s="164"/>
      <c r="P465" s="129"/>
      <c r="Q465" s="129"/>
      <c r="R465" s="129"/>
    </row>
    <row r="466">
      <c r="A466" s="166"/>
      <c r="B466" s="167"/>
      <c r="C466" s="129"/>
      <c r="D466" s="129"/>
      <c r="E466" s="129"/>
      <c r="F466" s="164"/>
      <c r="G466" s="164"/>
      <c r="H466" s="129"/>
      <c r="I466" s="129"/>
      <c r="J466" s="129"/>
      <c r="K466" s="126"/>
      <c r="L466" s="126"/>
      <c r="M466" s="126"/>
      <c r="N466" s="126"/>
      <c r="O466" s="164"/>
      <c r="P466" s="129"/>
      <c r="Q466" s="129"/>
      <c r="R466" s="129"/>
    </row>
    <row r="467">
      <c r="A467" s="166"/>
      <c r="B467" s="167"/>
      <c r="C467" s="129"/>
      <c r="D467" s="129"/>
      <c r="E467" s="129"/>
      <c r="F467" s="164"/>
      <c r="G467" s="164"/>
      <c r="H467" s="129"/>
      <c r="I467" s="129"/>
      <c r="J467" s="129"/>
      <c r="K467" s="126"/>
      <c r="L467" s="126"/>
      <c r="M467" s="126"/>
      <c r="N467" s="126"/>
      <c r="O467" s="164"/>
      <c r="P467" s="129"/>
      <c r="Q467" s="129"/>
      <c r="R467" s="129"/>
    </row>
    <row r="468">
      <c r="A468" s="166"/>
      <c r="B468" s="167"/>
      <c r="C468" s="129"/>
      <c r="D468" s="129"/>
      <c r="E468" s="129"/>
      <c r="F468" s="164"/>
      <c r="G468" s="164"/>
      <c r="H468" s="129"/>
      <c r="I468" s="129"/>
      <c r="J468" s="129"/>
      <c r="K468" s="126"/>
      <c r="L468" s="126"/>
      <c r="M468" s="126"/>
      <c r="N468" s="126"/>
      <c r="O468" s="164"/>
      <c r="P468" s="129"/>
      <c r="Q468" s="129"/>
      <c r="R468" s="129"/>
    </row>
    <row r="469">
      <c r="A469" s="166"/>
      <c r="B469" s="167"/>
      <c r="C469" s="129"/>
      <c r="D469" s="129"/>
      <c r="E469" s="129"/>
      <c r="F469" s="164"/>
      <c r="G469" s="164"/>
      <c r="H469" s="129"/>
      <c r="I469" s="129"/>
      <c r="J469" s="129"/>
      <c r="K469" s="126"/>
      <c r="L469" s="126"/>
      <c r="M469" s="126"/>
      <c r="N469" s="126"/>
      <c r="O469" s="164"/>
      <c r="P469" s="129"/>
      <c r="Q469" s="129"/>
      <c r="R469" s="129"/>
    </row>
    <row r="470">
      <c r="A470" s="166"/>
      <c r="B470" s="167"/>
      <c r="C470" s="129"/>
      <c r="D470" s="129"/>
      <c r="E470" s="129"/>
      <c r="F470" s="164"/>
      <c r="G470" s="164"/>
      <c r="H470" s="129"/>
      <c r="I470" s="129"/>
      <c r="J470" s="129"/>
      <c r="K470" s="126"/>
      <c r="L470" s="126"/>
      <c r="M470" s="126"/>
      <c r="N470" s="126"/>
      <c r="O470" s="164"/>
      <c r="P470" s="129"/>
      <c r="Q470" s="129"/>
      <c r="R470" s="129"/>
    </row>
    <row r="471">
      <c r="A471" s="166"/>
      <c r="B471" s="167"/>
      <c r="C471" s="129"/>
      <c r="D471" s="129"/>
      <c r="E471" s="129"/>
      <c r="F471" s="164"/>
      <c r="G471" s="164"/>
      <c r="H471" s="129"/>
      <c r="I471" s="129"/>
      <c r="J471" s="129"/>
      <c r="K471" s="126"/>
      <c r="L471" s="126"/>
      <c r="M471" s="126"/>
      <c r="N471" s="126"/>
      <c r="O471" s="164"/>
      <c r="P471" s="129"/>
      <c r="Q471" s="129"/>
      <c r="R471" s="129"/>
    </row>
    <row r="472">
      <c r="A472" s="166"/>
      <c r="B472" s="167"/>
      <c r="C472" s="129"/>
      <c r="D472" s="129"/>
      <c r="E472" s="129"/>
      <c r="F472" s="164"/>
      <c r="G472" s="164"/>
      <c r="H472" s="129"/>
      <c r="I472" s="129"/>
      <c r="J472" s="129"/>
      <c r="K472" s="126"/>
      <c r="L472" s="126"/>
      <c r="M472" s="126"/>
      <c r="N472" s="126"/>
      <c r="O472" s="164"/>
      <c r="P472" s="129"/>
      <c r="Q472" s="129"/>
      <c r="R472" s="129"/>
    </row>
    <row r="473">
      <c r="A473" s="166"/>
      <c r="B473" s="167"/>
      <c r="C473" s="129"/>
      <c r="D473" s="129"/>
      <c r="E473" s="129"/>
      <c r="F473" s="164"/>
      <c r="G473" s="164"/>
      <c r="H473" s="129"/>
      <c r="I473" s="129"/>
      <c r="J473" s="129"/>
      <c r="K473" s="126"/>
      <c r="L473" s="126"/>
      <c r="M473" s="126"/>
      <c r="N473" s="126"/>
      <c r="O473" s="164"/>
      <c r="P473" s="129"/>
      <c r="Q473" s="129"/>
      <c r="R473" s="129"/>
    </row>
    <row r="474">
      <c r="A474" s="166"/>
      <c r="B474" s="167"/>
      <c r="C474" s="129"/>
      <c r="D474" s="129"/>
      <c r="E474" s="129"/>
      <c r="F474" s="164"/>
      <c r="G474" s="164"/>
      <c r="H474" s="129"/>
      <c r="I474" s="129"/>
      <c r="J474" s="129"/>
      <c r="K474" s="126"/>
      <c r="L474" s="126"/>
      <c r="M474" s="126"/>
      <c r="N474" s="126"/>
      <c r="O474" s="164"/>
      <c r="P474" s="129"/>
      <c r="Q474" s="129"/>
      <c r="R474" s="129"/>
    </row>
    <row r="475">
      <c r="A475" s="166"/>
      <c r="B475" s="167"/>
      <c r="C475" s="129"/>
      <c r="D475" s="129"/>
      <c r="E475" s="129"/>
      <c r="F475" s="164"/>
      <c r="G475" s="164"/>
      <c r="H475" s="129"/>
      <c r="I475" s="129"/>
      <c r="J475" s="129"/>
      <c r="K475" s="126"/>
      <c r="L475" s="126"/>
      <c r="M475" s="126"/>
      <c r="N475" s="126"/>
      <c r="O475" s="164"/>
      <c r="P475" s="129"/>
      <c r="Q475" s="129"/>
      <c r="R475" s="129"/>
    </row>
    <row r="476">
      <c r="A476" s="166"/>
      <c r="B476" s="167"/>
      <c r="C476" s="129"/>
      <c r="D476" s="129"/>
      <c r="E476" s="129"/>
      <c r="F476" s="164"/>
      <c r="G476" s="164"/>
      <c r="H476" s="129"/>
      <c r="I476" s="129"/>
      <c r="J476" s="129"/>
      <c r="K476" s="126"/>
      <c r="L476" s="126"/>
      <c r="M476" s="126"/>
      <c r="N476" s="126"/>
      <c r="O476" s="164"/>
      <c r="P476" s="129"/>
      <c r="Q476" s="129"/>
      <c r="R476" s="129"/>
    </row>
    <row r="477">
      <c r="A477" s="166"/>
      <c r="B477" s="167"/>
      <c r="C477" s="129"/>
      <c r="D477" s="129"/>
      <c r="E477" s="129"/>
      <c r="F477" s="164"/>
      <c r="G477" s="164"/>
      <c r="H477" s="129"/>
      <c r="I477" s="129"/>
      <c r="J477" s="129"/>
      <c r="K477" s="126"/>
      <c r="L477" s="126"/>
      <c r="M477" s="126"/>
      <c r="N477" s="126"/>
      <c r="O477" s="164"/>
      <c r="P477" s="129"/>
      <c r="Q477" s="129"/>
      <c r="R477" s="129"/>
    </row>
    <row r="478">
      <c r="A478" s="166"/>
      <c r="B478" s="167"/>
      <c r="C478" s="129"/>
      <c r="D478" s="129"/>
      <c r="E478" s="129"/>
      <c r="F478" s="164"/>
      <c r="G478" s="164"/>
      <c r="H478" s="129"/>
      <c r="I478" s="129"/>
      <c r="J478" s="129"/>
      <c r="K478" s="126"/>
      <c r="L478" s="126"/>
      <c r="M478" s="126"/>
      <c r="N478" s="126"/>
      <c r="O478" s="164"/>
      <c r="P478" s="129"/>
      <c r="Q478" s="129"/>
      <c r="R478" s="129"/>
    </row>
    <row r="479">
      <c r="A479" s="166"/>
      <c r="B479" s="167"/>
      <c r="C479" s="129"/>
      <c r="D479" s="129"/>
      <c r="E479" s="129"/>
      <c r="F479" s="164"/>
      <c r="G479" s="164"/>
      <c r="H479" s="129"/>
      <c r="I479" s="129"/>
      <c r="J479" s="129"/>
      <c r="K479" s="126"/>
      <c r="L479" s="126"/>
      <c r="M479" s="126"/>
      <c r="N479" s="126"/>
      <c r="O479" s="164"/>
      <c r="P479" s="129"/>
      <c r="Q479" s="129"/>
      <c r="R479" s="129"/>
    </row>
    <row r="480">
      <c r="A480" s="166"/>
      <c r="B480" s="167"/>
      <c r="C480" s="129"/>
      <c r="D480" s="129"/>
      <c r="E480" s="129"/>
      <c r="F480" s="164"/>
      <c r="G480" s="164"/>
      <c r="H480" s="129"/>
      <c r="I480" s="129"/>
      <c r="J480" s="129"/>
      <c r="K480" s="126"/>
      <c r="L480" s="126"/>
      <c r="M480" s="126"/>
      <c r="N480" s="126"/>
      <c r="O480" s="164"/>
      <c r="P480" s="129"/>
      <c r="Q480" s="129"/>
      <c r="R480" s="129"/>
    </row>
    <row r="481">
      <c r="A481" s="166"/>
      <c r="B481" s="167"/>
      <c r="C481" s="129"/>
      <c r="D481" s="129"/>
      <c r="E481" s="129"/>
      <c r="F481" s="164"/>
      <c r="G481" s="164"/>
      <c r="H481" s="129"/>
      <c r="I481" s="129"/>
      <c r="J481" s="129"/>
      <c r="K481" s="126"/>
      <c r="L481" s="126"/>
      <c r="M481" s="126"/>
      <c r="N481" s="126"/>
      <c r="O481" s="164"/>
      <c r="P481" s="129"/>
      <c r="Q481" s="129"/>
      <c r="R481" s="129"/>
    </row>
    <row r="482">
      <c r="A482" s="166"/>
      <c r="B482" s="167"/>
      <c r="C482" s="129"/>
      <c r="D482" s="129"/>
      <c r="E482" s="129"/>
      <c r="F482" s="164"/>
      <c r="G482" s="164"/>
      <c r="H482" s="129"/>
      <c r="I482" s="129"/>
      <c r="J482" s="129"/>
      <c r="K482" s="126"/>
      <c r="L482" s="126"/>
      <c r="M482" s="126"/>
      <c r="N482" s="126"/>
      <c r="O482" s="164"/>
      <c r="P482" s="129"/>
      <c r="Q482" s="129"/>
      <c r="R482" s="129"/>
    </row>
    <row r="483">
      <c r="A483" s="166"/>
      <c r="B483" s="167"/>
      <c r="C483" s="129"/>
      <c r="D483" s="129"/>
      <c r="E483" s="129"/>
      <c r="F483" s="164"/>
      <c r="G483" s="164"/>
      <c r="H483" s="129"/>
      <c r="I483" s="129"/>
      <c r="J483" s="129"/>
      <c r="K483" s="126"/>
      <c r="L483" s="126"/>
      <c r="M483" s="126"/>
      <c r="N483" s="126"/>
      <c r="O483" s="164"/>
      <c r="P483" s="129"/>
      <c r="Q483" s="129"/>
      <c r="R483" s="129"/>
    </row>
    <row r="484">
      <c r="A484" s="166"/>
      <c r="B484" s="167"/>
      <c r="C484" s="129"/>
      <c r="D484" s="129"/>
      <c r="E484" s="129"/>
      <c r="F484" s="164"/>
      <c r="G484" s="164"/>
      <c r="H484" s="129"/>
      <c r="I484" s="129"/>
      <c r="J484" s="129"/>
      <c r="K484" s="126"/>
      <c r="L484" s="126"/>
      <c r="M484" s="126"/>
      <c r="N484" s="126"/>
      <c r="O484" s="164"/>
      <c r="P484" s="129"/>
      <c r="Q484" s="129"/>
      <c r="R484" s="129"/>
    </row>
    <row r="485">
      <c r="A485" s="166"/>
      <c r="B485" s="167"/>
      <c r="C485" s="129"/>
      <c r="D485" s="129"/>
      <c r="E485" s="129"/>
      <c r="F485" s="164"/>
      <c r="G485" s="164"/>
      <c r="H485" s="129"/>
      <c r="I485" s="129"/>
      <c r="J485" s="129"/>
      <c r="K485" s="126"/>
      <c r="L485" s="126"/>
      <c r="M485" s="126"/>
      <c r="N485" s="126"/>
      <c r="O485" s="164"/>
      <c r="P485" s="129"/>
      <c r="Q485" s="129"/>
      <c r="R485" s="129"/>
    </row>
    <row r="486">
      <c r="A486" s="166"/>
      <c r="B486" s="167"/>
      <c r="C486" s="129"/>
      <c r="D486" s="129"/>
      <c r="E486" s="129"/>
      <c r="F486" s="164"/>
      <c r="G486" s="164"/>
      <c r="H486" s="129"/>
      <c r="I486" s="129"/>
      <c r="J486" s="129"/>
      <c r="K486" s="126"/>
      <c r="L486" s="126"/>
      <c r="M486" s="126"/>
      <c r="N486" s="126"/>
      <c r="O486" s="164"/>
      <c r="P486" s="129"/>
      <c r="Q486" s="129"/>
      <c r="R486" s="129"/>
    </row>
    <row r="487">
      <c r="A487" s="166"/>
      <c r="B487" s="167"/>
      <c r="C487" s="129"/>
      <c r="D487" s="129"/>
      <c r="E487" s="129"/>
      <c r="F487" s="164"/>
      <c r="G487" s="164"/>
      <c r="H487" s="129"/>
      <c r="I487" s="129"/>
      <c r="J487" s="129"/>
      <c r="K487" s="126"/>
      <c r="L487" s="126"/>
      <c r="M487" s="126"/>
      <c r="N487" s="126"/>
      <c r="O487" s="164"/>
      <c r="P487" s="129"/>
      <c r="Q487" s="129"/>
      <c r="R487" s="129"/>
    </row>
    <row r="488">
      <c r="A488" s="166"/>
      <c r="B488" s="167"/>
      <c r="C488" s="129"/>
      <c r="D488" s="129"/>
      <c r="E488" s="129"/>
      <c r="F488" s="164"/>
      <c r="G488" s="164"/>
      <c r="H488" s="129"/>
      <c r="I488" s="129"/>
      <c r="J488" s="129"/>
      <c r="K488" s="126"/>
      <c r="L488" s="126"/>
      <c r="M488" s="126"/>
      <c r="N488" s="126"/>
      <c r="O488" s="164"/>
      <c r="P488" s="129"/>
      <c r="Q488" s="129"/>
      <c r="R488" s="129"/>
    </row>
    <row r="489">
      <c r="A489" s="166"/>
      <c r="B489" s="167"/>
      <c r="C489" s="129"/>
      <c r="D489" s="129"/>
      <c r="E489" s="129"/>
      <c r="F489" s="164"/>
      <c r="G489" s="164"/>
      <c r="H489" s="129"/>
      <c r="I489" s="129"/>
      <c r="J489" s="129"/>
      <c r="K489" s="126"/>
      <c r="L489" s="126"/>
      <c r="M489" s="126"/>
      <c r="N489" s="126"/>
      <c r="O489" s="164"/>
      <c r="P489" s="129"/>
      <c r="Q489" s="129"/>
      <c r="R489" s="129"/>
    </row>
    <row r="490">
      <c r="A490" s="166"/>
      <c r="B490" s="167"/>
      <c r="C490" s="129"/>
      <c r="D490" s="129"/>
      <c r="E490" s="129"/>
      <c r="F490" s="164"/>
      <c r="G490" s="164"/>
      <c r="H490" s="129"/>
      <c r="I490" s="129"/>
      <c r="J490" s="129"/>
      <c r="K490" s="126"/>
      <c r="L490" s="126"/>
      <c r="M490" s="126"/>
      <c r="N490" s="126"/>
      <c r="O490" s="164"/>
      <c r="P490" s="129"/>
      <c r="Q490" s="129"/>
      <c r="R490" s="129"/>
    </row>
    <row r="491">
      <c r="A491" s="166"/>
      <c r="B491" s="167"/>
      <c r="C491" s="129"/>
      <c r="D491" s="129"/>
      <c r="E491" s="129"/>
      <c r="F491" s="164"/>
      <c r="G491" s="164"/>
      <c r="H491" s="129"/>
      <c r="I491" s="129"/>
      <c r="J491" s="129"/>
      <c r="K491" s="126"/>
      <c r="L491" s="126"/>
      <c r="M491" s="126"/>
      <c r="N491" s="126"/>
      <c r="O491" s="164"/>
      <c r="P491" s="129"/>
      <c r="Q491" s="129"/>
      <c r="R491" s="129"/>
    </row>
    <row r="492">
      <c r="A492" s="166"/>
      <c r="B492" s="167"/>
      <c r="C492" s="129"/>
      <c r="D492" s="129"/>
      <c r="E492" s="129"/>
      <c r="F492" s="164"/>
      <c r="G492" s="164"/>
      <c r="H492" s="129"/>
      <c r="I492" s="129"/>
      <c r="J492" s="129"/>
      <c r="K492" s="126"/>
      <c r="L492" s="126"/>
      <c r="M492" s="126"/>
      <c r="N492" s="126"/>
      <c r="O492" s="164"/>
      <c r="P492" s="129"/>
      <c r="Q492" s="129"/>
      <c r="R492" s="129"/>
    </row>
    <row r="493">
      <c r="A493" s="166"/>
      <c r="B493" s="167"/>
      <c r="C493" s="129"/>
      <c r="D493" s="129"/>
      <c r="E493" s="129"/>
      <c r="F493" s="164"/>
      <c r="G493" s="164"/>
      <c r="H493" s="129"/>
      <c r="I493" s="129"/>
      <c r="J493" s="129"/>
      <c r="K493" s="126"/>
      <c r="L493" s="126"/>
      <c r="M493" s="126"/>
      <c r="N493" s="126"/>
      <c r="O493" s="164"/>
      <c r="P493" s="129"/>
      <c r="Q493" s="129"/>
      <c r="R493" s="129"/>
    </row>
    <row r="494">
      <c r="A494" s="166"/>
      <c r="B494" s="167"/>
      <c r="C494" s="129"/>
      <c r="D494" s="129"/>
      <c r="E494" s="129"/>
      <c r="F494" s="164"/>
      <c r="G494" s="164"/>
      <c r="H494" s="129"/>
      <c r="I494" s="129"/>
      <c r="J494" s="129"/>
      <c r="K494" s="126"/>
      <c r="L494" s="126"/>
      <c r="M494" s="126"/>
      <c r="N494" s="126"/>
      <c r="O494" s="164"/>
      <c r="P494" s="129"/>
      <c r="Q494" s="129"/>
      <c r="R494" s="129"/>
    </row>
    <row r="495">
      <c r="A495" s="166"/>
      <c r="B495" s="167"/>
      <c r="C495" s="129"/>
      <c r="D495" s="129"/>
      <c r="E495" s="129"/>
      <c r="F495" s="164"/>
      <c r="G495" s="164"/>
      <c r="H495" s="129"/>
      <c r="I495" s="129"/>
      <c r="J495" s="129"/>
      <c r="K495" s="126"/>
      <c r="L495" s="126"/>
      <c r="M495" s="126"/>
      <c r="N495" s="126"/>
      <c r="O495" s="164"/>
      <c r="P495" s="129"/>
      <c r="Q495" s="129"/>
      <c r="R495" s="129"/>
    </row>
    <row r="496">
      <c r="A496" s="166"/>
      <c r="B496" s="167"/>
      <c r="C496" s="129"/>
      <c r="D496" s="129"/>
      <c r="E496" s="129"/>
      <c r="F496" s="164"/>
      <c r="G496" s="164"/>
      <c r="H496" s="129"/>
      <c r="I496" s="129"/>
      <c r="J496" s="129"/>
      <c r="K496" s="126"/>
      <c r="L496" s="126"/>
      <c r="M496" s="126"/>
      <c r="N496" s="126"/>
      <c r="O496" s="164"/>
      <c r="P496" s="129"/>
      <c r="Q496" s="129"/>
      <c r="R496" s="129"/>
    </row>
    <row r="497">
      <c r="A497" s="166"/>
      <c r="B497" s="167"/>
      <c r="C497" s="129"/>
      <c r="D497" s="129"/>
      <c r="E497" s="129"/>
      <c r="F497" s="164"/>
      <c r="G497" s="164"/>
      <c r="H497" s="129"/>
      <c r="I497" s="129"/>
      <c r="J497" s="129"/>
      <c r="K497" s="126"/>
      <c r="L497" s="126"/>
      <c r="M497" s="126"/>
      <c r="N497" s="126"/>
      <c r="O497" s="164"/>
      <c r="P497" s="129"/>
      <c r="Q497" s="129"/>
      <c r="R497" s="129"/>
    </row>
    <row r="498">
      <c r="A498" s="166"/>
      <c r="B498" s="167"/>
      <c r="C498" s="129"/>
      <c r="D498" s="129"/>
      <c r="E498" s="129"/>
      <c r="F498" s="164"/>
      <c r="G498" s="164"/>
      <c r="H498" s="129"/>
      <c r="I498" s="129"/>
      <c r="J498" s="129"/>
      <c r="K498" s="126"/>
      <c r="L498" s="126"/>
      <c r="M498" s="126"/>
      <c r="N498" s="126"/>
      <c r="O498" s="164"/>
      <c r="P498" s="129"/>
      <c r="Q498" s="129"/>
      <c r="R498" s="129"/>
    </row>
    <row r="499">
      <c r="A499" s="166"/>
      <c r="B499" s="167"/>
      <c r="C499" s="129"/>
      <c r="D499" s="129"/>
      <c r="E499" s="129"/>
      <c r="F499" s="164"/>
      <c r="G499" s="164"/>
      <c r="H499" s="129"/>
      <c r="I499" s="129"/>
      <c r="J499" s="129"/>
      <c r="K499" s="126"/>
      <c r="L499" s="126"/>
      <c r="M499" s="126"/>
      <c r="N499" s="126"/>
      <c r="O499" s="164"/>
      <c r="P499" s="129"/>
      <c r="Q499" s="129"/>
      <c r="R499" s="129"/>
    </row>
    <row r="500">
      <c r="A500" s="166"/>
      <c r="B500" s="167"/>
      <c r="C500" s="129"/>
      <c r="D500" s="129"/>
      <c r="E500" s="129"/>
      <c r="F500" s="164"/>
      <c r="G500" s="164"/>
      <c r="H500" s="129"/>
      <c r="I500" s="129"/>
      <c r="J500" s="129"/>
      <c r="K500" s="126"/>
      <c r="L500" s="126"/>
      <c r="M500" s="126"/>
      <c r="N500" s="126"/>
      <c r="O500" s="164"/>
      <c r="P500" s="129"/>
      <c r="Q500" s="129"/>
      <c r="R500" s="129"/>
    </row>
    <row r="501">
      <c r="A501" s="166"/>
      <c r="B501" s="167"/>
      <c r="C501" s="129"/>
      <c r="D501" s="129"/>
      <c r="E501" s="129"/>
      <c r="F501" s="164"/>
      <c r="G501" s="164"/>
      <c r="H501" s="129"/>
      <c r="I501" s="129"/>
      <c r="J501" s="129"/>
      <c r="K501" s="126"/>
      <c r="L501" s="126"/>
      <c r="M501" s="126"/>
      <c r="N501" s="126"/>
      <c r="O501" s="164"/>
      <c r="P501" s="129"/>
      <c r="Q501" s="129"/>
      <c r="R501" s="129"/>
    </row>
    <row r="502">
      <c r="A502" s="166"/>
      <c r="B502" s="167"/>
      <c r="C502" s="129"/>
      <c r="D502" s="129"/>
      <c r="E502" s="129"/>
      <c r="F502" s="164"/>
      <c r="G502" s="164"/>
      <c r="H502" s="129"/>
      <c r="I502" s="129"/>
      <c r="J502" s="129"/>
      <c r="K502" s="126"/>
      <c r="L502" s="126"/>
      <c r="M502" s="126"/>
      <c r="N502" s="126"/>
      <c r="O502" s="164"/>
      <c r="P502" s="129"/>
      <c r="Q502" s="129"/>
      <c r="R502" s="129"/>
    </row>
    <row r="503">
      <c r="A503" s="166"/>
      <c r="B503" s="167"/>
      <c r="C503" s="129"/>
      <c r="D503" s="129"/>
      <c r="E503" s="129"/>
      <c r="F503" s="164"/>
      <c r="G503" s="164"/>
      <c r="H503" s="129"/>
      <c r="I503" s="129"/>
      <c r="J503" s="129"/>
      <c r="K503" s="126"/>
      <c r="L503" s="126"/>
      <c r="M503" s="126"/>
      <c r="N503" s="126"/>
      <c r="O503" s="164"/>
      <c r="P503" s="129"/>
      <c r="Q503" s="129"/>
      <c r="R503" s="129"/>
    </row>
    <row r="504">
      <c r="A504" s="166"/>
      <c r="B504" s="167"/>
      <c r="C504" s="129"/>
      <c r="D504" s="129"/>
      <c r="E504" s="129"/>
      <c r="F504" s="164"/>
      <c r="G504" s="164"/>
      <c r="H504" s="129"/>
      <c r="I504" s="129"/>
      <c r="J504" s="129"/>
      <c r="K504" s="126"/>
      <c r="L504" s="126"/>
      <c r="M504" s="126"/>
      <c r="N504" s="126"/>
      <c r="O504" s="164"/>
      <c r="P504" s="129"/>
      <c r="Q504" s="129"/>
      <c r="R504" s="129"/>
    </row>
    <row r="505">
      <c r="A505" s="166"/>
      <c r="B505" s="167"/>
      <c r="C505" s="129"/>
      <c r="D505" s="129"/>
      <c r="E505" s="129"/>
      <c r="F505" s="164"/>
      <c r="G505" s="164"/>
      <c r="H505" s="129"/>
      <c r="I505" s="129"/>
      <c r="J505" s="129"/>
      <c r="K505" s="126"/>
      <c r="L505" s="126"/>
      <c r="M505" s="126"/>
      <c r="N505" s="126"/>
      <c r="O505" s="164"/>
      <c r="P505" s="129"/>
      <c r="Q505" s="129"/>
      <c r="R505" s="129"/>
    </row>
    <row r="506">
      <c r="A506" s="166"/>
      <c r="B506" s="167"/>
      <c r="C506" s="129"/>
      <c r="D506" s="129"/>
      <c r="E506" s="129"/>
      <c r="F506" s="164"/>
      <c r="G506" s="164"/>
      <c r="H506" s="129"/>
      <c r="I506" s="129"/>
      <c r="J506" s="129"/>
      <c r="K506" s="126"/>
      <c r="L506" s="126"/>
      <c r="M506" s="126"/>
      <c r="N506" s="126"/>
      <c r="O506" s="164"/>
      <c r="P506" s="129"/>
      <c r="Q506" s="129"/>
      <c r="R506" s="129"/>
    </row>
    <row r="507">
      <c r="A507" s="166"/>
      <c r="B507" s="167"/>
      <c r="C507" s="129"/>
      <c r="D507" s="129"/>
      <c r="E507" s="129"/>
      <c r="F507" s="164"/>
      <c r="G507" s="164"/>
      <c r="H507" s="129"/>
      <c r="I507" s="129"/>
      <c r="J507" s="129"/>
      <c r="K507" s="126"/>
      <c r="L507" s="126"/>
      <c r="M507" s="126"/>
      <c r="N507" s="126"/>
      <c r="O507" s="164"/>
      <c r="P507" s="129"/>
      <c r="Q507" s="129"/>
      <c r="R507" s="129"/>
    </row>
    <row r="508">
      <c r="A508" s="166"/>
      <c r="B508" s="167"/>
      <c r="C508" s="129"/>
      <c r="D508" s="129"/>
      <c r="E508" s="129"/>
      <c r="F508" s="164"/>
      <c r="G508" s="164"/>
      <c r="H508" s="129"/>
      <c r="I508" s="129"/>
      <c r="J508" s="129"/>
      <c r="K508" s="126"/>
      <c r="L508" s="126"/>
      <c r="M508" s="126"/>
      <c r="N508" s="126"/>
      <c r="O508" s="164"/>
      <c r="P508" s="129"/>
      <c r="Q508" s="129"/>
      <c r="R508" s="129"/>
    </row>
    <row r="509">
      <c r="A509" s="166"/>
      <c r="B509" s="167"/>
      <c r="C509" s="129"/>
      <c r="D509" s="129"/>
      <c r="E509" s="129"/>
      <c r="F509" s="164"/>
      <c r="G509" s="164"/>
      <c r="H509" s="129"/>
      <c r="I509" s="129"/>
      <c r="J509" s="129"/>
      <c r="K509" s="126"/>
      <c r="L509" s="126"/>
      <c r="M509" s="126"/>
      <c r="N509" s="126"/>
      <c r="O509" s="164"/>
      <c r="P509" s="129"/>
      <c r="Q509" s="129"/>
      <c r="R509" s="129"/>
    </row>
    <row r="510">
      <c r="A510" s="166"/>
      <c r="B510" s="167"/>
      <c r="C510" s="129"/>
      <c r="D510" s="129"/>
      <c r="E510" s="129"/>
      <c r="F510" s="164"/>
      <c r="G510" s="164"/>
      <c r="H510" s="129"/>
      <c r="I510" s="129"/>
      <c r="J510" s="129"/>
      <c r="K510" s="126"/>
      <c r="L510" s="126"/>
      <c r="M510" s="126"/>
      <c r="N510" s="126"/>
      <c r="O510" s="164"/>
      <c r="P510" s="129"/>
      <c r="Q510" s="129"/>
      <c r="R510" s="129"/>
    </row>
    <row r="511">
      <c r="A511" s="166"/>
      <c r="B511" s="167"/>
      <c r="C511" s="129"/>
      <c r="D511" s="129"/>
      <c r="E511" s="129"/>
      <c r="F511" s="164"/>
      <c r="G511" s="164"/>
      <c r="H511" s="129"/>
      <c r="I511" s="129"/>
      <c r="J511" s="129"/>
      <c r="K511" s="126"/>
      <c r="L511" s="126"/>
      <c r="M511" s="126"/>
      <c r="N511" s="126"/>
      <c r="O511" s="164"/>
      <c r="P511" s="129"/>
      <c r="Q511" s="129"/>
      <c r="R511" s="129"/>
    </row>
    <row r="512">
      <c r="A512" s="166"/>
      <c r="B512" s="167"/>
      <c r="C512" s="129"/>
      <c r="D512" s="129"/>
      <c r="E512" s="129"/>
      <c r="F512" s="164"/>
      <c r="G512" s="164"/>
      <c r="H512" s="129"/>
      <c r="I512" s="129"/>
      <c r="J512" s="129"/>
      <c r="K512" s="126"/>
      <c r="L512" s="126"/>
      <c r="M512" s="126"/>
      <c r="N512" s="126"/>
      <c r="O512" s="164"/>
      <c r="P512" s="129"/>
      <c r="Q512" s="129"/>
      <c r="R512" s="129"/>
    </row>
    <row r="513">
      <c r="A513" s="166"/>
      <c r="B513" s="167"/>
      <c r="C513" s="129"/>
      <c r="D513" s="129"/>
      <c r="E513" s="129"/>
      <c r="F513" s="164"/>
      <c r="G513" s="164"/>
      <c r="H513" s="129"/>
      <c r="I513" s="129"/>
      <c r="J513" s="129"/>
      <c r="K513" s="126"/>
      <c r="L513" s="126"/>
      <c r="M513" s="126"/>
      <c r="N513" s="126"/>
      <c r="O513" s="164"/>
      <c r="P513" s="129"/>
      <c r="Q513" s="129"/>
      <c r="R513" s="129"/>
    </row>
    <row r="514">
      <c r="A514" s="166"/>
      <c r="B514" s="167"/>
      <c r="C514" s="129"/>
      <c r="D514" s="129"/>
      <c r="E514" s="129"/>
      <c r="F514" s="164"/>
      <c r="G514" s="164"/>
      <c r="H514" s="129"/>
      <c r="I514" s="129"/>
      <c r="J514" s="129"/>
      <c r="K514" s="126"/>
      <c r="L514" s="126"/>
      <c r="M514" s="126"/>
      <c r="N514" s="126"/>
      <c r="O514" s="164"/>
      <c r="P514" s="129"/>
      <c r="Q514" s="129"/>
      <c r="R514" s="129"/>
    </row>
    <row r="515">
      <c r="A515" s="166"/>
      <c r="B515" s="167"/>
      <c r="C515" s="129"/>
      <c r="D515" s="129"/>
      <c r="E515" s="129"/>
      <c r="F515" s="164"/>
      <c r="G515" s="164"/>
      <c r="H515" s="129"/>
      <c r="I515" s="129"/>
      <c r="J515" s="129"/>
      <c r="K515" s="126"/>
      <c r="L515" s="126"/>
      <c r="M515" s="126"/>
      <c r="N515" s="126"/>
      <c r="O515" s="164"/>
      <c r="P515" s="129"/>
      <c r="Q515" s="129"/>
      <c r="R515" s="129"/>
    </row>
    <row r="516">
      <c r="A516" s="166"/>
      <c r="B516" s="167"/>
      <c r="C516" s="129"/>
      <c r="D516" s="129"/>
      <c r="E516" s="129"/>
      <c r="F516" s="164"/>
      <c r="G516" s="164"/>
      <c r="H516" s="129"/>
      <c r="I516" s="129"/>
      <c r="J516" s="129"/>
      <c r="K516" s="126"/>
      <c r="L516" s="126"/>
      <c r="M516" s="126"/>
      <c r="N516" s="126"/>
      <c r="O516" s="164"/>
      <c r="P516" s="129"/>
      <c r="Q516" s="129"/>
      <c r="R516" s="129"/>
    </row>
    <row r="517">
      <c r="A517" s="166"/>
      <c r="B517" s="167"/>
      <c r="C517" s="129"/>
      <c r="D517" s="129"/>
      <c r="E517" s="129"/>
      <c r="F517" s="164"/>
      <c r="G517" s="164"/>
      <c r="H517" s="129"/>
      <c r="I517" s="129"/>
      <c r="J517" s="129"/>
      <c r="K517" s="126"/>
      <c r="L517" s="126"/>
      <c r="M517" s="126"/>
      <c r="N517" s="126"/>
      <c r="O517" s="164"/>
      <c r="P517" s="129"/>
      <c r="Q517" s="129"/>
      <c r="R517" s="129"/>
    </row>
    <row r="518">
      <c r="A518" s="166"/>
      <c r="B518" s="167"/>
      <c r="C518" s="129"/>
      <c r="D518" s="129"/>
      <c r="E518" s="129"/>
      <c r="F518" s="164"/>
      <c r="G518" s="164"/>
      <c r="H518" s="129"/>
      <c r="I518" s="129"/>
      <c r="J518" s="129"/>
      <c r="K518" s="126"/>
      <c r="L518" s="126"/>
      <c r="M518" s="126"/>
      <c r="N518" s="126"/>
      <c r="O518" s="164"/>
      <c r="P518" s="129"/>
      <c r="Q518" s="129"/>
      <c r="R518" s="129"/>
    </row>
    <row r="519">
      <c r="A519" s="166"/>
      <c r="B519" s="167"/>
      <c r="C519" s="129"/>
      <c r="D519" s="129"/>
      <c r="E519" s="129"/>
      <c r="F519" s="164"/>
      <c r="G519" s="164"/>
      <c r="H519" s="129"/>
      <c r="I519" s="129"/>
      <c r="J519" s="129"/>
      <c r="K519" s="126"/>
      <c r="L519" s="126"/>
      <c r="M519" s="126"/>
      <c r="N519" s="126"/>
      <c r="O519" s="164"/>
      <c r="P519" s="129"/>
      <c r="Q519" s="129"/>
      <c r="R519" s="129"/>
    </row>
    <row r="520">
      <c r="A520" s="166"/>
      <c r="B520" s="167"/>
      <c r="C520" s="129"/>
      <c r="D520" s="129"/>
      <c r="E520" s="129"/>
      <c r="F520" s="164"/>
      <c r="G520" s="164"/>
      <c r="H520" s="129"/>
      <c r="I520" s="129"/>
      <c r="J520" s="129"/>
      <c r="K520" s="126"/>
      <c r="L520" s="126"/>
      <c r="M520" s="126"/>
      <c r="N520" s="126"/>
      <c r="O520" s="164"/>
      <c r="P520" s="129"/>
      <c r="Q520" s="129"/>
      <c r="R520" s="129"/>
    </row>
    <row r="521">
      <c r="A521" s="166"/>
      <c r="B521" s="167"/>
      <c r="C521" s="129"/>
      <c r="D521" s="129"/>
      <c r="E521" s="129"/>
      <c r="F521" s="164"/>
      <c r="G521" s="164"/>
      <c r="H521" s="129"/>
      <c r="I521" s="129"/>
      <c r="J521" s="129"/>
      <c r="K521" s="126"/>
      <c r="L521" s="126"/>
      <c r="M521" s="126"/>
      <c r="N521" s="126"/>
      <c r="O521" s="164"/>
      <c r="P521" s="129"/>
      <c r="Q521" s="129"/>
      <c r="R521" s="129"/>
    </row>
    <row r="522">
      <c r="A522" s="166"/>
      <c r="B522" s="167"/>
      <c r="C522" s="129"/>
      <c r="D522" s="129"/>
      <c r="E522" s="129"/>
      <c r="F522" s="164"/>
      <c r="G522" s="164"/>
      <c r="H522" s="129"/>
      <c r="I522" s="129"/>
      <c r="J522" s="129"/>
      <c r="K522" s="126"/>
      <c r="L522" s="126"/>
      <c r="M522" s="126"/>
      <c r="N522" s="126"/>
      <c r="O522" s="164"/>
      <c r="P522" s="129"/>
      <c r="Q522" s="129"/>
      <c r="R522" s="129"/>
    </row>
    <row r="523">
      <c r="A523" s="166"/>
      <c r="B523" s="167"/>
      <c r="C523" s="129"/>
      <c r="D523" s="129"/>
      <c r="E523" s="129"/>
      <c r="F523" s="164"/>
      <c r="G523" s="164"/>
      <c r="H523" s="129"/>
      <c r="I523" s="129"/>
      <c r="J523" s="129"/>
      <c r="K523" s="126"/>
      <c r="L523" s="126"/>
      <c r="M523" s="126"/>
      <c r="N523" s="126"/>
      <c r="O523" s="164"/>
      <c r="P523" s="129"/>
      <c r="Q523" s="129"/>
      <c r="R523" s="129"/>
    </row>
    <row r="524">
      <c r="A524" s="166"/>
      <c r="B524" s="167"/>
      <c r="C524" s="129"/>
      <c r="D524" s="129"/>
      <c r="E524" s="129"/>
      <c r="F524" s="164"/>
      <c r="G524" s="164"/>
      <c r="H524" s="129"/>
      <c r="I524" s="129"/>
      <c r="J524" s="129"/>
      <c r="K524" s="126"/>
      <c r="L524" s="126"/>
      <c r="M524" s="126"/>
      <c r="N524" s="126"/>
      <c r="O524" s="164"/>
      <c r="P524" s="129"/>
      <c r="Q524" s="129"/>
      <c r="R524" s="129"/>
    </row>
    <row r="525">
      <c r="A525" s="166"/>
      <c r="B525" s="167"/>
      <c r="C525" s="129"/>
      <c r="D525" s="129"/>
      <c r="E525" s="129"/>
      <c r="F525" s="164"/>
      <c r="G525" s="164"/>
      <c r="H525" s="129"/>
      <c r="I525" s="129"/>
      <c r="J525" s="129"/>
      <c r="K525" s="126"/>
      <c r="L525" s="126"/>
      <c r="M525" s="126"/>
      <c r="N525" s="126"/>
      <c r="O525" s="164"/>
      <c r="P525" s="129"/>
      <c r="Q525" s="129"/>
      <c r="R525" s="129"/>
    </row>
    <row r="526">
      <c r="A526" s="166"/>
      <c r="B526" s="167"/>
      <c r="C526" s="129"/>
      <c r="D526" s="129"/>
      <c r="E526" s="129"/>
      <c r="F526" s="164"/>
      <c r="G526" s="164"/>
      <c r="H526" s="129"/>
      <c r="I526" s="129"/>
      <c r="J526" s="129"/>
      <c r="K526" s="126"/>
      <c r="L526" s="126"/>
      <c r="M526" s="126"/>
      <c r="N526" s="126"/>
      <c r="O526" s="164"/>
      <c r="P526" s="129"/>
      <c r="Q526" s="129"/>
      <c r="R526" s="129"/>
    </row>
    <row r="527">
      <c r="A527" s="166"/>
      <c r="B527" s="167"/>
      <c r="C527" s="129"/>
      <c r="D527" s="129"/>
      <c r="E527" s="129"/>
      <c r="F527" s="164"/>
      <c r="G527" s="164"/>
      <c r="H527" s="129"/>
      <c r="I527" s="129"/>
      <c r="J527" s="129"/>
      <c r="K527" s="126"/>
      <c r="L527" s="126"/>
      <c r="M527" s="126"/>
      <c r="N527" s="126"/>
      <c r="O527" s="164"/>
      <c r="P527" s="129"/>
      <c r="Q527" s="129"/>
      <c r="R527" s="129"/>
    </row>
    <row r="528">
      <c r="A528" s="166"/>
      <c r="B528" s="167"/>
      <c r="C528" s="129"/>
      <c r="D528" s="129"/>
      <c r="E528" s="129"/>
      <c r="F528" s="164"/>
      <c r="G528" s="164"/>
      <c r="H528" s="129"/>
      <c r="I528" s="129"/>
      <c r="J528" s="129"/>
      <c r="K528" s="126"/>
      <c r="L528" s="126"/>
      <c r="M528" s="126"/>
      <c r="N528" s="126"/>
      <c r="O528" s="164"/>
      <c r="P528" s="129"/>
      <c r="Q528" s="129"/>
      <c r="R528" s="129"/>
    </row>
    <row r="529">
      <c r="A529" s="166"/>
      <c r="B529" s="167"/>
      <c r="C529" s="129"/>
      <c r="D529" s="129"/>
      <c r="E529" s="129"/>
      <c r="F529" s="164"/>
      <c r="G529" s="164"/>
      <c r="H529" s="129"/>
      <c r="I529" s="129"/>
      <c r="J529" s="129"/>
      <c r="K529" s="126"/>
      <c r="L529" s="126"/>
      <c r="M529" s="126"/>
      <c r="N529" s="126"/>
      <c r="O529" s="164"/>
      <c r="P529" s="129"/>
      <c r="Q529" s="129"/>
      <c r="R529" s="129"/>
    </row>
    <row r="530">
      <c r="A530" s="166"/>
      <c r="B530" s="167"/>
      <c r="C530" s="129"/>
      <c r="D530" s="129"/>
      <c r="E530" s="129"/>
      <c r="F530" s="164"/>
      <c r="G530" s="164"/>
      <c r="H530" s="129"/>
      <c r="I530" s="129"/>
      <c r="J530" s="129"/>
      <c r="K530" s="126"/>
      <c r="L530" s="126"/>
      <c r="M530" s="126"/>
      <c r="N530" s="126"/>
      <c r="O530" s="164"/>
      <c r="P530" s="129"/>
      <c r="Q530" s="129"/>
      <c r="R530" s="129"/>
    </row>
    <row r="531">
      <c r="A531" s="166"/>
      <c r="B531" s="167"/>
      <c r="C531" s="129"/>
      <c r="D531" s="129"/>
      <c r="E531" s="129"/>
      <c r="F531" s="164"/>
      <c r="G531" s="164"/>
      <c r="H531" s="129"/>
      <c r="I531" s="129"/>
      <c r="J531" s="129"/>
      <c r="K531" s="126"/>
      <c r="L531" s="126"/>
      <c r="M531" s="126"/>
      <c r="N531" s="126"/>
      <c r="O531" s="164"/>
      <c r="P531" s="129"/>
      <c r="Q531" s="129"/>
      <c r="R531" s="129"/>
    </row>
    <row r="532">
      <c r="A532" s="166"/>
      <c r="B532" s="167"/>
      <c r="C532" s="129"/>
      <c r="D532" s="129"/>
      <c r="E532" s="129"/>
      <c r="F532" s="164"/>
      <c r="G532" s="164"/>
      <c r="H532" s="129"/>
      <c r="I532" s="129"/>
      <c r="J532" s="129"/>
      <c r="K532" s="126"/>
      <c r="L532" s="126"/>
      <c r="M532" s="126"/>
      <c r="N532" s="126"/>
      <c r="O532" s="164"/>
      <c r="P532" s="129"/>
      <c r="Q532" s="129"/>
      <c r="R532" s="129"/>
    </row>
    <row r="533">
      <c r="A533" s="166"/>
      <c r="B533" s="167"/>
      <c r="C533" s="129"/>
      <c r="D533" s="129"/>
      <c r="E533" s="129"/>
      <c r="F533" s="164"/>
      <c r="G533" s="164"/>
      <c r="H533" s="129"/>
      <c r="I533" s="129"/>
      <c r="J533" s="129"/>
      <c r="K533" s="126"/>
      <c r="L533" s="126"/>
      <c r="M533" s="126"/>
      <c r="N533" s="126"/>
      <c r="O533" s="164"/>
      <c r="P533" s="129"/>
      <c r="Q533" s="129"/>
      <c r="R533" s="129"/>
    </row>
    <row r="534">
      <c r="A534" s="166"/>
      <c r="B534" s="167"/>
      <c r="C534" s="129"/>
      <c r="D534" s="129"/>
      <c r="E534" s="129"/>
      <c r="F534" s="164"/>
      <c r="G534" s="164"/>
      <c r="H534" s="129"/>
      <c r="I534" s="129"/>
      <c r="J534" s="129"/>
      <c r="K534" s="126"/>
      <c r="L534" s="126"/>
      <c r="M534" s="126"/>
      <c r="N534" s="126"/>
      <c r="O534" s="164"/>
      <c r="P534" s="129"/>
      <c r="Q534" s="129"/>
      <c r="R534" s="129"/>
    </row>
    <row r="535">
      <c r="A535" s="166"/>
      <c r="B535" s="167"/>
      <c r="C535" s="129"/>
      <c r="D535" s="129"/>
      <c r="E535" s="129"/>
      <c r="F535" s="164"/>
      <c r="G535" s="164"/>
      <c r="H535" s="129"/>
      <c r="I535" s="129"/>
      <c r="J535" s="129"/>
      <c r="K535" s="126"/>
      <c r="L535" s="126"/>
      <c r="M535" s="126"/>
      <c r="N535" s="126"/>
      <c r="O535" s="164"/>
      <c r="P535" s="129"/>
      <c r="Q535" s="129"/>
      <c r="R535" s="129"/>
    </row>
    <row r="536">
      <c r="A536" s="166"/>
      <c r="B536" s="167"/>
      <c r="C536" s="129"/>
      <c r="D536" s="129"/>
      <c r="E536" s="129"/>
      <c r="F536" s="164"/>
      <c r="G536" s="164"/>
      <c r="H536" s="129"/>
      <c r="I536" s="129"/>
      <c r="J536" s="129"/>
      <c r="K536" s="126"/>
      <c r="L536" s="126"/>
      <c r="M536" s="126"/>
      <c r="N536" s="126"/>
      <c r="O536" s="164"/>
      <c r="P536" s="129"/>
      <c r="Q536" s="129"/>
      <c r="R536" s="129"/>
    </row>
    <row r="537">
      <c r="A537" s="166"/>
      <c r="B537" s="167"/>
      <c r="C537" s="129"/>
      <c r="D537" s="129"/>
      <c r="E537" s="129"/>
      <c r="F537" s="164"/>
      <c r="G537" s="164"/>
      <c r="H537" s="129"/>
      <c r="I537" s="129"/>
      <c r="J537" s="129"/>
      <c r="K537" s="126"/>
      <c r="L537" s="126"/>
      <c r="M537" s="126"/>
      <c r="N537" s="126"/>
      <c r="O537" s="164"/>
      <c r="P537" s="129"/>
      <c r="Q537" s="129"/>
      <c r="R537" s="129"/>
    </row>
    <row r="538">
      <c r="A538" s="166"/>
      <c r="B538" s="167"/>
      <c r="C538" s="129"/>
      <c r="D538" s="129"/>
      <c r="E538" s="129"/>
      <c r="F538" s="164"/>
      <c r="G538" s="164"/>
      <c r="H538" s="129"/>
      <c r="I538" s="129"/>
      <c r="J538" s="129"/>
      <c r="K538" s="126"/>
      <c r="L538" s="126"/>
      <c r="M538" s="126"/>
      <c r="N538" s="126"/>
      <c r="O538" s="164"/>
      <c r="P538" s="129"/>
      <c r="Q538" s="129"/>
      <c r="R538" s="129"/>
    </row>
    <row r="539">
      <c r="A539" s="166"/>
      <c r="B539" s="167"/>
      <c r="C539" s="129"/>
      <c r="D539" s="129"/>
      <c r="E539" s="129"/>
      <c r="F539" s="164"/>
      <c r="G539" s="164"/>
      <c r="H539" s="129"/>
      <c r="I539" s="129"/>
      <c r="J539" s="129"/>
      <c r="K539" s="126"/>
      <c r="L539" s="126"/>
      <c r="M539" s="126"/>
      <c r="N539" s="126"/>
      <c r="O539" s="164"/>
      <c r="P539" s="129"/>
      <c r="Q539" s="129"/>
      <c r="R539" s="129"/>
    </row>
    <row r="540">
      <c r="A540" s="166"/>
      <c r="B540" s="167"/>
      <c r="C540" s="129"/>
      <c r="D540" s="129"/>
      <c r="E540" s="129"/>
      <c r="F540" s="164"/>
      <c r="G540" s="164"/>
      <c r="H540" s="129"/>
      <c r="I540" s="129"/>
      <c r="J540" s="129"/>
      <c r="K540" s="126"/>
      <c r="L540" s="126"/>
      <c r="M540" s="126"/>
      <c r="N540" s="126"/>
      <c r="O540" s="164"/>
      <c r="P540" s="129"/>
      <c r="Q540" s="129"/>
      <c r="R540" s="129"/>
    </row>
    <row r="541">
      <c r="A541" s="166"/>
      <c r="B541" s="167"/>
      <c r="C541" s="129"/>
      <c r="D541" s="129"/>
      <c r="E541" s="129"/>
      <c r="F541" s="164"/>
      <c r="G541" s="164"/>
      <c r="H541" s="129"/>
      <c r="I541" s="129"/>
      <c r="J541" s="129"/>
      <c r="K541" s="126"/>
      <c r="L541" s="126"/>
      <c r="M541" s="126"/>
      <c r="N541" s="126"/>
      <c r="O541" s="164"/>
      <c r="P541" s="129"/>
      <c r="Q541" s="129"/>
      <c r="R541" s="129"/>
    </row>
    <row r="542">
      <c r="A542" s="166"/>
      <c r="B542" s="167"/>
      <c r="C542" s="129"/>
      <c r="D542" s="129"/>
      <c r="E542" s="129"/>
      <c r="F542" s="164"/>
      <c r="G542" s="164"/>
      <c r="H542" s="129"/>
      <c r="I542" s="129"/>
      <c r="J542" s="129"/>
      <c r="K542" s="126"/>
      <c r="L542" s="126"/>
      <c r="M542" s="126"/>
      <c r="N542" s="126"/>
      <c r="O542" s="164"/>
      <c r="P542" s="129"/>
      <c r="Q542" s="129"/>
      <c r="R542" s="129"/>
    </row>
    <row r="543">
      <c r="A543" s="166"/>
      <c r="B543" s="167"/>
      <c r="C543" s="129"/>
      <c r="D543" s="129"/>
      <c r="E543" s="129"/>
      <c r="F543" s="164"/>
      <c r="G543" s="164"/>
      <c r="H543" s="129"/>
      <c r="I543" s="129"/>
      <c r="J543" s="129"/>
      <c r="K543" s="126"/>
      <c r="L543" s="126"/>
      <c r="M543" s="126"/>
      <c r="N543" s="126"/>
      <c r="O543" s="164"/>
      <c r="P543" s="129"/>
      <c r="Q543" s="129"/>
      <c r="R543" s="129"/>
    </row>
    <row r="544">
      <c r="A544" s="166"/>
      <c r="B544" s="167"/>
      <c r="C544" s="129"/>
      <c r="D544" s="129"/>
      <c r="E544" s="129"/>
      <c r="F544" s="164"/>
      <c r="G544" s="164"/>
      <c r="H544" s="129"/>
      <c r="I544" s="129"/>
      <c r="J544" s="129"/>
      <c r="K544" s="126"/>
      <c r="L544" s="126"/>
      <c r="M544" s="126"/>
      <c r="N544" s="126"/>
      <c r="O544" s="164"/>
      <c r="P544" s="129"/>
      <c r="Q544" s="129"/>
      <c r="R544" s="129"/>
    </row>
    <row r="545">
      <c r="A545" s="166"/>
      <c r="B545" s="167"/>
      <c r="C545" s="129"/>
      <c r="D545" s="129"/>
      <c r="E545" s="129"/>
      <c r="F545" s="164"/>
      <c r="G545" s="164"/>
      <c r="H545" s="129"/>
      <c r="I545" s="129"/>
      <c r="J545" s="129"/>
      <c r="K545" s="126"/>
      <c r="L545" s="126"/>
      <c r="M545" s="126"/>
      <c r="N545" s="126"/>
      <c r="O545" s="164"/>
      <c r="P545" s="129"/>
      <c r="Q545" s="129"/>
      <c r="R545" s="129"/>
    </row>
    <row r="546">
      <c r="A546" s="166"/>
      <c r="B546" s="167"/>
      <c r="C546" s="129"/>
      <c r="D546" s="129"/>
      <c r="E546" s="129"/>
      <c r="F546" s="164"/>
      <c r="G546" s="164"/>
      <c r="H546" s="129"/>
      <c r="I546" s="129"/>
      <c r="J546" s="129"/>
      <c r="K546" s="126"/>
      <c r="L546" s="126"/>
      <c r="M546" s="126"/>
      <c r="N546" s="126"/>
      <c r="O546" s="164"/>
      <c r="P546" s="129"/>
      <c r="Q546" s="129"/>
      <c r="R546" s="129"/>
    </row>
    <row r="547">
      <c r="A547" s="166"/>
      <c r="B547" s="167"/>
      <c r="C547" s="129"/>
      <c r="D547" s="129"/>
      <c r="E547" s="129"/>
      <c r="F547" s="164"/>
      <c r="G547" s="164"/>
      <c r="H547" s="129"/>
      <c r="I547" s="129"/>
      <c r="J547" s="129"/>
      <c r="K547" s="126"/>
      <c r="L547" s="126"/>
      <c r="M547" s="126"/>
      <c r="N547" s="126"/>
      <c r="O547" s="164"/>
      <c r="P547" s="129"/>
      <c r="Q547" s="129"/>
      <c r="R547" s="129"/>
    </row>
    <row r="548">
      <c r="A548" s="166"/>
      <c r="B548" s="167"/>
      <c r="C548" s="129"/>
      <c r="D548" s="129"/>
      <c r="E548" s="129"/>
      <c r="F548" s="164"/>
      <c r="G548" s="164"/>
      <c r="H548" s="129"/>
      <c r="I548" s="129"/>
      <c r="J548" s="129"/>
      <c r="K548" s="126"/>
      <c r="L548" s="126"/>
      <c r="M548" s="126"/>
      <c r="N548" s="126"/>
      <c r="O548" s="164"/>
      <c r="P548" s="129"/>
      <c r="Q548" s="129"/>
      <c r="R548" s="129"/>
    </row>
    <row r="549">
      <c r="A549" s="166"/>
      <c r="B549" s="167"/>
      <c r="C549" s="129"/>
      <c r="D549" s="129"/>
      <c r="E549" s="129"/>
      <c r="F549" s="164"/>
      <c r="G549" s="164"/>
      <c r="H549" s="129"/>
      <c r="I549" s="129"/>
      <c r="J549" s="129"/>
      <c r="K549" s="126"/>
      <c r="L549" s="126"/>
      <c r="M549" s="126"/>
      <c r="N549" s="126"/>
      <c r="O549" s="164"/>
      <c r="P549" s="129"/>
      <c r="Q549" s="129"/>
      <c r="R549" s="129"/>
    </row>
    <row r="550">
      <c r="A550" s="166"/>
      <c r="B550" s="167"/>
      <c r="C550" s="129"/>
      <c r="D550" s="129"/>
      <c r="E550" s="129"/>
      <c r="F550" s="164"/>
      <c r="G550" s="164"/>
      <c r="H550" s="129"/>
      <c r="I550" s="129"/>
      <c r="J550" s="129"/>
      <c r="K550" s="126"/>
      <c r="L550" s="126"/>
      <c r="M550" s="126"/>
      <c r="N550" s="126"/>
      <c r="O550" s="164"/>
      <c r="P550" s="129"/>
      <c r="Q550" s="129"/>
      <c r="R550" s="129"/>
    </row>
    <row r="551">
      <c r="A551" s="166"/>
      <c r="B551" s="167"/>
      <c r="C551" s="129"/>
      <c r="D551" s="129"/>
      <c r="E551" s="129"/>
      <c r="F551" s="164"/>
      <c r="G551" s="164"/>
      <c r="H551" s="129"/>
      <c r="I551" s="129"/>
      <c r="J551" s="129"/>
      <c r="K551" s="126"/>
      <c r="L551" s="126"/>
      <c r="M551" s="126"/>
      <c r="N551" s="126"/>
      <c r="O551" s="164"/>
      <c r="P551" s="129"/>
      <c r="Q551" s="129"/>
      <c r="R551" s="129"/>
    </row>
    <row r="552">
      <c r="A552" s="166"/>
      <c r="B552" s="167"/>
      <c r="C552" s="129"/>
      <c r="D552" s="129"/>
      <c r="E552" s="129"/>
      <c r="F552" s="164"/>
      <c r="G552" s="164"/>
      <c r="H552" s="129"/>
      <c r="I552" s="129"/>
      <c r="J552" s="129"/>
      <c r="K552" s="126"/>
      <c r="L552" s="126"/>
      <c r="M552" s="126"/>
      <c r="N552" s="126"/>
      <c r="O552" s="164"/>
      <c r="P552" s="129"/>
      <c r="Q552" s="129"/>
      <c r="R552" s="129"/>
    </row>
    <row r="553">
      <c r="A553" s="166"/>
      <c r="B553" s="167"/>
      <c r="C553" s="129"/>
      <c r="D553" s="129"/>
      <c r="E553" s="129"/>
      <c r="F553" s="164"/>
      <c r="G553" s="164"/>
      <c r="H553" s="129"/>
      <c r="I553" s="129"/>
      <c r="J553" s="129"/>
      <c r="K553" s="126"/>
      <c r="L553" s="126"/>
      <c r="M553" s="126"/>
      <c r="N553" s="126"/>
      <c r="O553" s="164"/>
      <c r="P553" s="129"/>
      <c r="Q553" s="129"/>
      <c r="R553" s="129"/>
    </row>
    <row r="554">
      <c r="A554" s="166"/>
      <c r="B554" s="167"/>
      <c r="C554" s="129"/>
      <c r="D554" s="129"/>
      <c r="E554" s="129"/>
      <c r="F554" s="164"/>
      <c r="G554" s="164"/>
      <c r="H554" s="129"/>
      <c r="I554" s="129"/>
      <c r="J554" s="129"/>
      <c r="K554" s="126"/>
      <c r="L554" s="126"/>
      <c r="M554" s="126"/>
      <c r="N554" s="126"/>
      <c r="O554" s="164"/>
      <c r="P554" s="129"/>
      <c r="Q554" s="129"/>
      <c r="R554" s="129"/>
    </row>
    <row r="555">
      <c r="A555" s="166"/>
      <c r="B555" s="167"/>
      <c r="C555" s="129"/>
      <c r="D555" s="129"/>
      <c r="E555" s="129"/>
      <c r="F555" s="164"/>
      <c r="G555" s="164"/>
      <c r="H555" s="129"/>
      <c r="I555" s="129"/>
      <c r="J555" s="129"/>
      <c r="K555" s="126"/>
      <c r="L555" s="126"/>
      <c r="M555" s="126"/>
      <c r="N555" s="126"/>
      <c r="O555" s="164"/>
      <c r="P555" s="129"/>
      <c r="Q555" s="129"/>
      <c r="R555" s="129"/>
    </row>
    <row r="556">
      <c r="A556" s="166"/>
      <c r="B556" s="167"/>
      <c r="C556" s="129"/>
      <c r="D556" s="129"/>
      <c r="E556" s="129"/>
      <c r="F556" s="164"/>
      <c r="G556" s="164"/>
      <c r="H556" s="129"/>
      <c r="I556" s="129"/>
      <c r="J556" s="129"/>
      <c r="K556" s="126"/>
      <c r="L556" s="126"/>
      <c r="M556" s="126"/>
      <c r="N556" s="126"/>
      <c r="O556" s="164"/>
      <c r="P556" s="129"/>
      <c r="Q556" s="129"/>
      <c r="R556" s="129"/>
    </row>
    <row r="557">
      <c r="A557" s="166"/>
      <c r="B557" s="167"/>
      <c r="C557" s="129"/>
      <c r="D557" s="129"/>
      <c r="E557" s="129"/>
      <c r="F557" s="164"/>
      <c r="G557" s="164"/>
      <c r="H557" s="129"/>
      <c r="I557" s="129"/>
      <c r="J557" s="129"/>
      <c r="K557" s="126"/>
      <c r="L557" s="126"/>
      <c r="M557" s="126"/>
      <c r="N557" s="126"/>
      <c r="O557" s="164"/>
      <c r="P557" s="129"/>
      <c r="Q557" s="129"/>
      <c r="R557" s="129"/>
    </row>
    <row r="558">
      <c r="A558" s="166"/>
      <c r="B558" s="167"/>
      <c r="C558" s="129"/>
      <c r="D558" s="129"/>
      <c r="E558" s="129"/>
      <c r="F558" s="164"/>
      <c r="G558" s="164"/>
      <c r="H558" s="129"/>
      <c r="I558" s="129"/>
      <c r="J558" s="129"/>
      <c r="K558" s="126"/>
      <c r="L558" s="126"/>
      <c r="M558" s="126"/>
      <c r="N558" s="126"/>
      <c r="O558" s="164"/>
      <c r="P558" s="129"/>
      <c r="Q558" s="129"/>
      <c r="R558" s="129"/>
    </row>
    <row r="559">
      <c r="A559" s="166"/>
      <c r="B559" s="167"/>
      <c r="C559" s="129"/>
      <c r="D559" s="129"/>
      <c r="E559" s="129"/>
      <c r="F559" s="164"/>
      <c r="G559" s="164"/>
      <c r="H559" s="129"/>
      <c r="I559" s="129"/>
      <c r="J559" s="129"/>
      <c r="K559" s="126"/>
      <c r="L559" s="126"/>
      <c r="M559" s="126"/>
      <c r="N559" s="126"/>
      <c r="O559" s="164"/>
      <c r="P559" s="129"/>
      <c r="Q559" s="129"/>
      <c r="R559" s="129"/>
    </row>
    <row r="560">
      <c r="A560" s="166"/>
      <c r="B560" s="167"/>
      <c r="C560" s="129"/>
      <c r="D560" s="129"/>
      <c r="E560" s="129"/>
      <c r="F560" s="164"/>
      <c r="G560" s="164"/>
      <c r="H560" s="129"/>
      <c r="I560" s="129"/>
      <c r="J560" s="129"/>
      <c r="K560" s="126"/>
      <c r="L560" s="126"/>
      <c r="M560" s="126"/>
      <c r="N560" s="126"/>
      <c r="O560" s="164"/>
      <c r="P560" s="129"/>
      <c r="Q560" s="129"/>
      <c r="R560" s="129"/>
    </row>
    <row r="561">
      <c r="A561" s="166"/>
      <c r="B561" s="167"/>
      <c r="C561" s="129"/>
      <c r="D561" s="129"/>
      <c r="E561" s="129"/>
      <c r="F561" s="164"/>
      <c r="G561" s="164"/>
      <c r="H561" s="129"/>
      <c r="I561" s="129"/>
      <c r="J561" s="129"/>
      <c r="K561" s="126"/>
      <c r="L561" s="126"/>
      <c r="M561" s="126"/>
      <c r="N561" s="126"/>
      <c r="O561" s="164"/>
      <c r="P561" s="129"/>
      <c r="Q561" s="129"/>
      <c r="R561" s="129"/>
    </row>
    <row r="562">
      <c r="A562" s="166"/>
      <c r="B562" s="167"/>
      <c r="C562" s="129"/>
      <c r="D562" s="129"/>
      <c r="E562" s="129"/>
      <c r="F562" s="164"/>
      <c r="G562" s="164"/>
      <c r="H562" s="129"/>
      <c r="I562" s="129"/>
      <c r="J562" s="129"/>
      <c r="K562" s="126"/>
      <c r="L562" s="126"/>
      <c r="M562" s="126"/>
      <c r="N562" s="126"/>
      <c r="O562" s="164"/>
      <c r="P562" s="129"/>
      <c r="Q562" s="129"/>
      <c r="R562" s="129"/>
    </row>
    <row r="563">
      <c r="A563" s="166"/>
      <c r="B563" s="167"/>
      <c r="C563" s="129"/>
      <c r="D563" s="129"/>
      <c r="E563" s="129"/>
      <c r="F563" s="164"/>
      <c r="G563" s="164"/>
      <c r="H563" s="129"/>
      <c r="I563" s="129"/>
      <c r="J563" s="129"/>
      <c r="K563" s="126"/>
      <c r="L563" s="126"/>
      <c r="M563" s="126"/>
      <c r="N563" s="126"/>
      <c r="O563" s="164"/>
      <c r="P563" s="129"/>
      <c r="Q563" s="129"/>
      <c r="R563" s="129"/>
    </row>
    <row r="564">
      <c r="A564" s="166"/>
      <c r="B564" s="167"/>
      <c r="C564" s="129"/>
      <c r="D564" s="129"/>
      <c r="E564" s="129"/>
      <c r="F564" s="164"/>
      <c r="G564" s="164"/>
      <c r="H564" s="129"/>
      <c r="I564" s="129"/>
      <c r="J564" s="129"/>
      <c r="K564" s="126"/>
      <c r="L564" s="126"/>
      <c r="M564" s="126"/>
      <c r="N564" s="126"/>
      <c r="O564" s="164"/>
      <c r="P564" s="129"/>
      <c r="Q564" s="129"/>
      <c r="R564" s="129"/>
    </row>
    <row r="565">
      <c r="A565" s="166"/>
      <c r="B565" s="167"/>
      <c r="C565" s="129"/>
      <c r="D565" s="129"/>
      <c r="E565" s="129"/>
      <c r="F565" s="164"/>
      <c r="G565" s="164"/>
      <c r="H565" s="129"/>
      <c r="I565" s="129"/>
      <c r="J565" s="129"/>
      <c r="K565" s="126"/>
      <c r="L565" s="126"/>
      <c r="M565" s="126"/>
      <c r="N565" s="126"/>
      <c r="O565" s="164"/>
      <c r="P565" s="129"/>
      <c r="Q565" s="129"/>
      <c r="R565" s="129"/>
    </row>
    <row r="566">
      <c r="A566" s="166"/>
      <c r="B566" s="167"/>
      <c r="C566" s="129"/>
      <c r="D566" s="129"/>
      <c r="E566" s="129"/>
      <c r="F566" s="164"/>
      <c r="G566" s="164"/>
      <c r="H566" s="129"/>
      <c r="I566" s="129"/>
      <c r="J566" s="129"/>
      <c r="K566" s="126"/>
      <c r="L566" s="126"/>
      <c r="M566" s="126"/>
      <c r="N566" s="126"/>
      <c r="O566" s="164"/>
      <c r="P566" s="129"/>
      <c r="Q566" s="129"/>
      <c r="R566" s="129"/>
    </row>
    <row r="567">
      <c r="A567" s="166"/>
      <c r="B567" s="167"/>
      <c r="C567" s="129"/>
      <c r="D567" s="129"/>
      <c r="E567" s="129"/>
      <c r="F567" s="164"/>
      <c r="G567" s="164"/>
      <c r="H567" s="129"/>
      <c r="I567" s="129"/>
      <c r="J567" s="129"/>
      <c r="K567" s="126"/>
      <c r="L567" s="126"/>
      <c r="M567" s="126"/>
      <c r="N567" s="126"/>
      <c r="O567" s="164"/>
      <c r="P567" s="129"/>
      <c r="Q567" s="129"/>
      <c r="R567" s="129"/>
    </row>
    <row r="568">
      <c r="A568" s="166"/>
      <c r="B568" s="167"/>
      <c r="C568" s="129"/>
      <c r="D568" s="129"/>
      <c r="E568" s="129"/>
      <c r="F568" s="164"/>
      <c r="G568" s="164"/>
      <c r="H568" s="129"/>
      <c r="I568" s="129"/>
      <c r="J568" s="129"/>
      <c r="K568" s="126"/>
      <c r="L568" s="126"/>
      <c r="M568" s="126"/>
      <c r="N568" s="126"/>
      <c r="O568" s="164"/>
      <c r="P568" s="129"/>
      <c r="Q568" s="129"/>
      <c r="R568" s="129"/>
    </row>
    <row r="569">
      <c r="A569" s="166"/>
      <c r="B569" s="167"/>
      <c r="C569" s="129"/>
      <c r="D569" s="129"/>
      <c r="E569" s="129"/>
      <c r="F569" s="164"/>
      <c r="G569" s="164"/>
      <c r="H569" s="129"/>
      <c r="I569" s="129"/>
      <c r="J569" s="129"/>
      <c r="K569" s="126"/>
      <c r="L569" s="126"/>
      <c r="M569" s="126"/>
      <c r="N569" s="126"/>
      <c r="O569" s="164"/>
      <c r="P569" s="129"/>
      <c r="Q569" s="129"/>
      <c r="R569" s="129"/>
    </row>
    <row r="570">
      <c r="A570" s="166"/>
      <c r="B570" s="167"/>
      <c r="C570" s="129"/>
      <c r="D570" s="129"/>
      <c r="E570" s="129"/>
      <c r="F570" s="164"/>
      <c r="G570" s="164"/>
      <c r="H570" s="129"/>
      <c r="I570" s="129"/>
      <c r="J570" s="129"/>
      <c r="K570" s="126"/>
      <c r="L570" s="126"/>
      <c r="M570" s="126"/>
      <c r="N570" s="126"/>
      <c r="O570" s="164"/>
      <c r="P570" s="129"/>
      <c r="Q570" s="129"/>
      <c r="R570" s="129"/>
    </row>
    <row r="571">
      <c r="A571" s="166"/>
      <c r="B571" s="167"/>
      <c r="C571" s="129"/>
      <c r="D571" s="129"/>
      <c r="E571" s="129"/>
      <c r="F571" s="164"/>
      <c r="G571" s="164"/>
      <c r="H571" s="129"/>
      <c r="I571" s="129"/>
      <c r="J571" s="129"/>
      <c r="K571" s="126"/>
      <c r="L571" s="126"/>
      <c r="M571" s="126"/>
      <c r="N571" s="126"/>
      <c r="O571" s="164"/>
      <c r="P571" s="129"/>
      <c r="Q571" s="129"/>
      <c r="R571" s="129"/>
    </row>
    <row r="572">
      <c r="A572" s="166"/>
      <c r="B572" s="167"/>
      <c r="C572" s="129"/>
      <c r="D572" s="129"/>
      <c r="E572" s="129"/>
      <c r="F572" s="164"/>
      <c r="G572" s="164"/>
      <c r="H572" s="129"/>
      <c r="I572" s="129"/>
      <c r="J572" s="129"/>
      <c r="K572" s="126"/>
      <c r="L572" s="126"/>
      <c r="M572" s="126"/>
      <c r="N572" s="126"/>
      <c r="O572" s="164"/>
      <c r="P572" s="129"/>
      <c r="Q572" s="129"/>
      <c r="R572" s="129"/>
    </row>
    <row r="573">
      <c r="A573" s="166"/>
      <c r="B573" s="167"/>
      <c r="C573" s="129"/>
      <c r="D573" s="129"/>
      <c r="E573" s="129"/>
      <c r="F573" s="164"/>
      <c r="G573" s="164"/>
      <c r="H573" s="129"/>
      <c r="I573" s="129"/>
      <c r="J573" s="129"/>
      <c r="K573" s="126"/>
      <c r="L573" s="126"/>
      <c r="M573" s="126"/>
      <c r="N573" s="126"/>
      <c r="O573" s="164"/>
      <c r="P573" s="129"/>
      <c r="Q573" s="129"/>
      <c r="R573" s="129"/>
    </row>
    <row r="574">
      <c r="A574" s="166"/>
      <c r="B574" s="167"/>
      <c r="C574" s="129"/>
      <c r="D574" s="129"/>
      <c r="E574" s="129"/>
      <c r="F574" s="164"/>
      <c r="G574" s="164"/>
      <c r="H574" s="129"/>
      <c r="I574" s="129"/>
      <c r="J574" s="129"/>
      <c r="K574" s="126"/>
      <c r="L574" s="126"/>
      <c r="M574" s="126"/>
      <c r="N574" s="126"/>
      <c r="O574" s="164"/>
      <c r="P574" s="129"/>
      <c r="Q574" s="129"/>
      <c r="R574" s="129"/>
    </row>
    <row r="575">
      <c r="A575" s="166"/>
      <c r="B575" s="167"/>
      <c r="C575" s="129"/>
      <c r="D575" s="129"/>
      <c r="E575" s="129"/>
      <c r="F575" s="164"/>
      <c r="G575" s="164"/>
      <c r="H575" s="129"/>
      <c r="I575" s="129"/>
      <c r="J575" s="129"/>
      <c r="K575" s="126"/>
      <c r="L575" s="126"/>
      <c r="M575" s="126"/>
      <c r="N575" s="126"/>
      <c r="O575" s="164"/>
      <c r="P575" s="129"/>
      <c r="Q575" s="129"/>
      <c r="R575" s="129"/>
    </row>
    <row r="576">
      <c r="A576" s="166"/>
      <c r="B576" s="167"/>
      <c r="C576" s="129"/>
      <c r="D576" s="129"/>
      <c r="E576" s="129"/>
      <c r="F576" s="164"/>
      <c r="G576" s="164"/>
      <c r="H576" s="129"/>
      <c r="I576" s="129"/>
      <c r="J576" s="129"/>
      <c r="K576" s="126"/>
      <c r="L576" s="126"/>
      <c r="M576" s="126"/>
      <c r="N576" s="126"/>
      <c r="O576" s="164"/>
      <c r="P576" s="129"/>
      <c r="Q576" s="129"/>
      <c r="R576" s="129"/>
    </row>
    <row r="577">
      <c r="A577" s="166"/>
      <c r="B577" s="167"/>
      <c r="C577" s="129"/>
      <c r="D577" s="129"/>
      <c r="E577" s="129"/>
      <c r="F577" s="164"/>
      <c r="G577" s="164"/>
      <c r="H577" s="129"/>
      <c r="I577" s="129"/>
      <c r="J577" s="129"/>
      <c r="K577" s="126"/>
      <c r="L577" s="126"/>
      <c r="M577" s="126"/>
      <c r="N577" s="126"/>
      <c r="O577" s="164"/>
      <c r="P577" s="129"/>
      <c r="Q577" s="129"/>
      <c r="R577" s="129"/>
    </row>
    <row r="578">
      <c r="A578" s="166"/>
      <c r="B578" s="167"/>
      <c r="C578" s="129"/>
      <c r="D578" s="129"/>
      <c r="E578" s="129"/>
      <c r="F578" s="164"/>
      <c r="G578" s="164"/>
      <c r="H578" s="129"/>
      <c r="I578" s="129"/>
      <c r="J578" s="129"/>
      <c r="K578" s="126"/>
      <c r="L578" s="126"/>
      <c r="M578" s="126"/>
      <c r="N578" s="126"/>
      <c r="O578" s="164"/>
      <c r="P578" s="129"/>
      <c r="Q578" s="129"/>
      <c r="R578" s="129"/>
    </row>
    <row r="579">
      <c r="A579" s="166"/>
      <c r="B579" s="167"/>
      <c r="C579" s="129"/>
      <c r="D579" s="129"/>
      <c r="E579" s="129"/>
      <c r="F579" s="164"/>
      <c r="G579" s="164"/>
      <c r="H579" s="129"/>
      <c r="I579" s="129"/>
      <c r="J579" s="129"/>
      <c r="K579" s="126"/>
      <c r="L579" s="126"/>
      <c r="M579" s="126"/>
      <c r="N579" s="126"/>
      <c r="O579" s="164"/>
      <c r="P579" s="129"/>
      <c r="Q579" s="129"/>
      <c r="R579" s="129"/>
    </row>
    <row r="580">
      <c r="A580" s="166"/>
      <c r="B580" s="167"/>
      <c r="C580" s="129"/>
      <c r="D580" s="129"/>
      <c r="E580" s="129"/>
      <c r="F580" s="164"/>
      <c r="G580" s="164"/>
      <c r="H580" s="129"/>
      <c r="I580" s="129"/>
      <c r="J580" s="129"/>
      <c r="K580" s="126"/>
      <c r="L580" s="126"/>
      <c r="M580" s="126"/>
      <c r="N580" s="126"/>
      <c r="O580" s="164"/>
      <c r="P580" s="129"/>
      <c r="Q580" s="129"/>
      <c r="R580" s="129"/>
    </row>
    <row r="581">
      <c r="A581" s="166"/>
      <c r="B581" s="167"/>
      <c r="C581" s="129"/>
      <c r="D581" s="129"/>
      <c r="E581" s="129"/>
      <c r="F581" s="164"/>
      <c r="G581" s="164"/>
      <c r="H581" s="129"/>
      <c r="I581" s="129"/>
      <c r="J581" s="129"/>
      <c r="K581" s="126"/>
      <c r="L581" s="126"/>
      <c r="M581" s="126"/>
      <c r="N581" s="126"/>
      <c r="O581" s="164"/>
      <c r="P581" s="129"/>
      <c r="Q581" s="129"/>
      <c r="R581" s="129"/>
    </row>
    <row r="582">
      <c r="A582" s="166"/>
      <c r="B582" s="167"/>
      <c r="C582" s="129"/>
      <c r="D582" s="129"/>
      <c r="E582" s="129"/>
      <c r="F582" s="164"/>
      <c r="G582" s="164"/>
      <c r="H582" s="129"/>
      <c r="I582" s="129"/>
      <c r="J582" s="129"/>
      <c r="K582" s="126"/>
      <c r="L582" s="126"/>
      <c r="M582" s="126"/>
      <c r="N582" s="126"/>
      <c r="O582" s="164"/>
      <c r="P582" s="129"/>
      <c r="Q582" s="129"/>
      <c r="R582" s="129"/>
    </row>
    <row r="583">
      <c r="A583" s="166"/>
      <c r="B583" s="167"/>
      <c r="C583" s="129"/>
      <c r="D583" s="129"/>
      <c r="E583" s="129"/>
      <c r="F583" s="164"/>
      <c r="G583" s="164"/>
      <c r="H583" s="129"/>
      <c r="I583" s="129"/>
      <c r="J583" s="129"/>
      <c r="K583" s="126"/>
      <c r="L583" s="126"/>
      <c r="M583" s="126"/>
      <c r="N583" s="126"/>
      <c r="O583" s="164"/>
      <c r="P583" s="129"/>
      <c r="Q583" s="129"/>
      <c r="R583" s="129"/>
    </row>
    <row r="584">
      <c r="A584" s="166"/>
      <c r="B584" s="167"/>
      <c r="C584" s="129"/>
      <c r="D584" s="129"/>
      <c r="E584" s="129"/>
      <c r="F584" s="164"/>
      <c r="G584" s="164"/>
      <c r="H584" s="129"/>
      <c r="I584" s="129"/>
      <c r="J584" s="129"/>
      <c r="K584" s="126"/>
      <c r="L584" s="126"/>
      <c r="M584" s="126"/>
      <c r="N584" s="126"/>
      <c r="O584" s="164"/>
      <c r="P584" s="129"/>
      <c r="Q584" s="129"/>
      <c r="R584" s="129"/>
    </row>
    <row r="585">
      <c r="A585" s="166"/>
      <c r="B585" s="167"/>
      <c r="C585" s="129"/>
      <c r="D585" s="129"/>
      <c r="E585" s="129"/>
      <c r="F585" s="164"/>
      <c r="G585" s="164"/>
      <c r="H585" s="129"/>
      <c r="I585" s="129"/>
      <c r="J585" s="129"/>
      <c r="K585" s="126"/>
      <c r="L585" s="126"/>
      <c r="M585" s="126"/>
      <c r="N585" s="126"/>
      <c r="O585" s="164"/>
      <c r="P585" s="129"/>
      <c r="Q585" s="129"/>
      <c r="R585" s="129"/>
    </row>
    <row r="586">
      <c r="A586" s="166"/>
      <c r="B586" s="167"/>
      <c r="C586" s="129"/>
      <c r="D586" s="129"/>
      <c r="E586" s="129"/>
      <c r="F586" s="164"/>
      <c r="G586" s="164"/>
      <c r="H586" s="129"/>
      <c r="I586" s="129"/>
      <c r="J586" s="129"/>
      <c r="K586" s="126"/>
      <c r="L586" s="126"/>
      <c r="M586" s="126"/>
      <c r="N586" s="126"/>
      <c r="O586" s="164"/>
      <c r="P586" s="129"/>
      <c r="Q586" s="129"/>
      <c r="R586" s="129"/>
    </row>
    <row r="587">
      <c r="A587" s="166"/>
      <c r="B587" s="167"/>
      <c r="C587" s="129"/>
      <c r="D587" s="129"/>
      <c r="E587" s="129"/>
      <c r="F587" s="164"/>
      <c r="G587" s="164"/>
      <c r="H587" s="129"/>
      <c r="I587" s="129"/>
      <c r="J587" s="129"/>
      <c r="K587" s="126"/>
      <c r="L587" s="126"/>
      <c r="M587" s="126"/>
      <c r="N587" s="126"/>
      <c r="O587" s="164"/>
      <c r="P587" s="129"/>
      <c r="Q587" s="129"/>
      <c r="R587" s="129"/>
    </row>
    <row r="588">
      <c r="A588" s="166"/>
      <c r="B588" s="167"/>
      <c r="C588" s="129"/>
      <c r="D588" s="129"/>
      <c r="E588" s="129"/>
      <c r="F588" s="164"/>
      <c r="G588" s="164"/>
      <c r="H588" s="129"/>
      <c r="I588" s="129"/>
      <c r="J588" s="129"/>
      <c r="K588" s="126"/>
      <c r="L588" s="126"/>
      <c r="M588" s="126"/>
      <c r="N588" s="126"/>
      <c r="O588" s="164"/>
      <c r="P588" s="129"/>
      <c r="Q588" s="129"/>
      <c r="R588" s="129"/>
    </row>
    <row r="589">
      <c r="A589" s="166"/>
      <c r="B589" s="167"/>
      <c r="C589" s="129"/>
      <c r="D589" s="129"/>
      <c r="E589" s="129"/>
      <c r="F589" s="164"/>
      <c r="G589" s="164"/>
      <c r="H589" s="129"/>
      <c r="I589" s="129"/>
      <c r="J589" s="129"/>
      <c r="K589" s="126"/>
      <c r="L589" s="126"/>
      <c r="M589" s="126"/>
      <c r="N589" s="126"/>
      <c r="O589" s="164"/>
      <c r="P589" s="129"/>
      <c r="Q589" s="129"/>
      <c r="R589" s="129"/>
    </row>
    <row r="590">
      <c r="A590" s="166"/>
      <c r="B590" s="167"/>
      <c r="C590" s="129"/>
      <c r="D590" s="129"/>
      <c r="E590" s="129"/>
      <c r="F590" s="164"/>
      <c r="G590" s="164"/>
      <c r="H590" s="129"/>
      <c r="I590" s="129"/>
      <c r="J590" s="129"/>
      <c r="K590" s="126"/>
      <c r="L590" s="126"/>
      <c r="M590" s="126"/>
      <c r="N590" s="126"/>
      <c r="O590" s="164"/>
      <c r="P590" s="129"/>
      <c r="Q590" s="129"/>
      <c r="R590" s="129"/>
    </row>
    <row r="591">
      <c r="A591" s="166"/>
      <c r="B591" s="167"/>
      <c r="C591" s="129"/>
      <c r="D591" s="129"/>
      <c r="E591" s="129"/>
      <c r="F591" s="164"/>
      <c r="G591" s="164"/>
      <c r="H591" s="129"/>
      <c r="I591" s="129"/>
      <c r="J591" s="129"/>
      <c r="K591" s="126"/>
      <c r="L591" s="126"/>
      <c r="M591" s="126"/>
      <c r="N591" s="126"/>
      <c r="O591" s="164"/>
      <c r="P591" s="129"/>
      <c r="Q591" s="129"/>
      <c r="R591" s="129"/>
    </row>
    <row r="592">
      <c r="A592" s="166"/>
      <c r="B592" s="167"/>
      <c r="C592" s="129"/>
      <c r="D592" s="129"/>
      <c r="E592" s="129"/>
      <c r="F592" s="164"/>
      <c r="G592" s="164"/>
      <c r="H592" s="129"/>
      <c r="I592" s="129"/>
      <c r="J592" s="129"/>
      <c r="K592" s="126"/>
      <c r="L592" s="126"/>
      <c r="M592" s="126"/>
      <c r="N592" s="126"/>
      <c r="O592" s="164"/>
      <c r="P592" s="129"/>
      <c r="Q592" s="129"/>
      <c r="R592" s="129"/>
    </row>
    <row r="593">
      <c r="A593" s="166"/>
      <c r="B593" s="167"/>
      <c r="C593" s="129"/>
      <c r="D593" s="129"/>
      <c r="E593" s="129"/>
      <c r="F593" s="164"/>
      <c r="G593" s="164"/>
      <c r="H593" s="129"/>
      <c r="I593" s="129"/>
      <c r="J593" s="129"/>
      <c r="K593" s="126"/>
      <c r="L593" s="126"/>
      <c r="M593" s="126"/>
      <c r="N593" s="126"/>
      <c r="O593" s="164"/>
      <c r="P593" s="129"/>
      <c r="Q593" s="129"/>
      <c r="R593" s="129"/>
    </row>
    <row r="594">
      <c r="A594" s="166"/>
      <c r="B594" s="167"/>
      <c r="C594" s="129"/>
      <c r="D594" s="129"/>
      <c r="E594" s="129"/>
      <c r="F594" s="164"/>
      <c r="G594" s="164"/>
      <c r="H594" s="129"/>
      <c r="I594" s="129"/>
      <c r="J594" s="129"/>
      <c r="K594" s="126"/>
      <c r="L594" s="126"/>
      <c r="M594" s="126"/>
      <c r="N594" s="126"/>
      <c r="O594" s="164"/>
      <c r="P594" s="129"/>
      <c r="Q594" s="129"/>
      <c r="R594" s="129"/>
    </row>
    <row r="595">
      <c r="A595" s="166"/>
      <c r="B595" s="167"/>
      <c r="C595" s="129"/>
      <c r="D595" s="129"/>
      <c r="E595" s="129"/>
      <c r="F595" s="164"/>
      <c r="G595" s="164"/>
      <c r="H595" s="129"/>
      <c r="I595" s="129"/>
      <c r="J595" s="129"/>
      <c r="K595" s="126"/>
      <c r="L595" s="126"/>
      <c r="M595" s="126"/>
      <c r="N595" s="126"/>
      <c r="O595" s="164"/>
      <c r="P595" s="129"/>
      <c r="Q595" s="129"/>
      <c r="R595" s="129"/>
    </row>
    <row r="596">
      <c r="A596" s="166"/>
      <c r="B596" s="167"/>
      <c r="C596" s="129"/>
      <c r="D596" s="129"/>
      <c r="E596" s="129"/>
      <c r="F596" s="164"/>
      <c r="G596" s="164"/>
      <c r="H596" s="129"/>
      <c r="I596" s="129"/>
      <c r="J596" s="129"/>
      <c r="K596" s="126"/>
      <c r="L596" s="126"/>
      <c r="M596" s="126"/>
      <c r="N596" s="126"/>
      <c r="O596" s="164"/>
      <c r="P596" s="129"/>
      <c r="Q596" s="129"/>
      <c r="R596" s="129"/>
    </row>
    <row r="597">
      <c r="A597" s="166"/>
      <c r="B597" s="167"/>
      <c r="C597" s="129"/>
      <c r="D597" s="129"/>
      <c r="E597" s="129"/>
      <c r="F597" s="164"/>
      <c r="G597" s="164"/>
      <c r="H597" s="129"/>
      <c r="I597" s="129"/>
      <c r="J597" s="129"/>
      <c r="K597" s="126"/>
      <c r="L597" s="126"/>
      <c r="M597" s="126"/>
      <c r="N597" s="126"/>
      <c r="O597" s="164"/>
      <c r="P597" s="129"/>
      <c r="Q597" s="129"/>
      <c r="R597" s="129"/>
    </row>
    <row r="598">
      <c r="A598" s="166"/>
      <c r="B598" s="167"/>
      <c r="C598" s="129"/>
      <c r="D598" s="129"/>
      <c r="E598" s="129"/>
      <c r="F598" s="164"/>
      <c r="G598" s="164"/>
      <c r="H598" s="129"/>
      <c r="I598" s="129"/>
      <c r="J598" s="129"/>
      <c r="K598" s="126"/>
      <c r="L598" s="126"/>
      <c r="M598" s="126"/>
      <c r="N598" s="126"/>
      <c r="O598" s="164"/>
      <c r="P598" s="129"/>
      <c r="Q598" s="129"/>
      <c r="R598" s="129"/>
    </row>
    <row r="599">
      <c r="A599" s="166"/>
      <c r="B599" s="167"/>
      <c r="C599" s="129"/>
      <c r="D599" s="129"/>
      <c r="E599" s="129"/>
      <c r="F599" s="164"/>
      <c r="G599" s="164"/>
      <c r="H599" s="129"/>
      <c r="I599" s="129"/>
      <c r="J599" s="129"/>
      <c r="K599" s="126"/>
      <c r="L599" s="126"/>
      <c r="M599" s="126"/>
      <c r="N599" s="126"/>
      <c r="O599" s="164"/>
      <c r="P599" s="129"/>
      <c r="Q599" s="129"/>
      <c r="R599" s="129"/>
    </row>
    <row r="600">
      <c r="A600" s="166"/>
      <c r="B600" s="167"/>
      <c r="C600" s="129"/>
      <c r="D600" s="129"/>
      <c r="E600" s="129"/>
      <c r="F600" s="164"/>
      <c r="G600" s="164"/>
      <c r="H600" s="129"/>
      <c r="I600" s="129"/>
      <c r="J600" s="129"/>
      <c r="K600" s="126"/>
      <c r="L600" s="126"/>
      <c r="M600" s="126"/>
      <c r="N600" s="126"/>
      <c r="O600" s="164"/>
      <c r="P600" s="129"/>
      <c r="Q600" s="129"/>
      <c r="R600" s="129"/>
    </row>
    <row r="601">
      <c r="A601" s="166"/>
      <c r="B601" s="167"/>
      <c r="C601" s="129"/>
      <c r="D601" s="129"/>
      <c r="E601" s="129"/>
      <c r="F601" s="164"/>
      <c r="G601" s="164"/>
      <c r="H601" s="129"/>
      <c r="I601" s="129"/>
      <c r="J601" s="129"/>
      <c r="K601" s="126"/>
      <c r="L601" s="126"/>
      <c r="M601" s="126"/>
      <c r="N601" s="126"/>
      <c r="O601" s="164"/>
      <c r="P601" s="129"/>
      <c r="Q601" s="129"/>
      <c r="R601" s="129"/>
    </row>
    <row r="602">
      <c r="A602" s="166"/>
      <c r="B602" s="167"/>
      <c r="C602" s="129"/>
      <c r="D602" s="129"/>
      <c r="E602" s="129"/>
      <c r="F602" s="164"/>
      <c r="G602" s="164"/>
      <c r="H602" s="129"/>
      <c r="I602" s="129"/>
      <c r="J602" s="129"/>
      <c r="K602" s="126"/>
      <c r="L602" s="126"/>
      <c r="M602" s="126"/>
      <c r="N602" s="126"/>
      <c r="O602" s="164"/>
      <c r="P602" s="129"/>
      <c r="Q602" s="129"/>
      <c r="R602" s="129"/>
    </row>
    <row r="603">
      <c r="A603" s="166"/>
      <c r="B603" s="167"/>
      <c r="C603" s="129"/>
      <c r="D603" s="129"/>
      <c r="E603" s="129"/>
      <c r="F603" s="164"/>
      <c r="G603" s="164"/>
      <c r="H603" s="129"/>
      <c r="I603" s="129"/>
      <c r="J603" s="129"/>
      <c r="K603" s="126"/>
      <c r="L603" s="126"/>
      <c r="M603" s="126"/>
      <c r="N603" s="126"/>
      <c r="O603" s="164"/>
      <c r="P603" s="129"/>
      <c r="Q603" s="129"/>
      <c r="R603" s="129"/>
    </row>
    <row r="604">
      <c r="A604" s="166"/>
      <c r="B604" s="167"/>
      <c r="C604" s="129"/>
      <c r="D604" s="129"/>
      <c r="E604" s="129"/>
      <c r="F604" s="164"/>
      <c r="G604" s="164"/>
      <c r="H604" s="129"/>
      <c r="I604" s="129"/>
      <c r="J604" s="129"/>
      <c r="K604" s="126"/>
      <c r="L604" s="126"/>
      <c r="M604" s="126"/>
      <c r="N604" s="126"/>
      <c r="O604" s="164"/>
      <c r="P604" s="129"/>
      <c r="Q604" s="129"/>
      <c r="R604" s="129"/>
    </row>
    <row r="605">
      <c r="A605" s="166"/>
      <c r="B605" s="167"/>
      <c r="C605" s="129"/>
      <c r="D605" s="129"/>
      <c r="E605" s="129"/>
      <c r="F605" s="164"/>
      <c r="G605" s="164"/>
      <c r="H605" s="129"/>
      <c r="I605" s="129"/>
      <c r="J605" s="129"/>
      <c r="K605" s="126"/>
      <c r="L605" s="126"/>
      <c r="M605" s="126"/>
      <c r="N605" s="126"/>
      <c r="O605" s="164"/>
      <c r="P605" s="129"/>
      <c r="Q605" s="129"/>
      <c r="R605" s="129"/>
    </row>
    <row r="606">
      <c r="A606" s="166"/>
      <c r="B606" s="167"/>
      <c r="C606" s="129"/>
      <c r="D606" s="129"/>
      <c r="E606" s="129"/>
      <c r="F606" s="164"/>
      <c r="G606" s="164"/>
      <c r="H606" s="129"/>
      <c r="I606" s="129"/>
      <c r="J606" s="129"/>
      <c r="K606" s="126"/>
      <c r="L606" s="126"/>
      <c r="M606" s="126"/>
      <c r="N606" s="126"/>
      <c r="O606" s="164"/>
      <c r="P606" s="129"/>
      <c r="Q606" s="129"/>
      <c r="R606" s="129"/>
    </row>
    <row r="607">
      <c r="A607" s="166"/>
      <c r="B607" s="167"/>
      <c r="C607" s="129"/>
      <c r="D607" s="129"/>
      <c r="E607" s="129"/>
      <c r="F607" s="164"/>
      <c r="G607" s="164"/>
      <c r="H607" s="129"/>
      <c r="I607" s="129"/>
      <c r="J607" s="129"/>
      <c r="K607" s="126"/>
      <c r="L607" s="126"/>
      <c r="M607" s="126"/>
      <c r="N607" s="126"/>
      <c r="O607" s="164"/>
      <c r="P607" s="129"/>
      <c r="Q607" s="129"/>
      <c r="R607" s="129"/>
    </row>
    <row r="608">
      <c r="A608" s="166"/>
      <c r="B608" s="167"/>
      <c r="C608" s="129"/>
      <c r="D608" s="129"/>
      <c r="E608" s="129"/>
      <c r="F608" s="164"/>
      <c r="G608" s="164"/>
      <c r="H608" s="129"/>
      <c r="I608" s="129"/>
      <c r="J608" s="129"/>
      <c r="K608" s="126"/>
      <c r="L608" s="126"/>
      <c r="M608" s="126"/>
      <c r="N608" s="126"/>
      <c r="O608" s="164"/>
      <c r="P608" s="129"/>
      <c r="Q608" s="129"/>
      <c r="R608" s="129"/>
    </row>
    <row r="609">
      <c r="A609" s="166"/>
      <c r="B609" s="167"/>
      <c r="C609" s="129"/>
      <c r="D609" s="129"/>
      <c r="E609" s="129"/>
      <c r="F609" s="164"/>
      <c r="G609" s="164"/>
      <c r="H609" s="129"/>
      <c r="I609" s="129"/>
      <c r="J609" s="129"/>
      <c r="K609" s="126"/>
      <c r="L609" s="126"/>
      <c r="M609" s="126"/>
      <c r="N609" s="126"/>
      <c r="O609" s="164"/>
      <c r="P609" s="129"/>
      <c r="Q609" s="129"/>
      <c r="R609" s="129"/>
    </row>
    <row r="610">
      <c r="A610" s="166"/>
      <c r="B610" s="167"/>
      <c r="C610" s="129"/>
      <c r="D610" s="129"/>
      <c r="E610" s="129"/>
      <c r="F610" s="164"/>
      <c r="G610" s="164"/>
      <c r="H610" s="129"/>
      <c r="I610" s="129"/>
      <c r="J610" s="129"/>
      <c r="K610" s="126"/>
      <c r="L610" s="126"/>
      <c r="M610" s="126"/>
      <c r="N610" s="126"/>
      <c r="O610" s="164"/>
      <c r="P610" s="129"/>
      <c r="Q610" s="129"/>
      <c r="R610" s="129"/>
    </row>
    <row r="611">
      <c r="A611" s="166"/>
      <c r="B611" s="167"/>
      <c r="C611" s="129"/>
      <c r="D611" s="129"/>
      <c r="E611" s="129"/>
      <c r="F611" s="164"/>
      <c r="G611" s="164"/>
      <c r="H611" s="129"/>
      <c r="I611" s="129"/>
      <c r="J611" s="129"/>
      <c r="K611" s="126"/>
      <c r="L611" s="126"/>
      <c r="M611" s="126"/>
      <c r="N611" s="126"/>
      <c r="O611" s="164"/>
      <c r="P611" s="129"/>
      <c r="Q611" s="129"/>
      <c r="R611" s="129"/>
    </row>
    <row r="612">
      <c r="A612" s="166"/>
      <c r="B612" s="167"/>
      <c r="C612" s="129"/>
      <c r="D612" s="129"/>
      <c r="E612" s="129"/>
      <c r="F612" s="164"/>
      <c r="G612" s="164"/>
      <c r="H612" s="129"/>
      <c r="I612" s="129"/>
      <c r="J612" s="129"/>
      <c r="K612" s="126"/>
      <c r="L612" s="126"/>
      <c r="M612" s="126"/>
      <c r="N612" s="126"/>
      <c r="O612" s="164"/>
      <c r="P612" s="129"/>
      <c r="Q612" s="129"/>
      <c r="R612" s="129"/>
    </row>
    <row r="613">
      <c r="A613" s="166"/>
      <c r="B613" s="167"/>
      <c r="C613" s="129"/>
      <c r="D613" s="129"/>
      <c r="E613" s="129"/>
      <c r="F613" s="164"/>
      <c r="G613" s="164"/>
      <c r="H613" s="129"/>
      <c r="I613" s="129"/>
      <c r="J613" s="129"/>
      <c r="K613" s="126"/>
      <c r="L613" s="126"/>
      <c r="M613" s="126"/>
      <c r="N613" s="126"/>
      <c r="O613" s="164"/>
      <c r="P613" s="129"/>
      <c r="Q613" s="129"/>
      <c r="R613" s="129"/>
    </row>
    <row r="614">
      <c r="A614" s="166"/>
      <c r="B614" s="167"/>
      <c r="C614" s="129"/>
      <c r="D614" s="129"/>
      <c r="E614" s="129"/>
      <c r="F614" s="164"/>
      <c r="G614" s="164"/>
      <c r="H614" s="129"/>
      <c r="I614" s="129"/>
      <c r="J614" s="129"/>
      <c r="K614" s="126"/>
      <c r="L614" s="126"/>
      <c r="M614" s="126"/>
      <c r="N614" s="126"/>
      <c r="O614" s="164"/>
      <c r="P614" s="129"/>
      <c r="Q614" s="129"/>
      <c r="R614" s="129"/>
    </row>
    <row r="615">
      <c r="A615" s="166"/>
      <c r="B615" s="167"/>
      <c r="C615" s="129"/>
      <c r="D615" s="129"/>
      <c r="E615" s="129"/>
      <c r="F615" s="164"/>
      <c r="G615" s="164"/>
      <c r="H615" s="129"/>
      <c r="I615" s="129"/>
      <c r="J615" s="129"/>
      <c r="K615" s="126"/>
      <c r="L615" s="126"/>
      <c r="M615" s="126"/>
      <c r="N615" s="126"/>
      <c r="O615" s="164"/>
      <c r="P615" s="129"/>
      <c r="Q615" s="129"/>
      <c r="R615" s="129"/>
    </row>
    <row r="616">
      <c r="A616" s="166"/>
      <c r="B616" s="167"/>
      <c r="C616" s="129"/>
      <c r="D616" s="129"/>
      <c r="E616" s="129"/>
      <c r="F616" s="164"/>
      <c r="G616" s="164"/>
      <c r="H616" s="129"/>
      <c r="I616" s="129"/>
      <c r="J616" s="129"/>
      <c r="K616" s="126"/>
      <c r="L616" s="126"/>
      <c r="M616" s="126"/>
      <c r="N616" s="126"/>
      <c r="O616" s="164"/>
      <c r="P616" s="129"/>
      <c r="Q616" s="129"/>
      <c r="R616" s="129"/>
    </row>
    <row r="617">
      <c r="A617" s="166"/>
      <c r="B617" s="167"/>
      <c r="C617" s="129"/>
      <c r="D617" s="129"/>
      <c r="E617" s="129"/>
      <c r="F617" s="164"/>
      <c r="G617" s="164"/>
      <c r="H617" s="129"/>
      <c r="I617" s="129"/>
      <c r="J617" s="129"/>
      <c r="K617" s="126"/>
      <c r="L617" s="126"/>
      <c r="M617" s="126"/>
      <c r="N617" s="126"/>
      <c r="O617" s="164"/>
      <c r="P617" s="129"/>
      <c r="Q617" s="129"/>
      <c r="R617" s="129"/>
    </row>
    <row r="618">
      <c r="A618" s="166"/>
      <c r="B618" s="167"/>
      <c r="C618" s="129"/>
      <c r="D618" s="129"/>
      <c r="E618" s="129"/>
      <c r="F618" s="164"/>
      <c r="G618" s="164"/>
      <c r="H618" s="129"/>
      <c r="I618" s="129"/>
      <c r="J618" s="129"/>
      <c r="K618" s="126"/>
      <c r="L618" s="126"/>
      <c r="M618" s="126"/>
      <c r="N618" s="126"/>
      <c r="O618" s="164"/>
      <c r="P618" s="129"/>
      <c r="Q618" s="129"/>
      <c r="R618" s="129"/>
    </row>
    <row r="619">
      <c r="A619" s="166"/>
      <c r="B619" s="167"/>
      <c r="C619" s="129"/>
      <c r="D619" s="129"/>
      <c r="E619" s="129"/>
      <c r="F619" s="164"/>
      <c r="G619" s="164"/>
      <c r="H619" s="129"/>
      <c r="I619" s="129"/>
      <c r="J619" s="129"/>
      <c r="K619" s="126"/>
      <c r="L619" s="126"/>
      <c r="M619" s="126"/>
      <c r="N619" s="126"/>
      <c r="O619" s="164"/>
      <c r="P619" s="129"/>
      <c r="Q619" s="129"/>
      <c r="R619" s="129"/>
    </row>
    <row r="620">
      <c r="A620" s="166"/>
      <c r="B620" s="167"/>
      <c r="C620" s="129"/>
      <c r="D620" s="129"/>
      <c r="E620" s="129"/>
      <c r="F620" s="164"/>
      <c r="G620" s="164"/>
      <c r="H620" s="129"/>
      <c r="I620" s="129"/>
      <c r="J620" s="129"/>
      <c r="K620" s="126"/>
      <c r="L620" s="126"/>
      <c r="M620" s="126"/>
      <c r="N620" s="126"/>
      <c r="O620" s="164"/>
      <c r="P620" s="129"/>
      <c r="Q620" s="129"/>
      <c r="R620" s="129"/>
    </row>
    <row r="621">
      <c r="A621" s="166"/>
      <c r="B621" s="167"/>
      <c r="C621" s="129"/>
      <c r="D621" s="129"/>
      <c r="E621" s="129"/>
      <c r="F621" s="164"/>
      <c r="G621" s="164"/>
      <c r="H621" s="129"/>
      <c r="I621" s="129"/>
      <c r="J621" s="129"/>
      <c r="K621" s="126"/>
      <c r="L621" s="126"/>
      <c r="M621" s="126"/>
      <c r="N621" s="126"/>
      <c r="O621" s="164"/>
      <c r="P621" s="129"/>
      <c r="Q621" s="129"/>
      <c r="R621" s="129"/>
    </row>
    <row r="622">
      <c r="A622" s="166"/>
      <c r="B622" s="167"/>
      <c r="C622" s="129"/>
      <c r="D622" s="129"/>
      <c r="E622" s="129"/>
      <c r="F622" s="164"/>
      <c r="G622" s="164"/>
      <c r="H622" s="129"/>
      <c r="I622" s="129"/>
      <c r="J622" s="129"/>
      <c r="K622" s="126"/>
      <c r="L622" s="126"/>
      <c r="M622" s="126"/>
      <c r="N622" s="126"/>
      <c r="O622" s="164"/>
      <c r="P622" s="129"/>
      <c r="Q622" s="129"/>
      <c r="R622" s="129"/>
    </row>
    <row r="623">
      <c r="A623" s="166"/>
      <c r="B623" s="167"/>
      <c r="C623" s="129"/>
      <c r="D623" s="129"/>
      <c r="E623" s="129"/>
      <c r="F623" s="164"/>
      <c r="G623" s="164"/>
      <c r="H623" s="129"/>
      <c r="I623" s="129"/>
      <c r="J623" s="129"/>
      <c r="K623" s="126"/>
      <c r="L623" s="126"/>
      <c r="M623" s="126"/>
      <c r="N623" s="126"/>
      <c r="O623" s="164"/>
      <c r="P623" s="129"/>
      <c r="Q623" s="129"/>
      <c r="R623" s="129"/>
    </row>
    <row r="624">
      <c r="A624" s="166"/>
      <c r="B624" s="167"/>
      <c r="C624" s="129"/>
      <c r="D624" s="129"/>
      <c r="E624" s="129"/>
      <c r="F624" s="164"/>
      <c r="G624" s="164"/>
      <c r="H624" s="129"/>
      <c r="I624" s="129"/>
      <c r="J624" s="129"/>
      <c r="K624" s="126"/>
      <c r="L624" s="126"/>
      <c r="M624" s="126"/>
      <c r="N624" s="126"/>
      <c r="O624" s="164"/>
      <c r="P624" s="129"/>
      <c r="Q624" s="129"/>
      <c r="R624" s="129"/>
    </row>
    <row r="625">
      <c r="A625" s="166"/>
      <c r="B625" s="167"/>
      <c r="C625" s="129"/>
      <c r="D625" s="129"/>
      <c r="E625" s="129"/>
      <c r="F625" s="164"/>
      <c r="G625" s="164"/>
      <c r="H625" s="129"/>
      <c r="I625" s="129"/>
      <c r="J625" s="129"/>
      <c r="K625" s="126"/>
      <c r="L625" s="126"/>
      <c r="M625" s="126"/>
      <c r="N625" s="126"/>
      <c r="O625" s="164"/>
      <c r="P625" s="129"/>
      <c r="Q625" s="129"/>
      <c r="R625" s="129"/>
    </row>
    <row r="626">
      <c r="A626" s="166"/>
      <c r="B626" s="167"/>
      <c r="C626" s="129"/>
      <c r="D626" s="129"/>
      <c r="E626" s="129"/>
      <c r="F626" s="164"/>
      <c r="G626" s="164"/>
      <c r="H626" s="129"/>
      <c r="I626" s="129"/>
      <c r="J626" s="129"/>
      <c r="K626" s="126"/>
      <c r="L626" s="126"/>
      <c r="M626" s="126"/>
      <c r="N626" s="126"/>
      <c r="O626" s="164"/>
      <c r="P626" s="129"/>
      <c r="Q626" s="129"/>
      <c r="R626" s="129"/>
    </row>
    <row r="627">
      <c r="A627" s="166"/>
      <c r="B627" s="167"/>
      <c r="C627" s="129"/>
      <c r="D627" s="129"/>
      <c r="E627" s="129"/>
      <c r="F627" s="164"/>
      <c r="G627" s="164"/>
      <c r="H627" s="129"/>
      <c r="I627" s="129"/>
      <c r="J627" s="129"/>
      <c r="K627" s="126"/>
      <c r="L627" s="126"/>
      <c r="M627" s="126"/>
      <c r="N627" s="126"/>
      <c r="O627" s="164"/>
      <c r="P627" s="129"/>
      <c r="Q627" s="129"/>
      <c r="R627" s="129"/>
    </row>
    <row r="628">
      <c r="A628" s="166"/>
      <c r="B628" s="167"/>
      <c r="C628" s="129"/>
      <c r="D628" s="129"/>
      <c r="E628" s="129"/>
      <c r="F628" s="164"/>
      <c r="G628" s="164"/>
      <c r="H628" s="129"/>
      <c r="I628" s="129"/>
      <c r="J628" s="129"/>
      <c r="K628" s="126"/>
      <c r="L628" s="126"/>
      <c r="M628" s="126"/>
      <c r="N628" s="126"/>
      <c r="O628" s="164"/>
      <c r="P628" s="129"/>
      <c r="Q628" s="129"/>
      <c r="R628" s="129"/>
    </row>
    <row r="629">
      <c r="A629" s="166"/>
      <c r="B629" s="167"/>
      <c r="C629" s="129"/>
      <c r="D629" s="129"/>
      <c r="E629" s="129"/>
      <c r="F629" s="164"/>
      <c r="G629" s="164"/>
      <c r="H629" s="129"/>
      <c r="I629" s="129"/>
      <c r="J629" s="129"/>
      <c r="K629" s="126"/>
      <c r="L629" s="126"/>
      <c r="M629" s="126"/>
      <c r="N629" s="126"/>
      <c r="O629" s="164"/>
      <c r="P629" s="129"/>
      <c r="Q629" s="129"/>
      <c r="R629" s="129"/>
    </row>
    <row r="630">
      <c r="A630" s="166"/>
      <c r="B630" s="167"/>
      <c r="C630" s="129"/>
      <c r="D630" s="129"/>
      <c r="E630" s="129"/>
      <c r="F630" s="164"/>
      <c r="G630" s="164"/>
      <c r="H630" s="129"/>
      <c r="I630" s="129"/>
      <c r="J630" s="129"/>
      <c r="K630" s="126"/>
      <c r="L630" s="126"/>
      <c r="M630" s="126"/>
      <c r="N630" s="126"/>
      <c r="O630" s="164"/>
      <c r="P630" s="129"/>
      <c r="Q630" s="129"/>
      <c r="R630" s="129"/>
    </row>
    <row r="631">
      <c r="A631" s="166"/>
      <c r="B631" s="167"/>
      <c r="C631" s="129"/>
      <c r="D631" s="129"/>
      <c r="E631" s="129"/>
      <c r="F631" s="164"/>
      <c r="G631" s="164"/>
      <c r="H631" s="129"/>
      <c r="I631" s="129"/>
      <c r="J631" s="129"/>
      <c r="K631" s="126"/>
      <c r="L631" s="126"/>
      <c r="M631" s="126"/>
      <c r="N631" s="126"/>
      <c r="O631" s="164"/>
      <c r="P631" s="129"/>
      <c r="Q631" s="129"/>
      <c r="R631" s="129"/>
    </row>
    <row r="632">
      <c r="A632" s="166"/>
      <c r="B632" s="167"/>
      <c r="C632" s="129"/>
      <c r="D632" s="129"/>
      <c r="E632" s="129"/>
      <c r="F632" s="164"/>
      <c r="G632" s="164"/>
      <c r="H632" s="129"/>
      <c r="I632" s="129"/>
      <c r="J632" s="129"/>
      <c r="K632" s="126"/>
      <c r="L632" s="126"/>
      <c r="M632" s="126"/>
      <c r="N632" s="126"/>
      <c r="O632" s="164"/>
      <c r="P632" s="129"/>
      <c r="Q632" s="129"/>
      <c r="R632" s="129"/>
    </row>
    <row r="633">
      <c r="A633" s="166"/>
      <c r="B633" s="167"/>
      <c r="C633" s="129"/>
      <c r="D633" s="129"/>
      <c r="E633" s="129"/>
      <c r="F633" s="164"/>
      <c r="G633" s="164"/>
      <c r="H633" s="129"/>
      <c r="I633" s="129"/>
      <c r="J633" s="129"/>
      <c r="K633" s="126"/>
      <c r="L633" s="126"/>
      <c r="M633" s="126"/>
      <c r="N633" s="126"/>
      <c r="O633" s="164"/>
      <c r="P633" s="129"/>
      <c r="Q633" s="129"/>
      <c r="R633" s="129"/>
    </row>
    <row r="634">
      <c r="A634" s="166"/>
      <c r="B634" s="167"/>
      <c r="C634" s="129"/>
      <c r="D634" s="129"/>
      <c r="E634" s="129"/>
      <c r="F634" s="164"/>
      <c r="G634" s="164"/>
      <c r="H634" s="129"/>
      <c r="I634" s="129"/>
      <c r="J634" s="129"/>
      <c r="K634" s="126"/>
      <c r="L634" s="126"/>
      <c r="M634" s="126"/>
      <c r="N634" s="126"/>
      <c r="O634" s="164"/>
      <c r="P634" s="129"/>
      <c r="Q634" s="129"/>
      <c r="R634" s="129"/>
    </row>
    <row r="635">
      <c r="A635" s="166"/>
      <c r="B635" s="167"/>
      <c r="C635" s="129"/>
      <c r="D635" s="129"/>
      <c r="E635" s="129"/>
      <c r="F635" s="164"/>
      <c r="G635" s="164"/>
      <c r="H635" s="129"/>
      <c r="I635" s="129"/>
      <c r="J635" s="129"/>
      <c r="K635" s="126"/>
      <c r="L635" s="126"/>
      <c r="M635" s="126"/>
      <c r="N635" s="126"/>
      <c r="O635" s="164"/>
      <c r="P635" s="129"/>
      <c r="Q635" s="129"/>
      <c r="R635" s="129"/>
    </row>
    <row r="636">
      <c r="A636" s="166"/>
      <c r="B636" s="167"/>
      <c r="C636" s="129"/>
      <c r="D636" s="129"/>
      <c r="E636" s="129"/>
      <c r="F636" s="164"/>
      <c r="G636" s="164"/>
      <c r="H636" s="129"/>
      <c r="I636" s="129"/>
      <c r="J636" s="129"/>
      <c r="K636" s="126"/>
      <c r="L636" s="126"/>
      <c r="M636" s="126"/>
      <c r="N636" s="126"/>
      <c r="O636" s="164"/>
      <c r="P636" s="129"/>
      <c r="Q636" s="129"/>
      <c r="R636" s="129"/>
    </row>
    <row r="637">
      <c r="A637" s="166"/>
      <c r="B637" s="167"/>
      <c r="C637" s="129"/>
      <c r="D637" s="129"/>
      <c r="E637" s="129"/>
      <c r="F637" s="164"/>
      <c r="G637" s="164"/>
      <c r="H637" s="129"/>
      <c r="I637" s="129"/>
      <c r="J637" s="129"/>
      <c r="K637" s="126"/>
      <c r="L637" s="126"/>
      <c r="M637" s="126"/>
      <c r="N637" s="126"/>
      <c r="O637" s="164"/>
      <c r="P637" s="129"/>
      <c r="Q637" s="129"/>
      <c r="R637" s="129"/>
    </row>
    <row r="638">
      <c r="A638" s="166"/>
      <c r="B638" s="167"/>
      <c r="C638" s="129"/>
      <c r="D638" s="129"/>
      <c r="E638" s="129"/>
      <c r="F638" s="164"/>
      <c r="G638" s="164"/>
      <c r="H638" s="129"/>
      <c r="I638" s="129"/>
      <c r="J638" s="129"/>
      <c r="K638" s="126"/>
      <c r="L638" s="126"/>
      <c r="M638" s="126"/>
      <c r="N638" s="126"/>
      <c r="O638" s="164"/>
      <c r="P638" s="129"/>
      <c r="Q638" s="129"/>
      <c r="R638" s="129"/>
    </row>
    <row r="639">
      <c r="A639" s="166"/>
      <c r="B639" s="167"/>
      <c r="C639" s="129"/>
      <c r="D639" s="129"/>
      <c r="E639" s="129"/>
      <c r="F639" s="164"/>
      <c r="G639" s="164"/>
      <c r="H639" s="129"/>
      <c r="I639" s="129"/>
      <c r="J639" s="129"/>
      <c r="K639" s="126"/>
      <c r="L639" s="126"/>
      <c r="M639" s="126"/>
      <c r="N639" s="126"/>
      <c r="O639" s="164"/>
      <c r="P639" s="129"/>
      <c r="Q639" s="129"/>
      <c r="R639" s="129"/>
    </row>
    <row r="640">
      <c r="A640" s="166"/>
      <c r="B640" s="167"/>
      <c r="C640" s="129"/>
      <c r="D640" s="129"/>
      <c r="E640" s="129"/>
      <c r="F640" s="164"/>
      <c r="G640" s="164"/>
      <c r="H640" s="129"/>
      <c r="I640" s="129"/>
      <c r="J640" s="129"/>
      <c r="K640" s="126"/>
      <c r="L640" s="126"/>
      <c r="M640" s="126"/>
      <c r="N640" s="126"/>
      <c r="O640" s="164"/>
      <c r="P640" s="129"/>
      <c r="Q640" s="129"/>
      <c r="R640" s="129"/>
    </row>
    <row r="641">
      <c r="A641" s="166"/>
      <c r="B641" s="167"/>
      <c r="C641" s="129"/>
      <c r="D641" s="129"/>
      <c r="E641" s="129"/>
      <c r="F641" s="164"/>
      <c r="G641" s="164"/>
      <c r="H641" s="129"/>
      <c r="I641" s="129"/>
      <c r="J641" s="129"/>
      <c r="K641" s="126"/>
      <c r="L641" s="126"/>
      <c r="M641" s="126"/>
      <c r="N641" s="126"/>
      <c r="O641" s="164"/>
      <c r="P641" s="129"/>
      <c r="Q641" s="129"/>
      <c r="R641" s="129"/>
    </row>
    <row r="642">
      <c r="A642" s="166"/>
      <c r="B642" s="167"/>
      <c r="C642" s="129"/>
      <c r="D642" s="129"/>
      <c r="E642" s="129"/>
      <c r="F642" s="164"/>
      <c r="G642" s="164"/>
      <c r="H642" s="129"/>
      <c r="I642" s="129"/>
      <c r="J642" s="129"/>
      <c r="K642" s="126"/>
      <c r="L642" s="126"/>
      <c r="M642" s="126"/>
      <c r="N642" s="126"/>
      <c r="O642" s="164"/>
      <c r="P642" s="129"/>
      <c r="Q642" s="129"/>
      <c r="R642" s="129"/>
    </row>
    <row r="643">
      <c r="A643" s="166"/>
      <c r="B643" s="167"/>
      <c r="C643" s="129"/>
      <c r="D643" s="129"/>
      <c r="E643" s="129"/>
      <c r="F643" s="164"/>
      <c r="G643" s="164"/>
      <c r="H643" s="129"/>
      <c r="I643" s="129"/>
      <c r="J643" s="129"/>
      <c r="K643" s="126"/>
      <c r="L643" s="126"/>
      <c r="M643" s="126"/>
      <c r="N643" s="126"/>
      <c r="O643" s="164"/>
      <c r="P643" s="129"/>
      <c r="Q643" s="129"/>
      <c r="R643" s="129"/>
    </row>
    <row r="644">
      <c r="A644" s="166"/>
      <c r="B644" s="167"/>
      <c r="C644" s="129"/>
      <c r="D644" s="129"/>
      <c r="E644" s="129"/>
      <c r="F644" s="164"/>
      <c r="G644" s="164"/>
      <c r="H644" s="129"/>
      <c r="I644" s="129"/>
      <c r="J644" s="129"/>
      <c r="K644" s="126"/>
      <c r="L644" s="126"/>
      <c r="M644" s="126"/>
      <c r="N644" s="126"/>
      <c r="O644" s="164"/>
      <c r="P644" s="129"/>
      <c r="Q644" s="129"/>
      <c r="R644" s="129"/>
    </row>
    <row r="645">
      <c r="A645" s="166"/>
      <c r="B645" s="167"/>
      <c r="C645" s="129"/>
      <c r="D645" s="129"/>
      <c r="E645" s="129"/>
      <c r="F645" s="164"/>
      <c r="G645" s="164"/>
      <c r="H645" s="129"/>
      <c r="I645" s="129"/>
      <c r="J645" s="129"/>
      <c r="K645" s="126"/>
      <c r="L645" s="126"/>
      <c r="M645" s="126"/>
      <c r="N645" s="126"/>
      <c r="O645" s="164"/>
      <c r="P645" s="129"/>
      <c r="Q645" s="129"/>
      <c r="R645" s="129"/>
    </row>
    <row r="646">
      <c r="A646" s="166"/>
      <c r="B646" s="167"/>
      <c r="C646" s="129"/>
      <c r="D646" s="129"/>
      <c r="E646" s="129"/>
      <c r="F646" s="164"/>
      <c r="G646" s="164"/>
      <c r="H646" s="129"/>
      <c r="I646" s="129"/>
      <c r="J646" s="129"/>
      <c r="K646" s="126"/>
      <c r="L646" s="126"/>
      <c r="M646" s="126"/>
      <c r="N646" s="126"/>
      <c r="O646" s="164"/>
      <c r="P646" s="129"/>
      <c r="Q646" s="129"/>
      <c r="R646" s="129"/>
    </row>
    <row r="647">
      <c r="A647" s="166"/>
      <c r="B647" s="167"/>
      <c r="C647" s="129"/>
      <c r="D647" s="129"/>
      <c r="E647" s="129"/>
      <c r="F647" s="164"/>
      <c r="G647" s="164"/>
      <c r="H647" s="129"/>
      <c r="I647" s="129"/>
      <c r="J647" s="129"/>
      <c r="K647" s="126"/>
      <c r="L647" s="126"/>
      <c r="M647" s="126"/>
      <c r="N647" s="126"/>
      <c r="O647" s="164"/>
      <c r="P647" s="129"/>
      <c r="Q647" s="129"/>
      <c r="R647" s="129"/>
    </row>
    <row r="648">
      <c r="A648" s="166"/>
      <c r="B648" s="167"/>
      <c r="C648" s="129"/>
      <c r="D648" s="129"/>
      <c r="E648" s="129"/>
      <c r="F648" s="164"/>
      <c r="G648" s="164"/>
      <c r="H648" s="129"/>
      <c r="I648" s="129"/>
      <c r="J648" s="129"/>
      <c r="K648" s="126"/>
      <c r="L648" s="126"/>
      <c r="M648" s="126"/>
      <c r="N648" s="126"/>
      <c r="O648" s="164"/>
      <c r="P648" s="129"/>
      <c r="Q648" s="129"/>
      <c r="R648" s="129"/>
    </row>
    <row r="649">
      <c r="A649" s="166"/>
      <c r="B649" s="167"/>
      <c r="C649" s="129"/>
      <c r="D649" s="129"/>
      <c r="E649" s="129"/>
      <c r="F649" s="164"/>
      <c r="G649" s="164"/>
      <c r="H649" s="129"/>
      <c r="I649" s="129"/>
      <c r="J649" s="129"/>
      <c r="K649" s="126"/>
      <c r="L649" s="126"/>
      <c r="M649" s="126"/>
      <c r="N649" s="126"/>
      <c r="O649" s="164"/>
      <c r="P649" s="129"/>
      <c r="Q649" s="129"/>
      <c r="R649" s="129"/>
    </row>
    <row r="650">
      <c r="A650" s="166"/>
      <c r="B650" s="167"/>
      <c r="C650" s="129"/>
      <c r="D650" s="129"/>
      <c r="E650" s="129"/>
      <c r="F650" s="164"/>
      <c r="G650" s="164"/>
      <c r="H650" s="129"/>
      <c r="I650" s="129"/>
      <c r="J650" s="129"/>
      <c r="K650" s="126"/>
      <c r="L650" s="126"/>
      <c r="M650" s="126"/>
      <c r="N650" s="126"/>
      <c r="O650" s="164"/>
      <c r="P650" s="129"/>
      <c r="Q650" s="129"/>
      <c r="R650" s="129"/>
    </row>
    <row r="651">
      <c r="A651" s="166"/>
      <c r="B651" s="167"/>
      <c r="C651" s="129"/>
      <c r="D651" s="129"/>
      <c r="E651" s="129"/>
      <c r="F651" s="164"/>
      <c r="G651" s="164"/>
      <c r="H651" s="129"/>
      <c r="I651" s="129"/>
      <c r="J651" s="129"/>
      <c r="K651" s="126"/>
      <c r="L651" s="126"/>
      <c r="M651" s="126"/>
      <c r="N651" s="126"/>
      <c r="O651" s="164"/>
      <c r="P651" s="129"/>
      <c r="Q651" s="129"/>
      <c r="R651" s="129"/>
    </row>
    <row r="652">
      <c r="A652" s="166"/>
      <c r="B652" s="167"/>
      <c r="C652" s="129"/>
      <c r="D652" s="129"/>
      <c r="E652" s="129"/>
      <c r="F652" s="164"/>
      <c r="G652" s="164"/>
      <c r="H652" s="129"/>
      <c r="I652" s="129"/>
      <c r="J652" s="129"/>
      <c r="K652" s="126"/>
      <c r="L652" s="126"/>
      <c r="M652" s="126"/>
      <c r="N652" s="126"/>
      <c r="O652" s="164"/>
      <c r="P652" s="129"/>
      <c r="Q652" s="129"/>
      <c r="R652" s="129"/>
    </row>
    <row r="653">
      <c r="A653" s="166"/>
      <c r="B653" s="167"/>
      <c r="C653" s="129"/>
      <c r="D653" s="129"/>
      <c r="E653" s="129"/>
      <c r="F653" s="164"/>
      <c r="G653" s="164"/>
      <c r="H653" s="129"/>
      <c r="I653" s="129"/>
      <c r="J653" s="129"/>
      <c r="K653" s="126"/>
      <c r="L653" s="126"/>
      <c r="M653" s="126"/>
      <c r="N653" s="126"/>
      <c r="O653" s="164"/>
      <c r="P653" s="129"/>
      <c r="Q653" s="129"/>
      <c r="R653" s="129"/>
    </row>
    <row r="654">
      <c r="A654" s="166"/>
      <c r="B654" s="167"/>
      <c r="C654" s="129"/>
      <c r="D654" s="129"/>
      <c r="E654" s="129"/>
      <c r="F654" s="164"/>
      <c r="G654" s="164"/>
      <c r="H654" s="129"/>
      <c r="I654" s="129"/>
      <c r="J654" s="129"/>
      <c r="K654" s="126"/>
      <c r="L654" s="126"/>
      <c r="M654" s="126"/>
      <c r="N654" s="126"/>
      <c r="O654" s="164"/>
      <c r="P654" s="129"/>
      <c r="Q654" s="129"/>
      <c r="R654" s="129"/>
    </row>
    <row r="655">
      <c r="A655" s="166"/>
      <c r="B655" s="167"/>
      <c r="C655" s="129"/>
      <c r="D655" s="129"/>
      <c r="E655" s="129"/>
      <c r="F655" s="164"/>
      <c r="G655" s="164"/>
      <c r="H655" s="129"/>
      <c r="I655" s="129"/>
      <c r="J655" s="129"/>
      <c r="K655" s="126"/>
      <c r="L655" s="126"/>
      <c r="M655" s="126"/>
      <c r="N655" s="126"/>
      <c r="O655" s="164"/>
      <c r="P655" s="129"/>
      <c r="Q655" s="129"/>
      <c r="R655" s="129"/>
    </row>
    <row r="656">
      <c r="A656" s="166"/>
      <c r="B656" s="167"/>
      <c r="C656" s="129"/>
      <c r="D656" s="129"/>
      <c r="E656" s="129"/>
      <c r="F656" s="164"/>
      <c r="G656" s="164"/>
      <c r="H656" s="129"/>
      <c r="I656" s="129"/>
      <c r="J656" s="129"/>
      <c r="K656" s="126"/>
      <c r="L656" s="126"/>
      <c r="M656" s="126"/>
      <c r="N656" s="126"/>
      <c r="O656" s="164"/>
      <c r="P656" s="129"/>
      <c r="Q656" s="129"/>
      <c r="R656" s="129"/>
    </row>
    <row r="657">
      <c r="A657" s="166"/>
      <c r="B657" s="167"/>
      <c r="C657" s="129"/>
      <c r="D657" s="129"/>
      <c r="E657" s="129"/>
      <c r="F657" s="164"/>
      <c r="G657" s="164"/>
      <c r="H657" s="129"/>
      <c r="I657" s="129"/>
      <c r="J657" s="129"/>
      <c r="K657" s="126"/>
      <c r="L657" s="126"/>
      <c r="M657" s="126"/>
      <c r="N657" s="126"/>
      <c r="O657" s="164"/>
      <c r="P657" s="129"/>
      <c r="Q657" s="129"/>
      <c r="R657" s="129"/>
    </row>
    <row r="658">
      <c r="A658" s="166"/>
      <c r="B658" s="167"/>
      <c r="C658" s="129"/>
      <c r="D658" s="129"/>
      <c r="E658" s="129"/>
      <c r="F658" s="164"/>
      <c r="G658" s="164"/>
      <c r="H658" s="129"/>
      <c r="I658" s="129"/>
      <c r="J658" s="129"/>
      <c r="K658" s="126"/>
      <c r="L658" s="126"/>
      <c r="M658" s="126"/>
      <c r="N658" s="126"/>
      <c r="O658" s="164"/>
      <c r="P658" s="129"/>
      <c r="Q658" s="129"/>
      <c r="R658" s="129"/>
    </row>
    <row r="659">
      <c r="A659" s="166"/>
      <c r="B659" s="167"/>
      <c r="C659" s="129"/>
      <c r="D659" s="129"/>
      <c r="E659" s="129"/>
      <c r="F659" s="164"/>
      <c r="G659" s="164"/>
      <c r="H659" s="129"/>
      <c r="I659" s="129"/>
      <c r="J659" s="129"/>
      <c r="K659" s="126"/>
      <c r="L659" s="126"/>
      <c r="M659" s="126"/>
      <c r="N659" s="126"/>
      <c r="O659" s="164"/>
      <c r="P659" s="129"/>
      <c r="Q659" s="129"/>
      <c r="R659" s="129"/>
    </row>
    <row r="660">
      <c r="A660" s="166"/>
      <c r="B660" s="167"/>
      <c r="C660" s="129"/>
      <c r="D660" s="129"/>
      <c r="E660" s="129"/>
      <c r="F660" s="164"/>
      <c r="G660" s="164"/>
      <c r="H660" s="129"/>
      <c r="I660" s="129"/>
      <c r="J660" s="129"/>
      <c r="K660" s="126"/>
      <c r="L660" s="126"/>
      <c r="M660" s="126"/>
      <c r="N660" s="126"/>
      <c r="O660" s="164"/>
      <c r="P660" s="129"/>
      <c r="Q660" s="129"/>
      <c r="R660" s="129"/>
    </row>
    <row r="661">
      <c r="A661" s="166"/>
      <c r="B661" s="167"/>
      <c r="C661" s="129"/>
      <c r="D661" s="129"/>
      <c r="E661" s="129"/>
      <c r="F661" s="164"/>
      <c r="G661" s="164"/>
      <c r="H661" s="129"/>
      <c r="I661" s="129"/>
      <c r="J661" s="129"/>
      <c r="K661" s="126"/>
      <c r="L661" s="126"/>
      <c r="M661" s="126"/>
      <c r="N661" s="126"/>
      <c r="O661" s="164"/>
      <c r="P661" s="129"/>
      <c r="Q661" s="129"/>
      <c r="R661" s="129"/>
    </row>
    <row r="662">
      <c r="A662" s="166"/>
      <c r="B662" s="167"/>
      <c r="C662" s="129"/>
      <c r="D662" s="129"/>
      <c r="E662" s="129"/>
      <c r="F662" s="164"/>
      <c r="G662" s="164"/>
      <c r="H662" s="129"/>
      <c r="I662" s="129"/>
      <c r="J662" s="129"/>
      <c r="K662" s="126"/>
      <c r="L662" s="126"/>
      <c r="M662" s="126"/>
      <c r="N662" s="126"/>
      <c r="O662" s="164"/>
      <c r="P662" s="129"/>
      <c r="Q662" s="129"/>
      <c r="R662" s="129"/>
    </row>
    <row r="663">
      <c r="A663" s="166"/>
      <c r="B663" s="167"/>
      <c r="C663" s="129"/>
      <c r="D663" s="129"/>
      <c r="E663" s="129"/>
      <c r="F663" s="164"/>
      <c r="G663" s="164"/>
      <c r="H663" s="129"/>
      <c r="I663" s="129"/>
      <c r="J663" s="129"/>
      <c r="K663" s="126"/>
      <c r="L663" s="126"/>
      <c r="M663" s="126"/>
      <c r="N663" s="126"/>
      <c r="O663" s="164"/>
      <c r="P663" s="129"/>
      <c r="Q663" s="129"/>
      <c r="R663" s="129"/>
    </row>
    <row r="664">
      <c r="A664" s="166"/>
      <c r="B664" s="167"/>
      <c r="C664" s="129"/>
      <c r="D664" s="129"/>
      <c r="E664" s="129"/>
      <c r="F664" s="164"/>
      <c r="G664" s="164"/>
      <c r="H664" s="129"/>
      <c r="I664" s="129"/>
      <c r="J664" s="129"/>
      <c r="K664" s="126"/>
      <c r="L664" s="126"/>
      <c r="M664" s="126"/>
      <c r="N664" s="126"/>
      <c r="O664" s="164"/>
      <c r="P664" s="129"/>
      <c r="Q664" s="129"/>
      <c r="R664" s="129"/>
    </row>
    <row r="665">
      <c r="A665" s="166"/>
      <c r="B665" s="167"/>
      <c r="C665" s="129"/>
      <c r="D665" s="129"/>
      <c r="E665" s="129"/>
      <c r="F665" s="164"/>
      <c r="G665" s="164"/>
      <c r="H665" s="129"/>
      <c r="I665" s="129"/>
      <c r="J665" s="129"/>
      <c r="K665" s="126"/>
      <c r="L665" s="126"/>
      <c r="M665" s="126"/>
      <c r="N665" s="126"/>
      <c r="O665" s="164"/>
      <c r="P665" s="129"/>
      <c r="Q665" s="129"/>
      <c r="R665" s="129"/>
    </row>
    <row r="666">
      <c r="A666" s="166"/>
      <c r="B666" s="167"/>
      <c r="C666" s="129"/>
      <c r="D666" s="129"/>
      <c r="E666" s="129"/>
      <c r="F666" s="164"/>
      <c r="G666" s="164"/>
      <c r="H666" s="129"/>
      <c r="I666" s="129"/>
      <c r="J666" s="129"/>
      <c r="K666" s="126"/>
      <c r="L666" s="126"/>
      <c r="M666" s="126"/>
      <c r="N666" s="126"/>
      <c r="O666" s="164"/>
      <c r="P666" s="129"/>
      <c r="Q666" s="129"/>
      <c r="R666" s="129"/>
    </row>
    <row r="667">
      <c r="A667" s="166"/>
      <c r="B667" s="167"/>
      <c r="C667" s="129"/>
      <c r="D667" s="129"/>
      <c r="E667" s="129"/>
      <c r="F667" s="164"/>
      <c r="G667" s="164"/>
      <c r="H667" s="129"/>
      <c r="I667" s="129"/>
      <c r="J667" s="129"/>
      <c r="K667" s="126"/>
      <c r="L667" s="126"/>
      <c r="M667" s="126"/>
      <c r="N667" s="126"/>
      <c r="O667" s="164"/>
      <c r="P667" s="129"/>
      <c r="Q667" s="129"/>
      <c r="R667" s="129"/>
    </row>
    <row r="668">
      <c r="A668" s="166"/>
      <c r="B668" s="167"/>
      <c r="C668" s="129"/>
      <c r="D668" s="129"/>
      <c r="E668" s="129"/>
      <c r="F668" s="164"/>
      <c r="G668" s="164"/>
      <c r="H668" s="129"/>
      <c r="I668" s="129"/>
      <c r="J668" s="129"/>
      <c r="K668" s="126"/>
      <c r="L668" s="126"/>
      <c r="M668" s="126"/>
      <c r="N668" s="126"/>
      <c r="O668" s="164"/>
      <c r="P668" s="129"/>
      <c r="Q668" s="129"/>
      <c r="R668" s="129"/>
    </row>
    <row r="669">
      <c r="A669" s="166"/>
      <c r="B669" s="167"/>
      <c r="C669" s="129"/>
      <c r="D669" s="129"/>
      <c r="E669" s="129"/>
      <c r="F669" s="164"/>
      <c r="G669" s="164"/>
      <c r="H669" s="129"/>
      <c r="I669" s="129"/>
      <c r="J669" s="129"/>
      <c r="K669" s="126"/>
      <c r="L669" s="126"/>
      <c r="M669" s="126"/>
      <c r="N669" s="126"/>
      <c r="O669" s="164"/>
      <c r="P669" s="129"/>
      <c r="Q669" s="129"/>
      <c r="R669" s="129"/>
    </row>
    <row r="670">
      <c r="A670" s="166"/>
      <c r="B670" s="167"/>
      <c r="C670" s="129"/>
      <c r="D670" s="129"/>
      <c r="E670" s="129"/>
      <c r="F670" s="164"/>
      <c r="G670" s="164"/>
      <c r="H670" s="129"/>
      <c r="I670" s="129"/>
      <c r="J670" s="129"/>
      <c r="K670" s="126"/>
      <c r="L670" s="126"/>
      <c r="M670" s="126"/>
      <c r="N670" s="126"/>
      <c r="O670" s="164"/>
      <c r="P670" s="129"/>
      <c r="Q670" s="129"/>
      <c r="R670" s="129"/>
    </row>
    <row r="671">
      <c r="A671" s="166"/>
      <c r="B671" s="167"/>
      <c r="C671" s="129"/>
      <c r="D671" s="129"/>
      <c r="E671" s="129"/>
      <c r="F671" s="164"/>
      <c r="G671" s="164"/>
      <c r="H671" s="129"/>
      <c r="I671" s="129"/>
      <c r="J671" s="129"/>
      <c r="K671" s="126"/>
      <c r="L671" s="126"/>
      <c r="M671" s="126"/>
      <c r="N671" s="126"/>
      <c r="O671" s="164"/>
      <c r="P671" s="129"/>
      <c r="Q671" s="129"/>
      <c r="R671" s="129"/>
    </row>
    <row r="672">
      <c r="A672" s="166"/>
      <c r="B672" s="167"/>
      <c r="C672" s="129"/>
      <c r="D672" s="129"/>
      <c r="E672" s="129"/>
      <c r="F672" s="164"/>
      <c r="G672" s="164"/>
      <c r="H672" s="129"/>
      <c r="I672" s="129"/>
      <c r="J672" s="129"/>
      <c r="K672" s="126"/>
      <c r="L672" s="126"/>
      <c r="M672" s="126"/>
      <c r="N672" s="126"/>
      <c r="O672" s="164"/>
      <c r="P672" s="129"/>
      <c r="Q672" s="129"/>
      <c r="R672" s="129"/>
    </row>
    <row r="673">
      <c r="A673" s="166"/>
      <c r="B673" s="167"/>
      <c r="C673" s="129"/>
      <c r="D673" s="129"/>
      <c r="E673" s="129"/>
      <c r="F673" s="164"/>
      <c r="G673" s="164"/>
      <c r="H673" s="129"/>
      <c r="I673" s="129"/>
      <c r="J673" s="129"/>
      <c r="K673" s="126"/>
      <c r="L673" s="126"/>
      <c r="M673" s="126"/>
      <c r="N673" s="126"/>
      <c r="O673" s="164"/>
      <c r="P673" s="129"/>
      <c r="Q673" s="129"/>
      <c r="R673" s="129"/>
    </row>
    <row r="674">
      <c r="A674" s="166"/>
      <c r="B674" s="167"/>
      <c r="C674" s="129"/>
      <c r="D674" s="129"/>
      <c r="E674" s="129"/>
      <c r="F674" s="164"/>
      <c r="G674" s="164"/>
      <c r="H674" s="129"/>
      <c r="I674" s="129"/>
      <c r="J674" s="129"/>
      <c r="K674" s="126"/>
      <c r="L674" s="126"/>
      <c r="M674" s="126"/>
      <c r="N674" s="126"/>
      <c r="O674" s="164"/>
      <c r="P674" s="129"/>
      <c r="Q674" s="129"/>
      <c r="R674" s="129"/>
    </row>
    <row r="675">
      <c r="A675" s="166"/>
      <c r="B675" s="167"/>
      <c r="C675" s="129"/>
      <c r="D675" s="129"/>
      <c r="E675" s="129"/>
      <c r="F675" s="164"/>
      <c r="G675" s="164"/>
      <c r="H675" s="129"/>
      <c r="I675" s="129"/>
      <c r="J675" s="129"/>
      <c r="K675" s="126"/>
      <c r="L675" s="126"/>
      <c r="M675" s="126"/>
      <c r="N675" s="126"/>
      <c r="O675" s="164"/>
      <c r="P675" s="129"/>
      <c r="Q675" s="129"/>
      <c r="R675" s="129"/>
    </row>
    <row r="676">
      <c r="A676" s="166"/>
      <c r="B676" s="167"/>
      <c r="C676" s="129"/>
      <c r="D676" s="129"/>
      <c r="E676" s="129"/>
      <c r="F676" s="164"/>
      <c r="G676" s="164"/>
      <c r="H676" s="129"/>
      <c r="I676" s="129"/>
      <c r="J676" s="129"/>
      <c r="K676" s="126"/>
      <c r="L676" s="126"/>
      <c r="M676" s="126"/>
      <c r="N676" s="126"/>
      <c r="O676" s="164"/>
      <c r="P676" s="129"/>
      <c r="Q676" s="129"/>
      <c r="R676" s="129"/>
    </row>
    <row r="677">
      <c r="A677" s="166"/>
      <c r="B677" s="167"/>
      <c r="C677" s="129"/>
      <c r="D677" s="129"/>
      <c r="E677" s="129"/>
      <c r="F677" s="164"/>
      <c r="G677" s="164"/>
      <c r="H677" s="129"/>
      <c r="I677" s="129"/>
      <c r="J677" s="129"/>
      <c r="K677" s="126"/>
      <c r="L677" s="126"/>
      <c r="M677" s="126"/>
      <c r="N677" s="126"/>
      <c r="O677" s="164"/>
      <c r="P677" s="129"/>
      <c r="Q677" s="129"/>
      <c r="R677" s="129"/>
    </row>
    <row r="678">
      <c r="A678" s="166"/>
      <c r="B678" s="167"/>
      <c r="C678" s="129"/>
      <c r="D678" s="129"/>
      <c r="E678" s="129"/>
      <c r="F678" s="164"/>
      <c r="G678" s="164"/>
      <c r="H678" s="129"/>
      <c r="I678" s="129"/>
      <c r="J678" s="129"/>
      <c r="K678" s="126"/>
      <c r="L678" s="126"/>
      <c r="M678" s="126"/>
      <c r="N678" s="126"/>
      <c r="O678" s="164"/>
      <c r="P678" s="129"/>
      <c r="Q678" s="129"/>
      <c r="R678" s="129"/>
    </row>
    <row r="679">
      <c r="A679" s="166"/>
      <c r="B679" s="167"/>
      <c r="C679" s="129"/>
      <c r="D679" s="129"/>
      <c r="E679" s="129"/>
      <c r="F679" s="164"/>
      <c r="G679" s="164"/>
      <c r="H679" s="129"/>
      <c r="I679" s="129"/>
      <c r="J679" s="129"/>
      <c r="K679" s="126"/>
      <c r="L679" s="126"/>
      <c r="M679" s="126"/>
      <c r="N679" s="126"/>
      <c r="O679" s="164"/>
      <c r="P679" s="129"/>
      <c r="Q679" s="129"/>
      <c r="R679" s="129"/>
    </row>
    <row r="680">
      <c r="A680" s="166"/>
      <c r="B680" s="167"/>
      <c r="C680" s="129"/>
      <c r="D680" s="129"/>
      <c r="E680" s="129"/>
      <c r="F680" s="164"/>
      <c r="G680" s="164"/>
      <c r="H680" s="129"/>
      <c r="I680" s="129"/>
      <c r="J680" s="129"/>
      <c r="K680" s="126"/>
      <c r="L680" s="126"/>
      <c r="M680" s="126"/>
      <c r="N680" s="126"/>
      <c r="O680" s="164"/>
      <c r="P680" s="129"/>
      <c r="Q680" s="129"/>
      <c r="R680" s="129"/>
    </row>
    <row r="681">
      <c r="A681" s="166"/>
      <c r="B681" s="167"/>
      <c r="C681" s="129"/>
      <c r="D681" s="129"/>
      <c r="E681" s="129"/>
      <c r="F681" s="164"/>
      <c r="G681" s="164"/>
      <c r="H681" s="129"/>
      <c r="I681" s="129"/>
      <c r="J681" s="129"/>
      <c r="K681" s="126"/>
      <c r="L681" s="126"/>
      <c r="M681" s="126"/>
      <c r="N681" s="126"/>
      <c r="O681" s="164"/>
      <c r="P681" s="129"/>
      <c r="Q681" s="129"/>
      <c r="R681" s="129"/>
    </row>
    <row r="682">
      <c r="A682" s="166"/>
      <c r="B682" s="167"/>
      <c r="C682" s="129"/>
      <c r="D682" s="129"/>
      <c r="E682" s="129"/>
      <c r="F682" s="164"/>
      <c r="G682" s="164"/>
      <c r="H682" s="129"/>
      <c r="I682" s="129"/>
      <c r="J682" s="129"/>
      <c r="K682" s="126"/>
      <c r="L682" s="126"/>
      <c r="M682" s="126"/>
      <c r="N682" s="126"/>
      <c r="O682" s="164"/>
      <c r="P682" s="129"/>
      <c r="Q682" s="129"/>
      <c r="R682" s="129"/>
    </row>
    <row r="683">
      <c r="A683" s="166"/>
      <c r="B683" s="167"/>
      <c r="C683" s="129"/>
      <c r="D683" s="129"/>
      <c r="E683" s="129"/>
      <c r="F683" s="164"/>
      <c r="G683" s="164"/>
      <c r="H683" s="129"/>
      <c r="I683" s="129"/>
      <c r="J683" s="129"/>
      <c r="K683" s="126"/>
      <c r="L683" s="126"/>
      <c r="M683" s="126"/>
      <c r="N683" s="126"/>
      <c r="O683" s="164"/>
      <c r="P683" s="129"/>
      <c r="Q683" s="129"/>
      <c r="R683" s="129"/>
    </row>
    <row r="684">
      <c r="A684" s="166"/>
      <c r="B684" s="167"/>
      <c r="C684" s="129"/>
      <c r="D684" s="129"/>
      <c r="E684" s="129"/>
      <c r="F684" s="164"/>
      <c r="G684" s="164"/>
      <c r="H684" s="129"/>
      <c r="I684" s="129"/>
      <c r="J684" s="129"/>
      <c r="K684" s="126"/>
      <c r="L684" s="126"/>
      <c r="M684" s="126"/>
      <c r="N684" s="126"/>
      <c r="O684" s="164"/>
      <c r="P684" s="129"/>
      <c r="Q684" s="129"/>
      <c r="R684" s="129"/>
    </row>
    <row r="685">
      <c r="A685" s="166"/>
      <c r="B685" s="167"/>
      <c r="C685" s="129"/>
      <c r="D685" s="129"/>
      <c r="E685" s="129"/>
      <c r="F685" s="164"/>
      <c r="G685" s="164"/>
      <c r="H685" s="129"/>
      <c r="I685" s="129"/>
      <c r="J685" s="129"/>
      <c r="K685" s="126"/>
      <c r="L685" s="126"/>
      <c r="M685" s="126"/>
      <c r="N685" s="126"/>
      <c r="O685" s="164"/>
      <c r="P685" s="129"/>
      <c r="Q685" s="129"/>
      <c r="R685" s="129"/>
    </row>
    <row r="686">
      <c r="A686" s="166"/>
      <c r="B686" s="167"/>
      <c r="C686" s="129"/>
      <c r="D686" s="129"/>
      <c r="E686" s="129"/>
      <c r="F686" s="164"/>
      <c r="G686" s="164"/>
      <c r="H686" s="129"/>
      <c r="I686" s="129"/>
      <c r="J686" s="129"/>
      <c r="K686" s="126"/>
      <c r="L686" s="126"/>
      <c r="M686" s="126"/>
      <c r="N686" s="126"/>
      <c r="O686" s="164"/>
      <c r="P686" s="129"/>
      <c r="Q686" s="129"/>
      <c r="R686" s="129"/>
    </row>
    <row r="687">
      <c r="A687" s="166"/>
      <c r="B687" s="167"/>
      <c r="C687" s="129"/>
      <c r="D687" s="129"/>
      <c r="E687" s="129"/>
      <c r="F687" s="164"/>
      <c r="G687" s="164"/>
      <c r="H687" s="129"/>
      <c r="I687" s="129"/>
      <c r="J687" s="129"/>
      <c r="K687" s="126"/>
      <c r="L687" s="126"/>
      <c r="M687" s="126"/>
      <c r="N687" s="126"/>
      <c r="O687" s="164"/>
      <c r="P687" s="129"/>
      <c r="Q687" s="129"/>
      <c r="R687" s="129"/>
    </row>
    <row r="688">
      <c r="A688" s="166"/>
      <c r="B688" s="167"/>
      <c r="C688" s="129"/>
      <c r="D688" s="129"/>
      <c r="E688" s="129"/>
      <c r="F688" s="164"/>
      <c r="G688" s="164"/>
      <c r="H688" s="129"/>
      <c r="I688" s="129"/>
      <c r="J688" s="129"/>
      <c r="K688" s="126"/>
      <c r="L688" s="126"/>
      <c r="M688" s="126"/>
      <c r="N688" s="126"/>
      <c r="O688" s="164"/>
      <c r="P688" s="129"/>
      <c r="Q688" s="129"/>
      <c r="R688" s="129"/>
    </row>
    <row r="689">
      <c r="A689" s="166"/>
      <c r="B689" s="167"/>
      <c r="C689" s="129"/>
      <c r="D689" s="129"/>
      <c r="E689" s="129"/>
      <c r="F689" s="164"/>
      <c r="G689" s="164"/>
      <c r="H689" s="129"/>
      <c r="I689" s="129"/>
      <c r="J689" s="129"/>
      <c r="K689" s="126"/>
      <c r="L689" s="126"/>
      <c r="M689" s="126"/>
      <c r="N689" s="126"/>
      <c r="O689" s="164"/>
      <c r="P689" s="129"/>
      <c r="Q689" s="129"/>
      <c r="R689" s="129"/>
    </row>
    <row r="690">
      <c r="A690" s="166"/>
      <c r="B690" s="167"/>
      <c r="C690" s="129"/>
      <c r="D690" s="129"/>
      <c r="E690" s="129"/>
      <c r="F690" s="164"/>
      <c r="G690" s="164"/>
      <c r="H690" s="129"/>
      <c r="I690" s="129"/>
      <c r="J690" s="129"/>
      <c r="K690" s="126"/>
      <c r="L690" s="126"/>
      <c r="M690" s="126"/>
      <c r="N690" s="126"/>
      <c r="O690" s="164"/>
      <c r="P690" s="129"/>
      <c r="Q690" s="129"/>
      <c r="R690" s="129"/>
    </row>
    <row r="691">
      <c r="A691" s="166"/>
      <c r="B691" s="167"/>
      <c r="C691" s="129"/>
      <c r="D691" s="129"/>
      <c r="E691" s="129"/>
      <c r="F691" s="164"/>
      <c r="G691" s="164"/>
      <c r="H691" s="129"/>
      <c r="I691" s="129"/>
      <c r="J691" s="129"/>
      <c r="K691" s="126"/>
      <c r="L691" s="126"/>
      <c r="M691" s="126"/>
      <c r="N691" s="126"/>
      <c r="O691" s="164"/>
      <c r="P691" s="129"/>
      <c r="Q691" s="129"/>
      <c r="R691" s="129"/>
    </row>
    <row r="692">
      <c r="A692" s="166"/>
      <c r="B692" s="167"/>
      <c r="C692" s="129"/>
      <c r="D692" s="129"/>
      <c r="E692" s="129"/>
      <c r="F692" s="164"/>
      <c r="G692" s="164"/>
      <c r="H692" s="129"/>
      <c r="I692" s="129"/>
      <c r="J692" s="129"/>
      <c r="K692" s="126"/>
      <c r="L692" s="126"/>
      <c r="M692" s="126"/>
      <c r="N692" s="126"/>
      <c r="O692" s="164"/>
      <c r="P692" s="129"/>
      <c r="Q692" s="129"/>
      <c r="R692" s="129"/>
    </row>
    <row r="693">
      <c r="A693" s="166"/>
      <c r="B693" s="167"/>
      <c r="C693" s="129"/>
      <c r="D693" s="129"/>
      <c r="E693" s="129"/>
      <c r="F693" s="164"/>
      <c r="G693" s="164"/>
      <c r="H693" s="129"/>
      <c r="I693" s="129"/>
      <c r="J693" s="129"/>
      <c r="K693" s="126"/>
      <c r="L693" s="126"/>
      <c r="M693" s="126"/>
      <c r="N693" s="126"/>
      <c r="O693" s="164"/>
      <c r="P693" s="129"/>
      <c r="Q693" s="129"/>
      <c r="R693" s="129"/>
    </row>
    <row r="694">
      <c r="A694" s="166"/>
      <c r="B694" s="167"/>
      <c r="C694" s="129"/>
      <c r="D694" s="129"/>
      <c r="E694" s="129"/>
      <c r="F694" s="164"/>
      <c r="G694" s="164"/>
      <c r="H694" s="129"/>
      <c r="I694" s="129"/>
      <c r="J694" s="129"/>
      <c r="K694" s="126"/>
      <c r="L694" s="126"/>
      <c r="M694" s="126"/>
      <c r="N694" s="126"/>
      <c r="O694" s="164"/>
      <c r="P694" s="129"/>
      <c r="Q694" s="129"/>
      <c r="R694" s="129"/>
    </row>
    <row r="695">
      <c r="A695" s="166"/>
      <c r="B695" s="167"/>
      <c r="C695" s="129"/>
      <c r="D695" s="129"/>
      <c r="E695" s="129"/>
      <c r="F695" s="164"/>
      <c r="G695" s="164"/>
      <c r="H695" s="129"/>
      <c r="I695" s="129"/>
      <c r="J695" s="129"/>
      <c r="K695" s="126"/>
      <c r="L695" s="126"/>
      <c r="M695" s="126"/>
      <c r="N695" s="126"/>
      <c r="O695" s="164"/>
      <c r="P695" s="129"/>
      <c r="Q695" s="129"/>
      <c r="R695" s="129"/>
    </row>
    <row r="696">
      <c r="A696" s="166"/>
      <c r="B696" s="167"/>
      <c r="C696" s="129"/>
      <c r="D696" s="129"/>
      <c r="E696" s="129"/>
      <c r="F696" s="164"/>
      <c r="G696" s="164"/>
      <c r="H696" s="129"/>
      <c r="I696" s="129"/>
      <c r="J696" s="129"/>
      <c r="K696" s="126"/>
      <c r="L696" s="126"/>
      <c r="M696" s="126"/>
      <c r="N696" s="126"/>
      <c r="O696" s="164"/>
      <c r="P696" s="129"/>
      <c r="Q696" s="129"/>
      <c r="R696" s="129"/>
    </row>
    <row r="697">
      <c r="A697" s="166"/>
      <c r="B697" s="167"/>
      <c r="C697" s="129"/>
      <c r="D697" s="129"/>
      <c r="E697" s="129"/>
      <c r="F697" s="164"/>
      <c r="G697" s="164"/>
      <c r="H697" s="129"/>
      <c r="I697" s="129"/>
      <c r="J697" s="129"/>
      <c r="K697" s="126"/>
      <c r="L697" s="126"/>
      <c r="M697" s="126"/>
      <c r="N697" s="126"/>
      <c r="O697" s="164"/>
      <c r="P697" s="129"/>
      <c r="Q697" s="129"/>
      <c r="R697" s="129"/>
    </row>
    <row r="698">
      <c r="A698" s="166"/>
      <c r="B698" s="167"/>
      <c r="C698" s="129"/>
      <c r="D698" s="129"/>
      <c r="E698" s="129"/>
      <c r="F698" s="164"/>
      <c r="G698" s="164"/>
      <c r="H698" s="129"/>
      <c r="I698" s="129"/>
      <c r="J698" s="129"/>
      <c r="K698" s="126"/>
      <c r="L698" s="126"/>
      <c r="M698" s="126"/>
      <c r="N698" s="126"/>
      <c r="O698" s="164"/>
      <c r="P698" s="129"/>
      <c r="Q698" s="129"/>
      <c r="R698" s="129"/>
    </row>
    <row r="699">
      <c r="A699" s="166"/>
      <c r="B699" s="167"/>
      <c r="C699" s="129"/>
      <c r="D699" s="129"/>
      <c r="E699" s="129"/>
      <c r="F699" s="164"/>
      <c r="G699" s="164"/>
      <c r="H699" s="129"/>
      <c r="I699" s="129"/>
      <c r="J699" s="129"/>
      <c r="K699" s="126"/>
      <c r="L699" s="126"/>
      <c r="M699" s="126"/>
      <c r="N699" s="126"/>
      <c r="O699" s="164"/>
      <c r="P699" s="129"/>
      <c r="Q699" s="129"/>
      <c r="R699" s="129"/>
    </row>
    <row r="700">
      <c r="A700" s="166"/>
      <c r="B700" s="167"/>
      <c r="C700" s="129"/>
      <c r="D700" s="129"/>
      <c r="E700" s="129"/>
      <c r="F700" s="164"/>
      <c r="G700" s="164"/>
      <c r="H700" s="129"/>
      <c r="I700" s="129"/>
      <c r="J700" s="129"/>
      <c r="K700" s="126"/>
      <c r="L700" s="126"/>
      <c r="M700" s="126"/>
      <c r="N700" s="126"/>
      <c r="O700" s="164"/>
      <c r="P700" s="129"/>
      <c r="Q700" s="129"/>
      <c r="R700" s="129"/>
    </row>
    <row r="701">
      <c r="A701" s="166"/>
      <c r="B701" s="167"/>
      <c r="C701" s="129"/>
      <c r="D701" s="129"/>
      <c r="E701" s="129"/>
      <c r="F701" s="164"/>
      <c r="G701" s="164"/>
      <c r="H701" s="129"/>
      <c r="I701" s="129"/>
      <c r="J701" s="129"/>
      <c r="K701" s="126"/>
      <c r="L701" s="126"/>
      <c r="M701" s="126"/>
      <c r="N701" s="126"/>
      <c r="O701" s="164"/>
      <c r="P701" s="129"/>
      <c r="Q701" s="129"/>
      <c r="R701" s="129"/>
    </row>
    <row r="702">
      <c r="A702" s="166"/>
      <c r="B702" s="167"/>
      <c r="C702" s="129"/>
      <c r="D702" s="129"/>
      <c r="E702" s="129"/>
      <c r="F702" s="164"/>
      <c r="G702" s="164"/>
      <c r="H702" s="129"/>
      <c r="I702" s="129"/>
      <c r="J702" s="129"/>
      <c r="K702" s="126"/>
      <c r="L702" s="126"/>
      <c r="M702" s="126"/>
      <c r="N702" s="126"/>
      <c r="O702" s="164"/>
      <c r="P702" s="129"/>
      <c r="Q702" s="129"/>
      <c r="R702" s="129"/>
    </row>
    <row r="703">
      <c r="A703" s="166"/>
      <c r="B703" s="167"/>
      <c r="C703" s="129"/>
      <c r="D703" s="129"/>
      <c r="E703" s="129"/>
      <c r="F703" s="164"/>
      <c r="G703" s="164"/>
      <c r="H703" s="129"/>
      <c r="I703" s="129"/>
      <c r="J703" s="129"/>
      <c r="K703" s="126"/>
      <c r="L703" s="126"/>
      <c r="M703" s="126"/>
      <c r="N703" s="126"/>
      <c r="O703" s="164"/>
      <c r="P703" s="129"/>
      <c r="Q703" s="129"/>
      <c r="R703" s="129"/>
    </row>
    <row r="704">
      <c r="A704" s="166"/>
      <c r="B704" s="167"/>
      <c r="C704" s="129"/>
      <c r="D704" s="129"/>
      <c r="E704" s="129"/>
      <c r="F704" s="164"/>
      <c r="G704" s="164"/>
      <c r="H704" s="129"/>
      <c r="I704" s="129"/>
      <c r="J704" s="129"/>
      <c r="K704" s="126"/>
      <c r="L704" s="126"/>
      <c r="M704" s="126"/>
      <c r="N704" s="126"/>
      <c r="O704" s="164"/>
      <c r="P704" s="129"/>
      <c r="Q704" s="129"/>
      <c r="R704" s="129"/>
    </row>
    <row r="705">
      <c r="A705" s="166"/>
      <c r="B705" s="167"/>
      <c r="C705" s="129"/>
      <c r="D705" s="129"/>
      <c r="E705" s="129"/>
      <c r="F705" s="164"/>
      <c r="G705" s="164"/>
      <c r="H705" s="129"/>
      <c r="I705" s="129"/>
      <c r="J705" s="129"/>
      <c r="K705" s="126"/>
      <c r="L705" s="126"/>
      <c r="M705" s="126"/>
      <c r="N705" s="126"/>
      <c r="O705" s="164"/>
      <c r="P705" s="129"/>
      <c r="Q705" s="129"/>
      <c r="R705" s="129"/>
    </row>
    <row r="706">
      <c r="A706" s="166"/>
      <c r="B706" s="167"/>
      <c r="C706" s="129"/>
      <c r="D706" s="129"/>
      <c r="E706" s="129"/>
      <c r="F706" s="164"/>
      <c r="G706" s="164"/>
      <c r="H706" s="129"/>
      <c r="I706" s="129"/>
      <c r="J706" s="129"/>
      <c r="K706" s="126"/>
      <c r="L706" s="126"/>
      <c r="M706" s="126"/>
      <c r="N706" s="126"/>
      <c r="O706" s="164"/>
      <c r="P706" s="129"/>
      <c r="Q706" s="129"/>
      <c r="R706" s="129"/>
    </row>
    <row r="707">
      <c r="A707" s="166"/>
      <c r="B707" s="167"/>
      <c r="C707" s="129"/>
      <c r="D707" s="129"/>
      <c r="E707" s="129"/>
      <c r="F707" s="164"/>
      <c r="G707" s="164"/>
      <c r="H707" s="129"/>
      <c r="I707" s="129"/>
      <c r="J707" s="129"/>
      <c r="K707" s="126"/>
      <c r="L707" s="126"/>
      <c r="M707" s="126"/>
      <c r="N707" s="126"/>
      <c r="O707" s="164"/>
      <c r="P707" s="129"/>
      <c r="Q707" s="129"/>
      <c r="R707" s="129"/>
    </row>
    <row r="708">
      <c r="A708" s="166"/>
      <c r="B708" s="167"/>
      <c r="C708" s="129"/>
      <c r="D708" s="129"/>
      <c r="E708" s="129"/>
      <c r="F708" s="164"/>
      <c r="G708" s="164"/>
      <c r="H708" s="129"/>
      <c r="I708" s="129"/>
      <c r="J708" s="129"/>
      <c r="K708" s="126"/>
      <c r="L708" s="126"/>
      <c r="M708" s="126"/>
      <c r="N708" s="126"/>
      <c r="O708" s="164"/>
      <c r="P708" s="129"/>
      <c r="Q708" s="129"/>
      <c r="R708" s="129"/>
    </row>
    <row r="709">
      <c r="A709" s="166"/>
      <c r="B709" s="167"/>
      <c r="C709" s="129"/>
      <c r="D709" s="129"/>
      <c r="E709" s="129"/>
      <c r="F709" s="164"/>
      <c r="G709" s="164"/>
      <c r="H709" s="129"/>
      <c r="I709" s="129"/>
      <c r="J709" s="129"/>
      <c r="K709" s="126"/>
      <c r="L709" s="126"/>
      <c r="M709" s="126"/>
      <c r="N709" s="126"/>
      <c r="O709" s="164"/>
      <c r="P709" s="129"/>
      <c r="Q709" s="129"/>
      <c r="R709" s="129"/>
    </row>
    <row r="710">
      <c r="A710" s="166"/>
      <c r="B710" s="167"/>
      <c r="C710" s="129"/>
      <c r="D710" s="129"/>
      <c r="E710" s="129"/>
      <c r="F710" s="164"/>
      <c r="G710" s="164"/>
      <c r="H710" s="129"/>
      <c r="I710" s="129"/>
      <c r="J710" s="129"/>
      <c r="K710" s="126"/>
      <c r="L710" s="126"/>
      <c r="M710" s="126"/>
      <c r="N710" s="126"/>
      <c r="O710" s="164"/>
      <c r="P710" s="129"/>
      <c r="Q710" s="129"/>
      <c r="R710" s="129"/>
    </row>
    <row r="711">
      <c r="A711" s="166"/>
      <c r="B711" s="167"/>
      <c r="C711" s="129"/>
      <c r="D711" s="129"/>
      <c r="E711" s="129"/>
      <c r="F711" s="164"/>
      <c r="G711" s="164"/>
      <c r="H711" s="129"/>
      <c r="I711" s="129"/>
      <c r="J711" s="129"/>
      <c r="K711" s="126"/>
      <c r="L711" s="126"/>
      <c r="M711" s="126"/>
      <c r="N711" s="126"/>
      <c r="O711" s="164"/>
      <c r="P711" s="129"/>
      <c r="Q711" s="129"/>
      <c r="R711" s="129"/>
    </row>
    <row r="712">
      <c r="A712" s="166"/>
      <c r="B712" s="167"/>
      <c r="C712" s="129"/>
      <c r="D712" s="129"/>
      <c r="E712" s="129"/>
      <c r="F712" s="164"/>
      <c r="G712" s="164"/>
      <c r="H712" s="129"/>
      <c r="I712" s="129"/>
      <c r="J712" s="129"/>
      <c r="K712" s="126"/>
      <c r="L712" s="126"/>
      <c r="M712" s="126"/>
      <c r="N712" s="126"/>
      <c r="O712" s="164"/>
      <c r="P712" s="129"/>
      <c r="Q712" s="129"/>
      <c r="R712" s="129"/>
    </row>
    <row r="713">
      <c r="A713" s="166"/>
      <c r="B713" s="167"/>
      <c r="C713" s="129"/>
      <c r="D713" s="129"/>
      <c r="E713" s="129"/>
      <c r="F713" s="164"/>
      <c r="G713" s="164"/>
      <c r="H713" s="129"/>
      <c r="I713" s="129"/>
      <c r="J713" s="129"/>
      <c r="K713" s="126"/>
      <c r="L713" s="126"/>
      <c r="M713" s="126"/>
      <c r="N713" s="126"/>
      <c r="O713" s="164"/>
      <c r="P713" s="129"/>
      <c r="Q713" s="129"/>
      <c r="R713" s="129"/>
    </row>
    <row r="714">
      <c r="A714" s="166"/>
      <c r="B714" s="167"/>
      <c r="C714" s="129"/>
      <c r="D714" s="129"/>
      <c r="E714" s="129"/>
      <c r="F714" s="164"/>
      <c r="G714" s="164"/>
      <c r="H714" s="129"/>
      <c r="I714" s="129"/>
      <c r="J714" s="129"/>
      <c r="K714" s="126"/>
      <c r="L714" s="126"/>
      <c r="M714" s="126"/>
      <c r="N714" s="126"/>
      <c r="O714" s="164"/>
      <c r="P714" s="129"/>
      <c r="Q714" s="129"/>
      <c r="R714" s="129"/>
    </row>
    <row r="715">
      <c r="A715" s="166"/>
      <c r="B715" s="167"/>
      <c r="C715" s="129"/>
      <c r="D715" s="129"/>
      <c r="E715" s="129"/>
      <c r="F715" s="164"/>
      <c r="G715" s="164"/>
      <c r="H715" s="129"/>
      <c r="I715" s="129"/>
      <c r="J715" s="129"/>
      <c r="K715" s="126"/>
      <c r="L715" s="126"/>
      <c r="M715" s="126"/>
      <c r="N715" s="126"/>
      <c r="O715" s="164"/>
      <c r="P715" s="129"/>
      <c r="Q715" s="129"/>
      <c r="R715" s="129"/>
    </row>
    <row r="716">
      <c r="A716" s="166"/>
      <c r="B716" s="167"/>
      <c r="C716" s="129"/>
      <c r="D716" s="129"/>
      <c r="E716" s="129"/>
      <c r="F716" s="164"/>
      <c r="G716" s="164"/>
      <c r="H716" s="129"/>
      <c r="I716" s="129"/>
      <c r="J716" s="129"/>
      <c r="K716" s="126"/>
      <c r="L716" s="126"/>
      <c r="M716" s="126"/>
      <c r="N716" s="126"/>
      <c r="O716" s="164"/>
      <c r="P716" s="129"/>
      <c r="Q716" s="129"/>
      <c r="R716" s="129"/>
    </row>
    <row r="717">
      <c r="A717" s="166"/>
      <c r="B717" s="167"/>
      <c r="C717" s="129"/>
      <c r="D717" s="129"/>
      <c r="E717" s="129"/>
      <c r="F717" s="164"/>
      <c r="G717" s="164"/>
      <c r="H717" s="129"/>
      <c r="I717" s="129"/>
      <c r="J717" s="129"/>
      <c r="K717" s="126"/>
      <c r="L717" s="126"/>
      <c r="M717" s="126"/>
      <c r="N717" s="126"/>
      <c r="O717" s="164"/>
      <c r="P717" s="129"/>
      <c r="Q717" s="129"/>
      <c r="R717" s="129"/>
    </row>
    <row r="718">
      <c r="A718" s="166"/>
      <c r="B718" s="167"/>
      <c r="C718" s="129"/>
      <c r="D718" s="129"/>
      <c r="E718" s="129"/>
      <c r="F718" s="164"/>
      <c r="G718" s="164"/>
      <c r="H718" s="129"/>
      <c r="I718" s="129"/>
      <c r="J718" s="129"/>
      <c r="K718" s="126"/>
      <c r="L718" s="126"/>
      <c r="M718" s="126"/>
      <c r="N718" s="126"/>
      <c r="O718" s="164"/>
      <c r="P718" s="129"/>
      <c r="Q718" s="129"/>
      <c r="R718" s="129"/>
    </row>
    <row r="719">
      <c r="A719" s="166"/>
      <c r="B719" s="167"/>
      <c r="C719" s="129"/>
      <c r="D719" s="129"/>
      <c r="E719" s="129"/>
      <c r="F719" s="164"/>
      <c r="G719" s="164"/>
      <c r="H719" s="129"/>
      <c r="I719" s="129"/>
      <c r="J719" s="129"/>
      <c r="K719" s="126"/>
      <c r="L719" s="126"/>
      <c r="M719" s="126"/>
      <c r="N719" s="126"/>
      <c r="O719" s="164"/>
      <c r="P719" s="129"/>
      <c r="Q719" s="129"/>
      <c r="R719" s="129"/>
    </row>
    <row r="720">
      <c r="A720" s="166"/>
      <c r="B720" s="167"/>
      <c r="C720" s="129"/>
      <c r="D720" s="129"/>
      <c r="E720" s="129"/>
      <c r="F720" s="164"/>
      <c r="G720" s="164"/>
      <c r="H720" s="129"/>
      <c r="I720" s="129"/>
      <c r="J720" s="129"/>
      <c r="K720" s="126"/>
      <c r="L720" s="126"/>
      <c r="M720" s="126"/>
      <c r="N720" s="126"/>
      <c r="O720" s="164"/>
      <c r="P720" s="129"/>
      <c r="Q720" s="129"/>
      <c r="R720" s="129"/>
    </row>
    <row r="721">
      <c r="A721" s="166"/>
      <c r="B721" s="167"/>
      <c r="C721" s="129"/>
      <c r="D721" s="129"/>
      <c r="E721" s="129"/>
      <c r="F721" s="164"/>
      <c r="G721" s="164"/>
      <c r="H721" s="129"/>
      <c r="I721" s="129"/>
      <c r="J721" s="129"/>
      <c r="K721" s="126"/>
      <c r="L721" s="126"/>
      <c r="M721" s="126"/>
      <c r="N721" s="126"/>
      <c r="O721" s="164"/>
      <c r="P721" s="129"/>
      <c r="Q721" s="129"/>
      <c r="R721" s="129"/>
    </row>
    <row r="722">
      <c r="A722" s="166"/>
      <c r="B722" s="167"/>
      <c r="C722" s="129"/>
      <c r="D722" s="129"/>
      <c r="E722" s="129"/>
      <c r="F722" s="164"/>
      <c r="G722" s="164"/>
      <c r="H722" s="129"/>
      <c r="I722" s="129"/>
      <c r="J722" s="129"/>
      <c r="K722" s="126"/>
      <c r="L722" s="126"/>
      <c r="M722" s="126"/>
      <c r="N722" s="126"/>
      <c r="O722" s="164"/>
      <c r="P722" s="129"/>
      <c r="Q722" s="129"/>
      <c r="R722" s="129"/>
    </row>
    <row r="723">
      <c r="A723" s="166"/>
      <c r="B723" s="167"/>
      <c r="C723" s="129"/>
      <c r="D723" s="129"/>
      <c r="E723" s="129"/>
      <c r="F723" s="164"/>
      <c r="G723" s="164"/>
      <c r="H723" s="129"/>
      <c r="I723" s="129"/>
      <c r="J723" s="129"/>
      <c r="K723" s="126"/>
      <c r="L723" s="126"/>
      <c r="M723" s="126"/>
      <c r="N723" s="126"/>
      <c r="O723" s="164"/>
      <c r="P723" s="129"/>
      <c r="Q723" s="129"/>
      <c r="R723" s="129"/>
    </row>
    <row r="724">
      <c r="A724" s="166"/>
      <c r="B724" s="167"/>
      <c r="C724" s="129"/>
      <c r="D724" s="129"/>
      <c r="E724" s="129"/>
      <c r="F724" s="164"/>
      <c r="G724" s="164"/>
      <c r="H724" s="129"/>
      <c r="I724" s="129"/>
      <c r="J724" s="129"/>
      <c r="K724" s="126"/>
      <c r="L724" s="126"/>
      <c r="M724" s="126"/>
      <c r="N724" s="126"/>
      <c r="O724" s="164"/>
      <c r="P724" s="129"/>
      <c r="Q724" s="129"/>
      <c r="R724" s="129"/>
    </row>
    <row r="725">
      <c r="A725" s="166"/>
      <c r="B725" s="167"/>
      <c r="C725" s="129"/>
      <c r="D725" s="129"/>
      <c r="E725" s="129"/>
      <c r="F725" s="164"/>
      <c r="G725" s="164"/>
      <c r="H725" s="129"/>
      <c r="I725" s="129"/>
      <c r="J725" s="129"/>
      <c r="K725" s="126"/>
      <c r="L725" s="126"/>
      <c r="M725" s="126"/>
      <c r="N725" s="126"/>
      <c r="O725" s="164"/>
      <c r="P725" s="129"/>
      <c r="Q725" s="129"/>
      <c r="R725" s="129"/>
    </row>
    <row r="726">
      <c r="A726" s="166"/>
      <c r="B726" s="167"/>
      <c r="C726" s="129"/>
      <c r="D726" s="129"/>
      <c r="E726" s="129"/>
      <c r="F726" s="164"/>
      <c r="G726" s="164"/>
      <c r="H726" s="129"/>
      <c r="I726" s="129"/>
      <c r="J726" s="129"/>
      <c r="K726" s="126"/>
      <c r="L726" s="126"/>
      <c r="M726" s="126"/>
      <c r="N726" s="126"/>
      <c r="O726" s="164"/>
      <c r="P726" s="129"/>
      <c r="Q726" s="129"/>
      <c r="R726" s="129"/>
    </row>
    <row r="727">
      <c r="A727" s="166"/>
      <c r="B727" s="167"/>
      <c r="C727" s="129"/>
      <c r="D727" s="129"/>
      <c r="E727" s="129"/>
      <c r="F727" s="164"/>
      <c r="G727" s="164"/>
      <c r="H727" s="129"/>
      <c r="I727" s="129"/>
      <c r="J727" s="129"/>
      <c r="K727" s="126"/>
      <c r="L727" s="126"/>
      <c r="M727" s="126"/>
      <c r="N727" s="126"/>
      <c r="O727" s="164"/>
      <c r="P727" s="129"/>
      <c r="Q727" s="129"/>
      <c r="R727" s="129"/>
    </row>
    <row r="728">
      <c r="A728" s="166"/>
      <c r="B728" s="167"/>
      <c r="C728" s="129"/>
      <c r="D728" s="129"/>
      <c r="E728" s="129"/>
      <c r="F728" s="164"/>
      <c r="G728" s="164"/>
      <c r="H728" s="129"/>
      <c r="I728" s="129"/>
      <c r="J728" s="129"/>
      <c r="K728" s="126"/>
      <c r="L728" s="126"/>
      <c r="M728" s="126"/>
      <c r="N728" s="126"/>
      <c r="O728" s="164"/>
      <c r="P728" s="129"/>
      <c r="Q728" s="129"/>
      <c r="R728" s="129"/>
    </row>
    <row r="729">
      <c r="A729" s="166"/>
      <c r="B729" s="167"/>
      <c r="C729" s="129"/>
      <c r="D729" s="129"/>
      <c r="E729" s="129"/>
      <c r="F729" s="164"/>
      <c r="G729" s="164"/>
      <c r="H729" s="129"/>
      <c r="I729" s="129"/>
      <c r="J729" s="129"/>
      <c r="K729" s="126"/>
      <c r="L729" s="126"/>
      <c r="M729" s="126"/>
      <c r="N729" s="126"/>
      <c r="O729" s="164"/>
      <c r="P729" s="129"/>
      <c r="Q729" s="129"/>
      <c r="R729" s="129"/>
    </row>
    <row r="730">
      <c r="A730" s="166"/>
      <c r="B730" s="167"/>
      <c r="C730" s="129"/>
      <c r="D730" s="129"/>
      <c r="E730" s="129"/>
      <c r="F730" s="164"/>
      <c r="G730" s="164"/>
      <c r="H730" s="129"/>
      <c r="I730" s="129"/>
      <c r="J730" s="129"/>
      <c r="K730" s="126"/>
      <c r="L730" s="126"/>
      <c r="M730" s="126"/>
      <c r="N730" s="126"/>
      <c r="O730" s="164"/>
      <c r="P730" s="129"/>
      <c r="Q730" s="129"/>
      <c r="R730" s="129"/>
    </row>
    <row r="731">
      <c r="A731" s="166"/>
      <c r="B731" s="167"/>
      <c r="C731" s="129"/>
      <c r="D731" s="129"/>
      <c r="E731" s="129"/>
      <c r="F731" s="164"/>
      <c r="G731" s="164"/>
      <c r="H731" s="129"/>
      <c r="I731" s="129"/>
      <c r="J731" s="129"/>
      <c r="K731" s="126"/>
      <c r="L731" s="126"/>
      <c r="M731" s="126"/>
      <c r="N731" s="126"/>
      <c r="O731" s="164"/>
      <c r="P731" s="129"/>
      <c r="Q731" s="129"/>
      <c r="R731" s="129"/>
    </row>
    <row r="732">
      <c r="A732" s="166"/>
      <c r="B732" s="167"/>
      <c r="C732" s="129"/>
      <c r="D732" s="129"/>
      <c r="E732" s="129"/>
      <c r="F732" s="164"/>
      <c r="G732" s="164"/>
      <c r="H732" s="129"/>
      <c r="I732" s="129"/>
      <c r="J732" s="129"/>
      <c r="K732" s="126"/>
      <c r="L732" s="126"/>
      <c r="M732" s="126"/>
      <c r="N732" s="126"/>
      <c r="O732" s="164"/>
      <c r="P732" s="129"/>
      <c r="Q732" s="129"/>
      <c r="R732" s="129"/>
    </row>
    <row r="733">
      <c r="A733" s="166"/>
      <c r="B733" s="167"/>
      <c r="C733" s="129"/>
      <c r="D733" s="129"/>
      <c r="E733" s="129"/>
      <c r="F733" s="164"/>
      <c r="G733" s="164"/>
      <c r="H733" s="129"/>
      <c r="I733" s="129"/>
      <c r="J733" s="129"/>
      <c r="K733" s="126"/>
      <c r="L733" s="126"/>
      <c r="M733" s="126"/>
      <c r="N733" s="126"/>
      <c r="O733" s="164"/>
      <c r="P733" s="129"/>
      <c r="Q733" s="129"/>
      <c r="R733" s="129"/>
    </row>
    <row r="734">
      <c r="A734" s="166"/>
      <c r="B734" s="167"/>
      <c r="C734" s="129"/>
      <c r="D734" s="129"/>
      <c r="E734" s="129"/>
      <c r="F734" s="164"/>
      <c r="G734" s="164"/>
      <c r="H734" s="129"/>
      <c r="I734" s="129"/>
      <c r="J734" s="129"/>
      <c r="K734" s="126"/>
      <c r="L734" s="126"/>
      <c r="M734" s="126"/>
      <c r="N734" s="126"/>
      <c r="O734" s="164"/>
      <c r="P734" s="129"/>
      <c r="Q734" s="129"/>
      <c r="R734" s="129"/>
    </row>
    <row r="735">
      <c r="A735" s="166"/>
      <c r="B735" s="167"/>
      <c r="C735" s="129"/>
      <c r="D735" s="129"/>
      <c r="E735" s="129"/>
      <c r="F735" s="164"/>
      <c r="G735" s="164"/>
      <c r="H735" s="129"/>
      <c r="I735" s="129"/>
      <c r="J735" s="129"/>
      <c r="K735" s="126"/>
      <c r="L735" s="126"/>
      <c r="M735" s="126"/>
      <c r="N735" s="126"/>
      <c r="O735" s="164"/>
      <c r="P735" s="129"/>
      <c r="Q735" s="129"/>
      <c r="R735" s="129"/>
    </row>
    <row r="736">
      <c r="A736" s="166"/>
      <c r="B736" s="167"/>
      <c r="C736" s="129"/>
      <c r="D736" s="129"/>
      <c r="E736" s="129"/>
      <c r="F736" s="164"/>
      <c r="G736" s="164"/>
      <c r="H736" s="129"/>
      <c r="I736" s="129"/>
      <c r="J736" s="129"/>
      <c r="K736" s="126"/>
      <c r="L736" s="126"/>
      <c r="M736" s="126"/>
      <c r="N736" s="126"/>
      <c r="O736" s="164"/>
      <c r="P736" s="129"/>
      <c r="Q736" s="129"/>
      <c r="R736" s="129"/>
    </row>
    <row r="737">
      <c r="A737" s="166"/>
      <c r="B737" s="167"/>
      <c r="C737" s="129"/>
      <c r="D737" s="129"/>
      <c r="E737" s="129"/>
      <c r="F737" s="164"/>
      <c r="G737" s="164"/>
      <c r="H737" s="129"/>
      <c r="I737" s="129"/>
      <c r="J737" s="129"/>
      <c r="K737" s="126"/>
      <c r="L737" s="126"/>
      <c r="M737" s="126"/>
      <c r="N737" s="126"/>
      <c r="O737" s="164"/>
      <c r="P737" s="129"/>
      <c r="Q737" s="129"/>
      <c r="R737" s="129"/>
    </row>
    <row r="738">
      <c r="A738" s="166"/>
      <c r="B738" s="167"/>
      <c r="C738" s="129"/>
      <c r="D738" s="129"/>
      <c r="E738" s="129"/>
      <c r="F738" s="164"/>
      <c r="G738" s="164"/>
      <c r="H738" s="129"/>
      <c r="I738" s="129"/>
      <c r="J738" s="129"/>
      <c r="K738" s="126"/>
      <c r="L738" s="126"/>
      <c r="M738" s="126"/>
      <c r="N738" s="126"/>
      <c r="O738" s="164"/>
      <c r="P738" s="129"/>
      <c r="Q738" s="129"/>
      <c r="R738" s="129"/>
    </row>
    <row r="739">
      <c r="A739" s="166"/>
      <c r="B739" s="167"/>
      <c r="C739" s="129"/>
      <c r="D739" s="129"/>
      <c r="E739" s="129"/>
      <c r="F739" s="164"/>
      <c r="G739" s="164"/>
      <c r="H739" s="129"/>
      <c r="I739" s="129"/>
      <c r="J739" s="129"/>
      <c r="K739" s="126"/>
      <c r="L739" s="126"/>
      <c r="M739" s="126"/>
      <c r="N739" s="126"/>
      <c r="O739" s="164"/>
      <c r="P739" s="129"/>
      <c r="Q739" s="129"/>
      <c r="R739" s="129"/>
    </row>
    <row r="740">
      <c r="A740" s="166"/>
      <c r="B740" s="167"/>
      <c r="C740" s="129"/>
      <c r="D740" s="129"/>
      <c r="E740" s="129"/>
      <c r="F740" s="164"/>
      <c r="G740" s="164"/>
      <c r="H740" s="129"/>
      <c r="I740" s="129"/>
      <c r="J740" s="129"/>
      <c r="K740" s="126"/>
      <c r="L740" s="126"/>
      <c r="M740" s="126"/>
      <c r="N740" s="126"/>
      <c r="O740" s="164"/>
      <c r="P740" s="129"/>
      <c r="Q740" s="129"/>
      <c r="R740" s="129"/>
    </row>
    <row r="741">
      <c r="A741" s="166"/>
      <c r="B741" s="167"/>
      <c r="C741" s="129"/>
      <c r="D741" s="129"/>
      <c r="E741" s="129"/>
      <c r="F741" s="164"/>
      <c r="G741" s="164"/>
      <c r="H741" s="129"/>
      <c r="I741" s="129"/>
      <c r="J741" s="129"/>
      <c r="K741" s="126"/>
      <c r="L741" s="126"/>
      <c r="M741" s="126"/>
      <c r="N741" s="126"/>
      <c r="O741" s="164"/>
      <c r="P741" s="129"/>
      <c r="Q741" s="129"/>
      <c r="R741" s="129"/>
    </row>
    <row r="742">
      <c r="A742" s="166"/>
      <c r="B742" s="167"/>
      <c r="C742" s="129"/>
      <c r="D742" s="129"/>
      <c r="E742" s="129"/>
      <c r="F742" s="164"/>
      <c r="G742" s="164"/>
      <c r="H742" s="129"/>
      <c r="I742" s="129"/>
      <c r="J742" s="129"/>
      <c r="K742" s="126"/>
      <c r="L742" s="126"/>
      <c r="M742" s="126"/>
      <c r="N742" s="126"/>
      <c r="O742" s="164"/>
      <c r="P742" s="129"/>
      <c r="Q742" s="129"/>
      <c r="R742" s="129"/>
    </row>
    <row r="743">
      <c r="A743" s="166"/>
      <c r="B743" s="167"/>
      <c r="C743" s="129"/>
      <c r="D743" s="129"/>
      <c r="E743" s="129"/>
      <c r="F743" s="164"/>
      <c r="G743" s="164"/>
      <c r="H743" s="129"/>
      <c r="I743" s="129"/>
      <c r="J743" s="129"/>
      <c r="K743" s="126"/>
      <c r="L743" s="126"/>
      <c r="M743" s="126"/>
      <c r="N743" s="126"/>
      <c r="O743" s="164"/>
      <c r="P743" s="129"/>
      <c r="Q743" s="129"/>
      <c r="R743" s="129"/>
    </row>
    <row r="744">
      <c r="A744" s="166"/>
      <c r="B744" s="167"/>
      <c r="C744" s="129"/>
      <c r="D744" s="129"/>
      <c r="E744" s="129"/>
      <c r="F744" s="164"/>
      <c r="G744" s="164"/>
      <c r="H744" s="129"/>
      <c r="I744" s="129"/>
      <c r="J744" s="129"/>
      <c r="K744" s="126"/>
      <c r="L744" s="126"/>
      <c r="M744" s="126"/>
      <c r="N744" s="126"/>
      <c r="O744" s="164"/>
      <c r="P744" s="129"/>
      <c r="Q744" s="129"/>
      <c r="R744" s="129"/>
    </row>
    <row r="745">
      <c r="A745" s="166"/>
      <c r="B745" s="167"/>
      <c r="C745" s="129"/>
      <c r="D745" s="129"/>
      <c r="E745" s="129"/>
      <c r="F745" s="164"/>
      <c r="G745" s="164"/>
      <c r="H745" s="129"/>
      <c r="I745" s="129"/>
      <c r="J745" s="129"/>
      <c r="K745" s="126"/>
      <c r="L745" s="126"/>
      <c r="M745" s="126"/>
      <c r="N745" s="126"/>
      <c r="O745" s="164"/>
      <c r="P745" s="129"/>
      <c r="Q745" s="129"/>
      <c r="R745" s="129"/>
    </row>
    <row r="746">
      <c r="A746" s="166"/>
      <c r="B746" s="167"/>
      <c r="C746" s="129"/>
      <c r="D746" s="129"/>
      <c r="E746" s="129"/>
      <c r="F746" s="164"/>
      <c r="G746" s="164"/>
      <c r="H746" s="129"/>
      <c r="I746" s="129"/>
      <c r="J746" s="129"/>
      <c r="K746" s="126"/>
      <c r="L746" s="126"/>
      <c r="M746" s="126"/>
      <c r="N746" s="126"/>
      <c r="O746" s="164"/>
      <c r="P746" s="129"/>
      <c r="Q746" s="129"/>
      <c r="R746" s="129"/>
    </row>
    <row r="747">
      <c r="A747" s="166"/>
      <c r="B747" s="167"/>
      <c r="C747" s="129"/>
      <c r="D747" s="129"/>
      <c r="E747" s="129"/>
      <c r="F747" s="164"/>
      <c r="G747" s="164"/>
      <c r="H747" s="129"/>
      <c r="I747" s="129"/>
      <c r="J747" s="129"/>
      <c r="K747" s="126"/>
      <c r="L747" s="126"/>
      <c r="M747" s="126"/>
      <c r="N747" s="126"/>
      <c r="O747" s="164"/>
      <c r="P747" s="129"/>
      <c r="Q747" s="129"/>
      <c r="R747" s="129"/>
    </row>
    <row r="748">
      <c r="A748" s="166"/>
      <c r="B748" s="167"/>
      <c r="C748" s="129"/>
      <c r="D748" s="129"/>
      <c r="E748" s="129"/>
      <c r="F748" s="164"/>
      <c r="G748" s="164"/>
      <c r="H748" s="129"/>
      <c r="I748" s="129"/>
      <c r="J748" s="129"/>
      <c r="K748" s="126"/>
      <c r="L748" s="126"/>
      <c r="M748" s="126"/>
      <c r="N748" s="126"/>
      <c r="O748" s="164"/>
      <c r="P748" s="129"/>
      <c r="Q748" s="129"/>
      <c r="R748" s="129"/>
    </row>
    <row r="749">
      <c r="A749" s="166"/>
      <c r="B749" s="167"/>
      <c r="C749" s="129"/>
      <c r="D749" s="129"/>
      <c r="E749" s="129"/>
      <c r="F749" s="164"/>
      <c r="G749" s="164"/>
      <c r="H749" s="129"/>
      <c r="I749" s="129"/>
      <c r="J749" s="129"/>
      <c r="K749" s="126"/>
      <c r="L749" s="126"/>
      <c r="M749" s="126"/>
      <c r="N749" s="126"/>
      <c r="O749" s="164"/>
      <c r="P749" s="129"/>
      <c r="Q749" s="129"/>
      <c r="R749" s="129"/>
    </row>
    <row r="750">
      <c r="A750" s="166"/>
      <c r="B750" s="167"/>
      <c r="C750" s="129"/>
      <c r="D750" s="129"/>
      <c r="E750" s="129"/>
      <c r="F750" s="164"/>
      <c r="G750" s="164"/>
      <c r="H750" s="129"/>
      <c r="I750" s="129"/>
      <c r="J750" s="129"/>
      <c r="K750" s="126"/>
      <c r="L750" s="126"/>
      <c r="M750" s="126"/>
      <c r="N750" s="126"/>
      <c r="O750" s="164"/>
      <c r="P750" s="129"/>
      <c r="Q750" s="129"/>
      <c r="R750" s="129"/>
    </row>
    <row r="751">
      <c r="A751" s="166"/>
      <c r="B751" s="167"/>
      <c r="C751" s="129"/>
      <c r="D751" s="129"/>
      <c r="E751" s="129"/>
      <c r="F751" s="164"/>
      <c r="G751" s="164"/>
      <c r="H751" s="129"/>
      <c r="I751" s="129"/>
      <c r="J751" s="129"/>
      <c r="K751" s="126"/>
      <c r="L751" s="126"/>
      <c r="M751" s="126"/>
      <c r="N751" s="126"/>
      <c r="O751" s="164"/>
      <c r="P751" s="129"/>
      <c r="Q751" s="129"/>
      <c r="R751" s="129"/>
    </row>
    <row r="752">
      <c r="A752" s="166"/>
      <c r="B752" s="167"/>
      <c r="C752" s="129"/>
      <c r="D752" s="129"/>
      <c r="E752" s="129"/>
      <c r="F752" s="164"/>
      <c r="G752" s="164"/>
      <c r="H752" s="129"/>
      <c r="I752" s="129"/>
      <c r="J752" s="129"/>
      <c r="K752" s="126"/>
      <c r="L752" s="126"/>
      <c r="M752" s="126"/>
      <c r="N752" s="126"/>
      <c r="O752" s="164"/>
      <c r="P752" s="129"/>
      <c r="Q752" s="129"/>
      <c r="R752" s="129"/>
    </row>
    <row r="753">
      <c r="A753" s="166"/>
      <c r="B753" s="167"/>
      <c r="C753" s="129"/>
      <c r="D753" s="129"/>
      <c r="E753" s="129"/>
      <c r="F753" s="164"/>
      <c r="G753" s="164"/>
      <c r="H753" s="129"/>
      <c r="I753" s="129"/>
      <c r="J753" s="129"/>
      <c r="K753" s="126"/>
      <c r="L753" s="126"/>
      <c r="M753" s="126"/>
      <c r="N753" s="126"/>
      <c r="O753" s="164"/>
      <c r="P753" s="129"/>
      <c r="Q753" s="129"/>
      <c r="R753" s="129"/>
    </row>
    <row r="754">
      <c r="A754" s="166"/>
      <c r="B754" s="167"/>
      <c r="C754" s="129"/>
      <c r="D754" s="129"/>
      <c r="E754" s="129"/>
      <c r="F754" s="164"/>
      <c r="G754" s="164"/>
      <c r="H754" s="129"/>
      <c r="I754" s="129"/>
      <c r="J754" s="129"/>
      <c r="K754" s="126"/>
      <c r="L754" s="126"/>
      <c r="M754" s="126"/>
      <c r="N754" s="126"/>
      <c r="O754" s="164"/>
      <c r="P754" s="129"/>
      <c r="Q754" s="129"/>
      <c r="R754" s="129"/>
    </row>
    <row r="755">
      <c r="A755" s="166"/>
      <c r="B755" s="167"/>
      <c r="C755" s="129"/>
      <c r="D755" s="129"/>
      <c r="E755" s="129"/>
      <c r="F755" s="164"/>
      <c r="G755" s="164"/>
      <c r="H755" s="129"/>
      <c r="I755" s="129"/>
      <c r="J755" s="129"/>
      <c r="K755" s="126"/>
      <c r="L755" s="126"/>
      <c r="M755" s="126"/>
      <c r="N755" s="126"/>
      <c r="O755" s="164"/>
      <c r="P755" s="129"/>
      <c r="Q755" s="129"/>
      <c r="R755" s="129"/>
    </row>
    <row r="756">
      <c r="A756" s="166"/>
      <c r="B756" s="167"/>
      <c r="C756" s="129"/>
      <c r="D756" s="129"/>
      <c r="E756" s="129"/>
      <c r="F756" s="164"/>
      <c r="G756" s="164"/>
      <c r="H756" s="129"/>
      <c r="I756" s="129"/>
      <c r="J756" s="129"/>
      <c r="K756" s="126"/>
      <c r="L756" s="126"/>
      <c r="M756" s="126"/>
      <c r="N756" s="126"/>
      <c r="O756" s="164"/>
      <c r="P756" s="129"/>
      <c r="Q756" s="129"/>
      <c r="R756" s="129"/>
    </row>
    <row r="757">
      <c r="A757" s="166"/>
      <c r="B757" s="167"/>
      <c r="C757" s="129"/>
      <c r="D757" s="129"/>
      <c r="E757" s="129"/>
      <c r="F757" s="164"/>
      <c r="G757" s="164"/>
      <c r="H757" s="129"/>
      <c r="I757" s="129"/>
      <c r="J757" s="129"/>
      <c r="K757" s="126"/>
      <c r="L757" s="126"/>
      <c r="M757" s="126"/>
      <c r="N757" s="126"/>
      <c r="O757" s="164"/>
      <c r="P757" s="129"/>
      <c r="Q757" s="129"/>
      <c r="R757" s="129"/>
    </row>
    <row r="758">
      <c r="A758" s="166"/>
      <c r="B758" s="167"/>
      <c r="C758" s="129"/>
      <c r="D758" s="129"/>
      <c r="E758" s="129"/>
      <c r="F758" s="164"/>
      <c r="G758" s="164"/>
      <c r="H758" s="129"/>
      <c r="I758" s="129"/>
      <c r="J758" s="129"/>
      <c r="K758" s="126"/>
      <c r="L758" s="126"/>
      <c r="M758" s="126"/>
      <c r="N758" s="126"/>
      <c r="O758" s="164"/>
      <c r="P758" s="129"/>
      <c r="Q758" s="129"/>
      <c r="R758" s="129"/>
    </row>
    <row r="759">
      <c r="A759" s="166"/>
      <c r="B759" s="167"/>
      <c r="C759" s="129"/>
      <c r="D759" s="129"/>
      <c r="E759" s="129"/>
      <c r="F759" s="164"/>
      <c r="G759" s="164"/>
      <c r="H759" s="129"/>
      <c r="I759" s="129"/>
      <c r="J759" s="129"/>
      <c r="K759" s="126"/>
      <c r="L759" s="126"/>
      <c r="M759" s="126"/>
      <c r="N759" s="126"/>
      <c r="O759" s="164"/>
      <c r="P759" s="129"/>
      <c r="Q759" s="129"/>
      <c r="R759" s="129"/>
    </row>
    <row r="760">
      <c r="A760" s="166"/>
      <c r="B760" s="167"/>
      <c r="C760" s="129"/>
      <c r="D760" s="129"/>
      <c r="E760" s="129"/>
      <c r="F760" s="164"/>
      <c r="G760" s="164"/>
      <c r="H760" s="129"/>
      <c r="I760" s="129"/>
      <c r="J760" s="129"/>
      <c r="K760" s="126"/>
      <c r="L760" s="126"/>
      <c r="M760" s="126"/>
      <c r="N760" s="126"/>
      <c r="O760" s="164"/>
      <c r="P760" s="129"/>
      <c r="Q760" s="129"/>
      <c r="R760" s="129"/>
    </row>
    <row r="761">
      <c r="A761" s="166"/>
      <c r="B761" s="167"/>
      <c r="C761" s="129"/>
      <c r="D761" s="129"/>
      <c r="E761" s="129"/>
      <c r="F761" s="164"/>
      <c r="G761" s="164"/>
      <c r="H761" s="129"/>
      <c r="I761" s="129"/>
      <c r="J761" s="129"/>
      <c r="K761" s="126"/>
      <c r="L761" s="126"/>
      <c r="M761" s="126"/>
      <c r="N761" s="126"/>
      <c r="O761" s="164"/>
      <c r="P761" s="129"/>
      <c r="Q761" s="129"/>
      <c r="R761" s="129"/>
    </row>
    <row r="762">
      <c r="A762" s="166"/>
      <c r="B762" s="167"/>
      <c r="C762" s="129"/>
      <c r="D762" s="129"/>
      <c r="E762" s="129"/>
      <c r="F762" s="164"/>
      <c r="G762" s="164"/>
      <c r="H762" s="129"/>
      <c r="I762" s="129"/>
      <c r="J762" s="129"/>
      <c r="K762" s="126"/>
      <c r="L762" s="126"/>
      <c r="M762" s="126"/>
      <c r="N762" s="126"/>
      <c r="O762" s="164"/>
      <c r="P762" s="129"/>
      <c r="Q762" s="129"/>
      <c r="R762" s="129"/>
    </row>
    <row r="763">
      <c r="A763" s="166"/>
      <c r="B763" s="167"/>
      <c r="C763" s="129"/>
      <c r="D763" s="129"/>
      <c r="E763" s="129"/>
      <c r="F763" s="164"/>
      <c r="G763" s="164"/>
      <c r="H763" s="129"/>
      <c r="I763" s="129"/>
      <c r="J763" s="129"/>
      <c r="K763" s="126"/>
      <c r="L763" s="126"/>
      <c r="M763" s="126"/>
      <c r="N763" s="126"/>
      <c r="O763" s="164"/>
      <c r="P763" s="129"/>
      <c r="Q763" s="129"/>
      <c r="R763" s="129"/>
    </row>
    <row r="764">
      <c r="A764" s="166"/>
      <c r="B764" s="167"/>
      <c r="C764" s="129"/>
      <c r="D764" s="129"/>
      <c r="E764" s="129"/>
      <c r="F764" s="164"/>
      <c r="G764" s="164"/>
      <c r="H764" s="129"/>
      <c r="I764" s="129"/>
      <c r="J764" s="129"/>
      <c r="K764" s="126"/>
      <c r="L764" s="126"/>
      <c r="M764" s="126"/>
      <c r="N764" s="126"/>
      <c r="O764" s="164"/>
      <c r="P764" s="129"/>
      <c r="Q764" s="129"/>
      <c r="R764" s="129"/>
    </row>
    <row r="765">
      <c r="A765" s="166"/>
      <c r="B765" s="167"/>
      <c r="C765" s="129"/>
      <c r="D765" s="129"/>
      <c r="E765" s="129"/>
      <c r="F765" s="164"/>
      <c r="G765" s="164"/>
      <c r="H765" s="129"/>
      <c r="I765" s="129"/>
      <c r="J765" s="129"/>
      <c r="K765" s="126"/>
      <c r="L765" s="126"/>
      <c r="M765" s="126"/>
      <c r="N765" s="126"/>
      <c r="O765" s="164"/>
      <c r="P765" s="129"/>
      <c r="Q765" s="129"/>
      <c r="R765" s="129"/>
    </row>
    <row r="766">
      <c r="A766" s="166"/>
      <c r="B766" s="167"/>
      <c r="C766" s="129"/>
      <c r="D766" s="129"/>
      <c r="E766" s="129"/>
      <c r="F766" s="164"/>
      <c r="G766" s="164"/>
      <c r="H766" s="129"/>
      <c r="I766" s="129"/>
      <c r="J766" s="129"/>
      <c r="K766" s="126"/>
      <c r="L766" s="126"/>
      <c r="M766" s="126"/>
      <c r="N766" s="126"/>
      <c r="O766" s="164"/>
      <c r="P766" s="129"/>
      <c r="Q766" s="129"/>
      <c r="R766" s="129"/>
    </row>
    <row r="767">
      <c r="A767" s="166"/>
      <c r="B767" s="167"/>
      <c r="C767" s="129"/>
      <c r="D767" s="129"/>
      <c r="E767" s="129"/>
      <c r="F767" s="164"/>
      <c r="G767" s="164"/>
      <c r="H767" s="129"/>
      <c r="I767" s="129"/>
      <c r="J767" s="129"/>
      <c r="K767" s="126"/>
      <c r="L767" s="126"/>
      <c r="M767" s="126"/>
      <c r="N767" s="126"/>
      <c r="O767" s="164"/>
      <c r="P767" s="129"/>
      <c r="Q767" s="129"/>
      <c r="R767" s="129"/>
    </row>
    <row r="768">
      <c r="A768" s="166"/>
      <c r="B768" s="167"/>
      <c r="C768" s="129"/>
      <c r="D768" s="129"/>
      <c r="E768" s="129"/>
      <c r="F768" s="164"/>
      <c r="G768" s="164"/>
      <c r="H768" s="129"/>
      <c r="I768" s="129"/>
      <c r="J768" s="129"/>
      <c r="K768" s="126"/>
      <c r="L768" s="126"/>
      <c r="M768" s="126"/>
      <c r="N768" s="126"/>
      <c r="O768" s="164"/>
      <c r="P768" s="129"/>
      <c r="Q768" s="129"/>
      <c r="R768" s="129"/>
    </row>
    <row r="769">
      <c r="A769" s="166"/>
      <c r="B769" s="167"/>
      <c r="C769" s="129"/>
      <c r="D769" s="129"/>
      <c r="E769" s="129"/>
      <c r="F769" s="164"/>
      <c r="G769" s="164"/>
      <c r="H769" s="129"/>
      <c r="I769" s="129"/>
      <c r="J769" s="129"/>
      <c r="K769" s="126"/>
      <c r="L769" s="126"/>
      <c r="M769" s="126"/>
      <c r="N769" s="126"/>
      <c r="O769" s="164"/>
      <c r="P769" s="129"/>
      <c r="Q769" s="129"/>
      <c r="R769" s="129"/>
    </row>
    <row r="770">
      <c r="A770" s="166"/>
      <c r="B770" s="167"/>
      <c r="C770" s="129"/>
      <c r="D770" s="129"/>
      <c r="E770" s="129"/>
      <c r="F770" s="164"/>
      <c r="G770" s="164"/>
      <c r="H770" s="129"/>
      <c r="I770" s="129"/>
      <c r="J770" s="129"/>
      <c r="K770" s="126"/>
      <c r="L770" s="126"/>
      <c r="M770" s="126"/>
      <c r="N770" s="126"/>
      <c r="O770" s="164"/>
      <c r="P770" s="129"/>
      <c r="Q770" s="129"/>
      <c r="R770" s="129"/>
    </row>
    <row r="771">
      <c r="A771" s="166"/>
      <c r="B771" s="167"/>
      <c r="C771" s="129"/>
      <c r="D771" s="129"/>
      <c r="E771" s="129"/>
      <c r="F771" s="164"/>
      <c r="G771" s="164"/>
      <c r="H771" s="129"/>
      <c r="I771" s="129"/>
      <c r="J771" s="129"/>
      <c r="K771" s="126"/>
      <c r="L771" s="126"/>
      <c r="M771" s="126"/>
      <c r="N771" s="126"/>
      <c r="O771" s="164"/>
      <c r="P771" s="129"/>
      <c r="Q771" s="129"/>
      <c r="R771" s="129"/>
    </row>
    <row r="772">
      <c r="A772" s="166"/>
      <c r="B772" s="167"/>
      <c r="C772" s="129"/>
      <c r="D772" s="129"/>
      <c r="E772" s="129"/>
      <c r="F772" s="164"/>
      <c r="G772" s="164"/>
      <c r="H772" s="129"/>
      <c r="I772" s="129"/>
      <c r="J772" s="129"/>
      <c r="K772" s="126"/>
      <c r="L772" s="126"/>
      <c r="M772" s="126"/>
      <c r="N772" s="126"/>
      <c r="O772" s="164"/>
      <c r="P772" s="129"/>
      <c r="Q772" s="129"/>
      <c r="R772" s="129"/>
    </row>
    <row r="773">
      <c r="A773" s="166"/>
      <c r="B773" s="167"/>
      <c r="C773" s="129"/>
      <c r="D773" s="129"/>
      <c r="E773" s="129"/>
      <c r="F773" s="164"/>
      <c r="G773" s="164"/>
      <c r="H773" s="129"/>
      <c r="I773" s="129"/>
      <c r="J773" s="129"/>
      <c r="K773" s="126"/>
      <c r="L773" s="126"/>
      <c r="M773" s="126"/>
      <c r="N773" s="126"/>
      <c r="O773" s="164"/>
      <c r="P773" s="129"/>
      <c r="Q773" s="129"/>
      <c r="R773" s="129"/>
    </row>
    <row r="774">
      <c r="A774" s="166"/>
      <c r="B774" s="167"/>
      <c r="C774" s="129"/>
      <c r="D774" s="129"/>
      <c r="E774" s="129"/>
      <c r="F774" s="164"/>
      <c r="G774" s="164"/>
      <c r="H774" s="129"/>
      <c r="I774" s="129"/>
      <c r="J774" s="129"/>
      <c r="K774" s="126"/>
      <c r="L774" s="126"/>
      <c r="M774" s="126"/>
      <c r="N774" s="126"/>
      <c r="O774" s="164"/>
      <c r="P774" s="129"/>
      <c r="Q774" s="129"/>
      <c r="R774" s="129"/>
    </row>
    <row r="775">
      <c r="A775" s="166"/>
      <c r="B775" s="167"/>
      <c r="C775" s="129"/>
      <c r="D775" s="129"/>
      <c r="E775" s="129"/>
      <c r="F775" s="164"/>
      <c r="G775" s="164"/>
      <c r="H775" s="129"/>
      <c r="I775" s="129"/>
      <c r="J775" s="129"/>
      <c r="K775" s="126"/>
      <c r="L775" s="126"/>
      <c r="M775" s="126"/>
      <c r="N775" s="126"/>
      <c r="O775" s="164"/>
      <c r="P775" s="129"/>
      <c r="Q775" s="129"/>
      <c r="R775" s="129"/>
    </row>
    <row r="776">
      <c r="A776" s="166"/>
      <c r="B776" s="167"/>
      <c r="C776" s="129"/>
      <c r="D776" s="129"/>
      <c r="E776" s="129"/>
      <c r="F776" s="164"/>
      <c r="G776" s="164"/>
      <c r="H776" s="129"/>
      <c r="I776" s="129"/>
      <c r="J776" s="129"/>
      <c r="K776" s="126"/>
      <c r="L776" s="126"/>
      <c r="M776" s="126"/>
      <c r="N776" s="126"/>
      <c r="O776" s="164"/>
      <c r="P776" s="129"/>
      <c r="Q776" s="129"/>
      <c r="R776" s="129"/>
    </row>
    <row r="777">
      <c r="A777" s="166"/>
      <c r="B777" s="167"/>
      <c r="C777" s="129"/>
      <c r="D777" s="129"/>
      <c r="E777" s="129"/>
      <c r="F777" s="164"/>
      <c r="G777" s="164"/>
      <c r="H777" s="129"/>
      <c r="I777" s="129"/>
      <c r="J777" s="129"/>
      <c r="K777" s="126"/>
      <c r="L777" s="126"/>
      <c r="M777" s="126"/>
      <c r="N777" s="126"/>
      <c r="O777" s="164"/>
      <c r="P777" s="129"/>
      <c r="Q777" s="129"/>
      <c r="R777" s="129"/>
    </row>
    <row r="778">
      <c r="A778" s="166"/>
      <c r="B778" s="167"/>
      <c r="C778" s="129"/>
      <c r="D778" s="129"/>
      <c r="E778" s="129"/>
      <c r="F778" s="164"/>
      <c r="G778" s="164"/>
      <c r="H778" s="129"/>
      <c r="I778" s="129"/>
      <c r="J778" s="129"/>
      <c r="K778" s="126"/>
      <c r="L778" s="126"/>
      <c r="M778" s="126"/>
      <c r="N778" s="126"/>
      <c r="O778" s="164"/>
      <c r="P778" s="129"/>
      <c r="Q778" s="129"/>
      <c r="R778" s="129"/>
    </row>
    <row r="779">
      <c r="A779" s="166"/>
      <c r="B779" s="167"/>
      <c r="C779" s="129"/>
      <c r="D779" s="129"/>
      <c r="E779" s="129"/>
      <c r="F779" s="164"/>
      <c r="G779" s="164"/>
      <c r="H779" s="129"/>
      <c r="I779" s="129"/>
      <c r="J779" s="129"/>
      <c r="K779" s="126"/>
      <c r="L779" s="126"/>
      <c r="M779" s="126"/>
      <c r="N779" s="126"/>
      <c r="O779" s="164"/>
      <c r="P779" s="129"/>
      <c r="Q779" s="129"/>
      <c r="R779" s="129"/>
    </row>
    <row r="780">
      <c r="A780" s="166"/>
      <c r="B780" s="167"/>
      <c r="C780" s="129"/>
      <c r="D780" s="129"/>
      <c r="E780" s="129"/>
      <c r="F780" s="164"/>
      <c r="G780" s="164"/>
      <c r="H780" s="129"/>
      <c r="I780" s="129"/>
      <c r="J780" s="129"/>
      <c r="K780" s="126"/>
      <c r="L780" s="126"/>
      <c r="M780" s="126"/>
      <c r="N780" s="126"/>
      <c r="O780" s="164"/>
      <c r="P780" s="129"/>
      <c r="Q780" s="129"/>
      <c r="R780" s="129"/>
    </row>
    <row r="781">
      <c r="A781" s="166"/>
      <c r="B781" s="167"/>
      <c r="C781" s="129"/>
      <c r="D781" s="129"/>
      <c r="E781" s="129"/>
      <c r="F781" s="164"/>
      <c r="G781" s="164"/>
      <c r="H781" s="129"/>
      <c r="I781" s="129"/>
      <c r="J781" s="129"/>
      <c r="K781" s="126"/>
      <c r="L781" s="126"/>
      <c r="M781" s="126"/>
      <c r="N781" s="126"/>
      <c r="O781" s="164"/>
      <c r="P781" s="129"/>
      <c r="Q781" s="129"/>
      <c r="R781" s="129"/>
    </row>
    <row r="782">
      <c r="A782" s="166"/>
      <c r="B782" s="167"/>
      <c r="C782" s="129"/>
      <c r="D782" s="129"/>
      <c r="E782" s="129"/>
      <c r="F782" s="164"/>
      <c r="G782" s="164"/>
      <c r="H782" s="129"/>
      <c r="I782" s="129"/>
      <c r="J782" s="129"/>
      <c r="K782" s="126"/>
      <c r="L782" s="126"/>
      <c r="M782" s="126"/>
      <c r="N782" s="126"/>
      <c r="O782" s="164"/>
      <c r="P782" s="129"/>
      <c r="Q782" s="129"/>
      <c r="R782" s="129"/>
    </row>
    <row r="783">
      <c r="A783" s="166"/>
      <c r="B783" s="167"/>
      <c r="C783" s="129"/>
      <c r="D783" s="129"/>
      <c r="E783" s="129"/>
      <c r="F783" s="164"/>
      <c r="G783" s="164"/>
      <c r="H783" s="129"/>
      <c r="I783" s="129"/>
      <c r="J783" s="129"/>
      <c r="K783" s="126"/>
      <c r="L783" s="126"/>
      <c r="M783" s="126"/>
      <c r="N783" s="126"/>
      <c r="O783" s="164"/>
      <c r="P783" s="129"/>
      <c r="Q783" s="129"/>
      <c r="R783" s="129"/>
    </row>
    <row r="784">
      <c r="A784" s="166"/>
      <c r="B784" s="167"/>
      <c r="C784" s="129"/>
      <c r="D784" s="129"/>
      <c r="E784" s="129"/>
      <c r="F784" s="164"/>
      <c r="G784" s="164"/>
      <c r="H784" s="129"/>
      <c r="I784" s="129"/>
      <c r="J784" s="129"/>
      <c r="K784" s="126"/>
      <c r="L784" s="126"/>
      <c r="M784" s="126"/>
      <c r="N784" s="126"/>
      <c r="O784" s="164"/>
      <c r="P784" s="129"/>
      <c r="Q784" s="129"/>
      <c r="R784" s="129"/>
    </row>
    <row r="785">
      <c r="A785" s="166"/>
      <c r="B785" s="167"/>
      <c r="C785" s="129"/>
      <c r="D785" s="129"/>
      <c r="E785" s="129"/>
      <c r="F785" s="164"/>
      <c r="G785" s="164"/>
      <c r="H785" s="129"/>
      <c r="I785" s="129"/>
      <c r="J785" s="129"/>
      <c r="K785" s="126"/>
      <c r="L785" s="126"/>
      <c r="M785" s="126"/>
      <c r="N785" s="126"/>
      <c r="O785" s="164"/>
      <c r="P785" s="129"/>
      <c r="Q785" s="129"/>
      <c r="R785" s="129"/>
    </row>
    <row r="786">
      <c r="A786" s="166"/>
      <c r="B786" s="167"/>
      <c r="C786" s="129"/>
      <c r="D786" s="129"/>
      <c r="E786" s="129"/>
      <c r="F786" s="164"/>
      <c r="G786" s="164"/>
      <c r="H786" s="129"/>
      <c r="I786" s="129"/>
      <c r="J786" s="129"/>
      <c r="K786" s="126"/>
      <c r="L786" s="126"/>
      <c r="M786" s="126"/>
      <c r="N786" s="126"/>
      <c r="O786" s="164"/>
      <c r="P786" s="129"/>
      <c r="Q786" s="129"/>
      <c r="R786" s="129"/>
    </row>
    <row r="787">
      <c r="A787" s="166"/>
      <c r="B787" s="167"/>
      <c r="C787" s="129"/>
      <c r="D787" s="129"/>
      <c r="E787" s="129"/>
      <c r="F787" s="164"/>
      <c r="G787" s="164"/>
      <c r="H787" s="129"/>
      <c r="I787" s="129"/>
      <c r="J787" s="129"/>
      <c r="K787" s="126"/>
      <c r="L787" s="126"/>
      <c r="M787" s="126"/>
      <c r="N787" s="126"/>
      <c r="O787" s="164"/>
      <c r="P787" s="129"/>
      <c r="Q787" s="129"/>
      <c r="R787" s="129"/>
    </row>
    <row r="788">
      <c r="A788" s="166"/>
      <c r="B788" s="167"/>
      <c r="C788" s="129"/>
      <c r="D788" s="129"/>
      <c r="E788" s="129"/>
      <c r="F788" s="164"/>
      <c r="G788" s="164"/>
      <c r="H788" s="129"/>
      <c r="I788" s="129"/>
      <c r="J788" s="129"/>
      <c r="K788" s="126"/>
      <c r="L788" s="126"/>
      <c r="M788" s="126"/>
      <c r="N788" s="126"/>
      <c r="O788" s="164"/>
      <c r="P788" s="129"/>
      <c r="Q788" s="129"/>
      <c r="R788" s="129"/>
    </row>
    <row r="789">
      <c r="A789" s="166"/>
      <c r="B789" s="167"/>
      <c r="C789" s="129"/>
      <c r="D789" s="129"/>
      <c r="E789" s="129"/>
      <c r="F789" s="164"/>
      <c r="G789" s="164"/>
      <c r="H789" s="129"/>
      <c r="I789" s="129"/>
      <c r="J789" s="129"/>
      <c r="K789" s="126"/>
      <c r="L789" s="126"/>
      <c r="M789" s="126"/>
      <c r="N789" s="126"/>
      <c r="O789" s="164"/>
      <c r="P789" s="129"/>
      <c r="Q789" s="129"/>
      <c r="R789" s="129"/>
    </row>
    <row r="790">
      <c r="A790" s="166"/>
      <c r="B790" s="167"/>
      <c r="C790" s="129"/>
      <c r="D790" s="129"/>
      <c r="E790" s="129"/>
      <c r="F790" s="164"/>
      <c r="G790" s="164"/>
      <c r="H790" s="129"/>
      <c r="I790" s="129"/>
      <c r="J790" s="129"/>
      <c r="K790" s="126"/>
      <c r="L790" s="126"/>
      <c r="M790" s="126"/>
      <c r="N790" s="126"/>
      <c r="O790" s="164"/>
      <c r="P790" s="129"/>
      <c r="Q790" s="129"/>
      <c r="R790" s="129"/>
    </row>
    <row r="791">
      <c r="A791" s="166"/>
      <c r="B791" s="167"/>
      <c r="C791" s="129"/>
      <c r="D791" s="129"/>
      <c r="E791" s="129"/>
      <c r="F791" s="164"/>
      <c r="G791" s="164"/>
      <c r="H791" s="129"/>
      <c r="I791" s="129"/>
      <c r="J791" s="129"/>
      <c r="K791" s="126"/>
      <c r="L791" s="126"/>
      <c r="M791" s="126"/>
      <c r="N791" s="126"/>
      <c r="O791" s="164"/>
      <c r="P791" s="129"/>
      <c r="Q791" s="129"/>
      <c r="R791" s="129"/>
    </row>
    <row r="792">
      <c r="A792" s="166"/>
      <c r="B792" s="167"/>
      <c r="C792" s="129"/>
      <c r="D792" s="129"/>
      <c r="E792" s="129"/>
      <c r="F792" s="164"/>
      <c r="G792" s="164"/>
      <c r="H792" s="129"/>
      <c r="I792" s="129"/>
      <c r="J792" s="129"/>
      <c r="K792" s="126"/>
      <c r="L792" s="126"/>
      <c r="M792" s="126"/>
      <c r="N792" s="126"/>
      <c r="O792" s="164"/>
      <c r="P792" s="129"/>
      <c r="Q792" s="129"/>
      <c r="R792" s="129"/>
    </row>
    <row r="793">
      <c r="A793" s="166"/>
      <c r="B793" s="167"/>
      <c r="C793" s="129"/>
      <c r="D793" s="129"/>
      <c r="E793" s="129"/>
      <c r="F793" s="164"/>
      <c r="G793" s="164"/>
      <c r="H793" s="129"/>
      <c r="I793" s="129"/>
      <c r="J793" s="129"/>
      <c r="K793" s="126"/>
      <c r="L793" s="126"/>
      <c r="M793" s="126"/>
      <c r="N793" s="126"/>
      <c r="O793" s="164"/>
      <c r="P793" s="129"/>
      <c r="Q793" s="129"/>
      <c r="R793" s="129"/>
    </row>
    <row r="794">
      <c r="A794" s="166"/>
      <c r="B794" s="167"/>
      <c r="C794" s="129"/>
      <c r="D794" s="129"/>
      <c r="E794" s="129"/>
      <c r="F794" s="164"/>
      <c r="G794" s="164"/>
      <c r="H794" s="129"/>
      <c r="I794" s="129"/>
      <c r="J794" s="129"/>
      <c r="K794" s="126"/>
      <c r="L794" s="126"/>
      <c r="M794" s="126"/>
      <c r="N794" s="126"/>
      <c r="O794" s="164"/>
      <c r="P794" s="129"/>
      <c r="Q794" s="129"/>
      <c r="R794" s="129"/>
    </row>
    <row r="795">
      <c r="A795" s="166"/>
      <c r="B795" s="167"/>
      <c r="C795" s="129"/>
      <c r="D795" s="129"/>
      <c r="E795" s="129"/>
      <c r="F795" s="164"/>
      <c r="G795" s="164"/>
      <c r="H795" s="129"/>
      <c r="I795" s="129"/>
      <c r="J795" s="129"/>
      <c r="K795" s="126"/>
      <c r="L795" s="126"/>
      <c r="M795" s="126"/>
      <c r="N795" s="126"/>
      <c r="O795" s="164"/>
      <c r="P795" s="129"/>
      <c r="Q795" s="129"/>
      <c r="R795" s="129"/>
    </row>
    <row r="796">
      <c r="A796" s="166"/>
      <c r="B796" s="167"/>
      <c r="C796" s="129"/>
      <c r="D796" s="129"/>
      <c r="E796" s="129"/>
      <c r="F796" s="164"/>
      <c r="G796" s="164"/>
      <c r="H796" s="129"/>
      <c r="I796" s="129"/>
      <c r="J796" s="129"/>
      <c r="K796" s="126"/>
      <c r="L796" s="126"/>
      <c r="M796" s="126"/>
      <c r="N796" s="126"/>
      <c r="O796" s="164"/>
      <c r="P796" s="129"/>
      <c r="Q796" s="129"/>
      <c r="R796" s="129"/>
    </row>
    <row r="797">
      <c r="A797" s="166"/>
      <c r="B797" s="167"/>
      <c r="C797" s="129"/>
      <c r="D797" s="129"/>
      <c r="E797" s="129"/>
      <c r="F797" s="164"/>
      <c r="G797" s="164"/>
      <c r="H797" s="129"/>
      <c r="I797" s="129"/>
      <c r="J797" s="129"/>
      <c r="K797" s="126"/>
      <c r="L797" s="126"/>
      <c r="M797" s="126"/>
      <c r="N797" s="126"/>
      <c r="O797" s="164"/>
      <c r="P797" s="129"/>
      <c r="Q797" s="129"/>
      <c r="R797" s="129"/>
    </row>
    <row r="798">
      <c r="A798" s="166"/>
      <c r="B798" s="167"/>
      <c r="C798" s="129"/>
      <c r="D798" s="129"/>
      <c r="E798" s="129"/>
      <c r="F798" s="164"/>
      <c r="G798" s="164"/>
      <c r="H798" s="129"/>
      <c r="I798" s="129"/>
      <c r="J798" s="129"/>
      <c r="K798" s="126"/>
      <c r="L798" s="126"/>
      <c r="M798" s="126"/>
      <c r="N798" s="126"/>
      <c r="O798" s="164"/>
      <c r="P798" s="129"/>
      <c r="Q798" s="129"/>
      <c r="R798" s="129"/>
    </row>
    <row r="799">
      <c r="A799" s="166"/>
      <c r="B799" s="167"/>
      <c r="C799" s="129"/>
      <c r="D799" s="129"/>
      <c r="E799" s="129"/>
      <c r="F799" s="164"/>
      <c r="G799" s="164"/>
      <c r="H799" s="129"/>
      <c r="I799" s="129"/>
      <c r="J799" s="129"/>
      <c r="K799" s="126"/>
      <c r="L799" s="126"/>
      <c r="M799" s="126"/>
      <c r="N799" s="126"/>
      <c r="O799" s="164"/>
      <c r="P799" s="129"/>
      <c r="Q799" s="129"/>
      <c r="R799" s="129"/>
    </row>
    <row r="800">
      <c r="A800" s="166"/>
      <c r="B800" s="167"/>
      <c r="C800" s="129"/>
      <c r="D800" s="129"/>
      <c r="E800" s="129"/>
      <c r="F800" s="164"/>
      <c r="G800" s="164"/>
      <c r="H800" s="129"/>
      <c r="I800" s="129"/>
      <c r="J800" s="129"/>
      <c r="K800" s="126"/>
      <c r="L800" s="126"/>
      <c r="M800" s="126"/>
      <c r="N800" s="126"/>
      <c r="O800" s="164"/>
      <c r="P800" s="129"/>
      <c r="Q800" s="129"/>
      <c r="R800" s="129"/>
    </row>
    <row r="801">
      <c r="A801" s="166"/>
      <c r="B801" s="167"/>
      <c r="C801" s="129"/>
      <c r="D801" s="129"/>
      <c r="E801" s="129"/>
      <c r="F801" s="164"/>
      <c r="G801" s="164"/>
      <c r="H801" s="129"/>
      <c r="I801" s="129"/>
      <c r="J801" s="129"/>
      <c r="K801" s="126"/>
      <c r="L801" s="126"/>
      <c r="M801" s="126"/>
      <c r="N801" s="126"/>
      <c r="O801" s="164"/>
      <c r="P801" s="129"/>
      <c r="Q801" s="129"/>
      <c r="R801" s="129"/>
    </row>
    <row r="802">
      <c r="A802" s="166"/>
      <c r="B802" s="167"/>
      <c r="C802" s="129"/>
      <c r="D802" s="129"/>
      <c r="E802" s="129"/>
      <c r="F802" s="164"/>
      <c r="G802" s="164"/>
      <c r="H802" s="129"/>
      <c r="I802" s="129"/>
      <c r="J802" s="129"/>
      <c r="K802" s="126"/>
      <c r="L802" s="126"/>
      <c r="M802" s="126"/>
      <c r="N802" s="126"/>
      <c r="O802" s="164"/>
      <c r="P802" s="129"/>
      <c r="Q802" s="129"/>
      <c r="R802" s="129"/>
    </row>
    <row r="803">
      <c r="A803" s="166"/>
      <c r="B803" s="167"/>
      <c r="C803" s="129"/>
      <c r="D803" s="129"/>
      <c r="E803" s="129"/>
      <c r="F803" s="164"/>
      <c r="G803" s="164"/>
      <c r="H803" s="129"/>
      <c r="I803" s="129"/>
      <c r="J803" s="129"/>
      <c r="K803" s="126"/>
      <c r="L803" s="126"/>
      <c r="M803" s="126"/>
      <c r="N803" s="126"/>
      <c r="O803" s="164"/>
      <c r="P803" s="129"/>
      <c r="Q803" s="129"/>
      <c r="R803" s="129"/>
    </row>
    <row r="804">
      <c r="A804" s="166"/>
      <c r="B804" s="167"/>
      <c r="C804" s="129"/>
      <c r="D804" s="129"/>
      <c r="E804" s="129"/>
      <c r="F804" s="164"/>
      <c r="G804" s="164"/>
      <c r="H804" s="129"/>
      <c r="I804" s="129"/>
      <c r="J804" s="129"/>
      <c r="K804" s="126"/>
      <c r="L804" s="126"/>
      <c r="M804" s="126"/>
      <c r="N804" s="126"/>
      <c r="O804" s="164"/>
      <c r="P804" s="129"/>
      <c r="Q804" s="129"/>
      <c r="R804" s="129"/>
    </row>
    <row r="805">
      <c r="A805" s="166"/>
      <c r="B805" s="167"/>
      <c r="C805" s="129"/>
      <c r="D805" s="129"/>
      <c r="E805" s="129"/>
      <c r="F805" s="164"/>
      <c r="G805" s="164"/>
      <c r="H805" s="129"/>
      <c r="I805" s="129"/>
      <c r="J805" s="129"/>
      <c r="K805" s="126"/>
      <c r="L805" s="126"/>
      <c r="M805" s="126"/>
      <c r="N805" s="126"/>
      <c r="O805" s="164"/>
      <c r="P805" s="129"/>
      <c r="Q805" s="129"/>
      <c r="R805" s="129"/>
    </row>
    <row r="806">
      <c r="A806" s="166"/>
      <c r="B806" s="167"/>
      <c r="C806" s="129"/>
      <c r="D806" s="129"/>
      <c r="E806" s="129"/>
      <c r="F806" s="164"/>
      <c r="G806" s="164"/>
      <c r="H806" s="129"/>
      <c r="I806" s="129"/>
      <c r="J806" s="129"/>
      <c r="K806" s="126"/>
      <c r="L806" s="126"/>
      <c r="M806" s="126"/>
      <c r="N806" s="126"/>
      <c r="O806" s="164"/>
      <c r="P806" s="129"/>
      <c r="Q806" s="129"/>
      <c r="R806" s="129"/>
    </row>
    <row r="807">
      <c r="A807" s="166"/>
      <c r="B807" s="167"/>
      <c r="C807" s="129"/>
      <c r="D807" s="129"/>
      <c r="E807" s="129"/>
      <c r="F807" s="164"/>
      <c r="G807" s="164"/>
      <c r="H807" s="129"/>
      <c r="I807" s="129"/>
      <c r="J807" s="129"/>
      <c r="K807" s="126"/>
      <c r="L807" s="126"/>
      <c r="M807" s="126"/>
      <c r="N807" s="126"/>
      <c r="O807" s="164"/>
      <c r="P807" s="129"/>
      <c r="Q807" s="129"/>
      <c r="R807" s="129"/>
    </row>
    <row r="808">
      <c r="A808" s="166"/>
      <c r="B808" s="167"/>
      <c r="C808" s="129"/>
      <c r="D808" s="129"/>
      <c r="E808" s="129"/>
      <c r="F808" s="164"/>
      <c r="G808" s="164"/>
      <c r="H808" s="129"/>
      <c r="I808" s="129"/>
      <c r="J808" s="129"/>
      <c r="K808" s="126"/>
      <c r="L808" s="126"/>
      <c r="M808" s="126"/>
      <c r="N808" s="126"/>
      <c r="O808" s="164"/>
      <c r="P808" s="129"/>
      <c r="Q808" s="129"/>
      <c r="R808" s="129"/>
    </row>
    <row r="809">
      <c r="A809" s="166"/>
      <c r="B809" s="167"/>
      <c r="C809" s="129"/>
      <c r="D809" s="129"/>
      <c r="E809" s="129"/>
      <c r="F809" s="164"/>
      <c r="G809" s="164"/>
      <c r="H809" s="129"/>
      <c r="I809" s="129"/>
      <c r="J809" s="129"/>
      <c r="K809" s="126"/>
      <c r="L809" s="126"/>
      <c r="M809" s="126"/>
      <c r="N809" s="126"/>
      <c r="O809" s="164"/>
      <c r="P809" s="129"/>
      <c r="Q809" s="129"/>
      <c r="R809" s="129"/>
    </row>
    <row r="810">
      <c r="A810" s="166"/>
      <c r="B810" s="167"/>
      <c r="C810" s="129"/>
      <c r="D810" s="129"/>
      <c r="E810" s="129"/>
      <c r="F810" s="164"/>
      <c r="G810" s="164"/>
      <c r="H810" s="129"/>
      <c r="I810" s="129"/>
      <c r="J810" s="129"/>
      <c r="K810" s="126"/>
      <c r="L810" s="126"/>
      <c r="M810" s="126"/>
      <c r="N810" s="126"/>
      <c r="O810" s="164"/>
      <c r="P810" s="129"/>
      <c r="Q810" s="129"/>
      <c r="R810" s="129"/>
    </row>
    <row r="811">
      <c r="A811" s="166"/>
      <c r="B811" s="167"/>
      <c r="C811" s="129"/>
      <c r="D811" s="129"/>
      <c r="E811" s="129"/>
      <c r="F811" s="164"/>
      <c r="G811" s="164"/>
      <c r="H811" s="129"/>
      <c r="I811" s="129"/>
      <c r="J811" s="129"/>
      <c r="K811" s="126"/>
      <c r="L811" s="126"/>
      <c r="M811" s="126"/>
      <c r="N811" s="126"/>
      <c r="O811" s="164"/>
      <c r="P811" s="129"/>
      <c r="Q811" s="129"/>
      <c r="R811" s="129"/>
    </row>
    <row r="812">
      <c r="A812" s="166"/>
      <c r="B812" s="167"/>
      <c r="C812" s="129"/>
      <c r="D812" s="129"/>
      <c r="E812" s="129"/>
      <c r="F812" s="164"/>
      <c r="G812" s="164"/>
      <c r="H812" s="129"/>
      <c r="I812" s="129"/>
      <c r="J812" s="129"/>
      <c r="K812" s="126"/>
      <c r="L812" s="126"/>
      <c r="M812" s="126"/>
      <c r="N812" s="126"/>
      <c r="O812" s="164"/>
      <c r="P812" s="129"/>
      <c r="Q812" s="129"/>
      <c r="R812" s="129"/>
    </row>
    <row r="813">
      <c r="A813" s="166"/>
      <c r="B813" s="167"/>
      <c r="C813" s="129"/>
      <c r="D813" s="129"/>
      <c r="E813" s="129"/>
      <c r="F813" s="164"/>
      <c r="G813" s="164"/>
      <c r="H813" s="129"/>
      <c r="I813" s="129"/>
      <c r="J813" s="129"/>
      <c r="K813" s="126"/>
      <c r="L813" s="126"/>
      <c r="M813" s="126"/>
      <c r="N813" s="126"/>
      <c r="O813" s="164"/>
      <c r="P813" s="129"/>
      <c r="Q813" s="129"/>
      <c r="R813" s="129"/>
    </row>
    <row r="814">
      <c r="A814" s="166"/>
      <c r="B814" s="167"/>
      <c r="C814" s="129"/>
      <c r="D814" s="129"/>
      <c r="E814" s="129"/>
      <c r="F814" s="164"/>
      <c r="G814" s="164"/>
      <c r="H814" s="129"/>
      <c r="I814" s="129"/>
      <c r="J814" s="129"/>
      <c r="K814" s="126"/>
      <c r="L814" s="126"/>
      <c r="M814" s="126"/>
      <c r="N814" s="126"/>
      <c r="O814" s="164"/>
      <c r="P814" s="129"/>
      <c r="Q814" s="129"/>
      <c r="R814" s="129"/>
    </row>
    <row r="815">
      <c r="A815" s="166"/>
      <c r="B815" s="167"/>
      <c r="C815" s="129"/>
      <c r="D815" s="129"/>
      <c r="E815" s="129"/>
      <c r="F815" s="164"/>
      <c r="G815" s="164"/>
      <c r="H815" s="129"/>
      <c r="I815" s="129"/>
      <c r="J815" s="129"/>
      <c r="K815" s="126"/>
      <c r="L815" s="126"/>
      <c r="M815" s="126"/>
      <c r="N815" s="126"/>
      <c r="O815" s="164"/>
      <c r="P815" s="129"/>
      <c r="Q815" s="129"/>
      <c r="R815" s="129"/>
    </row>
    <row r="816">
      <c r="A816" s="166"/>
      <c r="B816" s="167"/>
      <c r="C816" s="129"/>
      <c r="D816" s="129"/>
      <c r="E816" s="129"/>
      <c r="F816" s="164"/>
      <c r="G816" s="164"/>
      <c r="H816" s="129"/>
      <c r="I816" s="129"/>
      <c r="J816" s="129"/>
      <c r="K816" s="126"/>
      <c r="L816" s="126"/>
      <c r="M816" s="126"/>
      <c r="N816" s="126"/>
      <c r="O816" s="164"/>
      <c r="P816" s="129"/>
      <c r="Q816" s="129"/>
      <c r="R816" s="129"/>
    </row>
    <row r="817">
      <c r="A817" s="166"/>
      <c r="B817" s="167"/>
      <c r="C817" s="129"/>
      <c r="D817" s="129"/>
      <c r="E817" s="129"/>
      <c r="F817" s="164"/>
      <c r="G817" s="164"/>
      <c r="H817" s="129"/>
      <c r="I817" s="129"/>
      <c r="J817" s="129"/>
      <c r="K817" s="126"/>
      <c r="L817" s="126"/>
      <c r="M817" s="126"/>
      <c r="N817" s="126"/>
      <c r="O817" s="164"/>
      <c r="P817" s="129"/>
      <c r="Q817" s="129"/>
      <c r="R817" s="129"/>
    </row>
    <row r="818">
      <c r="A818" s="166"/>
      <c r="B818" s="167"/>
      <c r="C818" s="129"/>
      <c r="D818" s="129"/>
      <c r="E818" s="129"/>
      <c r="F818" s="164"/>
      <c r="G818" s="164"/>
      <c r="H818" s="129"/>
      <c r="I818" s="129"/>
      <c r="J818" s="129"/>
      <c r="K818" s="126"/>
      <c r="L818" s="126"/>
      <c r="M818" s="126"/>
      <c r="N818" s="126"/>
      <c r="O818" s="164"/>
      <c r="P818" s="129"/>
      <c r="Q818" s="129"/>
      <c r="R818" s="129"/>
    </row>
    <row r="819">
      <c r="A819" s="166"/>
      <c r="B819" s="167"/>
      <c r="C819" s="129"/>
      <c r="D819" s="129"/>
      <c r="E819" s="129"/>
      <c r="F819" s="164"/>
      <c r="G819" s="164"/>
      <c r="H819" s="129"/>
      <c r="I819" s="129"/>
      <c r="J819" s="129"/>
      <c r="K819" s="126"/>
      <c r="L819" s="126"/>
      <c r="M819" s="126"/>
      <c r="N819" s="126"/>
      <c r="O819" s="164"/>
      <c r="P819" s="129"/>
      <c r="Q819" s="129"/>
      <c r="R819" s="129"/>
    </row>
    <row r="820">
      <c r="A820" s="166"/>
      <c r="B820" s="167"/>
      <c r="C820" s="129"/>
      <c r="D820" s="129"/>
      <c r="E820" s="129"/>
      <c r="F820" s="164"/>
      <c r="G820" s="164"/>
      <c r="H820" s="129"/>
      <c r="I820" s="129"/>
      <c r="J820" s="129"/>
      <c r="K820" s="126"/>
      <c r="L820" s="126"/>
      <c r="M820" s="126"/>
      <c r="N820" s="126"/>
      <c r="O820" s="164"/>
      <c r="P820" s="129"/>
      <c r="Q820" s="129"/>
      <c r="R820" s="129"/>
    </row>
    <row r="821">
      <c r="A821" s="166"/>
      <c r="B821" s="167"/>
      <c r="C821" s="129"/>
      <c r="D821" s="129"/>
      <c r="E821" s="129"/>
      <c r="F821" s="164"/>
      <c r="G821" s="164"/>
      <c r="H821" s="129"/>
      <c r="I821" s="129"/>
      <c r="J821" s="129"/>
      <c r="K821" s="126"/>
      <c r="L821" s="126"/>
      <c r="M821" s="126"/>
      <c r="N821" s="126"/>
      <c r="O821" s="164"/>
      <c r="P821" s="129"/>
      <c r="Q821" s="129"/>
      <c r="R821" s="129"/>
    </row>
    <row r="822">
      <c r="A822" s="166"/>
      <c r="B822" s="167"/>
      <c r="C822" s="129"/>
      <c r="D822" s="129"/>
      <c r="E822" s="129"/>
      <c r="F822" s="164"/>
      <c r="G822" s="164"/>
      <c r="H822" s="129"/>
      <c r="I822" s="129"/>
      <c r="J822" s="129"/>
      <c r="K822" s="126"/>
      <c r="L822" s="126"/>
      <c r="M822" s="126"/>
      <c r="N822" s="126"/>
      <c r="O822" s="164"/>
      <c r="P822" s="129"/>
      <c r="Q822" s="129"/>
      <c r="R822" s="129"/>
    </row>
    <row r="823">
      <c r="A823" s="166"/>
      <c r="B823" s="167"/>
      <c r="C823" s="129"/>
      <c r="D823" s="129"/>
      <c r="E823" s="129"/>
      <c r="F823" s="164"/>
      <c r="G823" s="164"/>
      <c r="H823" s="129"/>
      <c r="I823" s="129"/>
      <c r="J823" s="129"/>
      <c r="K823" s="126"/>
      <c r="L823" s="126"/>
      <c r="M823" s="126"/>
      <c r="N823" s="126"/>
      <c r="O823" s="164"/>
      <c r="P823" s="129"/>
      <c r="Q823" s="129"/>
      <c r="R823" s="129"/>
    </row>
    <row r="824">
      <c r="A824" s="166"/>
      <c r="B824" s="167"/>
      <c r="C824" s="129"/>
      <c r="D824" s="129"/>
      <c r="E824" s="129"/>
      <c r="F824" s="164"/>
      <c r="G824" s="164"/>
      <c r="H824" s="129"/>
      <c r="I824" s="129"/>
      <c r="J824" s="129"/>
      <c r="K824" s="126"/>
      <c r="L824" s="126"/>
      <c r="M824" s="126"/>
      <c r="N824" s="126"/>
      <c r="O824" s="164"/>
      <c r="P824" s="129"/>
      <c r="Q824" s="129"/>
      <c r="R824" s="129"/>
    </row>
    <row r="825">
      <c r="A825" s="166"/>
      <c r="B825" s="167"/>
      <c r="C825" s="129"/>
      <c r="D825" s="129"/>
      <c r="E825" s="129"/>
      <c r="F825" s="164"/>
      <c r="G825" s="164"/>
      <c r="H825" s="129"/>
      <c r="I825" s="129"/>
      <c r="J825" s="129"/>
      <c r="K825" s="126"/>
      <c r="L825" s="126"/>
      <c r="M825" s="126"/>
      <c r="N825" s="126"/>
      <c r="O825" s="164"/>
      <c r="P825" s="129"/>
      <c r="Q825" s="129"/>
      <c r="R825" s="129"/>
    </row>
    <row r="826">
      <c r="A826" s="166"/>
      <c r="B826" s="167"/>
      <c r="C826" s="129"/>
      <c r="D826" s="129"/>
      <c r="E826" s="129"/>
      <c r="F826" s="164"/>
      <c r="G826" s="164"/>
      <c r="H826" s="129"/>
      <c r="I826" s="129"/>
      <c r="J826" s="129"/>
      <c r="K826" s="126"/>
      <c r="L826" s="126"/>
      <c r="M826" s="126"/>
      <c r="N826" s="126"/>
      <c r="O826" s="164"/>
      <c r="P826" s="129"/>
      <c r="Q826" s="129"/>
      <c r="R826" s="129"/>
    </row>
    <row r="827">
      <c r="A827" s="166"/>
      <c r="B827" s="167"/>
      <c r="C827" s="129"/>
      <c r="D827" s="129"/>
      <c r="E827" s="129"/>
      <c r="F827" s="164"/>
      <c r="G827" s="164"/>
      <c r="H827" s="129"/>
      <c r="I827" s="129"/>
      <c r="J827" s="129"/>
      <c r="K827" s="126"/>
      <c r="L827" s="126"/>
      <c r="M827" s="126"/>
      <c r="N827" s="126"/>
      <c r="O827" s="164"/>
      <c r="P827" s="129"/>
      <c r="Q827" s="129"/>
      <c r="R827" s="129"/>
    </row>
    <row r="828">
      <c r="A828" s="166"/>
      <c r="B828" s="167"/>
      <c r="C828" s="129"/>
      <c r="D828" s="129"/>
      <c r="E828" s="129"/>
      <c r="F828" s="164"/>
      <c r="G828" s="164"/>
      <c r="H828" s="129"/>
      <c r="I828" s="129"/>
      <c r="J828" s="129"/>
      <c r="K828" s="126"/>
      <c r="L828" s="126"/>
      <c r="M828" s="126"/>
      <c r="N828" s="126"/>
      <c r="O828" s="164"/>
      <c r="P828" s="129"/>
      <c r="Q828" s="129"/>
      <c r="R828" s="129"/>
    </row>
    <row r="829">
      <c r="A829" s="166"/>
      <c r="B829" s="167"/>
      <c r="C829" s="129"/>
      <c r="D829" s="129"/>
      <c r="E829" s="129"/>
      <c r="F829" s="164"/>
      <c r="G829" s="164"/>
      <c r="H829" s="129"/>
      <c r="I829" s="129"/>
      <c r="J829" s="129"/>
      <c r="K829" s="126"/>
      <c r="L829" s="126"/>
      <c r="M829" s="126"/>
      <c r="N829" s="126"/>
      <c r="O829" s="164"/>
      <c r="P829" s="129"/>
      <c r="Q829" s="129"/>
      <c r="R829" s="129"/>
    </row>
    <row r="830">
      <c r="A830" s="166"/>
      <c r="B830" s="167"/>
      <c r="C830" s="129"/>
      <c r="D830" s="129"/>
      <c r="E830" s="129"/>
      <c r="F830" s="164"/>
      <c r="G830" s="164"/>
      <c r="H830" s="129"/>
      <c r="I830" s="129"/>
      <c r="J830" s="129"/>
      <c r="K830" s="126"/>
      <c r="L830" s="126"/>
      <c r="M830" s="126"/>
      <c r="N830" s="126"/>
      <c r="O830" s="164"/>
      <c r="P830" s="129"/>
      <c r="Q830" s="129"/>
      <c r="R830" s="129"/>
    </row>
    <row r="831">
      <c r="A831" s="166"/>
      <c r="B831" s="167"/>
      <c r="C831" s="129"/>
      <c r="D831" s="129"/>
      <c r="E831" s="129"/>
      <c r="F831" s="164"/>
      <c r="G831" s="164"/>
      <c r="H831" s="129"/>
      <c r="I831" s="129"/>
      <c r="J831" s="129"/>
      <c r="K831" s="126"/>
      <c r="L831" s="126"/>
      <c r="M831" s="126"/>
      <c r="N831" s="126"/>
      <c r="O831" s="164"/>
      <c r="P831" s="129"/>
      <c r="Q831" s="129"/>
      <c r="R831" s="129"/>
    </row>
    <row r="832">
      <c r="A832" s="166"/>
      <c r="B832" s="167"/>
      <c r="C832" s="129"/>
      <c r="D832" s="129"/>
      <c r="E832" s="129"/>
      <c r="F832" s="164"/>
      <c r="G832" s="164"/>
      <c r="H832" s="129"/>
      <c r="I832" s="129"/>
      <c r="J832" s="129"/>
      <c r="K832" s="126"/>
      <c r="L832" s="126"/>
      <c r="M832" s="126"/>
      <c r="N832" s="126"/>
      <c r="O832" s="164"/>
      <c r="P832" s="129"/>
      <c r="Q832" s="129"/>
      <c r="R832" s="129"/>
    </row>
    <row r="833">
      <c r="A833" s="166"/>
      <c r="B833" s="167"/>
      <c r="C833" s="129"/>
      <c r="D833" s="129"/>
      <c r="E833" s="129"/>
      <c r="F833" s="164"/>
      <c r="G833" s="164"/>
      <c r="H833" s="129"/>
      <c r="I833" s="129"/>
      <c r="J833" s="129"/>
      <c r="K833" s="126"/>
      <c r="L833" s="126"/>
      <c r="M833" s="126"/>
      <c r="N833" s="126"/>
      <c r="O833" s="164"/>
      <c r="P833" s="129"/>
      <c r="Q833" s="129"/>
      <c r="R833" s="129"/>
    </row>
    <row r="834">
      <c r="A834" s="166"/>
      <c r="B834" s="167"/>
      <c r="C834" s="129"/>
      <c r="D834" s="129"/>
      <c r="E834" s="129"/>
      <c r="F834" s="164"/>
      <c r="G834" s="164"/>
      <c r="H834" s="129"/>
      <c r="I834" s="129"/>
      <c r="J834" s="129"/>
      <c r="K834" s="126"/>
      <c r="L834" s="126"/>
      <c r="M834" s="126"/>
      <c r="N834" s="126"/>
      <c r="O834" s="164"/>
      <c r="P834" s="129"/>
      <c r="Q834" s="129"/>
      <c r="R834" s="129"/>
    </row>
    <row r="835">
      <c r="A835" s="166"/>
      <c r="B835" s="167"/>
      <c r="C835" s="129"/>
      <c r="D835" s="129"/>
      <c r="E835" s="129"/>
      <c r="F835" s="164"/>
      <c r="G835" s="164"/>
      <c r="H835" s="129"/>
      <c r="I835" s="129"/>
      <c r="J835" s="129"/>
      <c r="K835" s="126"/>
      <c r="L835" s="126"/>
      <c r="M835" s="126"/>
      <c r="N835" s="126"/>
      <c r="O835" s="164"/>
      <c r="P835" s="129"/>
      <c r="Q835" s="129"/>
      <c r="R835" s="129"/>
    </row>
    <row r="836">
      <c r="A836" s="166"/>
      <c r="B836" s="167"/>
      <c r="C836" s="129"/>
      <c r="D836" s="129"/>
      <c r="E836" s="129"/>
      <c r="F836" s="164"/>
      <c r="G836" s="164"/>
      <c r="H836" s="129"/>
      <c r="I836" s="129"/>
      <c r="J836" s="129"/>
      <c r="K836" s="126"/>
      <c r="L836" s="126"/>
      <c r="M836" s="126"/>
      <c r="N836" s="126"/>
      <c r="O836" s="164"/>
      <c r="P836" s="129"/>
      <c r="Q836" s="129"/>
      <c r="R836" s="129"/>
    </row>
    <row r="837">
      <c r="A837" s="166"/>
      <c r="B837" s="167"/>
      <c r="C837" s="129"/>
      <c r="D837" s="129"/>
      <c r="E837" s="129"/>
      <c r="F837" s="164"/>
      <c r="G837" s="164"/>
      <c r="H837" s="129"/>
      <c r="I837" s="129"/>
      <c r="J837" s="129"/>
      <c r="K837" s="126"/>
      <c r="L837" s="126"/>
      <c r="M837" s="126"/>
      <c r="N837" s="126"/>
      <c r="O837" s="164"/>
      <c r="P837" s="129"/>
      <c r="Q837" s="129"/>
      <c r="R837" s="129"/>
    </row>
    <row r="838">
      <c r="A838" s="166"/>
      <c r="B838" s="167"/>
      <c r="C838" s="129"/>
      <c r="D838" s="129"/>
      <c r="E838" s="129"/>
      <c r="F838" s="164"/>
      <c r="G838" s="164"/>
      <c r="H838" s="129"/>
      <c r="I838" s="129"/>
      <c r="J838" s="129"/>
      <c r="K838" s="126"/>
      <c r="L838" s="126"/>
      <c r="M838" s="126"/>
      <c r="N838" s="126"/>
      <c r="O838" s="164"/>
      <c r="P838" s="129"/>
      <c r="Q838" s="129"/>
      <c r="R838" s="129"/>
    </row>
    <row r="839">
      <c r="A839" s="166"/>
      <c r="B839" s="167"/>
      <c r="C839" s="129"/>
      <c r="D839" s="129"/>
      <c r="E839" s="129"/>
      <c r="F839" s="164"/>
      <c r="G839" s="164"/>
      <c r="H839" s="129"/>
      <c r="I839" s="129"/>
      <c r="J839" s="129"/>
      <c r="K839" s="126"/>
      <c r="L839" s="126"/>
      <c r="M839" s="126"/>
      <c r="N839" s="126"/>
      <c r="O839" s="164"/>
      <c r="P839" s="129"/>
      <c r="Q839" s="129"/>
      <c r="R839" s="129"/>
    </row>
    <row r="840">
      <c r="A840" s="166"/>
      <c r="B840" s="167"/>
      <c r="C840" s="129"/>
      <c r="D840" s="129"/>
      <c r="E840" s="129"/>
      <c r="F840" s="164"/>
      <c r="G840" s="164"/>
      <c r="H840" s="129"/>
      <c r="I840" s="129"/>
      <c r="J840" s="129"/>
      <c r="K840" s="126"/>
      <c r="L840" s="126"/>
      <c r="M840" s="126"/>
      <c r="N840" s="126"/>
      <c r="O840" s="164"/>
      <c r="P840" s="129"/>
      <c r="Q840" s="129"/>
      <c r="R840" s="129"/>
    </row>
    <row r="841">
      <c r="A841" s="166"/>
      <c r="B841" s="167"/>
      <c r="C841" s="129"/>
      <c r="D841" s="129"/>
      <c r="E841" s="129"/>
      <c r="F841" s="164"/>
      <c r="G841" s="164"/>
      <c r="H841" s="129"/>
      <c r="I841" s="129"/>
      <c r="J841" s="129"/>
      <c r="K841" s="126"/>
      <c r="L841" s="126"/>
      <c r="M841" s="126"/>
      <c r="N841" s="126"/>
      <c r="O841" s="164"/>
      <c r="P841" s="129"/>
      <c r="Q841" s="129"/>
      <c r="R841" s="129"/>
    </row>
    <row r="842">
      <c r="A842" s="166"/>
      <c r="B842" s="167"/>
      <c r="C842" s="129"/>
      <c r="D842" s="129"/>
      <c r="E842" s="129"/>
      <c r="F842" s="164"/>
      <c r="G842" s="164"/>
      <c r="H842" s="129"/>
      <c r="I842" s="129"/>
      <c r="J842" s="129"/>
      <c r="K842" s="126"/>
      <c r="L842" s="126"/>
      <c r="M842" s="126"/>
      <c r="N842" s="126"/>
      <c r="O842" s="164"/>
      <c r="P842" s="129"/>
      <c r="Q842" s="129"/>
      <c r="R842" s="129"/>
    </row>
    <row r="843">
      <c r="A843" s="166"/>
      <c r="B843" s="167"/>
      <c r="C843" s="129"/>
      <c r="D843" s="129"/>
      <c r="E843" s="129"/>
      <c r="F843" s="164"/>
      <c r="G843" s="164"/>
      <c r="H843" s="129"/>
      <c r="I843" s="129"/>
      <c r="J843" s="129"/>
      <c r="K843" s="126"/>
      <c r="L843" s="126"/>
      <c r="M843" s="126"/>
      <c r="N843" s="126"/>
      <c r="O843" s="164"/>
      <c r="P843" s="129"/>
      <c r="Q843" s="129"/>
      <c r="R843" s="129"/>
    </row>
    <row r="844">
      <c r="A844" s="166"/>
      <c r="B844" s="167"/>
      <c r="C844" s="129"/>
      <c r="D844" s="129"/>
      <c r="E844" s="129"/>
      <c r="F844" s="164"/>
      <c r="G844" s="164"/>
      <c r="H844" s="129"/>
      <c r="I844" s="129"/>
      <c r="J844" s="129"/>
      <c r="K844" s="126"/>
      <c r="L844" s="126"/>
      <c r="M844" s="126"/>
      <c r="N844" s="126"/>
      <c r="O844" s="164"/>
      <c r="P844" s="129"/>
      <c r="Q844" s="129"/>
      <c r="R844" s="129"/>
    </row>
    <row r="845">
      <c r="A845" s="166"/>
      <c r="B845" s="167"/>
      <c r="C845" s="129"/>
      <c r="D845" s="129"/>
      <c r="E845" s="129"/>
      <c r="F845" s="164"/>
      <c r="G845" s="164"/>
      <c r="H845" s="129"/>
      <c r="I845" s="129"/>
      <c r="J845" s="129"/>
      <c r="K845" s="126"/>
      <c r="L845" s="126"/>
      <c r="M845" s="126"/>
      <c r="N845" s="126"/>
      <c r="O845" s="164"/>
      <c r="P845" s="129"/>
      <c r="Q845" s="129"/>
      <c r="R845" s="129"/>
    </row>
    <row r="846">
      <c r="A846" s="166"/>
      <c r="B846" s="167"/>
      <c r="C846" s="129"/>
      <c r="D846" s="129"/>
      <c r="E846" s="129"/>
      <c r="F846" s="164"/>
      <c r="G846" s="164"/>
      <c r="H846" s="129"/>
      <c r="I846" s="129"/>
      <c r="J846" s="129"/>
      <c r="K846" s="126"/>
      <c r="L846" s="126"/>
      <c r="M846" s="126"/>
      <c r="N846" s="126"/>
      <c r="O846" s="164"/>
      <c r="P846" s="129"/>
      <c r="Q846" s="129"/>
      <c r="R846" s="129"/>
    </row>
    <row r="847">
      <c r="A847" s="166"/>
      <c r="B847" s="167"/>
      <c r="C847" s="129"/>
      <c r="D847" s="129"/>
      <c r="E847" s="129"/>
      <c r="F847" s="164"/>
      <c r="G847" s="164"/>
      <c r="H847" s="129"/>
      <c r="I847" s="129"/>
      <c r="J847" s="129"/>
      <c r="K847" s="126"/>
      <c r="L847" s="126"/>
      <c r="M847" s="126"/>
      <c r="N847" s="126"/>
      <c r="O847" s="164"/>
      <c r="P847" s="129"/>
      <c r="Q847" s="129"/>
      <c r="R847" s="129"/>
    </row>
    <row r="848">
      <c r="A848" s="166"/>
      <c r="B848" s="167"/>
      <c r="C848" s="129"/>
      <c r="D848" s="129"/>
      <c r="E848" s="129"/>
      <c r="F848" s="164"/>
      <c r="G848" s="164"/>
      <c r="H848" s="129"/>
      <c r="I848" s="129"/>
      <c r="J848" s="129"/>
      <c r="K848" s="126"/>
      <c r="L848" s="126"/>
      <c r="M848" s="126"/>
      <c r="N848" s="126"/>
      <c r="O848" s="164"/>
      <c r="P848" s="129"/>
      <c r="Q848" s="129"/>
      <c r="R848" s="129"/>
    </row>
    <row r="849">
      <c r="A849" s="166"/>
      <c r="B849" s="167"/>
      <c r="C849" s="129"/>
      <c r="D849" s="129"/>
      <c r="E849" s="129"/>
      <c r="F849" s="164"/>
      <c r="G849" s="164"/>
      <c r="H849" s="129"/>
      <c r="I849" s="129"/>
      <c r="J849" s="129"/>
      <c r="K849" s="126"/>
      <c r="L849" s="126"/>
      <c r="M849" s="126"/>
      <c r="N849" s="126"/>
      <c r="O849" s="164"/>
      <c r="P849" s="129"/>
      <c r="Q849" s="129"/>
      <c r="R849" s="129"/>
    </row>
    <row r="850">
      <c r="A850" s="166"/>
      <c r="B850" s="167"/>
      <c r="C850" s="129"/>
      <c r="D850" s="129"/>
      <c r="E850" s="129"/>
      <c r="F850" s="164"/>
      <c r="G850" s="164"/>
      <c r="H850" s="129"/>
      <c r="I850" s="129"/>
      <c r="J850" s="129"/>
      <c r="K850" s="126"/>
      <c r="L850" s="126"/>
      <c r="M850" s="126"/>
      <c r="N850" s="126"/>
      <c r="O850" s="164"/>
      <c r="P850" s="129"/>
      <c r="Q850" s="129"/>
      <c r="R850" s="129"/>
    </row>
    <row r="851">
      <c r="A851" s="166"/>
      <c r="B851" s="167"/>
      <c r="C851" s="129"/>
      <c r="D851" s="129"/>
      <c r="E851" s="129"/>
      <c r="F851" s="164"/>
      <c r="G851" s="164"/>
      <c r="H851" s="129"/>
      <c r="I851" s="129"/>
      <c r="J851" s="129"/>
      <c r="K851" s="126"/>
      <c r="L851" s="126"/>
      <c r="M851" s="126"/>
      <c r="N851" s="126"/>
      <c r="O851" s="164"/>
      <c r="P851" s="129"/>
      <c r="Q851" s="129"/>
      <c r="R851" s="129"/>
    </row>
    <row r="852">
      <c r="A852" s="166"/>
      <c r="B852" s="167"/>
      <c r="C852" s="129"/>
      <c r="D852" s="129"/>
      <c r="E852" s="129"/>
      <c r="F852" s="164"/>
      <c r="G852" s="164"/>
      <c r="H852" s="129"/>
      <c r="I852" s="129"/>
      <c r="J852" s="129"/>
      <c r="K852" s="126"/>
      <c r="L852" s="126"/>
      <c r="M852" s="126"/>
      <c r="N852" s="126"/>
      <c r="O852" s="164"/>
      <c r="P852" s="129"/>
      <c r="Q852" s="129"/>
      <c r="R852" s="129"/>
    </row>
    <row r="853">
      <c r="A853" s="166"/>
      <c r="B853" s="167"/>
      <c r="C853" s="129"/>
      <c r="D853" s="129"/>
      <c r="E853" s="129"/>
      <c r="F853" s="164"/>
      <c r="G853" s="164"/>
      <c r="H853" s="129"/>
      <c r="I853" s="129"/>
      <c r="J853" s="129"/>
      <c r="K853" s="126"/>
      <c r="L853" s="126"/>
      <c r="M853" s="126"/>
      <c r="N853" s="126"/>
      <c r="O853" s="164"/>
      <c r="P853" s="129"/>
      <c r="Q853" s="129"/>
      <c r="R853" s="129"/>
    </row>
    <row r="854">
      <c r="A854" s="166"/>
      <c r="B854" s="167"/>
      <c r="C854" s="129"/>
      <c r="D854" s="129"/>
      <c r="E854" s="129"/>
      <c r="F854" s="164"/>
      <c r="G854" s="164"/>
      <c r="H854" s="129"/>
      <c r="I854" s="129"/>
      <c r="J854" s="129"/>
      <c r="K854" s="126"/>
      <c r="L854" s="126"/>
      <c r="M854" s="126"/>
      <c r="N854" s="126"/>
      <c r="O854" s="164"/>
      <c r="P854" s="129"/>
      <c r="Q854" s="129"/>
      <c r="R854" s="129"/>
    </row>
    <row r="855">
      <c r="A855" s="166"/>
      <c r="B855" s="167"/>
      <c r="C855" s="129"/>
      <c r="D855" s="129"/>
      <c r="E855" s="129"/>
      <c r="F855" s="164"/>
      <c r="G855" s="164"/>
      <c r="H855" s="129"/>
      <c r="I855" s="129"/>
      <c r="J855" s="129"/>
      <c r="K855" s="126"/>
      <c r="L855" s="126"/>
      <c r="M855" s="126"/>
      <c r="N855" s="126"/>
      <c r="O855" s="164"/>
      <c r="P855" s="129"/>
      <c r="Q855" s="129"/>
      <c r="R855" s="129"/>
    </row>
    <row r="856">
      <c r="A856" s="166"/>
      <c r="B856" s="167"/>
      <c r="C856" s="129"/>
      <c r="D856" s="129"/>
      <c r="E856" s="129"/>
      <c r="F856" s="164"/>
      <c r="G856" s="164"/>
      <c r="H856" s="129"/>
      <c r="I856" s="129"/>
      <c r="J856" s="129"/>
      <c r="K856" s="126"/>
      <c r="L856" s="126"/>
      <c r="M856" s="126"/>
      <c r="N856" s="126"/>
      <c r="O856" s="164"/>
      <c r="P856" s="129"/>
      <c r="Q856" s="129"/>
      <c r="R856" s="129"/>
    </row>
    <row r="857">
      <c r="A857" s="166"/>
      <c r="B857" s="167"/>
      <c r="C857" s="129"/>
      <c r="D857" s="129"/>
      <c r="E857" s="129"/>
      <c r="F857" s="164"/>
      <c r="G857" s="164"/>
      <c r="H857" s="129"/>
      <c r="I857" s="129"/>
      <c r="J857" s="129"/>
      <c r="K857" s="126"/>
      <c r="L857" s="126"/>
      <c r="M857" s="126"/>
      <c r="N857" s="126"/>
      <c r="O857" s="164"/>
      <c r="P857" s="129"/>
      <c r="Q857" s="129"/>
      <c r="R857" s="129"/>
    </row>
    <row r="858">
      <c r="A858" s="166"/>
      <c r="B858" s="167"/>
      <c r="C858" s="129"/>
      <c r="D858" s="129"/>
      <c r="E858" s="129"/>
      <c r="F858" s="164"/>
      <c r="G858" s="164"/>
      <c r="H858" s="129"/>
      <c r="I858" s="129"/>
      <c r="J858" s="129"/>
      <c r="K858" s="126"/>
      <c r="L858" s="126"/>
      <c r="M858" s="126"/>
      <c r="N858" s="126"/>
      <c r="O858" s="164"/>
      <c r="P858" s="129"/>
      <c r="Q858" s="129"/>
      <c r="R858" s="129"/>
    </row>
    <row r="859">
      <c r="A859" s="166"/>
      <c r="B859" s="167"/>
      <c r="C859" s="129"/>
      <c r="D859" s="129"/>
      <c r="E859" s="129"/>
      <c r="F859" s="164"/>
      <c r="G859" s="164"/>
      <c r="H859" s="129"/>
      <c r="I859" s="129"/>
      <c r="J859" s="129"/>
      <c r="K859" s="126"/>
      <c r="L859" s="126"/>
      <c r="M859" s="126"/>
      <c r="N859" s="126"/>
      <c r="O859" s="164"/>
      <c r="P859" s="129"/>
      <c r="Q859" s="129"/>
      <c r="R859" s="129"/>
    </row>
    <row r="860">
      <c r="A860" s="166"/>
      <c r="B860" s="167"/>
      <c r="C860" s="129"/>
      <c r="D860" s="129"/>
      <c r="E860" s="129"/>
      <c r="F860" s="164"/>
      <c r="G860" s="164"/>
      <c r="H860" s="129"/>
      <c r="I860" s="129"/>
      <c r="J860" s="129"/>
      <c r="K860" s="126"/>
      <c r="L860" s="126"/>
      <c r="M860" s="126"/>
      <c r="N860" s="126"/>
      <c r="O860" s="164"/>
      <c r="P860" s="129"/>
      <c r="Q860" s="129"/>
      <c r="R860" s="129"/>
    </row>
    <row r="861">
      <c r="A861" s="166"/>
      <c r="B861" s="167"/>
      <c r="C861" s="129"/>
      <c r="D861" s="129"/>
      <c r="E861" s="129"/>
      <c r="F861" s="164"/>
      <c r="G861" s="164"/>
      <c r="H861" s="129"/>
      <c r="I861" s="129"/>
      <c r="J861" s="129"/>
      <c r="K861" s="126"/>
      <c r="L861" s="126"/>
      <c r="M861" s="126"/>
      <c r="N861" s="126"/>
      <c r="O861" s="164"/>
      <c r="P861" s="129"/>
      <c r="Q861" s="129"/>
      <c r="R861" s="129"/>
    </row>
    <row r="862">
      <c r="A862" s="166"/>
      <c r="B862" s="167"/>
      <c r="C862" s="129"/>
      <c r="D862" s="129"/>
      <c r="E862" s="129"/>
      <c r="F862" s="164"/>
      <c r="G862" s="164"/>
      <c r="H862" s="129"/>
      <c r="I862" s="129"/>
      <c r="J862" s="129"/>
      <c r="K862" s="126"/>
      <c r="L862" s="126"/>
      <c r="M862" s="126"/>
      <c r="N862" s="126"/>
      <c r="O862" s="164"/>
      <c r="P862" s="129"/>
      <c r="Q862" s="129"/>
      <c r="R862" s="129"/>
    </row>
    <row r="863">
      <c r="A863" s="166"/>
      <c r="B863" s="167"/>
      <c r="C863" s="129"/>
      <c r="D863" s="129"/>
      <c r="E863" s="129"/>
      <c r="F863" s="164"/>
      <c r="G863" s="164"/>
      <c r="H863" s="129"/>
      <c r="I863" s="129"/>
      <c r="J863" s="129"/>
      <c r="K863" s="126"/>
      <c r="L863" s="126"/>
      <c r="M863" s="126"/>
      <c r="N863" s="126"/>
      <c r="O863" s="164"/>
      <c r="P863" s="129"/>
      <c r="Q863" s="129"/>
      <c r="R863" s="129"/>
    </row>
    <row r="864">
      <c r="A864" s="166"/>
      <c r="B864" s="167"/>
      <c r="C864" s="129"/>
      <c r="D864" s="129"/>
      <c r="E864" s="129"/>
      <c r="F864" s="164"/>
      <c r="G864" s="164"/>
      <c r="H864" s="129"/>
      <c r="I864" s="129"/>
      <c r="J864" s="129"/>
      <c r="K864" s="126"/>
      <c r="L864" s="126"/>
      <c r="M864" s="126"/>
      <c r="N864" s="126"/>
      <c r="O864" s="164"/>
      <c r="P864" s="129"/>
      <c r="Q864" s="129"/>
      <c r="R864" s="129"/>
    </row>
    <row r="865">
      <c r="A865" s="166"/>
      <c r="B865" s="167"/>
      <c r="C865" s="129"/>
      <c r="D865" s="129"/>
      <c r="E865" s="129"/>
      <c r="F865" s="164"/>
      <c r="G865" s="164"/>
      <c r="H865" s="129"/>
      <c r="I865" s="129"/>
      <c r="J865" s="129"/>
      <c r="K865" s="126"/>
      <c r="L865" s="126"/>
      <c r="M865" s="126"/>
      <c r="N865" s="126"/>
      <c r="O865" s="164"/>
      <c r="P865" s="129"/>
      <c r="Q865" s="129"/>
      <c r="R865" s="129"/>
    </row>
    <row r="866">
      <c r="A866" s="166"/>
      <c r="B866" s="167"/>
      <c r="C866" s="129"/>
      <c r="D866" s="129"/>
      <c r="E866" s="129"/>
      <c r="F866" s="164"/>
      <c r="G866" s="164"/>
      <c r="H866" s="129"/>
      <c r="I866" s="129"/>
      <c r="J866" s="129"/>
      <c r="K866" s="126"/>
      <c r="L866" s="126"/>
      <c r="M866" s="126"/>
      <c r="N866" s="126"/>
      <c r="O866" s="164"/>
      <c r="P866" s="129"/>
      <c r="Q866" s="129"/>
      <c r="R866" s="129"/>
    </row>
    <row r="867">
      <c r="A867" s="166"/>
      <c r="B867" s="167"/>
      <c r="C867" s="129"/>
      <c r="D867" s="129"/>
      <c r="E867" s="129"/>
      <c r="F867" s="164"/>
      <c r="G867" s="164"/>
      <c r="H867" s="129"/>
      <c r="I867" s="129"/>
      <c r="J867" s="129"/>
      <c r="K867" s="126"/>
      <c r="L867" s="126"/>
      <c r="M867" s="126"/>
      <c r="N867" s="126"/>
      <c r="O867" s="164"/>
      <c r="P867" s="129"/>
      <c r="Q867" s="129"/>
      <c r="R867" s="129"/>
    </row>
    <row r="868">
      <c r="A868" s="166"/>
      <c r="B868" s="167"/>
      <c r="C868" s="129"/>
      <c r="D868" s="129"/>
      <c r="E868" s="129"/>
      <c r="F868" s="164"/>
      <c r="G868" s="164"/>
      <c r="H868" s="129"/>
      <c r="I868" s="129"/>
      <c r="J868" s="129"/>
      <c r="K868" s="126"/>
      <c r="L868" s="126"/>
      <c r="M868" s="126"/>
      <c r="N868" s="126"/>
      <c r="O868" s="164"/>
      <c r="P868" s="129"/>
      <c r="Q868" s="129"/>
      <c r="R868" s="129"/>
    </row>
    <row r="869">
      <c r="A869" s="166"/>
      <c r="B869" s="167"/>
      <c r="C869" s="129"/>
      <c r="D869" s="129"/>
      <c r="E869" s="129"/>
      <c r="F869" s="164"/>
      <c r="G869" s="164"/>
      <c r="H869" s="129"/>
      <c r="I869" s="129"/>
      <c r="J869" s="129"/>
      <c r="K869" s="126"/>
      <c r="L869" s="126"/>
      <c r="M869" s="126"/>
      <c r="N869" s="126"/>
      <c r="O869" s="164"/>
      <c r="P869" s="129"/>
      <c r="Q869" s="129"/>
      <c r="R869" s="129"/>
    </row>
    <row r="870">
      <c r="A870" s="166"/>
      <c r="B870" s="167"/>
      <c r="C870" s="129"/>
      <c r="D870" s="129"/>
      <c r="E870" s="129"/>
      <c r="F870" s="164"/>
      <c r="G870" s="164"/>
      <c r="H870" s="129"/>
      <c r="I870" s="129"/>
      <c r="J870" s="129"/>
      <c r="K870" s="126"/>
      <c r="L870" s="126"/>
      <c r="M870" s="126"/>
      <c r="N870" s="126"/>
      <c r="O870" s="164"/>
      <c r="P870" s="129"/>
      <c r="Q870" s="129"/>
      <c r="R870" s="129"/>
    </row>
    <row r="871">
      <c r="A871" s="166"/>
      <c r="B871" s="167"/>
      <c r="C871" s="129"/>
      <c r="D871" s="129"/>
      <c r="E871" s="129"/>
      <c r="F871" s="164"/>
      <c r="G871" s="164"/>
      <c r="H871" s="129"/>
      <c r="I871" s="129"/>
      <c r="J871" s="129"/>
      <c r="K871" s="126"/>
      <c r="L871" s="126"/>
      <c r="M871" s="126"/>
      <c r="N871" s="126"/>
      <c r="O871" s="164"/>
      <c r="P871" s="129"/>
      <c r="Q871" s="129"/>
      <c r="R871" s="129"/>
    </row>
    <row r="872">
      <c r="A872" s="166"/>
      <c r="B872" s="167"/>
      <c r="C872" s="129"/>
      <c r="D872" s="129"/>
      <c r="E872" s="129"/>
      <c r="F872" s="164"/>
      <c r="G872" s="164"/>
      <c r="H872" s="129"/>
      <c r="I872" s="129"/>
      <c r="J872" s="129"/>
      <c r="K872" s="126"/>
      <c r="L872" s="126"/>
      <c r="M872" s="126"/>
      <c r="N872" s="126"/>
      <c r="O872" s="164"/>
      <c r="P872" s="129"/>
      <c r="Q872" s="129"/>
      <c r="R872" s="129"/>
    </row>
    <row r="873">
      <c r="A873" s="166"/>
      <c r="B873" s="167"/>
      <c r="C873" s="129"/>
      <c r="D873" s="129"/>
      <c r="E873" s="129"/>
      <c r="F873" s="164"/>
      <c r="G873" s="164"/>
      <c r="H873" s="129"/>
      <c r="I873" s="129"/>
      <c r="J873" s="129"/>
      <c r="K873" s="126"/>
      <c r="L873" s="126"/>
      <c r="M873" s="126"/>
      <c r="N873" s="126"/>
      <c r="O873" s="164"/>
      <c r="P873" s="129"/>
      <c r="Q873" s="129"/>
      <c r="R873" s="129"/>
    </row>
    <row r="874">
      <c r="A874" s="166"/>
      <c r="B874" s="167"/>
      <c r="C874" s="129"/>
      <c r="D874" s="129"/>
      <c r="E874" s="129"/>
      <c r="F874" s="164"/>
      <c r="G874" s="164"/>
      <c r="H874" s="129"/>
      <c r="I874" s="129"/>
      <c r="J874" s="129"/>
      <c r="K874" s="126"/>
      <c r="L874" s="126"/>
      <c r="M874" s="126"/>
      <c r="N874" s="126"/>
      <c r="O874" s="164"/>
      <c r="P874" s="129"/>
      <c r="Q874" s="129"/>
      <c r="R874" s="129"/>
    </row>
    <row r="875">
      <c r="A875" s="166"/>
      <c r="B875" s="167"/>
      <c r="C875" s="129"/>
      <c r="D875" s="129"/>
      <c r="E875" s="129"/>
      <c r="F875" s="164"/>
      <c r="G875" s="164"/>
      <c r="H875" s="129"/>
      <c r="I875" s="129"/>
      <c r="J875" s="129"/>
      <c r="K875" s="126"/>
      <c r="L875" s="126"/>
      <c r="M875" s="126"/>
      <c r="N875" s="126"/>
      <c r="O875" s="164"/>
      <c r="P875" s="129"/>
      <c r="Q875" s="129"/>
      <c r="R875" s="129"/>
    </row>
    <row r="876">
      <c r="A876" s="166"/>
      <c r="B876" s="167"/>
      <c r="C876" s="129"/>
      <c r="D876" s="129"/>
      <c r="E876" s="129"/>
      <c r="F876" s="164"/>
      <c r="G876" s="164"/>
      <c r="H876" s="129"/>
      <c r="I876" s="129"/>
      <c r="J876" s="129"/>
      <c r="K876" s="126"/>
      <c r="L876" s="126"/>
      <c r="M876" s="126"/>
      <c r="N876" s="126"/>
      <c r="O876" s="164"/>
      <c r="P876" s="129"/>
      <c r="Q876" s="129"/>
      <c r="R876" s="129"/>
    </row>
    <row r="877">
      <c r="A877" s="166"/>
      <c r="B877" s="167"/>
      <c r="C877" s="129"/>
      <c r="D877" s="129"/>
      <c r="E877" s="129"/>
      <c r="F877" s="164"/>
      <c r="G877" s="164"/>
      <c r="H877" s="129"/>
      <c r="I877" s="129"/>
      <c r="J877" s="129"/>
      <c r="K877" s="126"/>
      <c r="L877" s="126"/>
      <c r="M877" s="126"/>
      <c r="N877" s="126"/>
      <c r="O877" s="164"/>
      <c r="P877" s="129"/>
      <c r="Q877" s="129"/>
      <c r="R877" s="129"/>
    </row>
    <row r="878">
      <c r="A878" s="166"/>
      <c r="B878" s="167"/>
      <c r="C878" s="129"/>
      <c r="D878" s="129"/>
      <c r="E878" s="129"/>
      <c r="F878" s="164"/>
      <c r="G878" s="164"/>
      <c r="H878" s="129"/>
      <c r="I878" s="129"/>
      <c r="J878" s="129"/>
      <c r="K878" s="126"/>
      <c r="L878" s="126"/>
      <c r="M878" s="126"/>
      <c r="N878" s="126"/>
      <c r="O878" s="164"/>
      <c r="P878" s="129"/>
      <c r="Q878" s="129"/>
      <c r="R878" s="129"/>
    </row>
    <row r="879">
      <c r="A879" s="166"/>
      <c r="B879" s="167"/>
      <c r="C879" s="129"/>
      <c r="D879" s="129"/>
      <c r="E879" s="129"/>
      <c r="F879" s="164"/>
      <c r="G879" s="164"/>
      <c r="H879" s="129"/>
      <c r="I879" s="129"/>
      <c r="J879" s="129"/>
      <c r="K879" s="126"/>
      <c r="L879" s="126"/>
      <c r="M879" s="126"/>
      <c r="N879" s="126"/>
      <c r="O879" s="164"/>
      <c r="P879" s="129"/>
      <c r="Q879" s="129"/>
      <c r="R879" s="129"/>
    </row>
    <row r="880">
      <c r="A880" s="166"/>
      <c r="B880" s="167"/>
      <c r="C880" s="129"/>
      <c r="D880" s="129"/>
      <c r="E880" s="129"/>
      <c r="F880" s="164"/>
      <c r="G880" s="164"/>
      <c r="H880" s="129"/>
      <c r="I880" s="129"/>
      <c r="J880" s="129"/>
      <c r="K880" s="126"/>
      <c r="L880" s="126"/>
      <c r="M880" s="126"/>
      <c r="N880" s="126"/>
      <c r="O880" s="164"/>
      <c r="P880" s="129"/>
      <c r="Q880" s="129"/>
      <c r="R880" s="129"/>
    </row>
    <row r="881">
      <c r="A881" s="166"/>
      <c r="B881" s="167"/>
      <c r="C881" s="129"/>
      <c r="D881" s="129"/>
      <c r="E881" s="129"/>
      <c r="F881" s="164"/>
      <c r="G881" s="164"/>
      <c r="H881" s="129"/>
      <c r="I881" s="129"/>
      <c r="J881" s="129"/>
      <c r="K881" s="126"/>
      <c r="L881" s="126"/>
      <c r="M881" s="126"/>
      <c r="N881" s="126"/>
      <c r="O881" s="164"/>
      <c r="P881" s="129"/>
      <c r="Q881" s="129"/>
      <c r="R881" s="129"/>
    </row>
    <row r="882">
      <c r="A882" s="166"/>
      <c r="B882" s="167"/>
      <c r="C882" s="129"/>
      <c r="D882" s="129"/>
      <c r="E882" s="129"/>
      <c r="F882" s="164"/>
      <c r="G882" s="164"/>
      <c r="H882" s="129"/>
      <c r="I882" s="129"/>
      <c r="J882" s="129"/>
      <c r="K882" s="126"/>
      <c r="L882" s="126"/>
      <c r="M882" s="126"/>
      <c r="N882" s="126"/>
      <c r="O882" s="164"/>
      <c r="P882" s="129"/>
      <c r="Q882" s="129"/>
      <c r="R882" s="129"/>
    </row>
    <row r="883">
      <c r="A883" s="166"/>
      <c r="B883" s="167"/>
      <c r="C883" s="129"/>
      <c r="D883" s="129"/>
      <c r="E883" s="129"/>
      <c r="F883" s="164"/>
      <c r="G883" s="164"/>
      <c r="H883" s="129"/>
      <c r="I883" s="129"/>
      <c r="J883" s="129"/>
      <c r="K883" s="126"/>
      <c r="L883" s="126"/>
      <c r="M883" s="126"/>
      <c r="N883" s="126"/>
      <c r="O883" s="164"/>
      <c r="P883" s="129"/>
      <c r="Q883" s="129"/>
      <c r="R883" s="129"/>
    </row>
    <row r="884">
      <c r="A884" s="166"/>
      <c r="B884" s="167"/>
      <c r="C884" s="129"/>
      <c r="D884" s="129"/>
      <c r="E884" s="129"/>
      <c r="F884" s="164"/>
      <c r="G884" s="164"/>
      <c r="H884" s="129"/>
      <c r="I884" s="129"/>
      <c r="J884" s="129"/>
      <c r="K884" s="126"/>
      <c r="L884" s="126"/>
      <c r="M884" s="126"/>
      <c r="N884" s="126"/>
      <c r="O884" s="164"/>
      <c r="P884" s="129"/>
      <c r="Q884" s="129"/>
      <c r="R884" s="129"/>
    </row>
    <row r="885">
      <c r="A885" s="166"/>
      <c r="B885" s="167"/>
      <c r="C885" s="129"/>
      <c r="D885" s="129"/>
      <c r="E885" s="129"/>
      <c r="F885" s="164"/>
      <c r="G885" s="164"/>
      <c r="H885" s="129"/>
      <c r="I885" s="129"/>
      <c r="J885" s="129"/>
      <c r="K885" s="126"/>
      <c r="L885" s="126"/>
      <c r="M885" s="126"/>
      <c r="N885" s="126"/>
      <c r="O885" s="164"/>
      <c r="P885" s="129"/>
      <c r="Q885" s="129"/>
      <c r="R885" s="129"/>
    </row>
    <row r="886">
      <c r="A886" s="166"/>
      <c r="B886" s="167"/>
      <c r="C886" s="129"/>
      <c r="D886" s="129"/>
      <c r="E886" s="129"/>
      <c r="F886" s="164"/>
      <c r="G886" s="164"/>
      <c r="H886" s="129"/>
      <c r="I886" s="129"/>
      <c r="J886" s="129"/>
      <c r="K886" s="126"/>
      <c r="L886" s="126"/>
      <c r="M886" s="126"/>
      <c r="N886" s="126"/>
      <c r="O886" s="164"/>
      <c r="P886" s="129"/>
      <c r="Q886" s="129"/>
      <c r="R886" s="129"/>
    </row>
    <row r="887">
      <c r="A887" s="166"/>
      <c r="B887" s="167"/>
      <c r="C887" s="129"/>
      <c r="D887" s="129"/>
      <c r="E887" s="129"/>
      <c r="F887" s="164"/>
      <c r="G887" s="164"/>
      <c r="H887" s="129"/>
      <c r="I887" s="129"/>
      <c r="J887" s="129"/>
      <c r="K887" s="126"/>
      <c r="L887" s="126"/>
      <c r="M887" s="126"/>
      <c r="N887" s="126"/>
      <c r="O887" s="164"/>
      <c r="P887" s="129"/>
      <c r="Q887" s="129"/>
      <c r="R887" s="129"/>
    </row>
    <row r="888">
      <c r="A888" s="166"/>
      <c r="B888" s="167"/>
      <c r="C888" s="129"/>
      <c r="D888" s="129"/>
      <c r="E888" s="129"/>
      <c r="F888" s="164"/>
      <c r="G888" s="164"/>
      <c r="H888" s="129"/>
      <c r="I888" s="129"/>
      <c r="J888" s="129"/>
      <c r="K888" s="126"/>
      <c r="L888" s="126"/>
      <c r="M888" s="126"/>
      <c r="N888" s="126"/>
      <c r="O888" s="164"/>
      <c r="P888" s="129"/>
      <c r="Q888" s="129"/>
      <c r="R888" s="129"/>
    </row>
    <row r="889">
      <c r="A889" s="166"/>
      <c r="B889" s="167"/>
      <c r="C889" s="129"/>
      <c r="D889" s="129"/>
      <c r="E889" s="129"/>
      <c r="F889" s="164"/>
      <c r="G889" s="164"/>
      <c r="H889" s="129"/>
      <c r="I889" s="129"/>
      <c r="J889" s="129"/>
      <c r="K889" s="126"/>
      <c r="L889" s="126"/>
      <c r="M889" s="126"/>
      <c r="N889" s="126"/>
      <c r="O889" s="164"/>
      <c r="P889" s="129"/>
      <c r="Q889" s="129"/>
      <c r="R889" s="129"/>
    </row>
    <row r="890">
      <c r="A890" s="166"/>
      <c r="B890" s="167"/>
      <c r="C890" s="129"/>
      <c r="D890" s="129"/>
      <c r="E890" s="129"/>
      <c r="F890" s="164"/>
      <c r="G890" s="164"/>
      <c r="H890" s="129"/>
      <c r="I890" s="129"/>
      <c r="J890" s="129"/>
      <c r="K890" s="126"/>
      <c r="L890" s="126"/>
      <c r="M890" s="126"/>
      <c r="N890" s="126"/>
      <c r="O890" s="164"/>
      <c r="P890" s="129"/>
      <c r="Q890" s="129"/>
      <c r="R890" s="129"/>
    </row>
    <row r="891">
      <c r="A891" s="166"/>
      <c r="B891" s="167"/>
      <c r="C891" s="129"/>
      <c r="D891" s="129"/>
      <c r="E891" s="129"/>
      <c r="F891" s="164"/>
      <c r="G891" s="164"/>
      <c r="H891" s="129"/>
      <c r="I891" s="129"/>
      <c r="J891" s="129"/>
      <c r="K891" s="126"/>
      <c r="L891" s="126"/>
      <c r="M891" s="126"/>
      <c r="N891" s="126"/>
      <c r="O891" s="164"/>
      <c r="P891" s="129"/>
      <c r="Q891" s="129"/>
      <c r="R891" s="129"/>
    </row>
    <row r="892">
      <c r="A892" s="166"/>
      <c r="B892" s="167"/>
      <c r="C892" s="129"/>
      <c r="D892" s="129"/>
      <c r="E892" s="129"/>
      <c r="F892" s="164"/>
      <c r="G892" s="164"/>
      <c r="H892" s="129"/>
      <c r="I892" s="129"/>
      <c r="J892" s="129"/>
      <c r="K892" s="126"/>
      <c r="L892" s="126"/>
      <c r="M892" s="126"/>
      <c r="N892" s="126"/>
      <c r="O892" s="164"/>
      <c r="P892" s="129"/>
      <c r="Q892" s="129"/>
      <c r="R892" s="129"/>
    </row>
    <row r="893">
      <c r="A893" s="166"/>
      <c r="B893" s="167"/>
      <c r="C893" s="129"/>
      <c r="D893" s="129"/>
      <c r="E893" s="129"/>
      <c r="F893" s="164"/>
      <c r="G893" s="164"/>
      <c r="H893" s="129"/>
      <c r="I893" s="129"/>
      <c r="J893" s="129"/>
      <c r="K893" s="126"/>
      <c r="L893" s="126"/>
      <c r="M893" s="126"/>
      <c r="N893" s="126"/>
      <c r="O893" s="164"/>
      <c r="P893" s="129"/>
      <c r="Q893" s="129"/>
      <c r="R893" s="129"/>
    </row>
    <row r="894">
      <c r="A894" s="166"/>
      <c r="B894" s="167"/>
      <c r="C894" s="129"/>
      <c r="D894" s="129"/>
      <c r="E894" s="129"/>
      <c r="F894" s="164"/>
      <c r="G894" s="164"/>
      <c r="H894" s="129"/>
      <c r="I894" s="129"/>
      <c r="J894" s="129"/>
      <c r="K894" s="126"/>
      <c r="L894" s="126"/>
      <c r="M894" s="126"/>
      <c r="N894" s="126"/>
      <c r="O894" s="164"/>
      <c r="P894" s="129"/>
      <c r="Q894" s="129"/>
      <c r="R894" s="129"/>
    </row>
    <row r="895">
      <c r="A895" s="166"/>
      <c r="B895" s="167"/>
      <c r="C895" s="129"/>
      <c r="D895" s="129"/>
      <c r="E895" s="129"/>
      <c r="F895" s="164"/>
      <c r="G895" s="164"/>
      <c r="H895" s="129"/>
      <c r="I895" s="129"/>
      <c r="J895" s="129"/>
      <c r="K895" s="126"/>
      <c r="L895" s="126"/>
      <c r="M895" s="126"/>
      <c r="N895" s="126"/>
      <c r="O895" s="164"/>
      <c r="P895" s="129"/>
      <c r="Q895" s="129"/>
      <c r="R895" s="129"/>
    </row>
    <row r="896">
      <c r="A896" s="166"/>
      <c r="B896" s="167"/>
      <c r="C896" s="129"/>
      <c r="D896" s="129"/>
      <c r="E896" s="129"/>
      <c r="F896" s="164"/>
      <c r="G896" s="164"/>
      <c r="H896" s="129"/>
      <c r="I896" s="129"/>
      <c r="J896" s="129"/>
      <c r="K896" s="126"/>
      <c r="L896" s="126"/>
      <c r="M896" s="126"/>
      <c r="N896" s="126"/>
      <c r="O896" s="164"/>
      <c r="P896" s="129"/>
      <c r="Q896" s="129"/>
      <c r="R896" s="129"/>
    </row>
    <row r="897">
      <c r="A897" s="166"/>
      <c r="B897" s="167"/>
      <c r="C897" s="129"/>
      <c r="D897" s="129"/>
      <c r="E897" s="129"/>
      <c r="F897" s="164"/>
      <c r="G897" s="164"/>
      <c r="H897" s="129"/>
      <c r="I897" s="129"/>
      <c r="J897" s="129"/>
      <c r="K897" s="126"/>
      <c r="L897" s="126"/>
      <c r="M897" s="126"/>
      <c r="N897" s="126"/>
      <c r="O897" s="164"/>
      <c r="P897" s="129"/>
      <c r="Q897" s="129"/>
      <c r="R897" s="129"/>
    </row>
    <row r="898">
      <c r="A898" s="166"/>
      <c r="B898" s="167"/>
      <c r="C898" s="129"/>
      <c r="D898" s="129"/>
      <c r="E898" s="129"/>
      <c r="F898" s="164"/>
      <c r="G898" s="164"/>
      <c r="H898" s="129"/>
      <c r="I898" s="129"/>
      <c r="J898" s="129"/>
      <c r="K898" s="126"/>
      <c r="L898" s="126"/>
      <c r="M898" s="126"/>
      <c r="N898" s="126"/>
      <c r="O898" s="164"/>
      <c r="P898" s="129"/>
      <c r="Q898" s="129"/>
      <c r="R898" s="129"/>
    </row>
    <row r="899">
      <c r="A899" s="166"/>
      <c r="B899" s="167"/>
      <c r="C899" s="129"/>
      <c r="D899" s="129"/>
      <c r="E899" s="129"/>
      <c r="F899" s="164"/>
      <c r="G899" s="164"/>
      <c r="H899" s="129"/>
      <c r="I899" s="129"/>
      <c r="J899" s="129"/>
      <c r="K899" s="126"/>
      <c r="L899" s="126"/>
      <c r="M899" s="126"/>
      <c r="N899" s="126"/>
      <c r="O899" s="164"/>
      <c r="P899" s="129"/>
      <c r="Q899" s="129"/>
      <c r="R899" s="129"/>
    </row>
    <row r="900">
      <c r="A900" s="166"/>
      <c r="B900" s="167"/>
      <c r="C900" s="129"/>
      <c r="D900" s="129"/>
      <c r="E900" s="129"/>
      <c r="F900" s="164"/>
      <c r="G900" s="164"/>
      <c r="H900" s="129"/>
      <c r="I900" s="129"/>
      <c r="J900" s="129"/>
      <c r="K900" s="126"/>
      <c r="L900" s="126"/>
      <c r="M900" s="126"/>
      <c r="N900" s="126"/>
      <c r="O900" s="164"/>
      <c r="P900" s="129"/>
      <c r="Q900" s="129"/>
      <c r="R900" s="129"/>
    </row>
    <row r="901">
      <c r="A901" s="166"/>
      <c r="B901" s="167"/>
      <c r="C901" s="129"/>
      <c r="D901" s="129"/>
      <c r="E901" s="129"/>
      <c r="F901" s="164"/>
      <c r="G901" s="164"/>
      <c r="H901" s="129"/>
      <c r="I901" s="129"/>
      <c r="J901" s="129"/>
      <c r="K901" s="126"/>
      <c r="L901" s="126"/>
      <c r="M901" s="126"/>
      <c r="N901" s="126"/>
      <c r="O901" s="164"/>
      <c r="P901" s="129"/>
      <c r="Q901" s="129"/>
      <c r="R901" s="129"/>
    </row>
    <row r="902">
      <c r="A902" s="166"/>
      <c r="B902" s="167"/>
      <c r="C902" s="129"/>
      <c r="D902" s="129"/>
      <c r="E902" s="129"/>
      <c r="F902" s="164"/>
      <c r="G902" s="164"/>
      <c r="H902" s="129"/>
      <c r="I902" s="129"/>
      <c r="J902" s="129"/>
      <c r="K902" s="126"/>
      <c r="L902" s="126"/>
      <c r="M902" s="126"/>
      <c r="N902" s="126"/>
      <c r="O902" s="164"/>
      <c r="P902" s="129"/>
      <c r="Q902" s="129"/>
      <c r="R902" s="129"/>
    </row>
    <row r="903">
      <c r="A903" s="166"/>
      <c r="B903" s="167"/>
      <c r="C903" s="129"/>
      <c r="D903" s="129"/>
      <c r="E903" s="129"/>
      <c r="F903" s="164"/>
      <c r="G903" s="164"/>
      <c r="H903" s="129"/>
      <c r="I903" s="129"/>
      <c r="J903" s="129"/>
      <c r="K903" s="126"/>
      <c r="L903" s="126"/>
      <c r="M903" s="126"/>
      <c r="N903" s="126"/>
      <c r="O903" s="164"/>
      <c r="P903" s="129"/>
      <c r="Q903" s="129"/>
      <c r="R903" s="129"/>
    </row>
    <row r="904">
      <c r="A904" s="166"/>
      <c r="B904" s="167"/>
      <c r="C904" s="129"/>
      <c r="D904" s="129"/>
      <c r="E904" s="129"/>
      <c r="F904" s="164"/>
      <c r="G904" s="164"/>
      <c r="H904" s="129"/>
      <c r="I904" s="129"/>
      <c r="J904" s="129"/>
      <c r="K904" s="126"/>
      <c r="L904" s="126"/>
      <c r="M904" s="126"/>
      <c r="N904" s="126"/>
      <c r="O904" s="164"/>
      <c r="P904" s="129"/>
      <c r="Q904" s="129"/>
      <c r="R904" s="129"/>
    </row>
    <row r="905">
      <c r="A905" s="166"/>
      <c r="B905" s="167"/>
      <c r="C905" s="129"/>
      <c r="D905" s="129"/>
      <c r="E905" s="129"/>
      <c r="F905" s="164"/>
      <c r="G905" s="164"/>
      <c r="H905" s="129"/>
      <c r="I905" s="129"/>
      <c r="J905" s="129"/>
      <c r="K905" s="126"/>
      <c r="L905" s="126"/>
      <c r="M905" s="126"/>
      <c r="N905" s="126"/>
      <c r="O905" s="164"/>
      <c r="P905" s="129"/>
      <c r="Q905" s="129"/>
      <c r="R905" s="129"/>
    </row>
    <row r="906">
      <c r="A906" s="166"/>
      <c r="B906" s="167"/>
      <c r="C906" s="129"/>
      <c r="D906" s="129"/>
      <c r="E906" s="129"/>
      <c r="F906" s="164"/>
      <c r="G906" s="164"/>
      <c r="H906" s="129"/>
      <c r="I906" s="129"/>
      <c r="J906" s="129"/>
      <c r="K906" s="126"/>
      <c r="L906" s="126"/>
      <c r="M906" s="126"/>
      <c r="N906" s="126"/>
      <c r="O906" s="164"/>
      <c r="P906" s="129"/>
      <c r="Q906" s="129"/>
      <c r="R906" s="129"/>
    </row>
    <row r="907">
      <c r="A907" s="166"/>
      <c r="B907" s="167"/>
      <c r="C907" s="129"/>
      <c r="D907" s="129"/>
      <c r="E907" s="129"/>
      <c r="F907" s="164"/>
      <c r="G907" s="164"/>
      <c r="H907" s="129"/>
      <c r="I907" s="129"/>
      <c r="J907" s="129"/>
      <c r="K907" s="126"/>
      <c r="L907" s="126"/>
      <c r="M907" s="126"/>
      <c r="N907" s="126"/>
      <c r="O907" s="164"/>
      <c r="P907" s="129"/>
      <c r="Q907" s="129"/>
      <c r="R907" s="129"/>
    </row>
    <row r="908">
      <c r="A908" s="166"/>
      <c r="B908" s="167"/>
      <c r="C908" s="129"/>
      <c r="D908" s="129"/>
      <c r="E908" s="129"/>
      <c r="F908" s="164"/>
      <c r="G908" s="164"/>
      <c r="H908" s="129"/>
      <c r="I908" s="129"/>
      <c r="J908" s="129"/>
      <c r="K908" s="126"/>
      <c r="L908" s="126"/>
      <c r="M908" s="126"/>
      <c r="N908" s="126"/>
      <c r="O908" s="164"/>
      <c r="P908" s="129"/>
      <c r="Q908" s="129"/>
      <c r="R908" s="129"/>
    </row>
    <row r="909">
      <c r="A909" s="166"/>
      <c r="B909" s="167"/>
      <c r="C909" s="129"/>
      <c r="D909" s="129"/>
      <c r="E909" s="129"/>
      <c r="F909" s="164"/>
      <c r="G909" s="164"/>
      <c r="H909" s="129"/>
      <c r="I909" s="129"/>
      <c r="J909" s="129"/>
      <c r="K909" s="126"/>
      <c r="L909" s="126"/>
      <c r="M909" s="126"/>
      <c r="N909" s="126"/>
      <c r="O909" s="164"/>
      <c r="P909" s="129"/>
      <c r="Q909" s="129"/>
      <c r="R909" s="129"/>
    </row>
    <row r="910">
      <c r="A910" s="166"/>
      <c r="B910" s="167"/>
      <c r="C910" s="129"/>
      <c r="D910" s="129"/>
      <c r="E910" s="129"/>
      <c r="F910" s="164"/>
      <c r="G910" s="164"/>
      <c r="H910" s="129"/>
      <c r="I910" s="129"/>
      <c r="J910" s="129"/>
      <c r="K910" s="126"/>
      <c r="L910" s="126"/>
      <c r="M910" s="126"/>
      <c r="N910" s="126"/>
      <c r="O910" s="164"/>
      <c r="P910" s="129"/>
      <c r="Q910" s="129"/>
      <c r="R910" s="129"/>
    </row>
    <row r="911">
      <c r="A911" s="166"/>
      <c r="B911" s="167"/>
      <c r="C911" s="129"/>
      <c r="D911" s="129"/>
      <c r="E911" s="129"/>
      <c r="F911" s="164"/>
      <c r="G911" s="164"/>
      <c r="H911" s="129"/>
      <c r="I911" s="129"/>
      <c r="J911" s="129"/>
      <c r="K911" s="126"/>
      <c r="L911" s="126"/>
      <c r="M911" s="126"/>
      <c r="N911" s="126"/>
      <c r="O911" s="164"/>
      <c r="P911" s="129"/>
      <c r="Q911" s="129"/>
      <c r="R911" s="129"/>
    </row>
    <row r="912">
      <c r="A912" s="166"/>
      <c r="B912" s="167"/>
      <c r="C912" s="129"/>
      <c r="D912" s="129"/>
      <c r="E912" s="129"/>
      <c r="F912" s="164"/>
      <c r="G912" s="164"/>
      <c r="H912" s="129"/>
      <c r="I912" s="129"/>
      <c r="J912" s="129"/>
      <c r="K912" s="126"/>
      <c r="L912" s="126"/>
      <c r="M912" s="126"/>
      <c r="N912" s="126"/>
      <c r="O912" s="164"/>
      <c r="P912" s="129"/>
      <c r="Q912" s="129"/>
      <c r="R912" s="129"/>
    </row>
    <row r="913">
      <c r="A913" s="166"/>
      <c r="B913" s="167"/>
      <c r="C913" s="129"/>
      <c r="D913" s="129"/>
      <c r="E913" s="129"/>
      <c r="F913" s="164"/>
      <c r="G913" s="164"/>
      <c r="H913" s="129"/>
      <c r="I913" s="129"/>
      <c r="J913" s="129"/>
      <c r="K913" s="126"/>
      <c r="L913" s="126"/>
      <c r="M913" s="126"/>
      <c r="N913" s="126"/>
      <c r="O913" s="164"/>
      <c r="P913" s="129"/>
      <c r="Q913" s="129"/>
      <c r="R913" s="129"/>
    </row>
    <row r="914">
      <c r="A914" s="166"/>
      <c r="B914" s="167"/>
      <c r="C914" s="129"/>
      <c r="D914" s="129"/>
      <c r="E914" s="129"/>
      <c r="F914" s="164"/>
      <c r="G914" s="164"/>
      <c r="H914" s="129"/>
      <c r="I914" s="129"/>
      <c r="J914" s="129"/>
      <c r="K914" s="126"/>
      <c r="L914" s="126"/>
      <c r="M914" s="126"/>
      <c r="N914" s="126"/>
      <c r="O914" s="164"/>
      <c r="P914" s="129"/>
      <c r="Q914" s="129"/>
      <c r="R914" s="129"/>
    </row>
    <row r="915">
      <c r="A915" s="166"/>
      <c r="B915" s="167"/>
      <c r="C915" s="129"/>
      <c r="D915" s="129"/>
      <c r="E915" s="129"/>
      <c r="F915" s="164"/>
      <c r="G915" s="164"/>
      <c r="H915" s="129"/>
      <c r="I915" s="129"/>
      <c r="J915" s="129"/>
      <c r="K915" s="126"/>
      <c r="L915" s="126"/>
      <c r="M915" s="126"/>
      <c r="N915" s="126"/>
      <c r="O915" s="164"/>
      <c r="P915" s="129"/>
      <c r="Q915" s="129"/>
      <c r="R915" s="129"/>
    </row>
    <row r="916">
      <c r="A916" s="166"/>
      <c r="B916" s="167"/>
      <c r="C916" s="129"/>
      <c r="D916" s="129"/>
      <c r="E916" s="129"/>
      <c r="F916" s="164"/>
      <c r="G916" s="164"/>
      <c r="H916" s="129"/>
      <c r="I916" s="129"/>
      <c r="J916" s="129"/>
      <c r="K916" s="126"/>
      <c r="L916" s="126"/>
      <c r="M916" s="126"/>
      <c r="N916" s="126"/>
      <c r="O916" s="164"/>
      <c r="P916" s="129"/>
      <c r="Q916" s="129"/>
      <c r="R916" s="129"/>
    </row>
    <row r="917">
      <c r="A917" s="166"/>
      <c r="B917" s="167"/>
      <c r="C917" s="129"/>
      <c r="D917" s="129"/>
      <c r="E917" s="129"/>
      <c r="F917" s="164"/>
      <c r="G917" s="164"/>
      <c r="H917" s="129"/>
      <c r="I917" s="129"/>
      <c r="J917" s="129"/>
      <c r="K917" s="126"/>
      <c r="L917" s="126"/>
      <c r="M917" s="126"/>
      <c r="N917" s="126"/>
      <c r="O917" s="164"/>
      <c r="P917" s="129"/>
      <c r="Q917" s="129"/>
      <c r="R917" s="129"/>
    </row>
    <row r="918">
      <c r="A918" s="166"/>
      <c r="B918" s="167"/>
      <c r="C918" s="129"/>
      <c r="D918" s="129"/>
      <c r="E918" s="129"/>
      <c r="F918" s="164"/>
      <c r="G918" s="164"/>
      <c r="H918" s="129"/>
      <c r="I918" s="129"/>
      <c r="J918" s="129"/>
      <c r="K918" s="126"/>
      <c r="L918" s="126"/>
      <c r="M918" s="126"/>
      <c r="N918" s="126"/>
      <c r="O918" s="164"/>
      <c r="P918" s="129"/>
      <c r="Q918" s="129"/>
      <c r="R918" s="129"/>
    </row>
    <row r="919">
      <c r="A919" s="166"/>
      <c r="B919" s="167"/>
      <c r="C919" s="129"/>
      <c r="D919" s="129"/>
      <c r="E919" s="129"/>
      <c r="F919" s="164"/>
      <c r="G919" s="164"/>
      <c r="H919" s="129"/>
      <c r="I919" s="129"/>
      <c r="J919" s="129"/>
      <c r="K919" s="126"/>
      <c r="L919" s="126"/>
      <c r="M919" s="126"/>
      <c r="N919" s="126"/>
      <c r="O919" s="164"/>
      <c r="P919" s="129"/>
      <c r="Q919" s="129"/>
      <c r="R919" s="129"/>
    </row>
    <row r="920">
      <c r="A920" s="166"/>
      <c r="B920" s="167"/>
      <c r="C920" s="129"/>
      <c r="D920" s="129"/>
      <c r="E920" s="129"/>
      <c r="F920" s="164"/>
      <c r="G920" s="164"/>
      <c r="H920" s="129"/>
      <c r="I920" s="129"/>
      <c r="J920" s="129"/>
      <c r="K920" s="126"/>
      <c r="L920" s="126"/>
      <c r="M920" s="126"/>
      <c r="N920" s="126"/>
      <c r="O920" s="164"/>
      <c r="P920" s="129"/>
      <c r="Q920" s="129"/>
      <c r="R920" s="129"/>
    </row>
    <row r="921">
      <c r="A921" s="166"/>
      <c r="B921" s="167"/>
      <c r="C921" s="129"/>
      <c r="D921" s="129"/>
      <c r="E921" s="129"/>
      <c r="F921" s="164"/>
      <c r="G921" s="164"/>
      <c r="H921" s="129"/>
      <c r="I921" s="129"/>
      <c r="J921" s="129"/>
      <c r="K921" s="126"/>
      <c r="L921" s="126"/>
      <c r="M921" s="126"/>
      <c r="N921" s="126"/>
      <c r="O921" s="164"/>
      <c r="P921" s="129"/>
      <c r="Q921" s="129"/>
      <c r="R921" s="129"/>
    </row>
    <row r="922">
      <c r="A922" s="166"/>
      <c r="B922" s="167"/>
      <c r="C922" s="129"/>
      <c r="D922" s="129"/>
      <c r="E922" s="129"/>
      <c r="F922" s="164"/>
      <c r="G922" s="164"/>
      <c r="H922" s="129"/>
      <c r="I922" s="129"/>
      <c r="J922" s="129"/>
      <c r="K922" s="126"/>
      <c r="L922" s="126"/>
      <c r="M922" s="126"/>
      <c r="N922" s="126"/>
      <c r="O922" s="164"/>
      <c r="P922" s="129"/>
      <c r="Q922" s="129"/>
      <c r="R922" s="129"/>
    </row>
    <row r="923">
      <c r="A923" s="166"/>
      <c r="B923" s="167"/>
      <c r="C923" s="129"/>
      <c r="D923" s="129"/>
      <c r="E923" s="129"/>
      <c r="F923" s="164"/>
      <c r="G923" s="164"/>
      <c r="H923" s="129"/>
      <c r="I923" s="129"/>
      <c r="J923" s="129"/>
      <c r="K923" s="126"/>
      <c r="L923" s="126"/>
      <c r="M923" s="126"/>
      <c r="N923" s="126"/>
      <c r="O923" s="164"/>
      <c r="P923" s="129"/>
      <c r="Q923" s="129"/>
      <c r="R923" s="129"/>
    </row>
    <row r="924">
      <c r="A924" s="166"/>
      <c r="B924" s="167"/>
      <c r="C924" s="129"/>
      <c r="D924" s="129"/>
      <c r="E924" s="129"/>
      <c r="F924" s="164"/>
      <c r="G924" s="164"/>
      <c r="H924" s="129"/>
      <c r="I924" s="129"/>
      <c r="J924" s="129"/>
      <c r="K924" s="126"/>
      <c r="L924" s="126"/>
      <c r="M924" s="126"/>
      <c r="N924" s="126"/>
      <c r="O924" s="164"/>
      <c r="P924" s="129"/>
      <c r="Q924" s="129"/>
      <c r="R924" s="129"/>
    </row>
    <row r="925">
      <c r="A925" s="166"/>
      <c r="B925" s="167"/>
      <c r="C925" s="129"/>
      <c r="D925" s="129"/>
      <c r="E925" s="129"/>
      <c r="F925" s="164"/>
      <c r="G925" s="164"/>
      <c r="H925" s="129"/>
      <c r="I925" s="129"/>
      <c r="J925" s="129"/>
      <c r="K925" s="126"/>
      <c r="L925" s="126"/>
      <c r="M925" s="126"/>
      <c r="N925" s="126"/>
      <c r="O925" s="164"/>
      <c r="P925" s="129"/>
      <c r="Q925" s="129"/>
      <c r="R925" s="129"/>
    </row>
    <row r="926">
      <c r="A926" s="166"/>
      <c r="B926" s="167"/>
      <c r="C926" s="129"/>
      <c r="D926" s="129"/>
      <c r="E926" s="129"/>
      <c r="F926" s="164"/>
      <c r="G926" s="164"/>
      <c r="H926" s="129"/>
      <c r="I926" s="129"/>
      <c r="J926" s="129"/>
      <c r="K926" s="126"/>
      <c r="L926" s="126"/>
      <c r="M926" s="126"/>
      <c r="N926" s="126"/>
      <c r="O926" s="164"/>
      <c r="P926" s="129"/>
      <c r="Q926" s="129"/>
      <c r="R926" s="129"/>
    </row>
    <row r="927">
      <c r="A927" s="166"/>
      <c r="B927" s="167"/>
      <c r="C927" s="129"/>
      <c r="D927" s="129"/>
      <c r="E927" s="129"/>
      <c r="F927" s="164"/>
      <c r="G927" s="164"/>
      <c r="H927" s="129"/>
      <c r="I927" s="129"/>
      <c r="J927" s="129"/>
      <c r="K927" s="126"/>
      <c r="L927" s="126"/>
      <c r="M927" s="126"/>
      <c r="N927" s="126"/>
      <c r="O927" s="164"/>
      <c r="P927" s="129"/>
      <c r="Q927" s="129"/>
      <c r="R927" s="129"/>
    </row>
    <row r="928">
      <c r="A928" s="166"/>
      <c r="B928" s="167"/>
      <c r="C928" s="129"/>
      <c r="D928" s="129"/>
      <c r="E928" s="129"/>
      <c r="F928" s="164"/>
      <c r="G928" s="164"/>
      <c r="H928" s="129"/>
      <c r="I928" s="129"/>
      <c r="J928" s="129"/>
      <c r="K928" s="126"/>
      <c r="L928" s="126"/>
      <c r="M928" s="126"/>
      <c r="N928" s="126"/>
      <c r="O928" s="164"/>
      <c r="P928" s="129"/>
      <c r="Q928" s="129"/>
      <c r="R928" s="129"/>
    </row>
    <row r="929">
      <c r="A929" s="166"/>
      <c r="B929" s="167"/>
      <c r="C929" s="129"/>
      <c r="D929" s="129"/>
      <c r="E929" s="129"/>
      <c r="F929" s="164"/>
      <c r="G929" s="164"/>
      <c r="H929" s="129"/>
      <c r="I929" s="129"/>
      <c r="J929" s="129"/>
      <c r="K929" s="126"/>
      <c r="L929" s="126"/>
      <c r="M929" s="126"/>
      <c r="N929" s="126"/>
      <c r="O929" s="164"/>
      <c r="P929" s="129"/>
      <c r="Q929" s="129"/>
      <c r="R929" s="129"/>
    </row>
    <row r="930">
      <c r="A930" s="166"/>
      <c r="B930" s="167"/>
      <c r="C930" s="129"/>
      <c r="D930" s="129"/>
      <c r="E930" s="129"/>
      <c r="F930" s="164"/>
      <c r="G930" s="164"/>
      <c r="H930" s="129"/>
      <c r="I930" s="129"/>
      <c r="J930" s="129"/>
      <c r="K930" s="126"/>
      <c r="L930" s="126"/>
      <c r="M930" s="126"/>
      <c r="N930" s="126"/>
      <c r="O930" s="164"/>
      <c r="P930" s="129"/>
      <c r="Q930" s="129"/>
      <c r="R930" s="129"/>
    </row>
    <row r="931">
      <c r="A931" s="166"/>
      <c r="B931" s="167"/>
      <c r="C931" s="129"/>
      <c r="D931" s="129"/>
      <c r="E931" s="129"/>
      <c r="F931" s="164"/>
      <c r="G931" s="164"/>
      <c r="H931" s="129"/>
      <c r="I931" s="129"/>
      <c r="J931" s="129"/>
      <c r="K931" s="126"/>
      <c r="L931" s="126"/>
      <c r="M931" s="126"/>
      <c r="N931" s="126"/>
      <c r="O931" s="164"/>
      <c r="P931" s="129"/>
      <c r="Q931" s="129"/>
      <c r="R931" s="129"/>
    </row>
    <row r="932">
      <c r="A932" s="166"/>
      <c r="B932" s="167"/>
      <c r="C932" s="129"/>
      <c r="D932" s="129"/>
      <c r="E932" s="129"/>
      <c r="F932" s="164"/>
      <c r="G932" s="164"/>
      <c r="H932" s="129"/>
      <c r="I932" s="129"/>
      <c r="J932" s="129"/>
      <c r="K932" s="126"/>
      <c r="L932" s="126"/>
      <c r="M932" s="126"/>
      <c r="N932" s="126"/>
      <c r="O932" s="164"/>
      <c r="P932" s="129"/>
      <c r="Q932" s="129"/>
      <c r="R932" s="129"/>
    </row>
    <row r="933">
      <c r="A933" s="166"/>
      <c r="B933" s="167"/>
      <c r="C933" s="129"/>
      <c r="D933" s="129"/>
      <c r="E933" s="129"/>
      <c r="F933" s="164"/>
      <c r="G933" s="164"/>
      <c r="H933" s="129"/>
      <c r="I933" s="129"/>
      <c r="J933" s="129"/>
      <c r="K933" s="126"/>
      <c r="L933" s="126"/>
      <c r="M933" s="126"/>
      <c r="N933" s="126"/>
      <c r="O933" s="164"/>
      <c r="P933" s="129"/>
      <c r="Q933" s="129"/>
      <c r="R933" s="129"/>
    </row>
    <row r="934">
      <c r="A934" s="166"/>
      <c r="B934" s="167"/>
      <c r="C934" s="129"/>
      <c r="D934" s="129"/>
      <c r="E934" s="129"/>
      <c r="F934" s="164"/>
      <c r="G934" s="164"/>
      <c r="H934" s="129"/>
      <c r="I934" s="129"/>
      <c r="J934" s="129"/>
      <c r="K934" s="126"/>
      <c r="L934" s="126"/>
      <c r="M934" s="126"/>
      <c r="N934" s="126"/>
      <c r="O934" s="164"/>
      <c r="P934" s="129"/>
      <c r="Q934" s="129"/>
      <c r="R934" s="129"/>
    </row>
    <row r="935">
      <c r="A935" s="166"/>
      <c r="B935" s="167"/>
      <c r="C935" s="129"/>
      <c r="D935" s="129"/>
      <c r="E935" s="129"/>
      <c r="F935" s="164"/>
      <c r="G935" s="164"/>
      <c r="H935" s="129"/>
      <c r="I935" s="129"/>
      <c r="J935" s="129"/>
      <c r="K935" s="126"/>
      <c r="L935" s="126"/>
      <c r="M935" s="126"/>
      <c r="N935" s="126"/>
      <c r="O935" s="164"/>
      <c r="P935" s="129"/>
      <c r="Q935" s="129"/>
      <c r="R935" s="129"/>
    </row>
    <row r="936">
      <c r="A936" s="166"/>
      <c r="B936" s="167"/>
      <c r="C936" s="129"/>
      <c r="D936" s="129"/>
      <c r="E936" s="129"/>
      <c r="F936" s="164"/>
      <c r="G936" s="164"/>
      <c r="H936" s="129"/>
      <c r="I936" s="129"/>
      <c r="J936" s="129"/>
      <c r="K936" s="126"/>
      <c r="L936" s="126"/>
      <c r="M936" s="126"/>
      <c r="N936" s="126"/>
      <c r="O936" s="164"/>
      <c r="P936" s="129"/>
      <c r="Q936" s="129"/>
      <c r="R936" s="129"/>
    </row>
    <row r="937">
      <c r="A937" s="166"/>
      <c r="B937" s="167"/>
      <c r="C937" s="129"/>
      <c r="D937" s="129"/>
      <c r="E937" s="129"/>
      <c r="F937" s="164"/>
      <c r="G937" s="164"/>
      <c r="H937" s="129"/>
      <c r="I937" s="129"/>
      <c r="J937" s="129"/>
      <c r="K937" s="126"/>
      <c r="L937" s="126"/>
      <c r="M937" s="126"/>
      <c r="N937" s="126"/>
      <c r="O937" s="164"/>
      <c r="P937" s="129"/>
      <c r="Q937" s="129"/>
      <c r="R937" s="129"/>
    </row>
    <row r="938">
      <c r="A938" s="166"/>
      <c r="B938" s="167"/>
      <c r="C938" s="129"/>
      <c r="D938" s="129"/>
      <c r="E938" s="129"/>
      <c r="F938" s="164"/>
      <c r="G938" s="164"/>
      <c r="H938" s="129"/>
      <c r="I938" s="129"/>
      <c r="J938" s="129"/>
      <c r="K938" s="126"/>
      <c r="L938" s="126"/>
      <c r="M938" s="126"/>
      <c r="N938" s="126"/>
      <c r="O938" s="164"/>
      <c r="P938" s="129"/>
      <c r="Q938" s="129"/>
      <c r="R938" s="129"/>
    </row>
    <row r="939">
      <c r="A939" s="166"/>
      <c r="B939" s="167"/>
      <c r="C939" s="129"/>
      <c r="D939" s="129"/>
      <c r="E939" s="129"/>
      <c r="F939" s="164"/>
      <c r="G939" s="164"/>
      <c r="H939" s="129"/>
      <c r="I939" s="129"/>
      <c r="J939" s="129"/>
      <c r="K939" s="126"/>
      <c r="L939" s="126"/>
      <c r="M939" s="126"/>
      <c r="N939" s="126"/>
      <c r="O939" s="164"/>
      <c r="P939" s="129"/>
      <c r="Q939" s="129"/>
      <c r="R939" s="129"/>
    </row>
    <row r="940">
      <c r="A940" s="166"/>
      <c r="B940" s="167"/>
      <c r="C940" s="129"/>
      <c r="D940" s="129"/>
      <c r="E940" s="129"/>
      <c r="F940" s="164"/>
      <c r="G940" s="164"/>
      <c r="H940" s="129"/>
      <c r="I940" s="129"/>
      <c r="J940" s="129"/>
      <c r="K940" s="126"/>
      <c r="L940" s="126"/>
      <c r="M940" s="126"/>
      <c r="N940" s="126"/>
      <c r="O940" s="164"/>
      <c r="P940" s="129"/>
      <c r="Q940" s="129"/>
      <c r="R940" s="129"/>
    </row>
    <row r="941">
      <c r="A941" s="166"/>
      <c r="B941" s="167"/>
      <c r="C941" s="129"/>
      <c r="D941" s="129"/>
      <c r="E941" s="129"/>
      <c r="F941" s="164"/>
      <c r="G941" s="164"/>
      <c r="H941" s="129"/>
      <c r="I941" s="129"/>
      <c r="J941" s="129"/>
      <c r="K941" s="126"/>
      <c r="L941" s="126"/>
      <c r="M941" s="126"/>
      <c r="N941" s="126"/>
      <c r="O941" s="164"/>
      <c r="P941" s="129"/>
      <c r="Q941" s="129"/>
      <c r="R941" s="129"/>
    </row>
    <row r="942">
      <c r="A942" s="166"/>
      <c r="B942" s="167"/>
      <c r="C942" s="129"/>
      <c r="D942" s="129"/>
      <c r="E942" s="129"/>
      <c r="F942" s="164"/>
      <c r="G942" s="164"/>
      <c r="H942" s="129"/>
      <c r="I942" s="129"/>
      <c r="J942" s="129"/>
      <c r="K942" s="126"/>
      <c r="L942" s="126"/>
      <c r="M942" s="126"/>
      <c r="N942" s="126"/>
      <c r="O942" s="164"/>
      <c r="P942" s="129"/>
      <c r="Q942" s="129"/>
      <c r="R942" s="129"/>
    </row>
    <row r="943">
      <c r="A943" s="166"/>
      <c r="B943" s="167"/>
      <c r="C943" s="129"/>
      <c r="D943" s="129"/>
      <c r="E943" s="129"/>
      <c r="F943" s="164"/>
      <c r="G943" s="164"/>
      <c r="H943" s="129"/>
      <c r="I943" s="129"/>
      <c r="J943" s="129"/>
      <c r="K943" s="126"/>
      <c r="L943" s="126"/>
      <c r="M943" s="126"/>
      <c r="N943" s="126"/>
      <c r="O943" s="164"/>
      <c r="P943" s="129"/>
      <c r="Q943" s="129"/>
      <c r="R943" s="129"/>
    </row>
    <row r="944">
      <c r="A944" s="166"/>
      <c r="B944" s="167"/>
      <c r="C944" s="129"/>
      <c r="D944" s="129"/>
      <c r="E944" s="129"/>
      <c r="F944" s="164"/>
      <c r="G944" s="164"/>
      <c r="H944" s="129"/>
      <c r="I944" s="129"/>
      <c r="J944" s="129"/>
      <c r="K944" s="126"/>
      <c r="L944" s="126"/>
      <c r="M944" s="126"/>
      <c r="N944" s="126"/>
      <c r="O944" s="164"/>
      <c r="P944" s="129"/>
      <c r="Q944" s="129"/>
      <c r="R944" s="129"/>
    </row>
    <row r="945">
      <c r="A945" s="166"/>
      <c r="B945" s="167"/>
      <c r="C945" s="129"/>
      <c r="D945" s="129"/>
      <c r="E945" s="129"/>
      <c r="F945" s="164"/>
      <c r="G945" s="164"/>
      <c r="H945" s="129"/>
      <c r="I945" s="129"/>
      <c r="J945" s="129"/>
      <c r="K945" s="126"/>
      <c r="L945" s="126"/>
      <c r="M945" s="126"/>
      <c r="N945" s="126"/>
      <c r="O945" s="164"/>
      <c r="P945" s="129"/>
      <c r="Q945" s="129"/>
      <c r="R945" s="129"/>
    </row>
    <row r="946">
      <c r="A946" s="166"/>
      <c r="B946" s="167"/>
      <c r="C946" s="129"/>
      <c r="D946" s="129"/>
      <c r="E946" s="129"/>
      <c r="F946" s="164"/>
      <c r="G946" s="164"/>
      <c r="H946" s="129"/>
      <c r="I946" s="129"/>
      <c r="J946" s="129"/>
      <c r="K946" s="126"/>
      <c r="L946" s="126"/>
      <c r="M946" s="126"/>
      <c r="N946" s="126"/>
      <c r="O946" s="164"/>
      <c r="P946" s="129"/>
      <c r="Q946" s="129"/>
      <c r="R946" s="129"/>
    </row>
    <row r="947">
      <c r="A947" s="166"/>
      <c r="B947" s="167"/>
      <c r="C947" s="129"/>
      <c r="D947" s="129"/>
      <c r="E947" s="129"/>
      <c r="F947" s="164"/>
      <c r="G947" s="164"/>
      <c r="H947" s="129"/>
      <c r="I947" s="129"/>
      <c r="J947" s="129"/>
      <c r="K947" s="126"/>
      <c r="L947" s="126"/>
      <c r="M947" s="126"/>
      <c r="N947" s="126"/>
      <c r="O947" s="164"/>
      <c r="P947" s="129"/>
      <c r="Q947" s="129"/>
      <c r="R947" s="129"/>
    </row>
    <row r="948">
      <c r="A948" s="166"/>
      <c r="B948" s="167"/>
      <c r="C948" s="129"/>
      <c r="D948" s="129"/>
      <c r="E948" s="129"/>
      <c r="F948" s="164"/>
      <c r="G948" s="164"/>
      <c r="H948" s="129"/>
      <c r="I948" s="129"/>
      <c r="J948" s="129"/>
      <c r="K948" s="126"/>
      <c r="L948" s="126"/>
      <c r="M948" s="126"/>
      <c r="N948" s="126"/>
      <c r="O948" s="164"/>
      <c r="P948" s="129"/>
      <c r="Q948" s="129"/>
      <c r="R948" s="129"/>
    </row>
    <row r="949">
      <c r="A949" s="166"/>
      <c r="B949" s="167"/>
      <c r="C949" s="129"/>
      <c r="D949" s="129"/>
      <c r="E949" s="129"/>
      <c r="F949" s="164"/>
      <c r="G949" s="164"/>
      <c r="H949" s="129"/>
      <c r="I949" s="129"/>
      <c r="J949" s="129"/>
      <c r="K949" s="126"/>
      <c r="L949" s="126"/>
      <c r="M949" s="126"/>
      <c r="N949" s="126"/>
      <c r="O949" s="164"/>
      <c r="P949" s="129"/>
      <c r="Q949" s="129"/>
      <c r="R949" s="129"/>
    </row>
    <row r="950">
      <c r="A950" s="166"/>
      <c r="B950" s="167"/>
      <c r="C950" s="129"/>
      <c r="D950" s="129"/>
      <c r="E950" s="129"/>
      <c r="F950" s="164"/>
      <c r="G950" s="164"/>
      <c r="H950" s="129"/>
      <c r="I950" s="129"/>
      <c r="J950" s="129"/>
      <c r="K950" s="126"/>
      <c r="L950" s="126"/>
      <c r="M950" s="126"/>
      <c r="N950" s="126"/>
      <c r="O950" s="164"/>
      <c r="P950" s="129"/>
      <c r="Q950" s="129"/>
      <c r="R950" s="129"/>
    </row>
    <row r="951">
      <c r="A951" s="166"/>
      <c r="B951" s="167"/>
      <c r="C951" s="129"/>
      <c r="D951" s="129"/>
      <c r="E951" s="129"/>
      <c r="F951" s="164"/>
      <c r="G951" s="164"/>
      <c r="H951" s="129"/>
      <c r="I951" s="129"/>
      <c r="J951" s="129"/>
      <c r="K951" s="126"/>
      <c r="L951" s="126"/>
      <c r="M951" s="126"/>
      <c r="N951" s="126"/>
      <c r="O951" s="164"/>
      <c r="P951" s="129"/>
      <c r="Q951" s="129"/>
      <c r="R951" s="129"/>
    </row>
    <row r="952">
      <c r="A952" s="166"/>
      <c r="B952" s="167"/>
      <c r="C952" s="129"/>
      <c r="D952" s="129"/>
      <c r="E952" s="129"/>
      <c r="F952" s="164"/>
      <c r="G952" s="164"/>
      <c r="H952" s="129"/>
      <c r="I952" s="129"/>
      <c r="J952" s="129"/>
      <c r="K952" s="126"/>
      <c r="L952" s="126"/>
      <c r="M952" s="126"/>
      <c r="N952" s="126"/>
      <c r="O952" s="164"/>
      <c r="P952" s="129"/>
      <c r="Q952" s="129"/>
      <c r="R952" s="129"/>
    </row>
    <row r="953">
      <c r="A953" s="166"/>
      <c r="B953" s="167"/>
      <c r="C953" s="129"/>
      <c r="D953" s="129"/>
      <c r="E953" s="129"/>
      <c r="F953" s="164"/>
      <c r="G953" s="164"/>
      <c r="H953" s="129"/>
      <c r="I953" s="129"/>
      <c r="J953" s="129"/>
      <c r="K953" s="126"/>
      <c r="L953" s="126"/>
      <c r="M953" s="126"/>
      <c r="N953" s="126"/>
      <c r="O953" s="164"/>
      <c r="P953" s="129"/>
      <c r="Q953" s="129"/>
      <c r="R953" s="129"/>
    </row>
    <row r="954">
      <c r="A954" s="166"/>
      <c r="B954" s="167"/>
      <c r="C954" s="129"/>
      <c r="D954" s="129"/>
      <c r="E954" s="129"/>
      <c r="F954" s="164"/>
      <c r="G954" s="164"/>
      <c r="H954" s="129"/>
      <c r="I954" s="129"/>
      <c r="J954" s="129"/>
      <c r="K954" s="126"/>
      <c r="L954" s="126"/>
      <c r="M954" s="126"/>
      <c r="N954" s="126"/>
      <c r="O954" s="164"/>
      <c r="P954" s="129"/>
      <c r="Q954" s="129"/>
      <c r="R954" s="129"/>
    </row>
    <row r="955">
      <c r="A955" s="166"/>
      <c r="B955" s="167"/>
      <c r="C955" s="129"/>
      <c r="D955" s="129"/>
      <c r="E955" s="129"/>
      <c r="F955" s="164"/>
      <c r="G955" s="164"/>
      <c r="H955" s="129"/>
      <c r="I955" s="129"/>
      <c r="J955" s="129"/>
      <c r="K955" s="126"/>
      <c r="L955" s="126"/>
      <c r="M955" s="126"/>
      <c r="N955" s="126"/>
      <c r="O955" s="164"/>
      <c r="P955" s="129"/>
      <c r="Q955" s="129"/>
      <c r="R955" s="129"/>
    </row>
    <row r="956">
      <c r="A956" s="166"/>
      <c r="B956" s="167"/>
      <c r="C956" s="129"/>
      <c r="D956" s="129"/>
      <c r="E956" s="129"/>
      <c r="F956" s="164"/>
      <c r="G956" s="164"/>
      <c r="H956" s="129"/>
      <c r="I956" s="129"/>
      <c r="J956" s="129"/>
      <c r="K956" s="126"/>
      <c r="L956" s="126"/>
      <c r="M956" s="126"/>
      <c r="N956" s="126"/>
      <c r="O956" s="164"/>
      <c r="P956" s="129"/>
      <c r="Q956" s="129"/>
      <c r="R956" s="129"/>
    </row>
    <row r="957">
      <c r="A957" s="166"/>
      <c r="B957" s="167"/>
      <c r="C957" s="129"/>
      <c r="D957" s="129"/>
      <c r="E957" s="129"/>
      <c r="F957" s="164"/>
      <c r="G957" s="164"/>
      <c r="H957" s="129"/>
      <c r="I957" s="129"/>
      <c r="J957" s="129"/>
      <c r="K957" s="126"/>
      <c r="L957" s="126"/>
      <c r="M957" s="126"/>
      <c r="N957" s="126"/>
      <c r="O957" s="164"/>
      <c r="P957" s="129"/>
      <c r="Q957" s="129"/>
      <c r="R957" s="129"/>
    </row>
    <row r="958">
      <c r="A958" s="166"/>
      <c r="B958" s="167"/>
      <c r="C958" s="129"/>
      <c r="D958" s="129"/>
      <c r="E958" s="129"/>
      <c r="F958" s="164"/>
      <c r="G958" s="164"/>
      <c r="H958" s="129"/>
      <c r="I958" s="129"/>
      <c r="J958" s="129"/>
      <c r="K958" s="126"/>
      <c r="L958" s="126"/>
      <c r="M958" s="126"/>
      <c r="N958" s="126"/>
      <c r="O958" s="164"/>
      <c r="P958" s="129"/>
      <c r="Q958" s="129"/>
      <c r="R958" s="129"/>
    </row>
    <row r="959">
      <c r="A959" s="166"/>
      <c r="B959" s="167"/>
      <c r="C959" s="129"/>
      <c r="D959" s="129"/>
      <c r="E959" s="129"/>
      <c r="F959" s="164"/>
      <c r="G959" s="164"/>
      <c r="H959" s="129"/>
      <c r="I959" s="129"/>
      <c r="J959" s="129"/>
      <c r="K959" s="126"/>
      <c r="L959" s="126"/>
      <c r="M959" s="126"/>
      <c r="N959" s="126"/>
      <c r="O959" s="164"/>
      <c r="P959" s="129"/>
      <c r="Q959" s="129"/>
      <c r="R959" s="129"/>
    </row>
    <row r="960">
      <c r="A960" s="166"/>
      <c r="B960" s="167"/>
      <c r="C960" s="129"/>
      <c r="D960" s="129"/>
      <c r="E960" s="129"/>
      <c r="F960" s="164"/>
      <c r="G960" s="164"/>
      <c r="H960" s="129"/>
      <c r="I960" s="129"/>
      <c r="J960" s="129"/>
      <c r="K960" s="126"/>
      <c r="L960" s="126"/>
      <c r="M960" s="126"/>
      <c r="N960" s="126"/>
      <c r="O960" s="164"/>
      <c r="P960" s="129"/>
      <c r="Q960" s="129"/>
      <c r="R960" s="129"/>
    </row>
    <row r="961">
      <c r="A961" s="166"/>
      <c r="B961" s="167"/>
      <c r="C961" s="129"/>
      <c r="D961" s="129"/>
      <c r="E961" s="129"/>
      <c r="F961" s="164"/>
      <c r="G961" s="164"/>
      <c r="H961" s="129"/>
      <c r="I961" s="129"/>
      <c r="J961" s="129"/>
      <c r="K961" s="126"/>
      <c r="L961" s="126"/>
      <c r="M961" s="126"/>
      <c r="N961" s="126"/>
      <c r="O961" s="164"/>
      <c r="P961" s="129"/>
      <c r="Q961" s="129"/>
      <c r="R961" s="129"/>
    </row>
    <row r="962">
      <c r="A962" s="166"/>
      <c r="B962" s="167"/>
      <c r="C962" s="129"/>
      <c r="D962" s="129"/>
      <c r="E962" s="129"/>
      <c r="F962" s="164"/>
      <c r="G962" s="164"/>
      <c r="H962" s="129"/>
      <c r="I962" s="129"/>
      <c r="J962" s="129"/>
      <c r="K962" s="126"/>
      <c r="L962" s="126"/>
      <c r="M962" s="126"/>
      <c r="N962" s="126"/>
      <c r="O962" s="164"/>
      <c r="P962" s="129"/>
      <c r="Q962" s="129"/>
      <c r="R962" s="129"/>
    </row>
    <row r="963">
      <c r="A963" s="166"/>
      <c r="B963" s="167"/>
      <c r="C963" s="129"/>
      <c r="D963" s="129"/>
      <c r="E963" s="129"/>
      <c r="F963" s="164"/>
      <c r="G963" s="164"/>
      <c r="H963" s="129"/>
      <c r="I963" s="129"/>
      <c r="J963" s="129"/>
      <c r="K963" s="126"/>
      <c r="L963" s="126"/>
      <c r="M963" s="126"/>
      <c r="N963" s="126"/>
      <c r="O963" s="164"/>
      <c r="P963" s="129"/>
      <c r="Q963" s="129"/>
      <c r="R963" s="129"/>
    </row>
    <row r="964">
      <c r="A964" s="166"/>
      <c r="B964" s="167"/>
      <c r="C964" s="129"/>
      <c r="D964" s="129"/>
      <c r="E964" s="129"/>
      <c r="F964" s="164"/>
      <c r="G964" s="164"/>
      <c r="H964" s="129"/>
      <c r="I964" s="129"/>
      <c r="J964" s="129"/>
      <c r="K964" s="126"/>
      <c r="L964" s="126"/>
      <c r="M964" s="126"/>
      <c r="N964" s="126"/>
      <c r="O964" s="164"/>
      <c r="P964" s="129"/>
      <c r="Q964" s="129"/>
      <c r="R964" s="129"/>
    </row>
    <row r="965">
      <c r="A965" s="166"/>
      <c r="B965" s="167"/>
      <c r="C965" s="129"/>
      <c r="D965" s="129"/>
      <c r="E965" s="129"/>
      <c r="F965" s="164"/>
      <c r="G965" s="164"/>
      <c r="H965" s="129"/>
      <c r="I965" s="129"/>
      <c r="J965" s="129"/>
      <c r="K965" s="126"/>
      <c r="L965" s="126"/>
      <c r="M965" s="126"/>
      <c r="N965" s="126"/>
      <c r="O965" s="164"/>
      <c r="P965" s="129"/>
      <c r="Q965" s="129"/>
      <c r="R965" s="129"/>
    </row>
    <row r="966">
      <c r="A966" s="166"/>
      <c r="B966" s="167"/>
      <c r="C966" s="129"/>
      <c r="D966" s="129"/>
      <c r="E966" s="129"/>
      <c r="F966" s="164"/>
      <c r="G966" s="164"/>
      <c r="H966" s="129"/>
      <c r="I966" s="129"/>
      <c r="J966" s="129"/>
      <c r="K966" s="126"/>
      <c r="L966" s="126"/>
      <c r="M966" s="126"/>
      <c r="N966" s="126"/>
      <c r="O966" s="164"/>
      <c r="P966" s="129"/>
      <c r="Q966" s="129"/>
      <c r="R966" s="129"/>
    </row>
    <row r="967">
      <c r="A967" s="166"/>
      <c r="B967" s="167"/>
      <c r="C967" s="129"/>
      <c r="D967" s="129"/>
      <c r="E967" s="129"/>
      <c r="F967" s="164"/>
      <c r="G967" s="164"/>
      <c r="H967" s="129"/>
      <c r="I967" s="129"/>
      <c r="J967" s="129"/>
      <c r="K967" s="126"/>
      <c r="L967" s="126"/>
      <c r="M967" s="126"/>
      <c r="N967" s="126"/>
      <c r="O967" s="164"/>
      <c r="P967" s="129"/>
      <c r="Q967" s="129"/>
      <c r="R967" s="129"/>
    </row>
    <row r="968">
      <c r="A968" s="166"/>
      <c r="B968" s="167"/>
      <c r="C968" s="129"/>
      <c r="D968" s="129"/>
      <c r="E968" s="129"/>
      <c r="F968" s="164"/>
      <c r="G968" s="164"/>
      <c r="H968" s="129"/>
      <c r="I968" s="129"/>
      <c r="J968" s="129"/>
      <c r="K968" s="126"/>
      <c r="L968" s="126"/>
      <c r="M968" s="126"/>
      <c r="N968" s="126"/>
      <c r="O968" s="164"/>
      <c r="P968" s="129"/>
      <c r="Q968" s="129"/>
      <c r="R968" s="129"/>
    </row>
    <row r="969">
      <c r="A969" s="166"/>
      <c r="B969" s="167"/>
      <c r="C969" s="129"/>
      <c r="D969" s="129"/>
      <c r="E969" s="129"/>
      <c r="F969" s="164"/>
      <c r="G969" s="164"/>
      <c r="H969" s="129"/>
      <c r="I969" s="129"/>
      <c r="J969" s="129"/>
      <c r="K969" s="126"/>
      <c r="L969" s="126"/>
      <c r="M969" s="126"/>
      <c r="N969" s="126"/>
      <c r="O969" s="164"/>
      <c r="P969" s="129"/>
      <c r="Q969" s="129"/>
      <c r="R969" s="129"/>
    </row>
    <row r="970">
      <c r="A970" s="166"/>
      <c r="B970" s="167"/>
      <c r="C970" s="129"/>
      <c r="D970" s="129"/>
      <c r="E970" s="129"/>
      <c r="F970" s="164"/>
      <c r="G970" s="164"/>
      <c r="H970" s="129"/>
      <c r="I970" s="129"/>
      <c r="J970" s="129"/>
      <c r="K970" s="126"/>
      <c r="L970" s="126"/>
      <c r="M970" s="126"/>
      <c r="N970" s="126"/>
      <c r="O970" s="164"/>
      <c r="P970" s="129"/>
      <c r="Q970" s="129"/>
      <c r="R970" s="129"/>
    </row>
    <row r="971">
      <c r="A971" s="166"/>
      <c r="B971" s="167"/>
      <c r="C971" s="129"/>
      <c r="D971" s="129"/>
      <c r="E971" s="129"/>
      <c r="F971" s="164"/>
      <c r="G971" s="164"/>
      <c r="H971" s="129"/>
      <c r="I971" s="129"/>
      <c r="J971" s="129"/>
      <c r="K971" s="126"/>
      <c r="L971" s="126"/>
      <c r="M971" s="126"/>
      <c r="N971" s="126"/>
      <c r="O971" s="164"/>
      <c r="P971" s="129"/>
      <c r="Q971" s="129"/>
      <c r="R971" s="129"/>
    </row>
    <row r="972">
      <c r="A972" s="166"/>
      <c r="B972" s="167"/>
      <c r="C972" s="129"/>
      <c r="D972" s="129"/>
      <c r="E972" s="129"/>
      <c r="F972" s="164"/>
      <c r="G972" s="164"/>
      <c r="H972" s="129"/>
      <c r="I972" s="129"/>
      <c r="J972" s="129"/>
      <c r="K972" s="126"/>
      <c r="L972" s="126"/>
      <c r="M972" s="126"/>
      <c r="N972" s="126"/>
      <c r="O972" s="164"/>
      <c r="P972" s="129"/>
      <c r="Q972" s="129"/>
      <c r="R972" s="129"/>
    </row>
    <row r="973">
      <c r="A973" s="166"/>
      <c r="B973" s="167"/>
      <c r="C973" s="129"/>
      <c r="D973" s="129"/>
      <c r="E973" s="129"/>
      <c r="F973" s="164"/>
      <c r="G973" s="164"/>
      <c r="H973" s="129"/>
      <c r="I973" s="129"/>
      <c r="J973" s="129"/>
      <c r="K973" s="126"/>
      <c r="L973" s="126"/>
      <c r="M973" s="126"/>
      <c r="N973" s="126"/>
      <c r="O973" s="164"/>
      <c r="P973" s="129"/>
      <c r="Q973" s="129"/>
      <c r="R973" s="129"/>
    </row>
    <row r="974">
      <c r="A974" s="166"/>
      <c r="B974" s="167"/>
      <c r="C974" s="129"/>
      <c r="D974" s="129"/>
      <c r="E974" s="129"/>
      <c r="F974" s="164"/>
      <c r="G974" s="164"/>
      <c r="H974" s="129"/>
      <c r="I974" s="129"/>
      <c r="J974" s="129"/>
      <c r="K974" s="126"/>
      <c r="L974" s="126"/>
      <c r="M974" s="126"/>
      <c r="N974" s="126"/>
      <c r="O974" s="164"/>
      <c r="P974" s="129"/>
      <c r="Q974" s="129"/>
      <c r="R974" s="129"/>
    </row>
    <row r="975">
      <c r="A975" s="166"/>
      <c r="B975" s="167"/>
      <c r="C975" s="129"/>
      <c r="D975" s="129"/>
      <c r="E975" s="129"/>
      <c r="F975" s="164"/>
      <c r="G975" s="164"/>
      <c r="H975" s="129"/>
      <c r="I975" s="129"/>
      <c r="J975" s="129"/>
      <c r="K975" s="126"/>
      <c r="L975" s="126"/>
      <c r="M975" s="126"/>
      <c r="N975" s="126"/>
      <c r="O975" s="164"/>
      <c r="P975" s="129"/>
      <c r="Q975" s="129"/>
      <c r="R975" s="129"/>
    </row>
    <row r="976">
      <c r="A976" s="166"/>
      <c r="B976" s="167"/>
      <c r="C976" s="129"/>
      <c r="D976" s="129"/>
      <c r="E976" s="129"/>
      <c r="F976" s="164"/>
      <c r="G976" s="164"/>
      <c r="H976" s="129"/>
      <c r="I976" s="129"/>
      <c r="J976" s="129"/>
      <c r="K976" s="126"/>
      <c r="L976" s="126"/>
      <c r="M976" s="126"/>
      <c r="N976" s="126"/>
      <c r="O976" s="164"/>
      <c r="P976" s="129"/>
      <c r="Q976" s="129"/>
      <c r="R976" s="129"/>
    </row>
    <row r="977">
      <c r="A977" s="166"/>
      <c r="B977" s="167"/>
      <c r="C977" s="129"/>
      <c r="D977" s="129"/>
      <c r="E977" s="129"/>
      <c r="F977" s="164"/>
      <c r="G977" s="164"/>
      <c r="H977" s="129"/>
      <c r="I977" s="129"/>
      <c r="J977" s="129"/>
      <c r="K977" s="126"/>
      <c r="L977" s="126"/>
      <c r="M977" s="126"/>
      <c r="N977" s="126"/>
      <c r="O977" s="164"/>
      <c r="P977" s="129"/>
      <c r="Q977" s="129"/>
      <c r="R977" s="129"/>
    </row>
    <row r="978">
      <c r="A978" s="166"/>
      <c r="B978" s="167"/>
      <c r="C978" s="129"/>
      <c r="D978" s="129"/>
      <c r="E978" s="129"/>
      <c r="F978" s="164"/>
      <c r="G978" s="164"/>
      <c r="H978" s="129"/>
      <c r="I978" s="129"/>
      <c r="J978" s="129"/>
      <c r="K978" s="126"/>
      <c r="L978" s="126"/>
      <c r="M978" s="126"/>
      <c r="N978" s="126"/>
      <c r="O978" s="164"/>
      <c r="P978" s="129"/>
      <c r="Q978" s="129"/>
      <c r="R978" s="129"/>
    </row>
    <row r="979">
      <c r="A979" s="166"/>
      <c r="B979" s="167"/>
      <c r="C979" s="129"/>
      <c r="D979" s="129"/>
      <c r="E979" s="129"/>
      <c r="F979" s="164"/>
      <c r="G979" s="164"/>
      <c r="H979" s="129"/>
      <c r="I979" s="129"/>
      <c r="J979" s="129"/>
      <c r="K979" s="126"/>
      <c r="L979" s="126"/>
      <c r="M979" s="126"/>
      <c r="N979" s="126"/>
      <c r="O979" s="164"/>
      <c r="P979" s="129"/>
      <c r="Q979" s="129"/>
      <c r="R979" s="129"/>
    </row>
    <row r="980">
      <c r="A980" s="166"/>
      <c r="B980" s="167"/>
      <c r="C980" s="129"/>
      <c r="D980" s="129"/>
      <c r="E980" s="129"/>
      <c r="F980" s="164"/>
      <c r="G980" s="164"/>
      <c r="H980" s="129"/>
      <c r="I980" s="129"/>
      <c r="J980" s="129"/>
      <c r="K980" s="126"/>
      <c r="L980" s="126"/>
      <c r="M980" s="126"/>
      <c r="N980" s="126"/>
      <c r="O980" s="164"/>
      <c r="P980" s="129"/>
      <c r="Q980" s="129"/>
      <c r="R980" s="129"/>
    </row>
    <row r="981">
      <c r="A981" s="166"/>
      <c r="B981" s="167"/>
      <c r="C981" s="129"/>
      <c r="D981" s="129"/>
      <c r="E981" s="129"/>
      <c r="F981" s="164"/>
      <c r="G981" s="164"/>
      <c r="H981" s="129"/>
      <c r="I981" s="129"/>
      <c r="J981" s="129"/>
      <c r="K981" s="126"/>
      <c r="L981" s="126"/>
      <c r="M981" s="126"/>
      <c r="N981" s="126"/>
      <c r="O981" s="164"/>
      <c r="P981" s="129"/>
      <c r="Q981" s="129"/>
      <c r="R981" s="129"/>
    </row>
    <row r="982">
      <c r="A982" s="166"/>
      <c r="B982" s="167"/>
      <c r="C982" s="129"/>
      <c r="D982" s="129"/>
      <c r="E982" s="129"/>
      <c r="F982" s="164"/>
      <c r="G982" s="164"/>
      <c r="H982" s="129"/>
      <c r="I982" s="129"/>
      <c r="J982" s="129"/>
      <c r="K982" s="126"/>
      <c r="L982" s="126"/>
      <c r="M982" s="126"/>
      <c r="N982" s="126"/>
      <c r="O982" s="164"/>
      <c r="P982" s="129"/>
      <c r="Q982" s="129"/>
      <c r="R982" s="129"/>
    </row>
    <row r="983">
      <c r="A983" s="166"/>
      <c r="B983" s="167"/>
      <c r="C983" s="129"/>
      <c r="D983" s="129"/>
      <c r="E983" s="129"/>
      <c r="F983" s="164"/>
      <c r="G983" s="164"/>
      <c r="H983" s="129"/>
      <c r="I983" s="129"/>
      <c r="J983" s="129"/>
      <c r="K983" s="126"/>
      <c r="L983" s="126"/>
      <c r="M983" s="126"/>
      <c r="N983" s="126"/>
      <c r="O983" s="164"/>
      <c r="P983" s="129"/>
      <c r="Q983" s="129"/>
      <c r="R983" s="129"/>
    </row>
    <row r="984">
      <c r="A984" s="166"/>
      <c r="B984" s="167"/>
      <c r="C984" s="129"/>
      <c r="D984" s="129"/>
      <c r="E984" s="129"/>
      <c r="F984" s="164"/>
      <c r="G984" s="164"/>
      <c r="H984" s="129"/>
      <c r="I984" s="129"/>
      <c r="J984" s="129"/>
      <c r="K984" s="126"/>
      <c r="L984" s="126"/>
      <c r="M984" s="126"/>
      <c r="N984" s="126"/>
      <c r="O984" s="164"/>
      <c r="P984" s="129"/>
      <c r="Q984" s="129"/>
      <c r="R984" s="129"/>
    </row>
    <row r="985">
      <c r="A985" s="166"/>
      <c r="B985" s="167"/>
      <c r="C985" s="129"/>
      <c r="D985" s="129"/>
      <c r="E985" s="129"/>
      <c r="F985" s="164"/>
      <c r="G985" s="164"/>
      <c r="H985" s="129"/>
      <c r="I985" s="129"/>
      <c r="J985" s="129"/>
      <c r="K985" s="126"/>
      <c r="L985" s="126"/>
      <c r="M985" s="126"/>
      <c r="N985" s="126"/>
      <c r="O985" s="164"/>
      <c r="P985" s="129"/>
      <c r="Q985" s="129"/>
      <c r="R985" s="129"/>
    </row>
    <row r="986">
      <c r="A986" s="166"/>
      <c r="B986" s="167"/>
      <c r="C986" s="129"/>
      <c r="D986" s="129"/>
      <c r="E986" s="129"/>
      <c r="F986" s="164"/>
      <c r="G986" s="164"/>
      <c r="H986" s="129"/>
      <c r="I986" s="129"/>
      <c r="J986" s="129"/>
      <c r="K986" s="126"/>
      <c r="L986" s="126"/>
      <c r="M986" s="126"/>
      <c r="N986" s="126"/>
      <c r="O986" s="164"/>
      <c r="P986" s="129"/>
      <c r="Q986" s="129"/>
      <c r="R986" s="129"/>
    </row>
    <row r="987">
      <c r="A987" s="166"/>
      <c r="B987" s="167"/>
      <c r="C987" s="129"/>
      <c r="D987" s="129"/>
      <c r="E987" s="129"/>
      <c r="F987" s="164"/>
      <c r="G987" s="164"/>
      <c r="H987" s="129"/>
      <c r="I987" s="129"/>
      <c r="J987" s="129"/>
      <c r="K987" s="126"/>
      <c r="L987" s="126"/>
      <c r="M987" s="126"/>
      <c r="N987" s="126"/>
      <c r="O987" s="164"/>
      <c r="P987" s="129"/>
      <c r="Q987" s="129"/>
      <c r="R987" s="129"/>
    </row>
    <row r="988">
      <c r="A988" s="166"/>
      <c r="B988" s="167"/>
      <c r="C988" s="129"/>
      <c r="D988" s="129"/>
      <c r="E988" s="129"/>
      <c r="F988" s="164"/>
      <c r="G988" s="164"/>
      <c r="H988" s="129"/>
      <c r="I988" s="129"/>
      <c r="J988" s="129"/>
      <c r="K988" s="126"/>
      <c r="L988" s="126"/>
      <c r="M988" s="126"/>
      <c r="N988" s="126"/>
      <c r="O988" s="164"/>
      <c r="P988" s="129"/>
      <c r="Q988" s="129"/>
      <c r="R988" s="129"/>
    </row>
    <row r="989">
      <c r="A989" s="166"/>
      <c r="B989" s="167"/>
      <c r="C989" s="129"/>
      <c r="D989" s="129"/>
      <c r="E989" s="129"/>
      <c r="F989" s="164"/>
      <c r="G989" s="164"/>
      <c r="H989" s="129"/>
      <c r="I989" s="129"/>
      <c r="J989" s="129"/>
      <c r="K989" s="126"/>
      <c r="L989" s="126"/>
      <c r="M989" s="126"/>
      <c r="N989" s="126"/>
      <c r="O989" s="164"/>
      <c r="P989" s="129"/>
      <c r="Q989" s="129"/>
      <c r="R989" s="129"/>
    </row>
    <row r="990">
      <c r="A990" s="166"/>
      <c r="B990" s="167"/>
      <c r="C990" s="129"/>
      <c r="D990" s="129"/>
      <c r="E990" s="129"/>
      <c r="F990" s="164"/>
      <c r="G990" s="164"/>
      <c r="H990" s="129"/>
      <c r="I990" s="129"/>
      <c r="J990" s="129"/>
      <c r="K990" s="126"/>
      <c r="L990" s="126"/>
      <c r="M990" s="126"/>
      <c r="N990" s="126"/>
      <c r="O990" s="164"/>
      <c r="P990" s="129"/>
      <c r="Q990" s="129"/>
      <c r="R990" s="129"/>
    </row>
    <row r="991">
      <c r="A991" s="166"/>
      <c r="B991" s="167"/>
      <c r="C991" s="129"/>
      <c r="D991" s="129"/>
      <c r="E991" s="129"/>
      <c r="F991" s="164"/>
      <c r="G991" s="164"/>
      <c r="H991" s="129"/>
      <c r="I991" s="129"/>
      <c r="J991" s="129"/>
      <c r="K991" s="126"/>
      <c r="L991" s="126"/>
      <c r="M991" s="126"/>
      <c r="N991" s="126"/>
      <c r="O991" s="164"/>
      <c r="P991" s="129"/>
      <c r="Q991" s="129"/>
      <c r="R991" s="129"/>
    </row>
    <row r="992">
      <c r="A992" s="166"/>
      <c r="B992" s="167"/>
      <c r="C992" s="129"/>
      <c r="D992" s="129"/>
      <c r="E992" s="129"/>
      <c r="F992" s="164"/>
      <c r="G992" s="164"/>
      <c r="H992" s="129"/>
      <c r="I992" s="129"/>
      <c r="J992" s="129"/>
      <c r="K992" s="126"/>
      <c r="L992" s="126"/>
      <c r="M992" s="126"/>
      <c r="N992" s="126"/>
      <c r="O992" s="164"/>
      <c r="P992" s="129"/>
      <c r="Q992" s="129"/>
      <c r="R992" s="129"/>
    </row>
    <row r="993">
      <c r="A993" s="166"/>
      <c r="B993" s="167"/>
      <c r="C993" s="129"/>
      <c r="D993" s="129"/>
      <c r="E993" s="129"/>
      <c r="F993" s="164"/>
      <c r="G993" s="164"/>
      <c r="H993" s="129"/>
      <c r="I993" s="129"/>
      <c r="J993" s="129"/>
      <c r="K993" s="126"/>
      <c r="L993" s="126"/>
      <c r="M993" s="126"/>
      <c r="N993" s="126"/>
      <c r="O993" s="164"/>
      <c r="P993" s="129"/>
      <c r="Q993" s="129"/>
      <c r="R993" s="129"/>
    </row>
    <row r="994">
      <c r="A994" s="166"/>
      <c r="B994" s="167"/>
      <c r="C994" s="129"/>
      <c r="D994" s="129"/>
      <c r="E994" s="129"/>
      <c r="F994" s="164"/>
      <c r="G994" s="164"/>
      <c r="H994" s="129"/>
      <c r="I994" s="129"/>
      <c r="J994" s="129"/>
      <c r="K994" s="126"/>
      <c r="L994" s="126"/>
      <c r="M994" s="126"/>
      <c r="N994" s="126"/>
      <c r="O994" s="164"/>
      <c r="P994" s="129"/>
      <c r="Q994" s="129"/>
      <c r="R994" s="129"/>
    </row>
    <row r="995">
      <c r="A995" s="166"/>
      <c r="B995" s="167"/>
      <c r="C995" s="129"/>
      <c r="D995" s="129"/>
      <c r="E995" s="129"/>
      <c r="F995" s="164"/>
      <c r="G995" s="164"/>
      <c r="H995" s="129"/>
      <c r="I995" s="129"/>
      <c r="J995" s="129"/>
      <c r="K995" s="126"/>
      <c r="L995" s="126"/>
      <c r="M995" s="126"/>
      <c r="N995" s="126"/>
      <c r="O995" s="164"/>
      <c r="P995" s="129"/>
      <c r="Q995" s="129"/>
      <c r="R995" s="129"/>
    </row>
    <row r="996">
      <c r="A996" s="166"/>
      <c r="B996" s="167"/>
      <c r="C996" s="129"/>
      <c r="D996" s="129"/>
      <c r="E996" s="129"/>
      <c r="F996" s="164"/>
      <c r="G996" s="164"/>
      <c r="H996" s="129"/>
      <c r="I996" s="129"/>
      <c r="J996" s="129"/>
      <c r="K996" s="126"/>
      <c r="L996" s="126"/>
      <c r="M996" s="126"/>
      <c r="N996" s="126"/>
      <c r="O996" s="164"/>
      <c r="P996" s="129"/>
      <c r="Q996" s="129"/>
      <c r="R996" s="129"/>
    </row>
    <row r="997">
      <c r="A997" s="166"/>
      <c r="B997" s="167"/>
      <c r="C997" s="129"/>
      <c r="D997" s="129"/>
      <c r="E997" s="129"/>
      <c r="F997" s="164"/>
      <c r="G997" s="164"/>
      <c r="H997" s="129"/>
      <c r="I997" s="129"/>
      <c r="J997" s="129"/>
      <c r="K997" s="126"/>
      <c r="L997" s="126"/>
      <c r="M997" s="126"/>
      <c r="N997" s="126"/>
      <c r="O997" s="164"/>
      <c r="P997" s="129"/>
      <c r="Q997" s="129"/>
      <c r="R997" s="129"/>
    </row>
    <row r="998">
      <c r="A998" s="166"/>
      <c r="B998" s="167"/>
      <c r="C998" s="129"/>
      <c r="D998" s="129"/>
      <c r="E998" s="129"/>
      <c r="F998" s="164"/>
      <c r="G998" s="164"/>
      <c r="H998" s="129"/>
      <c r="I998" s="129"/>
      <c r="J998" s="129"/>
      <c r="K998" s="126"/>
      <c r="L998" s="126"/>
      <c r="M998" s="126"/>
      <c r="N998" s="126"/>
      <c r="O998" s="164"/>
      <c r="P998" s="129"/>
      <c r="Q998" s="129"/>
      <c r="R998" s="129"/>
    </row>
    <row r="999">
      <c r="A999" s="166"/>
      <c r="B999" s="167"/>
      <c r="C999" s="129"/>
      <c r="D999" s="129"/>
      <c r="E999" s="129"/>
      <c r="F999" s="164"/>
      <c r="G999" s="164"/>
      <c r="H999" s="129"/>
      <c r="I999" s="129"/>
      <c r="J999" s="129"/>
      <c r="K999" s="126"/>
      <c r="L999" s="126"/>
      <c r="M999" s="126"/>
      <c r="N999" s="126"/>
      <c r="O999" s="164"/>
      <c r="P999" s="129"/>
      <c r="Q999" s="129"/>
      <c r="R999" s="129"/>
    </row>
    <row r="1000">
      <c r="A1000" s="166"/>
      <c r="B1000" s="167"/>
      <c r="C1000" s="129"/>
      <c r="D1000" s="129"/>
      <c r="E1000" s="129"/>
      <c r="F1000" s="164"/>
      <c r="G1000" s="164"/>
      <c r="H1000" s="129"/>
      <c r="I1000" s="129"/>
      <c r="J1000" s="129"/>
      <c r="K1000" s="126"/>
      <c r="L1000" s="126"/>
      <c r="M1000" s="126"/>
      <c r="N1000" s="126"/>
      <c r="O1000" s="164"/>
      <c r="P1000" s="129"/>
      <c r="Q1000" s="129"/>
      <c r="R1000" s="129"/>
    </row>
    <row r="1001">
      <c r="A1001" s="166"/>
      <c r="B1001" s="167"/>
      <c r="C1001" s="129"/>
      <c r="D1001" s="129"/>
      <c r="E1001" s="129"/>
      <c r="F1001" s="164"/>
      <c r="G1001" s="164"/>
      <c r="H1001" s="129"/>
      <c r="I1001" s="129"/>
      <c r="J1001" s="129"/>
      <c r="K1001" s="126"/>
      <c r="L1001" s="126"/>
      <c r="M1001" s="126"/>
      <c r="N1001" s="126"/>
      <c r="O1001" s="164"/>
      <c r="P1001" s="129"/>
      <c r="Q1001" s="129"/>
      <c r="R1001" s="129"/>
    </row>
    <row r="1002">
      <c r="A1002" s="166"/>
      <c r="B1002" s="167"/>
      <c r="C1002" s="129"/>
      <c r="D1002" s="129"/>
      <c r="E1002" s="129"/>
      <c r="F1002" s="164"/>
      <c r="G1002" s="164"/>
      <c r="H1002" s="129"/>
      <c r="I1002" s="129"/>
      <c r="J1002" s="129"/>
      <c r="K1002" s="126"/>
      <c r="L1002" s="126"/>
      <c r="M1002" s="126"/>
      <c r="N1002" s="126"/>
      <c r="O1002" s="164"/>
      <c r="P1002" s="129"/>
      <c r="Q1002" s="129"/>
      <c r="R1002" s="129"/>
    </row>
    <row r="1003">
      <c r="A1003" s="166"/>
      <c r="B1003" s="167"/>
      <c r="C1003" s="129"/>
      <c r="D1003" s="129"/>
      <c r="E1003" s="129"/>
      <c r="F1003" s="164"/>
      <c r="G1003" s="164"/>
      <c r="H1003" s="129"/>
      <c r="I1003" s="129"/>
      <c r="J1003" s="129"/>
      <c r="K1003" s="126"/>
      <c r="L1003" s="126"/>
      <c r="M1003" s="126"/>
      <c r="N1003" s="126"/>
      <c r="O1003" s="164"/>
      <c r="P1003" s="129"/>
      <c r="Q1003" s="129"/>
      <c r="R1003" s="129"/>
    </row>
    <row r="1004">
      <c r="A1004" s="166"/>
      <c r="B1004" s="167"/>
      <c r="C1004" s="129"/>
      <c r="D1004" s="129"/>
      <c r="E1004" s="129"/>
      <c r="F1004" s="164"/>
      <c r="G1004" s="164"/>
      <c r="H1004" s="129"/>
      <c r="I1004" s="129"/>
      <c r="J1004" s="129"/>
      <c r="K1004" s="126"/>
      <c r="L1004" s="126"/>
      <c r="M1004" s="126"/>
      <c r="N1004" s="126"/>
      <c r="O1004" s="164"/>
      <c r="P1004" s="129"/>
      <c r="Q1004" s="129"/>
      <c r="R1004" s="129"/>
    </row>
    <row r="1005">
      <c r="A1005" s="166"/>
      <c r="B1005" s="167"/>
      <c r="C1005" s="129"/>
      <c r="D1005" s="129"/>
      <c r="E1005" s="129"/>
      <c r="F1005" s="164"/>
      <c r="G1005" s="164"/>
      <c r="H1005" s="129"/>
      <c r="I1005" s="129"/>
      <c r="J1005" s="129"/>
      <c r="K1005" s="126"/>
      <c r="L1005" s="126"/>
      <c r="M1005" s="126"/>
      <c r="N1005" s="126"/>
      <c r="O1005" s="164"/>
      <c r="P1005" s="129"/>
      <c r="Q1005" s="129"/>
      <c r="R1005" s="129"/>
    </row>
    <row r="1006">
      <c r="A1006" s="166"/>
      <c r="B1006" s="167"/>
      <c r="C1006" s="129"/>
      <c r="D1006" s="129"/>
      <c r="E1006" s="129"/>
      <c r="F1006" s="164"/>
      <c r="G1006" s="164"/>
      <c r="H1006" s="129"/>
      <c r="I1006" s="129"/>
      <c r="J1006" s="129"/>
      <c r="K1006" s="126"/>
      <c r="L1006" s="126"/>
      <c r="M1006" s="126"/>
      <c r="N1006" s="126"/>
      <c r="O1006" s="164"/>
      <c r="P1006" s="129"/>
      <c r="Q1006" s="129"/>
      <c r="R1006" s="129"/>
    </row>
    <row r="1007">
      <c r="A1007" s="166"/>
      <c r="B1007" s="167"/>
      <c r="C1007" s="129"/>
      <c r="D1007" s="129"/>
      <c r="E1007" s="129"/>
      <c r="F1007" s="164"/>
      <c r="G1007" s="164"/>
      <c r="H1007" s="129"/>
      <c r="I1007" s="129"/>
      <c r="J1007" s="129"/>
      <c r="K1007" s="126"/>
      <c r="L1007" s="126"/>
      <c r="M1007" s="126"/>
      <c r="N1007" s="126"/>
      <c r="O1007" s="164"/>
      <c r="P1007" s="129"/>
      <c r="Q1007" s="129"/>
      <c r="R1007" s="129"/>
    </row>
    <row r="1008">
      <c r="A1008" s="166"/>
      <c r="B1008" s="167"/>
      <c r="C1008" s="129"/>
      <c r="D1008" s="129"/>
      <c r="E1008" s="129"/>
      <c r="F1008" s="164"/>
      <c r="G1008" s="164"/>
      <c r="H1008" s="129"/>
      <c r="I1008" s="129"/>
      <c r="J1008" s="129"/>
      <c r="K1008" s="126"/>
      <c r="L1008" s="126"/>
      <c r="M1008" s="126"/>
      <c r="N1008" s="126"/>
      <c r="O1008" s="164"/>
      <c r="P1008" s="129"/>
      <c r="Q1008" s="129"/>
      <c r="R1008" s="129"/>
    </row>
    <row r="1009">
      <c r="A1009" s="166"/>
      <c r="B1009" s="167"/>
      <c r="C1009" s="129"/>
      <c r="D1009" s="129"/>
      <c r="E1009" s="129"/>
      <c r="F1009" s="164"/>
      <c r="G1009" s="164"/>
      <c r="H1009" s="129"/>
      <c r="I1009" s="129"/>
      <c r="J1009" s="129"/>
      <c r="K1009" s="126"/>
      <c r="L1009" s="126"/>
      <c r="M1009" s="126"/>
      <c r="N1009" s="126"/>
      <c r="O1009" s="164"/>
      <c r="P1009" s="129"/>
      <c r="Q1009" s="129"/>
      <c r="R1009" s="129"/>
    </row>
    <row r="1010">
      <c r="A1010" s="166"/>
      <c r="B1010" s="167"/>
      <c r="C1010" s="129"/>
      <c r="D1010" s="129"/>
      <c r="E1010" s="129"/>
      <c r="F1010" s="164"/>
      <c r="G1010" s="164"/>
      <c r="H1010" s="129"/>
      <c r="I1010" s="129"/>
      <c r="J1010" s="129"/>
      <c r="K1010" s="126"/>
      <c r="L1010" s="126"/>
      <c r="M1010" s="126"/>
      <c r="N1010" s="126"/>
      <c r="O1010" s="164"/>
      <c r="P1010" s="129"/>
      <c r="Q1010" s="129"/>
      <c r="R1010" s="129"/>
    </row>
    <row r="1011">
      <c r="A1011" s="166"/>
      <c r="B1011" s="167"/>
      <c r="C1011" s="129"/>
      <c r="D1011" s="129"/>
      <c r="E1011" s="129"/>
      <c r="F1011" s="164"/>
      <c r="G1011" s="164"/>
      <c r="H1011" s="129"/>
      <c r="I1011" s="129"/>
      <c r="J1011" s="129"/>
      <c r="K1011" s="126"/>
      <c r="L1011" s="126"/>
      <c r="M1011" s="126"/>
      <c r="N1011" s="126"/>
      <c r="O1011" s="164"/>
      <c r="P1011" s="129"/>
      <c r="Q1011" s="129"/>
      <c r="R1011" s="129"/>
    </row>
    <row r="1012">
      <c r="A1012" s="166"/>
      <c r="B1012" s="167"/>
      <c r="C1012" s="129"/>
      <c r="D1012" s="129"/>
      <c r="E1012" s="129"/>
      <c r="F1012" s="164"/>
      <c r="G1012" s="164"/>
      <c r="H1012" s="129"/>
      <c r="I1012" s="129"/>
      <c r="J1012" s="129"/>
      <c r="K1012" s="126"/>
      <c r="L1012" s="126"/>
      <c r="M1012" s="126"/>
      <c r="N1012" s="126"/>
      <c r="O1012" s="164"/>
      <c r="P1012" s="129"/>
      <c r="Q1012" s="129"/>
      <c r="R1012" s="129"/>
    </row>
    <row r="1013">
      <c r="A1013" s="166"/>
      <c r="B1013" s="167"/>
      <c r="C1013" s="129"/>
      <c r="D1013" s="129"/>
      <c r="E1013" s="129"/>
      <c r="F1013" s="164"/>
      <c r="G1013" s="164"/>
      <c r="H1013" s="129"/>
      <c r="I1013" s="129"/>
      <c r="J1013" s="129"/>
      <c r="K1013" s="126"/>
      <c r="L1013" s="126"/>
      <c r="M1013" s="126"/>
      <c r="N1013" s="126"/>
      <c r="O1013" s="164"/>
      <c r="P1013" s="129"/>
      <c r="Q1013" s="129"/>
      <c r="R1013" s="129"/>
    </row>
    <row r="1014">
      <c r="A1014" s="166"/>
      <c r="B1014" s="167"/>
      <c r="C1014" s="129"/>
      <c r="D1014" s="129"/>
      <c r="E1014" s="129"/>
      <c r="F1014" s="164"/>
      <c r="G1014" s="164"/>
      <c r="H1014" s="129"/>
      <c r="I1014" s="129"/>
      <c r="J1014" s="129"/>
      <c r="K1014" s="126"/>
      <c r="L1014" s="126"/>
      <c r="M1014" s="126"/>
      <c r="N1014" s="126"/>
      <c r="O1014" s="164"/>
      <c r="P1014" s="129"/>
      <c r="Q1014" s="129"/>
      <c r="R1014" s="129"/>
    </row>
    <row r="1015">
      <c r="A1015" s="166"/>
      <c r="B1015" s="167"/>
      <c r="C1015" s="129"/>
      <c r="D1015" s="129"/>
      <c r="E1015" s="129"/>
      <c r="F1015" s="164"/>
      <c r="G1015" s="164"/>
      <c r="H1015" s="129"/>
      <c r="I1015" s="129"/>
      <c r="J1015" s="129"/>
      <c r="K1015" s="126"/>
      <c r="L1015" s="126"/>
      <c r="M1015" s="126"/>
      <c r="N1015" s="126"/>
      <c r="O1015" s="164"/>
      <c r="P1015" s="129"/>
      <c r="Q1015" s="129"/>
      <c r="R1015" s="129"/>
    </row>
    <row r="1016">
      <c r="A1016" s="166"/>
      <c r="B1016" s="167"/>
      <c r="C1016" s="129"/>
      <c r="D1016" s="129"/>
      <c r="E1016" s="129"/>
      <c r="F1016" s="164"/>
      <c r="G1016" s="164"/>
      <c r="H1016" s="129"/>
      <c r="I1016" s="129"/>
      <c r="J1016" s="129"/>
      <c r="K1016" s="126"/>
      <c r="L1016" s="126"/>
      <c r="M1016" s="126"/>
      <c r="N1016" s="126"/>
      <c r="O1016" s="164"/>
      <c r="P1016" s="129"/>
      <c r="Q1016" s="129"/>
      <c r="R1016" s="129"/>
    </row>
    <row r="1017">
      <c r="A1017" s="166"/>
      <c r="B1017" s="167"/>
      <c r="C1017" s="129"/>
      <c r="D1017" s="129"/>
      <c r="E1017" s="129"/>
      <c r="F1017" s="164"/>
      <c r="G1017" s="164"/>
      <c r="H1017" s="129"/>
      <c r="I1017" s="129"/>
      <c r="J1017" s="129"/>
      <c r="K1017" s="126"/>
      <c r="L1017" s="126"/>
      <c r="M1017" s="126"/>
      <c r="N1017" s="126"/>
      <c r="O1017" s="164"/>
      <c r="P1017" s="129"/>
      <c r="Q1017" s="129"/>
      <c r="R1017" s="129"/>
    </row>
    <row r="1018">
      <c r="A1018" s="166"/>
      <c r="B1018" s="167"/>
      <c r="C1018" s="129"/>
      <c r="D1018" s="129"/>
      <c r="E1018" s="129"/>
      <c r="F1018" s="164"/>
      <c r="G1018" s="164"/>
      <c r="H1018" s="129"/>
      <c r="I1018" s="129"/>
      <c r="J1018" s="129"/>
      <c r="K1018" s="126"/>
      <c r="L1018" s="126"/>
      <c r="M1018" s="126"/>
      <c r="N1018" s="126"/>
      <c r="O1018" s="164"/>
      <c r="P1018" s="129"/>
      <c r="Q1018" s="129"/>
      <c r="R1018" s="129"/>
    </row>
    <row r="1019">
      <c r="A1019" s="166"/>
      <c r="B1019" s="167"/>
      <c r="C1019" s="129"/>
      <c r="D1019" s="129"/>
      <c r="E1019" s="129"/>
      <c r="F1019" s="164"/>
      <c r="G1019" s="164"/>
      <c r="H1019" s="129"/>
      <c r="I1019" s="129"/>
      <c r="J1019" s="129"/>
      <c r="K1019" s="126"/>
      <c r="L1019" s="126"/>
      <c r="M1019" s="126"/>
      <c r="N1019" s="126"/>
      <c r="O1019" s="164"/>
      <c r="P1019" s="129"/>
      <c r="Q1019" s="129"/>
      <c r="R1019" s="129"/>
    </row>
    <row r="1020">
      <c r="A1020" s="166"/>
      <c r="B1020" s="167"/>
      <c r="C1020" s="129"/>
      <c r="D1020" s="129"/>
      <c r="E1020" s="129"/>
      <c r="F1020" s="164"/>
      <c r="G1020" s="164"/>
      <c r="H1020" s="129"/>
      <c r="I1020" s="129"/>
      <c r="J1020" s="129"/>
      <c r="K1020" s="126"/>
      <c r="L1020" s="126"/>
      <c r="M1020" s="126"/>
      <c r="N1020" s="126"/>
      <c r="O1020" s="164"/>
      <c r="P1020" s="129"/>
      <c r="Q1020" s="129"/>
      <c r="R1020" s="129"/>
    </row>
    <row r="1021">
      <c r="A1021" s="166"/>
      <c r="B1021" s="167"/>
      <c r="C1021" s="129"/>
      <c r="D1021" s="129"/>
      <c r="E1021" s="129"/>
      <c r="F1021" s="164"/>
      <c r="G1021" s="164"/>
      <c r="H1021" s="129"/>
      <c r="I1021" s="129"/>
      <c r="J1021" s="129"/>
      <c r="K1021" s="126"/>
      <c r="L1021" s="126"/>
      <c r="M1021" s="126"/>
      <c r="N1021" s="126"/>
      <c r="O1021" s="164"/>
      <c r="P1021" s="129"/>
      <c r="Q1021" s="129"/>
      <c r="R1021" s="129"/>
    </row>
    <row r="1022">
      <c r="A1022" s="166"/>
      <c r="B1022" s="167"/>
      <c r="C1022" s="129"/>
      <c r="D1022" s="129"/>
      <c r="E1022" s="129"/>
      <c r="F1022" s="164"/>
      <c r="G1022" s="164"/>
      <c r="H1022" s="129"/>
      <c r="I1022" s="129"/>
      <c r="J1022" s="129"/>
      <c r="K1022" s="126"/>
      <c r="L1022" s="126"/>
      <c r="M1022" s="126"/>
      <c r="N1022" s="126"/>
      <c r="O1022" s="164"/>
      <c r="P1022" s="129"/>
      <c r="Q1022" s="129"/>
      <c r="R1022" s="129"/>
    </row>
    <row r="1023">
      <c r="A1023" s="166"/>
      <c r="B1023" s="167"/>
      <c r="C1023" s="129"/>
      <c r="D1023" s="129"/>
      <c r="E1023" s="129"/>
      <c r="F1023" s="164"/>
      <c r="G1023" s="164"/>
      <c r="H1023" s="129"/>
      <c r="I1023" s="129"/>
      <c r="J1023" s="129"/>
      <c r="K1023" s="126"/>
      <c r="L1023" s="126"/>
      <c r="M1023" s="126"/>
      <c r="N1023" s="126"/>
      <c r="O1023" s="164"/>
      <c r="P1023" s="129"/>
      <c r="Q1023" s="129"/>
      <c r="R1023" s="129"/>
    </row>
    <row r="1024">
      <c r="A1024" s="166"/>
      <c r="B1024" s="167"/>
      <c r="C1024" s="129"/>
      <c r="D1024" s="129"/>
      <c r="E1024" s="129"/>
      <c r="F1024" s="164"/>
      <c r="G1024" s="164"/>
      <c r="H1024" s="129"/>
      <c r="I1024" s="129"/>
      <c r="J1024" s="129"/>
      <c r="K1024" s="126"/>
      <c r="L1024" s="126"/>
      <c r="M1024" s="126"/>
      <c r="N1024" s="126"/>
      <c r="O1024" s="164"/>
      <c r="P1024" s="129"/>
      <c r="Q1024" s="129"/>
      <c r="R1024" s="129"/>
    </row>
  </sheetData>
  <mergeCells count="4">
    <mergeCell ref="C1:F1"/>
    <mergeCell ref="G1:G2"/>
    <mergeCell ref="K1:O1"/>
    <mergeCell ref="H1:J1"/>
  </mergeCells>
  <conditionalFormatting sqref="F3:F1024">
    <cfRule type="cellIs" dxfId="6" priority="1" operator="lessThan">
      <formula>0</formula>
    </cfRule>
  </conditionalFormatting>
  <conditionalFormatting sqref="E3:E1024">
    <cfRule type="expression" dxfId="7" priority="2">
      <formula> E:E - #REF! &gt; 2</formula>
    </cfRule>
  </conditionalFormatting>
  <conditionalFormatting sqref="C3:C1024 D3:D109 E3:E37">
    <cfRule type="expression" dxfId="7" priority="3">
      <formula>" = D:D - C:C &gt; 1"</formula>
    </cfRule>
  </conditionalFormatting>
  <printOptions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5.29"/>
    <col customWidth="1" min="2" max="2" width="6.43"/>
    <col customWidth="1" min="3" max="3" width="46.57"/>
    <col customWidth="1" min="4" max="16" width="15.43"/>
    <col customWidth="1" min="17" max="18" width="15.71"/>
  </cols>
  <sheetData>
    <row r="1">
      <c r="A1" s="114" t="s">
        <v>7</v>
      </c>
      <c r="B1" s="115" t="s">
        <v>96</v>
      </c>
      <c r="C1" s="116" t="s">
        <v>9</v>
      </c>
      <c r="D1" s="117" t="s">
        <v>97</v>
      </c>
      <c r="E1" s="117" t="s">
        <v>98</v>
      </c>
      <c r="F1" s="117" t="s">
        <v>99</v>
      </c>
      <c r="G1" s="117" t="s">
        <v>100</v>
      </c>
      <c r="H1" s="117" t="s">
        <v>101</v>
      </c>
      <c r="I1" s="117" t="s">
        <v>102</v>
      </c>
      <c r="J1" s="117" t="s">
        <v>103</v>
      </c>
      <c r="K1" s="117" t="s">
        <v>104</v>
      </c>
      <c r="L1" s="117" t="s">
        <v>105</v>
      </c>
      <c r="M1" s="117" t="s">
        <v>106</v>
      </c>
      <c r="N1" s="117" t="s">
        <v>107</v>
      </c>
      <c r="O1" s="117" t="s">
        <v>108</v>
      </c>
      <c r="P1" s="117" t="s">
        <v>109</v>
      </c>
      <c r="Q1" s="117" t="s">
        <v>110</v>
      </c>
      <c r="R1" s="117" t="s">
        <v>90</v>
      </c>
      <c r="S1" s="117" t="s">
        <v>111</v>
      </c>
      <c r="T1" s="117" t="s">
        <v>112</v>
      </c>
      <c r="U1" s="118" t="s">
        <v>113</v>
      </c>
      <c r="V1" s="119" t="s">
        <v>114</v>
      </c>
      <c r="W1" s="117" t="s">
        <v>115</v>
      </c>
      <c r="X1" s="117" t="s">
        <v>116</v>
      </c>
      <c r="Y1" s="117" t="s">
        <v>117</v>
      </c>
      <c r="Z1" s="117" t="s">
        <v>118</v>
      </c>
      <c r="AA1" s="117" t="s">
        <v>119</v>
      </c>
      <c r="AB1" s="117" t="s">
        <v>120</v>
      </c>
      <c r="AC1" s="117" t="s">
        <v>121</v>
      </c>
      <c r="AD1" s="117" t="s">
        <v>122</v>
      </c>
      <c r="AE1" s="117" t="s">
        <v>123</v>
      </c>
    </row>
    <row r="2">
      <c r="A2" s="120">
        <v>2019.0</v>
      </c>
      <c r="B2" s="121">
        <v>6.0</v>
      </c>
      <c r="C2" s="122" t="s">
        <v>26</v>
      </c>
      <c r="D2" s="123">
        <v>7128.0</v>
      </c>
      <c r="E2" s="123">
        <v>4165.29</v>
      </c>
      <c r="F2" s="123">
        <v>-16000.0</v>
      </c>
      <c r="G2" s="44"/>
      <c r="H2" s="123">
        <v>-944.21</v>
      </c>
      <c r="I2" s="44"/>
      <c r="J2" s="44"/>
      <c r="K2" s="123">
        <v>-85.34</v>
      </c>
      <c r="L2" s="123">
        <v>32362.79</v>
      </c>
      <c r="M2" s="44"/>
      <c r="N2" s="44"/>
      <c r="O2" s="123">
        <v>335455.4</v>
      </c>
      <c r="P2" s="52">
        <f t="shared" ref="P2:P143" si="1">IFERROR(__xludf.DUMMYFUNCTION("IFERROR(sum(FILTER($D:$N,$C:$C = $C2,$A:$A &lt; $A2,$B:$B = 12)),0) + sum($D2:$N2)"),335453.92999999993)</f>
        <v>335453.93</v>
      </c>
      <c r="Q2" s="124">
        <f t="shared" ref="Q2:Q1775" si="2">$O2-$P2</f>
        <v>1.47</v>
      </c>
      <c r="R2" s="52">
        <f t="array" ref="R2">IFERROR(INDEX('Fund YTD Target Values'!$1:$1000, MATCH($C2,'Fund YTD Target Values'!$A:$A,0), MATCH($A2,'Fund YTD Target Values'!$1:$1,0)),0)</f>
        <v>384705.6005</v>
      </c>
      <c r="S2" s="52">
        <f>IFERROR(__xludf.DUMMYFUNCTION("IFERROR(sum(FILTER('Fund Data'!$V:$V, 'Fund Data'!$C:$C = $C2, 'Fund Data'!$A:$A &lt; $A2)),0) + IFERROR(sum(FILTER('Fund Data'!$V:$V, 'Fund Data'!$C:$C = $C2, 'Fund Data'!$A:$A = $A2, 'Fund Data'!$B:$B &lt;= $B2)),0)"),317377.0)</f>
        <v>317377</v>
      </c>
      <c r="T2" s="44"/>
      <c r="U2" s="44"/>
      <c r="V2" s="44">
        <f t="shared" ref="V2:V1775" si="3">IFERROR(__xludf.DUMMYFUNCTION("$D2 - IFERROR(FILTER($D:$D,$C:$C = $C2, $A:$A = $A2, $B:$B = $B2 - 1),0)"),0.0)</f>
        <v>0</v>
      </c>
      <c r="W2" s="52">
        <f>IFERROR(__xludf.DUMMYFUNCTION("iFERROR((FILTER('Fund Data'!$Y:$Y, 'Fund Data'!$C:$C = $C2, 'Fund Data'!$A:$A = $A2 - 1, 'Fund Data'!$B:$B = 12) + FILTER('Fund Data'!$AA:$AA, 'Fund Data'!$C:$C = $C2, 'Fund Data'!$A:$A = $A2 - 1, 'Fund Data'!$B:$B = 12)) * (1 + AVERAGE(FILTER('Inflation "&amp;"Data'!$C:$C,'Inflation Data'!$A:$A = ($A2 - 2)))) * 'Parameters and Distribution Sum'!$A$4,0)"),11342.657736026731)</f>
        <v>11342.65774</v>
      </c>
      <c r="X2" s="52">
        <f>IFERROR(__xludf.DUMMYFUNCTION("IFERROR((IFERROR(FILTER('Fund Data'!$P:$P,'Fund Data'!$C:$C = $C2,'Fund Data'!$A:$A = ($A2 - 2), 'Fund Data'!$B:$B = 12),0) - SUM(FILTER('Fund Data'!$V:$V, 'Fund Data'!$C:$C = $C2, 'Fund Data'!$A:$A = ($A2 - 2), 'Fund Data'!$B:$B &gt; 3)))  * 'Parameters and"&amp;" Distribution Sum'!$B$4 * (1 - 'Parameters and Distribution Sum'!$A$4),0)"),4477.692959999999)</f>
        <v>4477.69296</v>
      </c>
      <c r="Y2" s="52">
        <f t="shared" ref="Y2:Y7" si="4">sum($W2:$X2)</f>
        <v>15820.3507</v>
      </c>
      <c r="Z2" s="52">
        <f>IFERROR(__xludf.DUMMYFUNCTION("((IFERROR((SUM(FILTER('Fund Data'!$V:$V, 'Fund Data'!$C:$C = $C2, 'Fund Data'!$A:$A = $A2 - 1, 'Fund Data'!$B:$B &gt;= 4, 'Fund Data'!$B:$B &lt;= ($B2 + 5))) / 12) * ($B2 - 3) * 'Parameters and Distribution Sum'!$B$4, 0) + IF($B2 &gt;= 9, IFERROR(SUM(FILTER('Fund "&amp;"Data'!$V:$V, 'Fund Data'!$C:$C = $C2, 'Fund Data'!$A:$A = $A2, 'Fund Data'!$B:$B &lt;= 3)) * 'Parameters and Distribution Sum'!$B$4, 0),0)))"),0.0)</f>
        <v>0</v>
      </c>
      <c r="AA2" s="44">
        <f>IFERROR(__xludf.DUMMYFUNCTION("IFERROR(((IFERROR(SUM(FILTER('Fund Data'!$V:$V, 'Fund Data'!$C:$C = $C2, 'Fund Data'!$A:$A = $A2 - 2, 'Fund Data'!$B:$B &gt;= 4)) * 'Parameters and Distribution Sum'!$B$4,0) + IFERROR(SUM(FILTER('Fund Data'!$V:$V, 'Fund Data'!$C:$C = $C2, 'Fund Data'!$A:$A ="&amp;" $A2 - 1, 'Fund Data'!$B:$B &lt;= 3)) * 'Parameters and Distribution Sum'!$B$4,0))),0)"),829.755)</f>
        <v>829.755</v>
      </c>
      <c r="AB2" s="44">
        <f t="shared" ref="AB2:AB8" si="5">IFERROR(__xludf.DUMMYFUNCTION("IFERROR(FILTER($AE:$AE,$C:$C = $C2,$A:$A = $A2 - 1,$B:$B = 12),0)"),0.0)</f>
        <v>0</v>
      </c>
      <c r="AC2" s="44">
        <f t="shared" ref="AC2:AC8" si="6">sum($Y2:$AB2)</f>
        <v>16650.1057</v>
      </c>
      <c r="AD2" s="44">
        <f t="shared" ref="AD2:AD1775" si="7">$AC2+($F2)</f>
        <v>650.105696</v>
      </c>
      <c r="AE2" s="44"/>
    </row>
    <row r="3">
      <c r="A3" s="120">
        <v>2019.0</v>
      </c>
      <c r="B3" s="121">
        <v>5.0</v>
      </c>
      <c r="C3" s="122" t="s">
        <v>26</v>
      </c>
      <c r="D3" s="123">
        <v>7128.0</v>
      </c>
      <c r="E3" s="123">
        <v>3790.66</v>
      </c>
      <c r="F3" s="44"/>
      <c r="G3" s="44"/>
      <c r="H3" s="123">
        <v>-784.47</v>
      </c>
      <c r="I3" s="44"/>
      <c r="J3" s="44"/>
      <c r="K3" s="44"/>
      <c r="L3" s="123">
        <v>19330.59</v>
      </c>
      <c r="M3" s="44"/>
      <c r="N3" s="44"/>
      <c r="O3" s="123">
        <v>338293.65</v>
      </c>
      <c r="P3" s="52">
        <f t="shared" si="1"/>
        <v>338292.18</v>
      </c>
      <c r="Q3" s="124">
        <f t="shared" si="2"/>
        <v>1.47</v>
      </c>
      <c r="R3" s="52">
        <f t="array" ref="R3">IFERROR(INDEX('Fund YTD Target Values'!$1:$1000, MATCH($C3,'Fund YTD Target Values'!$A:$A,0), MATCH($A3,'Fund YTD Target Values'!$1:$1,0)),0)</f>
        <v>384705.6005</v>
      </c>
      <c r="S3" s="52">
        <f>IFERROR(__xludf.DUMMYFUNCTION("IFERROR(sum(FILTER('Fund Data'!$V:$V, 'Fund Data'!$C:$C = $C3, 'Fund Data'!$A:$A &lt; $A3)),0) + IFERROR(sum(FILTER('Fund Data'!$V:$V, 'Fund Data'!$C:$C = $C3, 'Fund Data'!$A:$A = $A3, 'Fund Data'!$B:$B &lt;= $B3)),0)"),317377.0)</f>
        <v>317377</v>
      </c>
      <c r="T3" s="44"/>
      <c r="U3" s="44"/>
      <c r="V3" s="44">
        <f t="shared" si="3"/>
        <v>0</v>
      </c>
      <c r="W3" s="52">
        <f>IFERROR(__xludf.DUMMYFUNCTION("iFERROR((FILTER('Fund Data'!$Y:$Y, 'Fund Data'!$C:$C = $C3, 'Fund Data'!$A:$A = $A3 - 1, 'Fund Data'!$B:$B = 12) + FILTER('Fund Data'!$AA:$AA, 'Fund Data'!$C:$C = $C3, 'Fund Data'!$A:$A = $A3 - 1, 'Fund Data'!$B:$B = 12)) * (1 + AVERAGE(FILTER('Inflation "&amp;"Data'!$C:$C,'Inflation Data'!$A:$A = ($A3 - 2)))) * 'Parameters and Distribution Sum'!$A$4,0)"),11342.657736026731)</f>
        <v>11342.65774</v>
      </c>
      <c r="X3" s="52">
        <f>IFERROR(__xludf.DUMMYFUNCTION("IFERROR((IFERROR(FILTER('Fund Data'!$P:$P,'Fund Data'!$C:$C = $C3,'Fund Data'!$A:$A = ($A3 - 2), 'Fund Data'!$B:$B = 12),0) - SUM(FILTER('Fund Data'!$V:$V, 'Fund Data'!$C:$C = $C3, 'Fund Data'!$A:$A = ($A3 - 2), 'Fund Data'!$B:$B &gt; 3)))  * 'Parameters and"&amp;" Distribution Sum'!$B$4 * (1 - 'Parameters and Distribution Sum'!$A$4),0)"),4477.692959999999)</f>
        <v>4477.69296</v>
      </c>
      <c r="Y3" s="52">
        <f t="shared" si="4"/>
        <v>15820.3507</v>
      </c>
      <c r="Z3" s="52">
        <f>IFERROR(__xludf.DUMMYFUNCTION("((IFERROR((SUM(FILTER('Fund Data'!$V:$V, 'Fund Data'!$C:$C = $C3, 'Fund Data'!$A:$A = $A3 - 1, 'Fund Data'!$B:$B &gt;= 4, 'Fund Data'!$B:$B &lt;= ($B3 + 5))) / 12) * ($B3 - 3) * 'Parameters and Distribution Sum'!$B$4, 0) + IF($B3 &gt;= 9, IFERROR(SUM(FILTER('Fund "&amp;"Data'!$V:$V, 'Fund Data'!$C:$C = $C3, 'Fund Data'!$A:$A = $A3, 'Fund Data'!$B:$B &lt;= 3)) * 'Parameters and Distribution Sum'!$B$4, 0),0)))"),0.0)</f>
        <v>0</v>
      </c>
      <c r="AA3" s="44">
        <f>IFERROR(__xludf.DUMMYFUNCTION("IFERROR(((IFERROR(SUM(FILTER('Fund Data'!$V:$V, 'Fund Data'!$C:$C = $C3, 'Fund Data'!$A:$A = $A3 - 2, 'Fund Data'!$B:$B &gt;= 4)) * 'Parameters and Distribution Sum'!$B$4,0) + IFERROR(SUM(FILTER('Fund Data'!$V:$V, 'Fund Data'!$C:$C = $C3, 'Fund Data'!$A:$A ="&amp;" $A3 - 1, 'Fund Data'!$B:$B &lt;= 3)) * 'Parameters and Distribution Sum'!$B$4,0))),0)"),829.755)</f>
        <v>829.755</v>
      </c>
      <c r="AB3" s="44">
        <f t="shared" si="5"/>
        <v>0</v>
      </c>
      <c r="AC3" s="44">
        <f t="shared" si="6"/>
        <v>16650.1057</v>
      </c>
      <c r="AD3" s="44">
        <f t="shared" si="7"/>
        <v>16650.1057</v>
      </c>
      <c r="AE3" s="44"/>
    </row>
    <row r="4">
      <c r="A4" s="120">
        <v>2019.0</v>
      </c>
      <c r="B4" s="121">
        <v>4.0</v>
      </c>
      <c r="C4" s="122" t="s">
        <v>26</v>
      </c>
      <c r="D4" s="123">
        <v>7128.0</v>
      </c>
      <c r="E4" s="123">
        <v>3482.81</v>
      </c>
      <c r="F4" s="44"/>
      <c r="G4" s="44"/>
      <c r="H4" s="123">
        <v>-620.49</v>
      </c>
      <c r="I4" s="44"/>
      <c r="J4" s="44"/>
      <c r="K4" s="44"/>
      <c r="L4" s="123">
        <v>32478.16</v>
      </c>
      <c r="M4" s="44"/>
      <c r="N4" s="44"/>
      <c r="O4" s="123">
        <v>351297.0</v>
      </c>
      <c r="P4" s="52">
        <f t="shared" si="1"/>
        <v>351295.88</v>
      </c>
      <c r="Q4" s="124">
        <f t="shared" si="2"/>
        <v>1.12</v>
      </c>
      <c r="R4" s="52">
        <f t="array" ref="R4">IFERROR(INDEX('Fund YTD Target Values'!$1:$1000, MATCH($C4,'Fund YTD Target Values'!$A:$A,0), MATCH($A4,'Fund YTD Target Values'!$1:$1,0)),0)</f>
        <v>384705.6005</v>
      </c>
      <c r="S4" s="52">
        <f>IFERROR(__xludf.DUMMYFUNCTION("IFERROR(sum(FILTER('Fund Data'!$V:$V, 'Fund Data'!$C:$C = $C4, 'Fund Data'!$A:$A &lt; $A4)),0) + IFERROR(sum(FILTER('Fund Data'!$V:$V, 'Fund Data'!$C:$C = $C4, 'Fund Data'!$A:$A = $A4, 'Fund Data'!$B:$B &lt;= $B4)),0)"),317377.0)</f>
        <v>317377</v>
      </c>
      <c r="T4" s="44"/>
      <c r="U4" s="44"/>
      <c r="V4" s="44">
        <f t="shared" si="3"/>
        <v>0</v>
      </c>
      <c r="W4" s="52">
        <f>IFERROR(__xludf.DUMMYFUNCTION("iFERROR((FILTER('Fund Data'!$Y:$Y, 'Fund Data'!$C:$C = $C4, 'Fund Data'!$A:$A = $A4 - 1, 'Fund Data'!$B:$B = 12) + FILTER('Fund Data'!$AA:$AA, 'Fund Data'!$C:$C = $C4, 'Fund Data'!$A:$A = $A4 - 1, 'Fund Data'!$B:$B = 12)) * (1 + AVERAGE(FILTER('Inflation "&amp;"Data'!$C:$C,'Inflation Data'!$A:$A = ($A4 - 2)))) * 'Parameters and Distribution Sum'!$A$4,0)"),11342.657736026731)</f>
        <v>11342.65774</v>
      </c>
      <c r="X4" s="52">
        <f>IFERROR(__xludf.DUMMYFUNCTION("IFERROR((IFERROR(FILTER('Fund Data'!$P:$P,'Fund Data'!$C:$C = $C4,'Fund Data'!$A:$A = ($A4 - 2), 'Fund Data'!$B:$B = 12),0) - SUM(FILTER('Fund Data'!$V:$V, 'Fund Data'!$C:$C = $C4, 'Fund Data'!$A:$A = ($A4 - 2), 'Fund Data'!$B:$B &gt; 3)))  * 'Parameters and"&amp;" Distribution Sum'!$B$4 * (1 - 'Parameters and Distribution Sum'!$A$4),0)"),4477.692959999999)</f>
        <v>4477.69296</v>
      </c>
      <c r="Y4" s="52">
        <f t="shared" si="4"/>
        <v>15820.3507</v>
      </c>
      <c r="Z4" s="52">
        <f>IFERROR(__xludf.DUMMYFUNCTION("((IFERROR((SUM(FILTER('Fund Data'!$V:$V, 'Fund Data'!$C:$C = $C4, 'Fund Data'!$A:$A = $A4 - 1, 'Fund Data'!$B:$B &gt;= 4, 'Fund Data'!$B:$B &lt;= ($B4 + 5))) / 12) * ($B4 - 3) * 'Parameters and Distribution Sum'!$B$4, 0) + IF($B4 &gt;= 9, IFERROR(SUM(FILTER('Fund "&amp;"Data'!$V:$V, 'Fund Data'!$C:$C = $C4, 'Fund Data'!$A:$A = $A4, 'Fund Data'!$B:$B &lt;= 3)) * 'Parameters and Distribution Sum'!$B$4, 0),0)))"),0.0)</f>
        <v>0</v>
      </c>
      <c r="AA4" s="44">
        <f>IFERROR(__xludf.DUMMYFUNCTION("IFERROR(((IFERROR(SUM(FILTER('Fund Data'!$V:$V, 'Fund Data'!$C:$C = $C4, 'Fund Data'!$A:$A = $A4 - 2, 'Fund Data'!$B:$B &gt;= 4)) * 'Parameters and Distribution Sum'!$B$4,0) + IFERROR(SUM(FILTER('Fund Data'!$V:$V, 'Fund Data'!$C:$C = $C4, 'Fund Data'!$A:$A ="&amp;" $A4 - 1, 'Fund Data'!$B:$B &lt;= 3)) * 'Parameters and Distribution Sum'!$B$4,0))),0)"),829.755)</f>
        <v>829.755</v>
      </c>
      <c r="AB4" s="44">
        <f t="shared" si="5"/>
        <v>0</v>
      </c>
      <c r="AC4" s="44">
        <f t="shared" si="6"/>
        <v>16650.1057</v>
      </c>
      <c r="AD4" s="44">
        <f t="shared" si="7"/>
        <v>16650.1057</v>
      </c>
      <c r="AE4" s="44"/>
    </row>
    <row r="5">
      <c r="A5" s="120">
        <v>2019.0</v>
      </c>
      <c r="B5" s="121">
        <v>3.0</v>
      </c>
      <c r="C5" s="122" t="s">
        <v>26</v>
      </c>
      <c r="D5" s="123">
        <v>7128.0</v>
      </c>
      <c r="E5" s="123">
        <v>2622.38</v>
      </c>
      <c r="F5" s="44"/>
      <c r="G5" s="44"/>
      <c r="H5" s="123">
        <v>-459.7</v>
      </c>
      <c r="I5" s="44"/>
      <c r="J5" s="44"/>
      <c r="K5" s="44"/>
      <c r="L5" s="123">
        <v>25771.13</v>
      </c>
      <c r="M5" s="44"/>
      <c r="N5" s="44"/>
      <c r="O5" s="123">
        <v>343891.0</v>
      </c>
      <c r="P5" s="52">
        <f t="shared" si="1"/>
        <v>343889.21</v>
      </c>
      <c r="Q5" s="124">
        <f t="shared" si="2"/>
        <v>1.79</v>
      </c>
      <c r="R5" s="52">
        <f t="array" ref="R5">IFERROR(INDEX('Fund YTD Target Values'!$1:$1000, MATCH($C5,'Fund YTD Target Values'!$A:$A,0), MATCH($A5,'Fund YTD Target Values'!$1:$1,0)),0)</f>
        <v>384705.6005</v>
      </c>
      <c r="S5" s="52">
        <f>IFERROR(__xludf.DUMMYFUNCTION("IFERROR(sum(FILTER('Fund Data'!$V:$V, 'Fund Data'!$C:$C = $C5, 'Fund Data'!$A:$A &lt; $A5)),0) + IFERROR(sum(FILTER('Fund Data'!$V:$V, 'Fund Data'!$C:$C = $C5, 'Fund Data'!$A:$A = $A5, 'Fund Data'!$B:$B &lt;= $B5)),0)"),317377.0)</f>
        <v>317377</v>
      </c>
      <c r="T5" s="123"/>
      <c r="U5" s="44"/>
      <c r="V5" s="44">
        <f t="shared" si="3"/>
        <v>0</v>
      </c>
      <c r="W5" s="52">
        <f>IFERROR(__xludf.DUMMYFUNCTION("iFERROR((FILTER('Fund Data'!$Y:$Y, 'Fund Data'!$C:$C = $C5, 'Fund Data'!$A:$A = $A5 - 1, 'Fund Data'!$B:$B = 12) + FILTER('Fund Data'!$AA:$AA, 'Fund Data'!$C:$C = $C5, 'Fund Data'!$A:$A = $A5 - 1, 'Fund Data'!$B:$B = 12)) * (1 + AVERAGE(FILTER('Inflation "&amp;"Data'!$C:$C,'Inflation Data'!$A:$A = ($A5 - 2)))) * 'Parameters and Distribution Sum'!$A$4,0)"),11342.657736026731)</f>
        <v>11342.65774</v>
      </c>
      <c r="X5" s="52">
        <f>IFERROR(__xludf.DUMMYFUNCTION("IFERROR((IFERROR(FILTER('Fund Data'!$P:$P,'Fund Data'!$C:$C = $C5,'Fund Data'!$A:$A = ($A5 - 2), 'Fund Data'!$B:$B = 12),0) - SUM(FILTER('Fund Data'!$V:$V, 'Fund Data'!$C:$C = $C5, 'Fund Data'!$A:$A = ($A5 - 2), 'Fund Data'!$B:$B &gt; 3)))  * 'Parameters and"&amp;" Distribution Sum'!$B$4 * (1 - 'Parameters and Distribution Sum'!$A$4),0)"),4477.692959999999)</f>
        <v>4477.69296</v>
      </c>
      <c r="Y5" s="52">
        <f t="shared" si="4"/>
        <v>15820.3507</v>
      </c>
      <c r="Z5" s="52">
        <f>IFERROR(__xludf.DUMMYFUNCTION("((IFERROR((SUM(FILTER('Fund Data'!$V:$V, 'Fund Data'!$C:$C = $C5, 'Fund Data'!$A:$A = $A5 - 1, 'Fund Data'!$B:$B &gt;= 4, 'Fund Data'!$B:$B &lt;= ($B5 + 5))) / 12) * ($B5 - 3) * 'Parameters and Distribution Sum'!$B$4, 0) + IF($B5 &gt;= 9, IFERROR(SUM(FILTER('Fund "&amp;"Data'!$V:$V, 'Fund Data'!$C:$C = $C5, 'Fund Data'!$A:$A = $A5, 'Fund Data'!$B:$B &lt;= 3)) * 'Parameters and Distribution Sum'!$B$4, 0),0)))"),0.0)</f>
        <v>0</v>
      </c>
      <c r="AA5" s="44">
        <f>IFERROR(__xludf.DUMMYFUNCTION("IFERROR(((IFERROR(SUM(FILTER('Fund Data'!$V:$V, 'Fund Data'!$C:$C = $C5, 'Fund Data'!$A:$A = $A5 - 2, 'Fund Data'!$B:$B &gt;= 4)) * 'Parameters and Distribution Sum'!$B$4,0) + IFERROR(SUM(FILTER('Fund Data'!$V:$V, 'Fund Data'!$C:$C = $C5, 'Fund Data'!$A:$A ="&amp;" $A5 - 1, 'Fund Data'!$B:$B &lt;= 3)) * 'Parameters and Distribution Sum'!$B$4,0))),0)"),829.755)</f>
        <v>829.755</v>
      </c>
      <c r="AB5" s="44">
        <f t="shared" si="5"/>
        <v>0</v>
      </c>
      <c r="AC5" s="44">
        <f t="shared" si="6"/>
        <v>16650.1057</v>
      </c>
      <c r="AD5" s="44">
        <f t="shared" si="7"/>
        <v>16650.1057</v>
      </c>
      <c r="AE5" s="44"/>
    </row>
    <row r="6">
      <c r="A6" s="120">
        <v>2019.0</v>
      </c>
      <c r="B6" s="121">
        <v>2.0</v>
      </c>
      <c r="C6" s="122" t="s">
        <v>26</v>
      </c>
      <c r="D6" s="123">
        <v>7128.0</v>
      </c>
      <c r="E6" s="123">
        <v>2214.62</v>
      </c>
      <c r="F6" s="44"/>
      <c r="G6" s="44"/>
      <c r="H6" s="123">
        <v>-299.91</v>
      </c>
      <c r="I6" s="44"/>
      <c r="J6" s="44"/>
      <c r="K6" s="44"/>
      <c r="L6" s="123">
        <v>23856.74</v>
      </c>
      <c r="M6" s="44"/>
      <c r="N6" s="44"/>
      <c r="O6" s="123">
        <v>341728.0</v>
      </c>
      <c r="P6" s="52">
        <f t="shared" si="1"/>
        <v>341726.85</v>
      </c>
      <c r="Q6" s="124">
        <f t="shared" si="2"/>
        <v>1.15</v>
      </c>
      <c r="R6" s="52">
        <f t="array" ref="R6">IFERROR(INDEX('Fund YTD Target Values'!$1:$1000, MATCH($C6,'Fund YTD Target Values'!$A:$A,0), MATCH($A6,'Fund YTD Target Values'!$1:$1,0)),0)</f>
        <v>384705.6005</v>
      </c>
      <c r="S6" s="52">
        <f>IFERROR(__xludf.DUMMYFUNCTION("IFERROR(sum(FILTER('Fund Data'!$V:$V, 'Fund Data'!$C:$C = $C6, 'Fund Data'!$A:$A &lt; $A6)),0) + IFERROR(sum(FILTER('Fund Data'!$V:$V, 'Fund Data'!$C:$C = $C6, 'Fund Data'!$A:$A = $A6, 'Fund Data'!$B:$B &lt;= $B6)),0)"),317377.0)</f>
        <v>317377</v>
      </c>
      <c r="T6" s="44"/>
      <c r="U6" s="44"/>
      <c r="V6" s="44">
        <f t="shared" si="3"/>
        <v>7128</v>
      </c>
      <c r="W6" s="52">
        <f>IFERROR(__xludf.DUMMYFUNCTION("iFERROR((FILTER('Fund Data'!$Y:$Y, 'Fund Data'!$C:$C = $C6, 'Fund Data'!$A:$A = $A6 - 1, 'Fund Data'!$B:$B = 12) + FILTER('Fund Data'!$AA:$AA, 'Fund Data'!$C:$C = $C6, 'Fund Data'!$A:$A = $A6 - 1, 'Fund Data'!$B:$B = 12)) * (1 + AVERAGE(FILTER('Inflation "&amp;"Data'!$C:$C,'Inflation Data'!$A:$A = ($A6 - 2)))) * 'Parameters and Distribution Sum'!$A$4,0)"),11342.657736026731)</f>
        <v>11342.65774</v>
      </c>
      <c r="X6" s="52">
        <f>IFERROR(__xludf.DUMMYFUNCTION("IFERROR((IFERROR(FILTER('Fund Data'!$P:$P,'Fund Data'!$C:$C = $C6,'Fund Data'!$A:$A = ($A6 - 2), 'Fund Data'!$B:$B = 12),0) - SUM(FILTER('Fund Data'!$V:$V, 'Fund Data'!$C:$C = $C6, 'Fund Data'!$A:$A = ($A6 - 2), 'Fund Data'!$B:$B &gt; 3)))  * 'Parameters and"&amp;" Distribution Sum'!$B$4 * (1 - 'Parameters and Distribution Sum'!$A$4),0)"),4477.692959999999)</f>
        <v>4477.69296</v>
      </c>
      <c r="Y6" s="52">
        <f t="shared" si="4"/>
        <v>15820.3507</v>
      </c>
      <c r="Z6" s="52">
        <f>IFERROR(__xludf.DUMMYFUNCTION("((IFERROR((SUM(FILTER('Fund Data'!$V:$V, 'Fund Data'!$C:$C = $C6, 'Fund Data'!$A:$A = $A6 - 1, 'Fund Data'!$B:$B &gt;= 4, 'Fund Data'!$B:$B &lt;= ($B6 + 5))) / 12) * ($B6 - 3) * 'Parameters and Distribution Sum'!$B$4, 0) + IF($B6 &gt;= 9, IFERROR(SUM(FILTER('Fund "&amp;"Data'!$V:$V, 'Fund Data'!$C:$C = $C6, 'Fund Data'!$A:$A = $A6, 'Fund Data'!$B:$B &lt;= 3)) * 'Parameters and Distribution Sum'!$B$4, 0),0)))"),0.0)</f>
        <v>0</v>
      </c>
      <c r="AA6" s="44">
        <f>IFERROR(__xludf.DUMMYFUNCTION("IFERROR(((IFERROR(SUM(FILTER('Fund Data'!$V:$V, 'Fund Data'!$C:$C = $C6, 'Fund Data'!$A:$A = $A6 - 2, 'Fund Data'!$B:$B &gt;= 4)) * 'Parameters and Distribution Sum'!$B$4,0) + IFERROR(SUM(FILTER('Fund Data'!$V:$V, 'Fund Data'!$C:$C = $C6, 'Fund Data'!$A:$A ="&amp;" $A6 - 1, 'Fund Data'!$B:$B &lt;= 3)) * 'Parameters and Distribution Sum'!$B$4,0))),0)"),829.755)</f>
        <v>829.755</v>
      </c>
      <c r="AB6" s="44">
        <f t="shared" si="5"/>
        <v>0</v>
      </c>
      <c r="AC6" s="44">
        <f t="shared" si="6"/>
        <v>16650.1057</v>
      </c>
      <c r="AD6" s="44">
        <f t="shared" si="7"/>
        <v>16650.1057</v>
      </c>
      <c r="AE6" s="44"/>
    </row>
    <row r="7">
      <c r="A7" s="120">
        <v>2019.0</v>
      </c>
      <c r="B7" s="121">
        <v>1.0</v>
      </c>
      <c r="C7" s="122" t="s">
        <v>26</v>
      </c>
      <c r="D7" s="44"/>
      <c r="E7" s="123">
        <v>2048.66</v>
      </c>
      <c r="F7" s="44"/>
      <c r="G7" s="44"/>
      <c r="H7" s="123">
        <v>-145.71</v>
      </c>
      <c r="I7" s="44"/>
      <c r="J7" s="44"/>
      <c r="K7" s="44"/>
      <c r="L7" s="123">
        <v>18454.98</v>
      </c>
      <c r="M7" s="44"/>
      <c r="N7" s="44"/>
      <c r="O7" s="123">
        <v>329187.0</v>
      </c>
      <c r="P7" s="52">
        <f t="shared" si="1"/>
        <v>329185.33</v>
      </c>
      <c r="Q7" s="124">
        <f t="shared" si="2"/>
        <v>1.67</v>
      </c>
      <c r="R7" s="52">
        <f t="array" ref="R7">IFERROR(INDEX('Fund YTD Target Values'!$1:$1000, MATCH($C7,'Fund YTD Target Values'!$A:$A,0), MATCH($A7,'Fund YTD Target Values'!$1:$1,0)),0)</f>
        <v>384705.6005</v>
      </c>
      <c r="S7" s="52">
        <f>IFERROR(__xludf.DUMMYFUNCTION("IFERROR(sum(FILTER('Fund Data'!$V:$V, 'Fund Data'!$C:$C = $C7, 'Fund Data'!$A:$A &lt; $A7)),0) + IFERROR(sum(FILTER('Fund Data'!$V:$V, 'Fund Data'!$C:$C = $C7, 'Fund Data'!$A:$A = $A7, 'Fund Data'!$B:$B &lt;= $B7)),0)"),310249.0)</f>
        <v>310249</v>
      </c>
      <c r="T7" s="123">
        <v>310250.0</v>
      </c>
      <c r="U7" s="44">
        <f t="shared" ref="U7:U44" si="8">S7-T7</f>
        <v>-1</v>
      </c>
      <c r="V7" s="44">
        <f t="shared" si="3"/>
        <v>0</v>
      </c>
      <c r="W7" s="52">
        <f>IFERROR(__xludf.DUMMYFUNCTION("iFERROR((FILTER('Fund Data'!$Y:$Y, 'Fund Data'!$C:$C = $C7, 'Fund Data'!$A:$A = $A7 - 1, 'Fund Data'!$B:$B = 12) + FILTER('Fund Data'!$AA:$AA, 'Fund Data'!$C:$C = $C7, 'Fund Data'!$A:$A = $A7 - 1, 'Fund Data'!$B:$B = 12)) * (1 + AVERAGE(FILTER('Inflation "&amp;"Data'!$C:$C,'Inflation Data'!$A:$A = ($A7 - 2)))) * 'Parameters and Distribution Sum'!$A$4,0)"),11342.657736026731)</f>
        <v>11342.65774</v>
      </c>
      <c r="X7" s="52">
        <f>IFERROR(__xludf.DUMMYFUNCTION("IFERROR((IFERROR(FILTER('Fund Data'!$P:$P,'Fund Data'!$C:$C = $C7,'Fund Data'!$A:$A = ($A7 - 2), 'Fund Data'!$B:$B = 12),0) - SUM(FILTER('Fund Data'!$V:$V, 'Fund Data'!$C:$C = $C7, 'Fund Data'!$A:$A = ($A7 - 2), 'Fund Data'!$B:$B &gt; 3)))  * 'Parameters and"&amp;" Distribution Sum'!$B$4 * (1 - 'Parameters and Distribution Sum'!$A$4),0)"),4477.692959999999)</f>
        <v>4477.69296</v>
      </c>
      <c r="Y7" s="52">
        <f t="shared" si="4"/>
        <v>15820.3507</v>
      </c>
      <c r="Z7" s="52">
        <f>IFERROR(__xludf.DUMMYFUNCTION("((IFERROR((SUM(FILTER('Fund Data'!$V:$V, 'Fund Data'!$C:$C = $C7, 'Fund Data'!$A:$A = $A7 - 1, 'Fund Data'!$B:$B &gt;= 4, 'Fund Data'!$B:$B &lt;= ($B7 + 5))) / 12) * ($B7 - 3) * 'Parameters and Distribution Sum'!$B$4, 0) + IF($B7 &gt;= 9, IFERROR(SUM(FILTER('Fund "&amp;"Data'!$V:$V, 'Fund Data'!$C:$C = $C7, 'Fund Data'!$A:$A = $A7, 'Fund Data'!$B:$B &lt;= 3)) * 'Parameters and Distribution Sum'!$B$4, 0),0)))"),0.0)</f>
        <v>0</v>
      </c>
      <c r="AA7" s="44">
        <f>IFERROR(__xludf.DUMMYFUNCTION("IFERROR(((IFERROR(SUM(FILTER('Fund Data'!$V:$V, 'Fund Data'!$C:$C = $C7, 'Fund Data'!$A:$A = $A7 - 2, 'Fund Data'!$B:$B &gt;= 4)) * 'Parameters and Distribution Sum'!$B$4,0) + IFERROR(SUM(FILTER('Fund Data'!$V:$V, 'Fund Data'!$C:$C = $C7, 'Fund Data'!$A:$A ="&amp;" $A7 - 1, 'Fund Data'!$B:$B &lt;= 3)) * 'Parameters and Distribution Sum'!$B$4,0))),0)"),829.755)</f>
        <v>829.755</v>
      </c>
      <c r="AB7" s="44">
        <f t="shared" si="5"/>
        <v>0</v>
      </c>
      <c r="AC7" s="44">
        <f t="shared" si="6"/>
        <v>16650.1057</v>
      </c>
      <c r="AD7" s="44">
        <f t="shared" si="7"/>
        <v>16650.1057</v>
      </c>
      <c r="AE7" s="44"/>
    </row>
    <row r="8">
      <c r="A8" s="120">
        <v>2018.0</v>
      </c>
      <c r="B8" s="121">
        <v>12.0</v>
      </c>
      <c r="C8" s="122" t="s">
        <v>26</v>
      </c>
      <c r="D8" s="123">
        <v>18189.0</v>
      </c>
      <c r="E8" s="123">
        <v>7254.44</v>
      </c>
      <c r="F8" s="123">
        <v>-15210.0</v>
      </c>
      <c r="G8" s="44"/>
      <c r="H8" s="123">
        <v>-2016.2</v>
      </c>
      <c r="I8" s="44"/>
      <c r="J8" s="123">
        <v>587.37</v>
      </c>
      <c r="K8" s="44"/>
      <c r="L8" s="123">
        <v>-31908.17</v>
      </c>
      <c r="M8" s="44"/>
      <c r="N8" s="44"/>
      <c r="O8" s="123">
        <v>308829.0</v>
      </c>
      <c r="P8" s="52">
        <f t="shared" si="1"/>
        <v>308827.4</v>
      </c>
      <c r="Q8" s="124">
        <f t="shared" si="2"/>
        <v>1.6</v>
      </c>
      <c r="R8" s="52">
        <f t="array" ref="R8">IFERROR(INDEX('Fund YTD Target Values'!$1:$1000, MATCH($C8,'Fund YTD Target Values'!$A:$A,0), MATCH($A8,'Fund YTD Target Values'!$1:$1,0)),0)</f>
        <v>378110.9215</v>
      </c>
      <c r="S8" s="52">
        <f>IFERROR(__xludf.DUMMYFUNCTION("IFERROR(sum(FILTER('Fund Data'!$V:$V, 'Fund Data'!$C:$C = $C8, 'Fund Data'!$A:$A &lt; $A8)),0) + IFERROR(sum(FILTER('Fund Data'!$V:$V, 'Fund Data'!$C:$C = $C8, 'Fund Data'!$A:$A = $A8, 'Fund Data'!$B:$B &lt;= $B8)),0)"),310249.0)</f>
        <v>310249</v>
      </c>
      <c r="T8" s="123">
        <v>310250.0</v>
      </c>
      <c r="U8" s="44">
        <f t="shared" si="8"/>
        <v>-1</v>
      </c>
      <c r="V8" s="44">
        <f t="shared" si="3"/>
        <v>0</v>
      </c>
      <c r="W8" s="52"/>
      <c r="X8" s="52"/>
      <c r="Y8" s="52">
        <v>14925.643199999999</v>
      </c>
      <c r="Z8" s="123">
        <v>210.25125</v>
      </c>
      <c r="AA8" s="123">
        <v>939.96</v>
      </c>
      <c r="AB8" s="44">
        <f t="shared" si="5"/>
        <v>0</v>
      </c>
      <c r="AC8" s="44">
        <f t="shared" si="6"/>
        <v>16075.85445</v>
      </c>
      <c r="AD8" s="44">
        <f t="shared" si="7"/>
        <v>865.85445</v>
      </c>
      <c r="AE8" s="123">
        <v>0.0</v>
      </c>
    </row>
    <row r="9">
      <c r="A9" s="120">
        <v>2018.0</v>
      </c>
      <c r="B9" s="121">
        <v>11.0</v>
      </c>
      <c r="C9" s="122" t="s">
        <v>26</v>
      </c>
      <c r="D9" s="123">
        <v>18189.0</v>
      </c>
      <c r="E9" s="123">
        <v>6819.3</v>
      </c>
      <c r="F9" s="123">
        <v>-15210.0</v>
      </c>
      <c r="G9" s="44"/>
      <c r="H9" s="123">
        <v>-1862.9</v>
      </c>
      <c r="I9" s="44"/>
      <c r="J9" s="123">
        <v>587.37</v>
      </c>
      <c r="K9" s="44"/>
      <c r="L9" s="123">
        <v>-13648.02</v>
      </c>
      <c r="M9" s="44"/>
      <c r="N9" s="44"/>
      <c r="O9" s="123">
        <v>326807.0</v>
      </c>
      <c r="P9" s="52">
        <f t="shared" si="1"/>
        <v>326805.71</v>
      </c>
      <c r="Q9" s="124">
        <f t="shared" si="2"/>
        <v>1.29</v>
      </c>
      <c r="R9" s="52">
        <f t="array" ref="R9">IFERROR(INDEX('Fund YTD Target Values'!$1:$1000, MATCH($C9,'Fund YTD Target Values'!$A:$A,0), MATCH($A9,'Fund YTD Target Values'!$1:$1,0)),0)</f>
        <v>378110.9215</v>
      </c>
      <c r="S9" s="52">
        <f>IFERROR(__xludf.DUMMYFUNCTION("IFERROR(sum(FILTER('Fund Data'!$V:$V, 'Fund Data'!$C:$C = $C9, 'Fund Data'!$A:$A &lt; $A9)),0) + IFERROR(sum(FILTER('Fund Data'!$V:$V, 'Fund Data'!$C:$C = $C9, 'Fund Data'!$A:$A = $A9, 'Fund Data'!$B:$B &lt;= $B9)),0)"),310249.0)</f>
        <v>310249</v>
      </c>
      <c r="T9" s="123">
        <v>310250.0</v>
      </c>
      <c r="U9" s="44">
        <f t="shared" si="8"/>
        <v>-1</v>
      </c>
      <c r="V9" s="44">
        <f t="shared" si="3"/>
        <v>0</v>
      </c>
      <c r="W9" s="123"/>
      <c r="X9" s="123"/>
      <c r="Y9" s="123">
        <v>0.0</v>
      </c>
      <c r="Z9" s="123">
        <v>0.0</v>
      </c>
      <c r="AA9" s="123">
        <v>0.0</v>
      </c>
      <c r="AB9" s="123"/>
      <c r="AC9" s="123">
        <v>0.0</v>
      </c>
      <c r="AD9" s="44">
        <f t="shared" si="7"/>
        <v>-15210</v>
      </c>
      <c r="AE9" s="123">
        <v>0.0</v>
      </c>
    </row>
    <row r="10">
      <c r="A10" s="120">
        <v>2018.0</v>
      </c>
      <c r="B10" s="121">
        <v>10.0</v>
      </c>
      <c r="C10" s="135" t="s">
        <v>26</v>
      </c>
      <c r="D10" s="136">
        <v>18189.0</v>
      </c>
      <c r="E10" s="137">
        <v>6528.75</v>
      </c>
      <c r="F10" s="136">
        <v>-15000.0</v>
      </c>
      <c r="G10" s="138"/>
      <c r="H10" s="137">
        <v>-1551.64</v>
      </c>
      <c r="I10" s="138"/>
      <c r="J10" s="136">
        <v>587.37</v>
      </c>
      <c r="K10" s="138"/>
      <c r="L10" s="136">
        <v>-16469.68</v>
      </c>
      <c r="M10" s="44"/>
      <c r="N10" s="44"/>
      <c r="O10" s="136">
        <v>324216.0</v>
      </c>
      <c r="P10" s="52">
        <f t="shared" si="1"/>
        <v>324214.76</v>
      </c>
      <c r="Q10" s="124">
        <f t="shared" si="2"/>
        <v>1.24</v>
      </c>
      <c r="R10" s="52">
        <f t="array" ref="R10">IFERROR(INDEX('Fund YTD Target Values'!$1:$1000, MATCH($C10,'Fund YTD Target Values'!$A:$A,0), MATCH($A10,'Fund YTD Target Values'!$1:$1,0)),0)</f>
        <v>378110.9215</v>
      </c>
      <c r="S10" s="52">
        <f>IFERROR(__xludf.DUMMYFUNCTION("IFERROR(sum(FILTER('Fund Data'!$V:$V, 'Fund Data'!$C:$C = $C10, 'Fund Data'!$A:$A &lt; $A10)),0) + IFERROR(sum(FILTER('Fund Data'!$V:$V, 'Fund Data'!$C:$C = $C10, 'Fund Data'!$A:$A = $A10, 'Fund Data'!$B:$B &lt;= $B10)),0)"),310249.0)</f>
        <v>310249</v>
      </c>
      <c r="T10" s="123">
        <v>310250.0</v>
      </c>
      <c r="U10" s="44">
        <f t="shared" si="8"/>
        <v>-1</v>
      </c>
      <c r="V10" s="44">
        <f t="shared" si="3"/>
        <v>0</v>
      </c>
      <c r="W10" s="123"/>
      <c r="X10" s="123"/>
      <c r="Y10" s="123">
        <v>0.0</v>
      </c>
      <c r="Z10" s="123">
        <v>0.0</v>
      </c>
      <c r="AA10" s="123">
        <v>0.0</v>
      </c>
      <c r="AB10" s="123"/>
      <c r="AC10" s="123">
        <v>0.0</v>
      </c>
      <c r="AD10" s="44">
        <f t="shared" si="7"/>
        <v>-15000</v>
      </c>
      <c r="AE10" s="123">
        <v>0.0</v>
      </c>
    </row>
    <row r="11">
      <c r="A11" s="120">
        <v>2018.0</v>
      </c>
      <c r="B11" s="121">
        <v>9.0</v>
      </c>
      <c r="C11" s="122" t="s">
        <v>26</v>
      </c>
      <c r="D11" s="123">
        <v>18189.0</v>
      </c>
      <c r="E11" s="123">
        <v>5553.85</v>
      </c>
      <c r="F11" s="123">
        <v>-15000.0</v>
      </c>
      <c r="G11" s="44"/>
      <c r="H11" s="123">
        <v>-1551.64</v>
      </c>
      <c r="I11" s="44"/>
      <c r="J11" s="123">
        <v>587.37</v>
      </c>
      <c r="K11" s="44"/>
      <c r="L11" s="123">
        <v>923.82</v>
      </c>
      <c r="M11" s="44"/>
      <c r="N11" s="44"/>
      <c r="O11" s="123">
        <v>340635.0</v>
      </c>
      <c r="P11" s="52">
        <f t="shared" si="1"/>
        <v>340633.36</v>
      </c>
      <c r="Q11" s="124">
        <f t="shared" si="2"/>
        <v>1.64</v>
      </c>
      <c r="R11" s="52">
        <f t="array" ref="R11">IFERROR(INDEX('Fund YTD Target Values'!$1:$1000, MATCH($C11,'Fund YTD Target Values'!$A:$A,0), MATCH($A11,'Fund YTD Target Values'!$1:$1,0)),0)</f>
        <v>378110.9215</v>
      </c>
      <c r="S11" s="52">
        <f>IFERROR(__xludf.DUMMYFUNCTION("IFERROR(sum(FILTER('Fund Data'!$V:$V, 'Fund Data'!$C:$C = $C11, 'Fund Data'!$A:$A &lt; $A11)),0) + IFERROR(sum(FILTER('Fund Data'!$V:$V, 'Fund Data'!$C:$C = $C11, 'Fund Data'!$A:$A = $A11, 'Fund Data'!$B:$B &lt;= $B11)),0)"),310249.0)</f>
        <v>310249</v>
      </c>
      <c r="T11" s="123">
        <v>310250.0</v>
      </c>
      <c r="U11" s="44">
        <f t="shared" si="8"/>
        <v>-1</v>
      </c>
      <c r="V11" s="44">
        <f t="shared" si="3"/>
        <v>0</v>
      </c>
      <c r="W11" s="123"/>
      <c r="X11" s="123"/>
      <c r="Y11" s="123">
        <v>0.0</v>
      </c>
      <c r="Z11" s="123">
        <v>0.0</v>
      </c>
      <c r="AA11" s="123">
        <v>0.0</v>
      </c>
      <c r="AB11" s="123"/>
      <c r="AC11" s="123">
        <v>0.0</v>
      </c>
      <c r="AD11" s="44">
        <f t="shared" si="7"/>
        <v>-15000</v>
      </c>
      <c r="AE11" s="123">
        <v>0.0</v>
      </c>
    </row>
    <row r="12">
      <c r="A12" s="120">
        <v>2018.0</v>
      </c>
      <c r="B12" s="121">
        <v>8.0</v>
      </c>
      <c r="C12" s="122" t="s">
        <v>26</v>
      </c>
      <c r="D12" s="123">
        <v>18189.0</v>
      </c>
      <c r="E12" s="123">
        <v>5259.63</v>
      </c>
      <c r="F12" s="123">
        <v>-12300.0</v>
      </c>
      <c r="G12" s="44"/>
      <c r="H12" s="123">
        <v>-1379.39</v>
      </c>
      <c r="I12" s="44"/>
      <c r="J12" s="123">
        <v>292.33</v>
      </c>
      <c r="K12" s="44"/>
      <c r="L12" s="123">
        <v>2475.52</v>
      </c>
      <c r="M12" s="44"/>
      <c r="N12" s="44"/>
      <c r="O12" s="123">
        <v>344470.0</v>
      </c>
      <c r="P12" s="52">
        <f t="shared" si="1"/>
        <v>344468.05</v>
      </c>
      <c r="Q12" s="124">
        <f t="shared" si="2"/>
        <v>1.95</v>
      </c>
      <c r="R12" s="52">
        <f t="array" ref="R12">IFERROR(INDEX('Fund YTD Target Values'!$1:$1000, MATCH($C12,'Fund YTD Target Values'!$A:$A,0), MATCH($A12,'Fund YTD Target Values'!$1:$1,0)),0)</f>
        <v>378110.9215</v>
      </c>
      <c r="S12" s="52">
        <f>IFERROR(__xludf.DUMMYFUNCTION("IFERROR(sum(FILTER('Fund Data'!$V:$V, 'Fund Data'!$C:$C = $C12, 'Fund Data'!$A:$A &lt; $A12)),0) + IFERROR(sum(FILTER('Fund Data'!$V:$V, 'Fund Data'!$C:$C = $C12, 'Fund Data'!$A:$A = $A12, 'Fund Data'!$B:$B &lt;= $B12)),0)"),310249.0)</f>
        <v>310249</v>
      </c>
      <c r="T12" s="123">
        <v>310250.0</v>
      </c>
      <c r="U12" s="44">
        <f t="shared" si="8"/>
        <v>-1</v>
      </c>
      <c r="V12" s="44">
        <f t="shared" si="3"/>
        <v>0</v>
      </c>
      <c r="W12" s="123"/>
      <c r="X12" s="123"/>
      <c r="Y12" s="123">
        <v>0.0</v>
      </c>
      <c r="Z12" s="123">
        <v>0.0</v>
      </c>
      <c r="AA12" s="123">
        <v>0.0</v>
      </c>
      <c r="AB12" s="123"/>
      <c r="AC12" s="123">
        <v>0.0</v>
      </c>
      <c r="AD12" s="44">
        <f t="shared" si="7"/>
        <v>-12300</v>
      </c>
      <c r="AE12" s="123">
        <v>0.0</v>
      </c>
    </row>
    <row r="13">
      <c r="A13" s="120">
        <v>2018.0</v>
      </c>
      <c r="B13" s="121">
        <v>7.0</v>
      </c>
      <c r="C13" s="122" t="s">
        <v>26</v>
      </c>
      <c r="D13" s="123">
        <v>18189.0</v>
      </c>
      <c r="E13" s="123">
        <v>4973.42</v>
      </c>
      <c r="F13" s="123">
        <v>-9300.0</v>
      </c>
      <c r="G13" s="44"/>
      <c r="H13" s="123">
        <v>-1206.25</v>
      </c>
      <c r="I13" s="44"/>
      <c r="J13" s="44"/>
      <c r="K13" s="44"/>
      <c r="L13" s="123">
        <v>1690.87</v>
      </c>
      <c r="M13" s="44"/>
      <c r="N13" s="44"/>
      <c r="O13" s="123">
        <v>346279.0</v>
      </c>
      <c r="P13" s="52">
        <f t="shared" si="1"/>
        <v>346278</v>
      </c>
      <c r="Q13" s="124">
        <f t="shared" si="2"/>
        <v>1</v>
      </c>
      <c r="R13" s="52">
        <f t="array" ref="R13">IFERROR(INDEX('Fund YTD Target Values'!$1:$1000, MATCH($C13,'Fund YTD Target Values'!$A:$A,0), MATCH($A13,'Fund YTD Target Values'!$1:$1,0)),0)</f>
        <v>378110.9215</v>
      </c>
      <c r="S13" s="52">
        <f>IFERROR(__xludf.DUMMYFUNCTION("IFERROR(sum(FILTER('Fund Data'!$V:$V, 'Fund Data'!$C:$C = $C13, 'Fund Data'!$A:$A &lt; $A13)),0) + IFERROR(sum(FILTER('Fund Data'!$V:$V, 'Fund Data'!$C:$C = $C13, 'Fund Data'!$A:$A = $A13, 'Fund Data'!$B:$B &lt;= $B13)),0)"),310249.0)</f>
        <v>310249</v>
      </c>
      <c r="T13" s="123">
        <v>310250.0</v>
      </c>
      <c r="U13" s="44">
        <f t="shared" si="8"/>
        <v>-1</v>
      </c>
      <c r="V13" s="44">
        <f t="shared" si="3"/>
        <v>0</v>
      </c>
      <c r="W13" s="123"/>
      <c r="X13" s="123"/>
      <c r="Y13" s="123">
        <v>0.0</v>
      </c>
      <c r="Z13" s="123">
        <v>0.0</v>
      </c>
      <c r="AA13" s="123">
        <v>0.0</v>
      </c>
      <c r="AB13" s="123"/>
      <c r="AC13" s="123">
        <v>0.0</v>
      </c>
      <c r="AD13" s="44">
        <f t="shared" si="7"/>
        <v>-9300</v>
      </c>
      <c r="AE13" s="123">
        <v>0.0</v>
      </c>
    </row>
    <row r="14">
      <c r="A14" s="120">
        <v>2018.0</v>
      </c>
      <c r="B14" s="121">
        <v>6.0</v>
      </c>
      <c r="C14" s="122" t="s">
        <v>26</v>
      </c>
      <c r="D14" s="123">
        <v>18189.0</v>
      </c>
      <c r="E14" s="123">
        <v>4199.03</v>
      </c>
      <c r="F14" s="123">
        <v>-8000.0</v>
      </c>
      <c r="G14" s="44"/>
      <c r="H14" s="123">
        <v>-1035.58</v>
      </c>
      <c r="I14" s="44"/>
      <c r="J14" s="44"/>
      <c r="K14" s="44"/>
      <c r="L14" s="123">
        <v>-3949.7</v>
      </c>
      <c r="M14" s="44"/>
      <c r="N14" s="44"/>
      <c r="O14" s="123">
        <v>341335.0</v>
      </c>
      <c r="P14" s="52">
        <f t="shared" si="1"/>
        <v>341333.71</v>
      </c>
      <c r="Q14" s="124">
        <f t="shared" si="2"/>
        <v>1.29</v>
      </c>
      <c r="R14" s="52">
        <f t="array" ref="R14">IFERROR(INDEX('Fund YTD Target Values'!$1:$1000, MATCH($C14,'Fund YTD Target Values'!$A:$A,0), MATCH($A14,'Fund YTD Target Values'!$1:$1,0)),0)</f>
        <v>378110.9215</v>
      </c>
      <c r="S14" s="52">
        <f>IFERROR(__xludf.DUMMYFUNCTION("IFERROR(sum(FILTER('Fund Data'!$V:$V, 'Fund Data'!$C:$C = $C14, 'Fund Data'!$A:$A &lt; $A14)),0) + IFERROR(sum(FILTER('Fund Data'!$V:$V, 'Fund Data'!$C:$C = $C14, 'Fund Data'!$A:$A = $A14, 'Fund Data'!$B:$B &lt;= $B14)),0)"),310249.0)</f>
        <v>310249</v>
      </c>
      <c r="T14" s="123">
        <v>310250.0</v>
      </c>
      <c r="U14" s="44">
        <f t="shared" si="8"/>
        <v>-1</v>
      </c>
      <c r="V14" s="44">
        <f t="shared" si="3"/>
        <v>0</v>
      </c>
      <c r="W14" s="123"/>
      <c r="X14" s="123"/>
      <c r="Y14" s="123">
        <v>0.0</v>
      </c>
      <c r="Z14" s="123">
        <v>0.0</v>
      </c>
      <c r="AA14" s="123">
        <v>0.0</v>
      </c>
      <c r="AB14" s="123"/>
      <c r="AC14" s="123">
        <v>0.0</v>
      </c>
      <c r="AD14" s="44">
        <f t="shared" si="7"/>
        <v>-8000</v>
      </c>
      <c r="AE14" s="123">
        <v>0.0</v>
      </c>
    </row>
    <row r="15">
      <c r="A15" s="120">
        <v>2018.0</v>
      </c>
      <c r="B15" s="121">
        <v>5.0</v>
      </c>
      <c r="C15" s="122" t="s">
        <v>26</v>
      </c>
      <c r="D15" s="123">
        <v>18189.0</v>
      </c>
      <c r="E15" s="123">
        <v>3703.15</v>
      </c>
      <c r="F15" s="123">
        <v>-8000.0</v>
      </c>
      <c r="G15" s="44"/>
      <c r="H15" s="123">
        <v>-863.79</v>
      </c>
      <c r="I15" s="44"/>
      <c r="J15" s="44"/>
      <c r="K15" s="44"/>
      <c r="L15" s="123">
        <v>-1380.84</v>
      </c>
      <c r="M15" s="44"/>
      <c r="N15" s="44"/>
      <c r="O15" s="123">
        <v>343580.0</v>
      </c>
      <c r="P15" s="52">
        <f t="shared" si="1"/>
        <v>343578.48</v>
      </c>
      <c r="Q15" s="124">
        <f t="shared" si="2"/>
        <v>1.52</v>
      </c>
      <c r="R15" s="52">
        <f t="array" ref="R15">IFERROR(INDEX('Fund YTD Target Values'!$1:$1000, MATCH($C15,'Fund YTD Target Values'!$A:$A,0), MATCH($A15,'Fund YTD Target Values'!$1:$1,0)),0)</f>
        <v>378110.9215</v>
      </c>
      <c r="S15" s="52">
        <f>IFERROR(__xludf.DUMMYFUNCTION("IFERROR(sum(FILTER('Fund Data'!$V:$V, 'Fund Data'!$C:$C = $C15, 'Fund Data'!$A:$A &lt; $A15)),0) + IFERROR(sum(FILTER('Fund Data'!$V:$V, 'Fund Data'!$C:$C = $C15, 'Fund Data'!$A:$A = $A15, 'Fund Data'!$B:$B &lt;= $B15)),0)"),310249.0)</f>
        <v>310249</v>
      </c>
      <c r="T15" s="123">
        <v>310250.0</v>
      </c>
      <c r="U15" s="44">
        <f t="shared" si="8"/>
        <v>-1</v>
      </c>
      <c r="V15" s="44">
        <f t="shared" si="3"/>
        <v>0</v>
      </c>
      <c r="W15" s="123"/>
      <c r="X15" s="123"/>
      <c r="Y15" s="123">
        <v>0.0</v>
      </c>
      <c r="Z15" s="123">
        <v>0.0</v>
      </c>
      <c r="AA15" s="123">
        <v>0.0</v>
      </c>
      <c r="AB15" s="123"/>
      <c r="AC15" s="123">
        <v>0.0</v>
      </c>
      <c r="AD15" s="44">
        <f t="shared" si="7"/>
        <v>-8000</v>
      </c>
      <c r="AE15" s="123">
        <v>0.0</v>
      </c>
    </row>
    <row r="16">
      <c r="A16" s="120">
        <v>2018.0</v>
      </c>
      <c r="B16" s="121">
        <v>4.0</v>
      </c>
      <c r="C16" s="122" t="s">
        <v>26</v>
      </c>
      <c r="D16" s="123">
        <v>18189.0</v>
      </c>
      <c r="E16" s="123">
        <v>3424.0</v>
      </c>
      <c r="F16" s="44"/>
      <c r="G16" s="44"/>
      <c r="H16" s="123">
        <v>-688.42</v>
      </c>
      <c r="I16" s="44"/>
      <c r="J16" s="44"/>
      <c r="K16" s="44"/>
      <c r="L16" s="123">
        <v>-2106.67</v>
      </c>
      <c r="M16" s="44"/>
      <c r="N16" s="44"/>
      <c r="O16" s="123">
        <v>350750.0</v>
      </c>
      <c r="P16" s="52">
        <f t="shared" si="1"/>
        <v>350748.87</v>
      </c>
      <c r="Q16" s="124">
        <f t="shared" si="2"/>
        <v>1.13</v>
      </c>
      <c r="R16" s="52">
        <f t="array" ref="R16">IFERROR(INDEX('Fund YTD Target Values'!$1:$1000, MATCH($C16,'Fund YTD Target Values'!$A:$A,0), MATCH($A16,'Fund YTD Target Values'!$1:$1,0)),0)</f>
        <v>378110.9215</v>
      </c>
      <c r="S16" s="52">
        <f>IFERROR(__xludf.DUMMYFUNCTION("IFERROR(sum(FILTER('Fund Data'!$V:$V, 'Fund Data'!$C:$C = $C16, 'Fund Data'!$A:$A &lt; $A16)),0) + IFERROR(sum(FILTER('Fund Data'!$V:$V, 'Fund Data'!$C:$C = $C16, 'Fund Data'!$A:$A = $A16, 'Fund Data'!$B:$B &lt;= $B16)),0)"),310249.0)</f>
        <v>310249</v>
      </c>
      <c r="T16" s="123">
        <v>310250.0</v>
      </c>
      <c r="U16" s="44">
        <f t="shared" si="8"/>
        <v>-1</v>
      </c>
      <c r="V16" s="44">
        <f t="shared" si="3"/>
        <v>0</v>
      </c>
      <c r="W16" s="123"/>
      <c r="X16" s="123"/>
      <c r="Y16" s="123">
        <v>0.0</v>
      </c>
      <c r="Z16" s="123">
        <v>0.0</v>
      </c>
      <c r="AA16" s="123">
        <v>0.0</v>
      </c>
      <c r="AB16" s="123"/>
      <c r="AC16" s="123">
        <v>0.0</v>
      </c>
      <c r="AD16" s="44">
        <f t="shared" si="7"/>
        <v>0</v>
      </c>
      <c r="AE16" s="123">
        <v>0.0</v>
      </c>
    </row>
    <row r="17">
      <c r="A17" s="120">
        <v>2018.0</v>
      </c>
      <c r="B17" s="121">
        <v>3.0</v>
      </c>
      <c r="C17" s="122" t="s">
        <v>26</v>
      </c>
      <c r="D17" s="123">
        <v>18189.0</v>
      </c>
      <c r="E17" s="123">
        <v>2586.34</v>
      </c>
      <c r="F17" s="44"/>
      <c r="G17" s="44"/>
      <c r="H17" s="123">
        <v>-513.52</v>
      </c>
      <c r="I17" s="44"/>
      <c r="J17" s="44"/>
      <c r="K17" s="44"/>
      <c r="L17" s="123">
        <v>-2388.82</v>
      </c>
      <c r="M17" s="44"/>
      <c r="N17" s="44"/>
      <c r="O17" s="123">
        <v>349805.0</v>
      </c>
      <c r="P17" s="52">
        <f t="shared" si="1"/>
        <v>349803.96</v>
      </c>
      <c r="Q17" s="124">
        <f t="shared" si="2"/>
        <v>1.04</v>
      </c>
      <c r="R17" s="52">
        <f t="array" ref="R17">IFERROR(INDEX('Fund YTD Target Values'!$1:$1000, MATCH($C17,'Fund YTD Target Values'!$A:$A,0), MATCH($A17,'Fund YTD Target Values'!$1:$1,0)),0)</f>
        <v>378110.9215</v>
      </c>
      <c r="S17" s="52">
        <f>IFERROR(__xludf.DUMMYFUNCTION("IFERROR(sum(FILTER('Fund Data'!$V:$V, 'Fund Data'!$C:$C = $C17, 'Fund Data'!$A:$A &lt; $A17)),0) + IFERROR(sum(FILTER('Fund Data'!$V:$V, 'Fund Data'!$C:$C = $C17, 'Fund Data'!$A:$A = $A17, 'Fund Data'!$B:$B &lt;= $B17)),0)"),310249.0)</f>
        <v>310249</v>
      </c>
      <c r="T17" s="123">
        <v>310250.0</v>
      </c>
      <c r="U17" s="44">
        <f t="shared" si="8"/>
        <v>-1</v>
      </c>
      <c r="V17" s="44">
        <f t="shared" si="3"/>
        <v>0</v>
      </c>
      <c r="W17" s="123"/>
      <c r="X17" s="123"/>
      <c r="Y17" s="123">
        <v>0.0</v>
      </c>
      <c r="Z17" s="123">
        <v>0.0</v>
      </c>
      <c r="AA17" s="123">
        <v>0.0</v>
      </c>
      <c r="AB17" s="123"/>
      <c r="AC17" s="123">
        <v>0.0</v>
      </c>
      <c r="AD17" s="44">
        <f t="shared" si="7"/>
        <v>0</v>
      </c>
      <c r="AE17" s="123">
        <v>0.0</v>
      </c>
    </row>
    <row r="18">
      <c r="A18" s="120">
        <v>2018.0</v>
      </c>
      <c r="B18" s="121">
        <v>2.0</v>
      </c>
      <c r="C18" s="122" t="s">
        <v>26</v>
      </c>
      <c r="D18" s="123">
        <v>18189.0</v>
      </c>
      <c r="E18" s="123">
        <v>2273.13</v>
      </c>
      <c r="F18" s="44"/>
      <c r="G18" s="44"/>
      <c r="H18" s="123">
        <v>-815.99</v>
      </c>
      <c r="I18" s="44"/>
      <c r="J18" s="44"/>
      <c r="K18" s="44"/>
      <c r="L18" s="123">
        <v>13.94</v>
      </c>
      <c r="M18" s="44"/>
      <c r="N18" s="44"/>
      <c r="O18" s="123">
        <v>351593.0</v>
      </c>
      <c r="P18" s="52">
        <f t="shared" si="1"/>
        <v>351591.04</v>
      </c>
      <c r="Q18" s="124">
        <f t="shared" si="2"/>
        <v>1.96</v>
      </c>
      <c r="R18" s="52">
        <f t="array" ref="R18">IFERROR(INDEX('Fund YTD Target Values'!$1:$1000, MATCH($C18,'Fund YTD Target Values'!$A:$A,0), MATCH($A18,'Fund YTD Target Values'!$1:$1,0)),0)</f>
        <v>378110.9215</v>
      </c>
      <c r="S18" s="52">
        <f>IFERROR(__xludf.DUMMYFUNCTION("IFERROR(sum(FILTER('Fund Data'!$V:$V, 'Fund Data'!$C:$C = $C18, 'Fund Data'!$A:$A &lt; $A18)),0) + IFERROR(sum(FILTER('Fund Data'!$V:$V, 'Fund Data'!$C:$C = $C18, 'Fund Data'!$A:$A = $A18, 'Fund Data'!$B:$B &lt;= $B18)),0)"),310249.0)</f>
        <v>310249</v>
      </c>
      <c r="T18" s="123">
        <v>310250.0</v>
      </c>
      <c r="U18" s="44">
        <f t="shared" si="8"/>
        <v>-1</v>
      </c>
      <c r="V18" s="44">
        <f t="shared" si="3"/>
        <v>18189</v>
      </c>
      <c r="W18" s="123"/>
      <c r="X18" s="123"/>
      <c r="Y18" s="123">
        <v>0.0</v>
      </c>
      <c r="Z18" s="123">
        <v>0.0</v>
      </c>
      <c r="AA18" s="123">
        <v>0.0</v>
      </c>
      <c r="AB18" s="123"/>
      <c r="AC18" s="123">
        <v>0.0</v>
      </c>
      <c r="AD18" s="44">
        <f t="shared" si="7"/>
        <v>0</v>
      </c>
      <c r="AE18" s="123">
        <v>0.0</v>
      </c>
    </row>
    <row r="19">
      <c r="A19" s="120">
        <v>2018.0</v>
      </c>
      <c r="B19" s="121">
        <v>1.0</v>
      </c>
      <c r="C19" s="122" t="s">
        <v>26</v>
      </c>
      <c r="D19" s="44"/>
      <c r="E19" s="123">
        <v>2024.95</v>
      </c>
      <c r="F19" s="44"/>
      <c r="G19" s="44"/>
      <c r="H19" s="123">
        <v>-644.23</v>
      </c>
      <c r="I19" s="44"/>
      <c r="J19" s="44"/>
      <c r="K19" s="44"/>
      <c r="L19" s="123">
        <v>10196.01</v>
      </c>
      <c r="M19" s="44"/>
      <c r="N19" s="44"/>
      <c r="O19" s="123">
        <v>343509.0</v>
      </c>
      <c r="P19" s="52">
        <f t="shared" si="1"/>
        <v>343507.69</v>
      </c>
      <c r="Q19" s="124">
        <f t="shared" si="2"/>
        <v>1.31</v>
      </c>
      <c r="R19" s="52">
        <f t="array" ref="R19">IFERROR(INDEX('Fund YTD Target Values'!$1:$1000, MATCH($C19,'Fund YTD Target Values'!$A:$A,0), MATCH($A19,'Fund YTD Target Values'!$1:$1,0)),0)</f>
        <v>378110.9215</v>
      </c>
      <c r="S19" s="52">
        <f>IFERROR(__xludf.DUMMYFUNCTION("IFERROR(sum(FILTER('Fund Data'!$V:$V, 'Fund Data'!$C:$C = $C19, 'Fund Data'!$A:$A &lt; $A19)),0) + IFERROR(sum(FILTER('Fund Data'!$V:$V, 'Fund Data'!$C:$C = $C19, 'Fund Data'!$A:$A = $A19, 'Fund Data'!$B:$B &lt;= $B19)),0)"),292060.0)</f>
        <v>292060</v>
      </c>
      <c r="T19" s="123">
        <v>292061.0</v>
      </c>
      <c r="U19" s="44">
        <f t="shared" si="8"/>
        <v>-1</v>
      </c>
      <c r="V19" s="44">
        <f t="shared" si="3"/>
        <v>0</v>
      </c>
      <c r="W19" s="123"/>
      <c r="X19" s="123"/>
      <c r="Y19" s="123">
        <v>0.0</v>
      </c>
      <c r="Z19" s="123">
        <v>0.0</v>
      </c>
      <c r="AA19" s="123">
        <v>0.0</v>
      </c>
      <c r="AB19" s="123"/>
      <c r="AC19" s="123">
        <v>0.0</v>
      </c>
      <c r="AD19" s="44">
        <f t="shared" si="7"/>
        <v>0</v>
      </c>
      <c r="AE19" s="123">
        <v>0.0</v>
      </c>
    </row>
    <row r="20">
      <c r="A20" s="120">
        <v>2017.0</v>
      </c>
      <c r="B20" s="121">
        <v>12.0</v>
      </c>
      <c r="C20" s="122" t="s">
        <v>26</v>
      </c>
      <c r="D20" s="123">
        <v>10093.0</v>
      </c>
      <c r="E20" s="123">
        <v>6838.05</v>
      </c>
      <c r="F20" s="123">
        <v>-10000.0</v>
      </c>
      <c r="G20" s="123"/>
      <c r="H20" s="123">
        <v>-1901.66</v>
      </c>
      <c r="I20" s="44"/>
      <c r="J20" s="44"/>
      <c r="K20" s="44"/>
      <c r="L20" s="123">
        <v>38418.88</v>
      </c>
      <c r="M20" s="44"/>
      <c r="N20" s="44"/>
      <c r="O20" s="123">
        <v>331932.0</v>
      </c>
      <c r="P20" s="52">
        <f t="shared" si="1"/>
        <v>331930.96</v>
      </c>
      <c r="Q20" s="124">
        <f t="shared" si="2"/>
        <v>1.04</v>
      </c>
      <c r="R20" s="52">
        <f t="array" ref="R20">IFERROR(INDEX('Fund YTD Target Values'!$1:$1000, MATCH($C20,'Fund YTD Target Values'!$A:$A,0), MATCH($A20,'Fund YTD Target Values'!$1:$1,0)),0)</f>
        <v>351339.7985</v>
      </c>
      <c r="S20" s="52">
        <f>IFERROR(__xludf.DUMMYFUNCTION("IFERROR(sum(FILTER('Fund Data'!$V:$V, 'Fund Data'!$C:$C = $C20, 'Fund Data'!$A:$A &lt; $A20)),0) + IFERROR(sum(FILTER('Fund Data'!$V:$V, 'Fund Data'!$C:$C = $C20, 'Fund Data'!$A:$A = $A20, 'Fund Data'!$B:$B &lt;= $B20)),0)"),292060.0)</f>
        <v>292060</v>
      </c>
      <c r="T20" s="123">
        <v>292061.0</v>
      </c>
      <c r="U20" s="44">
        <f t="shared" si="8"/>
        <v>-1</v>
      </c>
      <c r="V20" s="44">
        <f t="shared" si="3"/>
        <v>0</v>
      </c>
      <c r="W20" s="123"/>
      <c r="X20" s="123"/>
      <c r="Y20" s="123">
        <v>0.0</v>
      </c>
      <c r="Z20" s="123">
        <v>0.0</v>
      </c>
      <c r="AA20" s="123">
        <v>0.0</v>
      </c>
      <c r="AB20" s="123"/>
      <c r="AC20" s="123">
        <v>0.0</v>
      </c>
      <c r="AD20" s="44">
        <f t="shared" si="7"/>
        <v>-10000</v>
      </c>
      <c r="AE20" s="123">
        <v>0.0</v>
      </c>
    </row>
    <row r="21">
      <c r="A21" s="120">
        <v>2017.0</v>
      </c>
      <c r="B21" s="121">
        <v>11.0</v>
      </c>
      <c r="C21" s="122" t="s">
        <v>26</v>
      </c>
      <c r="D21" s="123">
        <v>10093.0</v>
      </c>
      <c r="E21" s="123">
        <v>6375.99</v>
      </c>
      <c r="F21" s="123">
        <v>-10000.0</v>
      </c>
      <c r="G21" s="44"/>
      <c r="H21" s="123">
        <v>-1736.63</v>
      </c>
      <c r="I21" s="44"/>
      <c r="J21" s="44"/>
      <c r="K21" s="44"/>
      <c r="L21" s="123">
        <v>36849.26</v>
      </c>
      <c r="M21" s="44"/>
      <c r="N21" s="44"/>
      <c r="O21" s="123">
        <v>330065.0</v>
      </c>
      <c r="P21" s="52">
        <f t="shared" si="1"/>
        <v>330064.31</v>
      </c>
      <c r="Q21" s="124">
        <f t="shared" si="2"/>
        <v>0.6900000001</v>
      </c>
      <c r="R21" s="52">
        <f t="array" ref="R21">IFERROR(INDEX('Fund YTD Target Values'!$1:$1000, MATCH($C21,'Fund YTD Target Values'!$A:$A,0), MATCH($A21,'Fund YTD Target Values'!$1:$1,0)),0)</f>
        <v>351339.7985</v>
      </c>
      <c r="S21" s="52">
        <f>IFERROR(__xludf.DUMMYFUNCTION("IFERROR(sum(FILTER('Fund Data'!$V:$V, 'Fund Data'!$C:$C = $C21, 'Fund Data'!$A:$A &lt; $A21)),0) + IFERROR(sum(FILTER('Fund Data'!$V:$V, 'Fund Data'!$C:$C = $C21, 'Fund Data'!$A:$A = $A21, 'Fund Data'!$B:$B &lt;= $B21)),0)"),292060.0)</f>
        <v>292060</v>
      </c>
      <c r="T21" s="123">
        <v>292061.0</v>
      </c>
      <c r="U21" s="44">
        <f t="shared" si="8"/>
        <v>-1</v>
      </c>
      <c r="V21" s="44">
        <f t="shared" si="3"/>
        <v>0</v>
      </c>
      <c r="W21" s="123"/>
      <c r="X21" s="123"/>
      <c r="Y21" s="123">
        <v>0.0</v>
      </c>
      <c r="Z21" s="123">
        <v>0.0</v>
      </c>
      <c r="AA21" s="123">
        <v>0.0</v>
      </c>
      <c r="AB21" s="123"/>
      <c r="AC21" s="123">
        <v>0.0</v>
      </c>
      <c r="AD21" s="44">
        <f t="shared" si="7"/>
        <v>-10000</v>
      </c>
      <c r="AE21" s="123">
        <v>0.0</v>
      </c>
    </row>
    <row r="22">
      <c r="A22" s="120">
        <v>2017.0</v>
      </c>
      <c r="B22" s="121">
        <v>10.0</v>
      </c>
      <c r="C22" s="122" t="s">
        <v>26</v>
      </c>
      <c r="D22" s="123">
        <v>10093.0</v>
      </c>
      <c r="E22" s="123">
        <v>6155.54</v>
      </c>
      <c r="F22" s="123">
        <v>-10000.0</v>
      </c>
      <c r="G22" s="44"/>
      <c r="H22" s="123">
        <v>-1573.57</v>
      </c>
      <c r="I22" s="44"/>
      <c r="J22" s="44"/>
      <c r="K22" s="44"/>
      <c r="L22" s="123">
        <v>33220.61</v>
      </c>
      <c r="M22" s="44"/>
      <c r="N22" s="44"/>
      <c r="O22" s="123">
        <v>326379.0</v>
      </c>
      <c r="P22" s="52">
        <f t="shared" si="1"/>
        <v>326378.27</v>
      </c>
      <c r="Q22" s="124">
        <f t="shared" si="2"/>
        <v>0.7300000001</v>
      </c>
      <c r="R22" s="52">
        <f t="array" ref="R22">IFERROR(INDEX('Fund YTD Target Values'!$1:$1000, MATCH($C22,'Fund YTD Target Values'!$A:$A,0), MATCH($A22,'Fund YTD Target Values'!$1:$1,0)),0)</f>
        <v>351339.7985</v>
      </c>
      <c r="S22" s="52">
        <f>IFERROR(__xludf.DUMMYFUNCTION("IFERROR(sum(FILTER('Fund Data'!$V:$V, 'Fund Data'!$C:$C = $C22, 'Fund Data'!$A:$A &lt; $A22)),0) + IFERROR(sum(FILTER('Fund Data'!$V:$V, 'Fund Data'!$C:$C = $C22, 'Fund Data'!$A:$A = $A22, 'Fund Data'!$B:$B &lt;= $B22)),0)"),292060.0)</f>
        <v>292060</v>
      </c>
      <c r="T22" s="123">
        <v>292061.0</v>
      </c>
      <c r="U22" s="44">
        <f t="shared" si="8"/>
        <v>-1</v>
      </c>
      <c r="V22" s="44">
        <f t="shared" si="3"/>
        <v>250</v>
      </c>
      <c r="W22" s="123"/>
      <c r="X22" s="123"/>
      <c r="Y22" s="123">
        <v>0.0</v>
      </c>
      <c r="Z22" s="123">
        <v>0.0</v>
      </c>
      <c r="AA22" s="123">
        <v>0.0</v>
      </c>
      <c r="AB22" s="123"/>
      <c r="AC22" s="123">
        <v>0.0</v>
      </c>
      <c r="AD22" s="44">
        <f t="shared" si="7"/>
        <v>-10000</v>
      </c>
      <c r="AE22" s="123">
        <v>0.0</v>
      </c>
    </row>
    <row r="23">
      <c r="A23" s="120">
        <v>2017.0</v>
      </c>
      <c r="B23" s="121">
        <v>9.0</v>
      </c>
      <c r="C23" s="122" t="s">
        <v>26</v>
      </c>
      <c r="D23" s="123">
        <v>9843.0</v>
      </c>
      <c r="E23" s="123">
        <v>5485.86</v>
      </c>
      <c r="F23" s="123">
        <v>-10000.0</v>
      </c>
      <c r="G23" s="44"/>
      <c r="H23" s="123">
        <v>-1412.82</v>
      </c>
      <c r="I23" s="44"/>
      <c r="J23" s="44"/>
      <c r="K23" s="44"/>
      <c r="L23" s="123">
        <v>29104.69</v>
      </c>
      <c r="M23" s="44"/>
      <c r="N23" s="44"/>
      <c r="O23" s="123">
        <v>321504.0</v>
      </c>
      <c r="P23" s="52">
        <f t="shared" si="1"/>
        <v>321503.42</v>
      </c>
      <c r="Q23" s="124">
        <f t="shared" si="2"/>
        <v>0.5800000001</v>
      </c>
      <c r="R23" s="52">
        <f t="array" ref="R23">IFERROR(INDEX('Fund YTD Target Values'!$1:$1000, MATCH($C23,'Fund YTD Target Values'!$A:$A,0), MATCH($A23,'Fund YTD Target Values'!$1:$1,0)),0)</f>
        <v>351339.7985</v>
      </c>
      <c r="S23" s="52">
        <f>IFERROR(__xludf.DUMMYFUNCTION("IFERROR(sum(FILTER('Fund Data'!$V:$V, 'Fund Data'!$C:$C = $C23, 'Fund Data'!$A:$A &lt; $A23)),0) + IFERROR(sum(FILTER('Fund Data'!$V:$V, 'Fund Data'!$C:$C = $C23, 'Fund Data'!$A:$A = $A23, 'Fund Data'!$B:$B &lt;= $B23)),0)"),291810.0)</f>
        <v>291810</v>
      </c>
      <c r="T23" s="123">
        <v>291811.0</v>
      </c>
      <c r="U23" s="44">
        <f t="shared" si="8"/>
        <v>-1</v>
      </c>
      <c r="V23" s="44">
        <f t="shared" si="3"/>
        <v>0</v>
      </c>
      <c r="W23" s="123"/>
      <c r="X23" s="123"/>
      <c r="Y23" s="123">
        <v>0.0</v>
      </c>
      <c r="Z23" s="123">
        <v>0.0</v>
      </c>
      <c r="AA23" s="123">
        <v>0.0</v>
      </c>
      <c r="AB23" s="123"/>
      <c r="AC23" s="123">
        <v>0.0</v>
      </c>
      <c r="AD23" s="44">
        <f t="shared" si="7"/>
        <v>-10000</v>
      </c>
      <c r="AE23" s="123">
        <v>0.0</v>
      </c>
    </row>
    <row r="24">
      <c r="A24" s="120">
        <v>2017.0</v>
      </c>
      <c r="B24" s="121">
        <v>8.0</v>
      </c>
      <c r="C24" s="122" t="s">
        <v>26</v>
      </c>
      <c r="D24" s="123">
        <v>9843.0</v>
      </c>
      <c r="E24" s="123">
        <v>5080.89</v>
      </c>
      <c r="F24" s="123">
        <v>-1000.0</v>
      </c>
      <c r="G24" s="44"/>
      <c r="H24" s="123">
        <v>-1249.24</v>
      </c>
      <c r="I24" s="44"/>
      <c r="J24" s="44"/>
      <c r="K24" s="44"/>
      <c r="L24" s="123">
        <v>25993.49</v>
      </c>
      <c r="M24" s="44"/>
      <c r="N24" s="44"/>
      <c r="O24" s="123">
        <v>327152.0</v>
      </c>
      <c r="P24" s="52">
        <f t="shared" si="1"/>
        <v>327150.83</v>
      </c>
      <c r="Q24" s="124">
        <f t="shared" si="2"/>
        <v>1.17</v>
      </c>
      <c r="R24" s="52">
        <f t="array" ref="R24">IFERROR(INDEX('Fund YTD Target Values'!$1:$1000, MATCH($C24,'Fund YTD Target Values'!$A:$A,0), MATCH($A24,'Fund YTD Target Values'!$1:$1,0)),0)</f>
        <v>351339.7985</v>
      </c>
      <c r="S24" s="52">
        <f>IFERROR(__xludf.DUMMYFUNCTION("IFERROR(sum(FILTER('Fund Data'!$V:$V, 'Fund Data'!$C:$C = $C24, 'Fund Data'!$A:$A &lt; $A24)),0) + IFERROR(sum(FILTER('Fund Data'!$V:$V, 'Fund Data'!$C:$C = $C24, 'Fund Data'!$A:$A = $A24, 'Fund Data'!$B:$B &lt;= $B24)),0)"),291810.0)</f>
        <v>291810</v>
      </c>
      <c r="T24" s="123">
        <v>291811.0</v>
      </c>
      <c r="U24" s="44">
        <f t="shared" si="8"/>
        <v>-1</v>
      </c>
      <c r="V24" s="44">
        <f t="shared" si="3"/>
        <v>0</v>
      </c>
      <c r="W24" s="123"/>
      <c r="X24" s="123"/>
      <c r="Y24" s="123">
        <v>0.0</v>
      </c>
      <c r="Z24" s="123">
        <v>0.0</v>
      </c>
      <c r="AA24" s="123">
        <v>0.0</v>
      </c>
      <c r="AB24" s="123"/>
      <c r="AC24" s="123">
        <v>0.0</v>
      </c>
      <c r="AD24" s="44">
        <f t="shared" si="7"/>
        <v>-1000</v>
      </c>
      <c r="AE24" s="123">
        <v>0.0</v>
      </c>
    </row>
    <row r="25">
      <c r="A25" s="120">
        <v>2017.0</v>
      </c>
      <c r="B25" s="121">
        <v>7.0</v>
      </c>
      <c r="C25" s="122" t="s">
        <v>26</v>
      </c>
      <c r="D25" s="123">
        <v>9843.0</v>
      </c>
      <c r="E25" s="123">
        <v>4856.86</v>
      </c>
      <c r="F25" s="44"/>
      <c r="G25" s="44"/>
      <c r="H25" s="123">
        <v>-1085.6</v>
      </c>
      <c r="I25" s="44"/>
      <c r="J25" s="44"/>
      <c r="K25" s="44"/>
      <c r="L25" s="123">
        <v>25174.18</v>
      </c>
      <c r="M25" s="44"/>
      <c r="N25" s="44"/>
      <c r="O25" s="123">
        <v>327272.0</v>
      </c>
      <c r="P25" s="52">
        <f t="shared" si="1"/>
        <v>327271.13</v>
      </c>
      <c r="Q25" s="124">
        <f t="shared" si="2"/>
        <v>0.8700000001</v>
      </c>
      <c r="R25" s="52">
        <f t="array" ref="R25">IFERROR(INDEX('Fund YTD Target Values'!$1:$1000, MATCH($C25,'Fund YTD Target Values'!$A:$A,0), MATCH($A25,'Fund YTD Target Values'!$1:$1,0)),0)</f>
        <v>351339.7985</v>
      </c>
      <c r="S25" s="52">
        <f>IFERROR(__xludf.DUMMYFUNCTION("IFERROR(sum(FILTER('Fund Data'!$V:$V, 'Fund Data'!$C:$C = $C25, 'Fund Data'!$A:$A &lt; $A25)),0) + IFERROR(sum(FILTER('Fund Data'!$V:$V, 'Fund Data'!$C:$C = $C25, 'Fund Data'!$A:$A = $A25, 'Fund Data'!$B:$B &lt;= $B25)),0)"),291810.0)</f>
        <v>291810</v>
      </c>
      <c r="T25" s="123">
        <v>291811.0</v>
      </c>
      <c r="U25" s="44">
        <f t="shared" si="8"/>
        <v>-1</v>
      </c>
      <c r="V25" s="44">
        <f t="shared" si="3"/>
        <v>0</v>
      </c>
      <c r="W25" s="123"/>
      <c r="X25" s="123"/>
      <c r="Y25" s="123">
        <v>0.0</v>
      </c>
      <c r="Z25" s="123">
        <v>0.0</v>
      </c>
      <c r="AA25" s="123">
        <v>0.0</v>
      </c>
      <c r="AB25" s="123"/>
      <c r="AC25" s="123">
        <v>0.0</v>
      </c>
      <c r="AD25" s="44">
        <f t="shared" si="7"/>
        <v>0</v>
      </c>
      <c r="AE25" s="123">
        <v>0.0</v>
      </c>
    </row>
    <row r="26">
      <c r="A26" s="120">
        <v>2017.0</v>
      </c>
      <c r="B26" s="121">
        <v>6.0</v>
      </c>
      <c r="C26" s="122" t="s">
        <v>26</v>
      </c>
      <c r="D26" s="123">
        <v>9843.0</v>
      </c>
      <c r="E26" s="123">
        <v>3862.98</v>
      </c>
      <c r="F26" s="44"/>
      <c r="G26" s="44"/>
      <c r="H26" s="123">
        <v>-925.62</v>
      </c>
      <c r="I26" s="44"/>
      <c r="J26" s="44"/>
      <c r="K26" s="44"/>
      <c r="L26" s="123">
        <v>18695.22</v>
      </c>
      <c r="M26" s="44"/>
      <c r="N26" s="44"/>
      <c r="O26" s="123">
        <v>319959.0</v>
      </c>
      <c r="P26" s="52">
        <f t="shared" si="1"/>
        <v>319958.27</v>
      </c>
      <c r="Q26" s="124">
        <f t="shared" si="2"/>
        <v>0.7300000001</v>
      </c>
      <c r="R26" s="52">
        <f t="array" ref="R26">IFERROR(INDEX('Fund YTD Target Values'!$1:$1000, MATCH($C26,'Fund YTD Target Values'!$A:$A,0), MATCH($A26,'Fund YTD Target Values'!$1:$1,0)),0)</f>
        <v>351339.7985</v>
      </c>
      <c r="S26" s="52">
        <f>IFERROR(__xludf.DUMMYFUNCTION("IFERROR(sum(FILTER('Fund Data'!$V:$V, 'Fund Data'!$C:$C = $C26, 'Fund Data'!$A:$A &lt; $A26)),0) + IFERROR(sum(FILTER('Fund Data'!$V:$V, 'Fund Data'!$C:$C = $C26, 'Fund Data'!$A:$A = $A26, 'Fund Data'!$B:$B &lt;= $B26)),0)"),291810.0)</f>
        <v>291810</v>
      </c>
      <c r="T26" s="123">
        <v>291811.0</v>
      </c>
      <c r="U26" s="44">
        <f t="shared" si="8"/>
        <v>-1</v>
      </c>
      <c r="V26" s="44">
        <f t="shared" si="3"/>
        <v>0</v>
      </c>
      <c r="W26" s="123"/>
      <c r="X26" s="123"/>
      <c r="Y26" s="123">
        <v>0.0</v>
      </c>
      <c r="Z26" s="123">
        <v>0.0</v>
      </c>
      <c r="AA26" s="123">
        <v>0.0</v>
      </c>
      <c r="AB26" s="123"/>
      <c r="AC26" s="123">
        <v>0.0</v>
      </c>
      <c r="AD26" s="44">
        <f t="shared" si="7"/>
        <v>0</v>
      </c>
      <c r="AE26" s="123">
        <v>0.0</v>
      </c>
    </row>
    <row r="27">
      <c r="A27" s="120">
        <v>2017.0</v>
      </c>
      <c r="B27" s="121">
        <v>5.0</v>
      </c>
      <c r="C27" s="122" t="s">
        <v>26</v>
      </c>
      <c r="D27" s="123">
        <v>9843.0</v>
      </c>
      <c r="E27" s="123">
        <v>3651.38</v>
      </c>
      <c r="F27" s="44"/>
      <c r="G27" s="44"/>
      <c r="H27" s="123">
        <v>-766.0</v>
      </c>
      <c r="I27" s="44"/>
      <c r="J27" s="44"/>
      <c r="K27" s="44"/>
      <c r="L27" s="123">
        <v>18028.99</v>
      </c>
      <c r="M27" s="44"/>
      <c r="N27" s="44"/>
      <c r="O27" s="123">
        <v>319241.0</v>
      </c>
      <c r="P27" s="52">
        <f t="shared" si="1"/>
        <v>319240.06</v>
      </c>
      <c r="Q27" s="124">
        <f t="shared" si="2"/>
        <v>0.9400000001</v>
      </c>
      <c r="R27" s="52">
        <f t="array" ref="R27">IFERROR(INDEX('Fund YTD Target Values'!$1:$1000, MATCH($C27,'Fund YTD Target Values'!$A:$A,0), MATCH($A27,'Fund YTD Target Values'!$1:$1,0)),0)</f>
        <v>351339.7985</v>
      </c>
      <c r="S27" s="52">
        <f>IFERROR(__xludf.DUMMYFUNCTION("IFERROR(sum(FILTER('Fund Data'!$V:$V, 'Fund Data'!$C:$C = $C27, 'Fund Data'!$A:$A &lt; $A27)),0) + IFERROR(sum(FILTER('Fund Data'!$V:$V, 'Fund Data'!$C:$C = $C27, 'Fund Data'!$A:$A = $A27, 'Fund Data'!$B:$B &lt;= $B27)),0)"),291810.0)</f>
        <v>291810</v>
      </c>
      <c r="T27" s="123">
        <v>291811.0</v>
      </c>
      <c r="U27" s="44">
        <f t="shared" si="8"/>
        <v>-1</v>
      </c>
      <c r="V27" s="44">
        <f t="shared" si="3"/>
        <v>0</v>
      </c>
      <c r="W27" s="123"/>
      <c r="X27" s="123"/>
      <c r="Y27" s="123">
        <v>0.0</v>
      </c>
      <c r="Z27" s="123">
        <v>0.0</v>
      </c>
      <c r="AA27" s="123">
        <v>0.0</v>
      </c>
      <c r="AB27" s="123"/>
      <c r="AC27" s="123">
        <v>0.0</v>
      </c>
      <c r="AD27" s="44">
        <f t="shared" si="7"/>
        <v>0</v>
      </c>
      <c r="AE27" s="123">
        <v>0.0</v>
      </c>
    </row>
    <row r="28">
      <c r="A28" s="120">
        <v>2017.0</v>
      </c>
      <c r="B28" s="121">
        <v>4.0</v>
      </c>
      <c r="C28" s="122" t="s">
        <v>26</v>
      </c>
      <c r="D28" s="123">
        <v>9843.0</v>
      </c>
      <c r="E28" s="123">
        <v>3447.83</v>
      </c>
      <c r="F28" s="44"/>
      <c r="G28" s="44"/>
      <c r="H28" s="123">
        <v>-608.13</v>
      </c>
      <c r="I28" s="44"/>
      <c r="J28" s="44"/>
      <c r="K28" s="44"/>
      <c r="L28" s="123">
        <v>14574.98</v>
      </c>
      <c r="M28" s="44"/>
      <c r="N28" s="44"/>
      <c r="O28" s="123">
        <v>315741.0</v>
      </c>
      <c r="P28" s="52">
        <f t="shared" si="1"/>
        <v>315740.37</v>
      </c>
      <c r="Q28" s="124">
        <f t="shared" si="2"/>
        <v>0.6300000001</v>
      </c>
      <c r="R28" s="52">
        <f t="array" ref="R28">IFERROR(INDEX('Fund YTD Target Values'!$1:$1000, MATCH($C28,'Fund YTD Target Values'!$A:$A,0), MATCH($A28,'Fund YTD Target Values'!$1:$1,0)),0)</f>
        <v>351339.7985</v>
      </c>
      <c r="S28" s="52">
        <f>IFERROR(__xludf.DUMMYFUNCTION("IFERROR(sum(FILTER('Fund Data'!$V:$V, 'Fund Data'!$C:$C = $C28, 'Fund Data'!$A:$A &lt; $A28)),0) + IFERROR(sum(FILTER('Fund Data'!$V:$V, 'Fund Data'!$C:$C = $C28, 'Fund Data'!$A:$A = $A28, 'Fund Data'!$B:$B &lt;= $B28)),0)"),291810.0)</f>
        <v>291810</v>
      </c>
      <c r="T28" s="123">
        <v>291811.0</v>
      </c>
      <c r="U28" s="44">
        <f t="shared" si="8"/>
        <v>-1</v>
      </c>
      <c r="V28" s="44">
        <f t="shared" si="3"/>
        <v>0</v>
      </c>
      <c r="W28" s="123"/>
      <c r="X28" s="123"/>
      <c r="Y28" s="123">
        <v>0.0</v>
      </c>
      <c r="Z28" s="123">
        <v>0.0</v>
      </c>
      <c r="AA28" s="123">
        <v>0.0</v>
      </c>
      <c r="AB28" s="123"/>
      <c r="AC28" s="123">
        <v>0.0</v>
      </c>
      <c r="AD28" s="44">
        <f t="shared" si="7"/>
        <v>0</v>
      </c>
      <c r="AE28" s="123">
        <v>0.0</v>
      </c>
    </row>
    <row r="29">
      <c r="A29" s="120">
        <v>2017.0</v>
      </c>
      <c r="B29" s="121">
        <v>3.0</v>
      </c>
      <c r="C29" s="122" t="s">
        <v>26</v>
      </c>
      <c r="D29" s="123">
        <v>9843.0</v>
      </c>
      <c r="E29" s="123">
        <v>2606.98</v>
      </c>
      <c r="F29" s="44"/>
      <c r="G29" s="44"/>
      <c r="H29" s="123">
        <v>-452.14</v>
      </c>
      <c r="I29" s="44"/>
      <c r="J29" s="44"/>
      <c r="K29" s="44"/>
      <c r="L29" s="123">
        <v>11509.06</v>
      </c>
      <c r="M29" s="44"/>
      <c r="N29" s="44"/>
      <c r="O29" s="123">
        <v>311991.0</v>
      </c>
      <c r="P29" s="52">
        <f t="shared" si="1"/>
        <v>311989.59</v>
      </c>
      <c r="Q29" s="124">
        <f t="shared" si="2"/>
        <v>1.41</v>
      </c>
      <c r="R29" s="52">
        <f t="array" ref="R29">IFERROR(INDEX('Fund YTD Target Values'!$1:$1000, MATCH($C29,'Fund YTD Target Values'!$A:$A,0), MATCH($A29,'Fund YTD Target Values'!$1:$1,0)),0)</f>
        <v>351339.7985</v>
      </c>
      <c r="S29" s="52">
        <f>IFERROR(__xludf.DUMMYFUNCTION("IFERROR(sum(FILTER('Fund Data'!$V:$V, 'Fund Data'!$C:$C = $C29, 'Fund Data'!$A:$A &lt; $A29)),0) + IFERROR(sum(FILTER('Fund Data'!$V:$V, 'Fund Data'!$C:$C = $C29, 'Fund Data'!$A:$A = $A29, 'Fund Data'!$B:$B &lt;= $B29)),0)"),291810.0)</f>
        <v>291810</v>
      </c>
      <c r="T29" s="123">
        <v>291811.0</v>
      </c>
      <c r="U29" s="44">
        <f t="shared" si="8"/>
        <v>-1</v>
      </c>
      <c r="V29" s="44">
        <f t="shared" si="3"/>
        <v>0</v>
      </c>
      <c r="W29" s="123"/>
      <c r="X29" s="123"/>
      <c r="Y29" s="123">
        <v>0.0</v>
      </c>
      <c r="Z29" s="123">
        <v>0.0</v>
      </c>
      <c r="AA29" s="123">
        <v>0.0</v>
      </c>
      <c r="AB29" s="123"/>
      <c r="AC29" s="123">
        <v>0.0</v>
      </c>
      <c r="AD29" s="44">
        <f t="shared" si="7"/>
        <v>0</v>
      </c>
      <c r="AE29" s="123">
        <v>0.0</v>
      </c>
    </row>
    <row r="30">
      <c r="A30" s="120">
        <v>2017.0</v>
      </c>
      <c r="B30" s="121">
        <v>2.0</v>
      </c>
      <c r="C30" s="122" t="s">
        <v>26</v>
      </c>
      <c r="D30" s="123">
        <v>9843.0</v>
      </c>
      <c r="E30" s="123">
        <v>2401.63</v>
      </c>
      <c r="F30" s="44"/>
      <c r="G30" s="44"/>
      <c r="H30" s="123">
        <v>-296.71</v>
      </c>
      <c r="I30" s="44"/>
      <c r="J30" s="44"/>
      <c r="K30" s="44"/>
      <c r="L30" s="123">
        <v>10431.03</v>
      </c>
      <c r="M30" s="44"/>
      <c r="N30" s="44"/>
      <c r="O30" s="123">
        <v>310863.0</v>
      </c>
      <c r="P30" s="52">
        <f t="shared" si="1"/>
        <v>310861.64</v>
      </c>
      <c r="Q30" s="124">
        <f t="shared" si="2"/>
        <v>1.36</v>
      </c>
      <c r="R30" s="52">
        <f t="array" ref="R30">IFERROR(INDEX('Fund YTD Target Values'!$1:$1000, MATCH($C30,'Fund YTD Target Values'!$A:$A,0), MATCH($A30,'Fund YTD Target Values'!$1:$1,0)),0)</f>
        <v>351339.7985</v>
      </c>
      <c r="S30" s="52">
        <f>IFERROR(__xludf.DUMMYFUNCTION("IFERROR(sum(FILTER('Fund Data'!$V:$V, 'Fund Data'!$C:$C = $C30, 'Fund Data'!$A:$A &lt; $A30)),0) + IFERROR(sum(FILTER('Fund Data'!$V:$V, 'Fund Data'!$C:$C = $C30, 'Fund Data'!$A:$A = $A30, 'Fund Data'!$B:$B &lt;= $B30)),0)"),291810.0)</f>
        <v>291810</v>
      </c>
      <c r="T30" s="123">
        <v>291811.0</v>
      </c>
      <c r="U30" s="44">
        <f t="shared" si="8"/>
        <v>-1</v>
      </c>
      <c r="V30" s="44">
        <f t="shared" si="3"/>
        <v>0</v>
      </c>
      <c r="W30" s="123"/>
      <c r="X30" s="123"/>
      <c r="Y30" s="123">
        <v>0.0</v>
      </c>
      <c r="Z30" s="123">
        <v>0.0</v>
      </c>
      <c r="AA30" s="123">
        <v>0.0</v>
      </c>
      <c r="AB30" s="123"/>
      <c r="AC30" s="123">
        <v>0.0</v>
      </c>
      <c r="AD30" s="44">
        <f t="shared" si="7"/>
        <v>0</v>
      </c>
      <c r="AE30" s="123">
        <v>0.0</v>
      </c>
    </row>
    <row r="31">
      <c r="A31" s="120">
        <v>2017.0</v>
      </c>
      <c r="B31" s="121">
        <v>1.0</v>
      </c>
      <c r="C31" s="122" t="s">
        <v>26</v>
      </c>
      <c r="D31" s="123">
        <v>9843.0</v>
      </c>
      <c r="E31" s="123">
        <v>2192.91</v>
      </c>
      <c r="F31" s="44"/>
      <c r="G31" s="44"/>
      <c r="H31" s="123">
        <v>-144.24</v>
      </c>
      <c r="I31" s="44"/>
      <c r="J31" s="44"/>
      <c r="K31" s="44"/>
      <c r="L31" s="123">
        <v>4560.07</v>
      </c>
      <c r="M31" s="44"/>
      <c r="N31" s="44"/>
      <c r="O31" s="123">
        <v>304935.0</v>
      </c>
      <c r="P31" s="52">
        <f t="shared" si="1"/>
        <v>304934.43</v>
      </c>
      <c r="Q31" s="124">
        <f t="shared" si="2"/>
        <v>0.5700000001</v>
      </c>
      <c r="R31" s="52">
        <f t="array" ref="R31">IFERROR(INDEX('Fund YTD Target Values'!$1:$1000, MATCH($C31,'Fund YTD Target Values'!$A:$A,0), MATCH($A31,'Fund YTD Target Values'!$1:$1,0)),0)</f>
        <v>351339.7985</v>
      </c>
      <c r="S31" s="52">
        <f>IFERROR(__xludf.DUMMYFUNCTION("IFERROR(sum(FILTER('Fund Data'!$V:$V, 'Fund Data'!$C:$C = $C31, 'Fund Data'!$A:$A &lt; $A31)),0) + IFERROR(sum(FILTER('Fund Data'!$V:$V, 'Fund Data'!$C:$C = $C31, 'Fund Data'!$A:$A = $A31, 'Fund Data'!$B:$B &lt;= $B31)),0)"),291810.0)</f>
        <v>291810</v>
      </c>
      <c r="T31" s="123">
        <v>291811.0</v>
      </c>
      <c r="U31" s="44">
        <f t="shared" si="8"/>
        <v>-1</v>
      </c>
      <c r="V31" s="44">
        <f t="shared" si="3"/>
        <v>9843</v>
      </c>
      <c r="W31" s="123"/>
      <c r="X31" s="123"/>
      <c r="Y31" s="123">
        <v>0.0</v>
      </c>
      <c r="Z31" s="123">
        <v>0.0</v>
      </c>
      <c r="AA31" s="123">
        <v>0.0</v>
      </c>
      <c r="AB31" s="123"/>
      <c r="AC31" s="123">
        <v>0.0</v>
      </c>
      <c r="AD31" s="44">
        <f t="shared" si="7"/>
        <v>0</v>
      </c>
      <c r="AE31" s="123">
        <v>0.0</v>
      </c>
    </row>
    <row r="32">
      <c r="A32" s="120">
        <v>2016.0</v>
      </c>
      <c r="B32" s="121">
        <v>12.0</v>
      </c>
      <c r="C32" s="122" t="s">
        <v>26</v>
      </c>
      <c r="D32" s="123">
        <v>11045.0</v>
      </c>
      <c r="E32" s="123">
        <v>6224.39</v>
      </c>
      <c r="F32" s="123">
        <v>-25000.0</v>
      </c>
      <c r="G32" s="123"/>
      <c r="H32" s="123">
        <v>-1722.37</v>
      </c>
      <c r="I32" s="44"/>
      <c r="J32" s="44"/>
      <c r="K32" s="123">
        <v>-40.91</v>
      </c>
      <c r="L32" s="123">
        <v>12546.57</v>
      </c>
      <c r="M32" s="44"/>
      <c r="N32" s="44"/>
      <c r="O32" s="123">
        <v>288484.0</v>
      </c>
      <c r="P32" s="52">
        <f t="shared" si="1"/>
        <v>288482.69</v>
      </c>
      <c r="Q32" s="124">
        <f t="shared" si="2"/>
        <v>1.31</v>
      </c>
      <c r="R32" s="52">
        <f t="array" ref="R32">IFERROR(INDEX('Fund YTD Target Values'!$1:$1000, MATCH($C32,'Fund YTD Target Values'!$A:$A,0), MATCH($A32,'Fund YTD Target Values'!$1:$1,0)),0)</f>
        <v>334124.5497</v>
      </c>
      <c r="S32" s="52">
        <f>IFERROR(__xludf.DUMMYFUNCTION("IFERROR(sum(FILTER('Fund Data'!$V:$V, 'Fund Data'!$C:$C = $C32, 'Fund Data'!$A:$A &lt; $A32)),0) + IFERROR(sum(FILTER('Fund Data'!$V:$V, 'Fund Data'!$C:$C = $C32, 'Fund Data'!$A:$A = $A32, 'Fund Data'!$B:$B &lt;= $B32)),0)"),281967.0)</f>
        <v>281967</v>
      </c>
      <c r="T32" s="123">
        <v>281968.0</v>
      </c>
      <c r="U32" s="44">
        <f t="shared" si="8"/>
        <v>-1</v>
      </c>
      <c r="V32" s="44">
        <f t="shared" si="3"/>
        <v>11045</v>
      </c>
      <c r="W32" s="123"/>
      <c r="X32" s="123"/>
      <c r="Y32" s="123">
        <v>0.0</v>
      </c>
      <c r="Z32" s="123">
        <v>0.0</v>
      </c>
      <c r="AA32" s="123">
        <v>0.0</v>
      </c>
      <c r="AB32" s="123"/>
      <c r="AC32" s="123">
        <v>0.0</v>
      </c>
      <c r="AD32" s="44">
        <f t="shared" si="7"/>
        <v>-25000</v>
      </c>
      <c r="AE32" s="123">
        <v>0.0</v>
      </c>
    </row>
    <row r="33">
      <c r="A33" s="120">
        <v>2015.0</v>
      </c>
      <c r="B33" s="121">
        <v>12.0</v>
      </c>
      <c r="C33" s="122" t="s">
        <v>26</v>
      </c>
      <c r="D33" s="123">
        <v>10861.0</v>
      </c>
      <c r="E33" s="123">
        <v>6873.47</v>
      </c>
      <c r="F33" s="123">
        <v>-10000.0</v>
      </c>
      <c r="G33" s="123"/>
      <c r="H33" s="123">
        <v>-1792.47</v>
      </c>
      <c r="I33" s="44"/>
      <c r="J33" s="44"/>
      <c r="K33" s="44"/>
      <c r="L33" s="123">
        <v>-12781.65</v>
      </c>
      <c r="M33" s="44"/>
      <c r="N33" s="44"/>
      <c r="O33" s="123">
        <v>285431.0</v>
      </c>
      <c r="P33" s="52">
        <f t="shared" si="1"/>
        <v>285430.01</v>
      </c>
      <c r="Q33" s="124">
        <f t="shared" si="2"/>
        <v>0.99</v>
      </c>
      <c r="R33" s="52">
        <f t="array" ref="R33">IFERROR(INDEX('Fund YTD Target Values'!$1:$1000, MATCH($C33,'Fund YTD Target Values'!$A:$A,0), MATCH($A33,'Fund YTD Target Values'!$1:$1,0)),0)</f>
        <v>319053.5916</v>
      </c>
      <c r="S33" s="52">
        <f>IFERROR(__xludf.DUMMYFUNCTION("IFERROR(sum(FILTER('Fund Data'!$V:$V, 'Fund Data'!$C:$C = $C33, 'Fund Data'!$A:$A &lt; $A33)),0) + IFERROR(sum(FILTER('Fund Data'!$V:$V, 'Fund Data'!$C:$C = $C33, 'Fund Data'!$A:$A = $A33, 'Fund Data'!$B:$B &lt;= $B33)),0)"),270922.0)</f>
        <v>270922</v>
      </c>
      <c r="T33" s="123">
        <v>270923.0</v>
      </c>
      <c r="U33" s="44">
        <f t="shared" si="8"/>
        <v>-1</v>
      </c>
      <c r="V33" s="44">
        <f t="shared" si="3"/>
        <v>10861</v>
      </c>
      <c r="W33" s="123"/>
      <c r="X33" s="123"/>
      <c r="Y33" s="123">
        <v>0.0</v>
      </c>
      <c r="Z33" s="123">
        <v>0.0</v>
      </c>
      <c r="AA33" s="123">
        <v>0.0</v>
      </c>
      <c r="AB33" s="123"/>
      <c r="AC33" s="123">
        <v>0.0</v>
      </c>
      <c r="AD33" s="44">
        <f t="shared" si="7"/>
        <v>-10000</v>
      </c>
      <c r="AE33" s="123">
        <v>0.0</v>
      </c>
    </row>
    <row r="34">
      <c r="A34" s="120">
        <v>2014.0</v>
      </c>
      <c r="B34" s="121">
        <v>12.0</v>
      </c>
      <c r="C34" s="122" t="s">
        <v>26</v>
      </c>
      <c r="D34" s="123">
        <v>10061.0</v>
      </c>
      <c r="E34" s="123">
        <v>5520.82</v>
      </c>
      <c r="F34" s="123">
        <v>-10000.0</v>
      </c>
      <c r="G34" s="123"/>
      <c r="H34" s="123">
        <v>-1793.84</v>
      </c>
      <c r="I34" s="44"/>
      <c r="J34" s="123">
        <v>763.74</v>
      </c>
      <c r="K34" s="44"/>
      <c r="L34" s="123">
        <v>453.56</v>
      </c>
      <c r="M34" s="44"/>
      <c r="N34" s="44"/>
      <c r="O34" s="123">
        <v>292270.0</v>
      </c>
      <c r="P34" s="52">
        <f t="shared" si="1"/>
        <v>292269.66</v>
      </c>
      <c r="Q34" s="124">
        <f t="shared" si="2"/>
        <v>0.34</v>
      </c>
      <c r="R34" s="52">
        <f t="array" ref="R34">IFERROR(INDEX('Fund YTD Target Values'!$1:$1000, MATCH($C34,'Fund YTD Target Values'!$A:$A,0), MATCH($A34,'Fund YTD Target Values'!$1:$1,0)),0)</f>
        <v>307826.5871</v>
      </c>
      <c r="S34" s="52">
        <f>IFERROR(__xludf.DUMMYFUNCTION("IFERROR(sum(FILTER('Fund Data'!$V:$V, 'Fund Data'!$C:$C = $C34, 'Fund Data'!$A:$A &lt; $A34)),0) + IFERROR(sum(FILTER('Fund Data'!$V:$V, 'Fund Data'!$C:$C = $C34, 'Fund Data'!$A:$A = $A34, 'Fund Data'!$B:$B &lt;= $B34)),0)"),260061.0)</f>
        <v>260061</v>
      </c>
      <c r="T34" s="123">
        <v>260061.0</v>
      </c>
      <c r="U34" s="44">
        <f t="shared" si="8"/>
        <v>0</v>
      </c>
      <c r="V34" s="44">
        <f t="shared" si="3"/>
        <v>10061</v>
      </c>
      <c r="W34" s="123"/>
      <c r="X34" s="123"/>
      <c r="Y34" s="123">
        <v>0.0</v>
      </c>
      <c r="Z34" s="123">
        <v>0.0</v>
      </c>
      <c r="AA34" s="123">
        <v>0.0</v>
      </c>
      <c r="AB34" s="123"/>
      <c r="AC34" s="123">
        <v>0.0</v>
      </c>
      <c r="AD34" s="44">
        <f t="shared" si="7"/>
        <v>-10000</v>
      </c>
      <c r="AE34" s="123">
        <v>0.0</v>
      </c>
    </row>
    <row r="35">
      <c r="A35" s="120">
        <v>2013.0</v>
      </c>
      <c r="B35" s="121">
        <v>12.0</v>
      </c>
      <c r="C35" s="122" t="s">
        <v>26</v>
      </c>
      <c r="D35" s="44"/>
      <c r="E35" s="123">
        <v>5802.07</v>
      </c>
      <c r="F35" s="123">
        <v>-15000.0</v>
      </c>
      <c r="G35" s="123"/>
      <c r="H35" s="123">
        <v>-1668.38</v>
      </c>
      <c r="I35" s="44"/>
      <c r="J35" s="123">
        <v>2048.79</v>
      </c>
      <c r="K35" s="44"/>
      <c r="L35" s="123">
        <v>23076.71</v>
      </c>
      <c r="M35" s="44"/>
      <c r="N35" s="44"/>
      <c r="O35" s="123">
        <v>287265.0</v>
      </c>
      <c r="P35" s="52">
        <f t="shared" si="1"/>
        <v>287264.38</v>
      </c>
      <c r="Q35" s="124">
        <f t="shared" si="2"/>
        <v>0.62</v>
      </c>
      <c r="R35" s="52">
        <f t="array" ref="R35">IFERROR(INDEX('Fund YTD Target Values'!$1:$1000, MATCH($C35,'Fund YTD Target Values'!$A:$A,0), MATCH($A35,'Fund YTD Target Values'!$1:$1,0)),0)</f>
        <v>293013.1921</v>
      </c>
      <c r="S35" s="52">
        <f>IFERROR(__xludf.DUMMYFUNCTION("IFERROR(sum(FILTER('Fund Data'!$V:$V, 'Fund Data'!$C:$C = $C35, 'Fund Data'!$A:$A &lt; $A35)),0) + IFERROR(sum(FILTER('Fund Data'!$V:$V, 'Fund Data'!$C:$C = $C35, 'Fund Data'!$A:$A = $A35, 'Fund Data'!$B:$B &lt;= $B35)),0)"),250000.0)</f>
        <v>250000</v>
      </c>
      <c r="T35" s="123">
        <v>250000.0</v>
      </c>
      <c r="U35" s="44">
        <f t="shared" si="8"/>
        <v>0</v>
      </c>
      <c r="V35" s="44">
        <f t="shared" si="3"/>
        <v>0</v>
      </c>
      <c r="W35" s="123"/>
      <c r="X35" s="123"/>
      <c r="Y35" s="123">
        <v>0.0</v>
      </c>
      <c r="Z35" s="123">
        <v>0.0</v>
      </c>
      <c r="AA35" s="123">
        <v>0.0</v>
      </c>
      <c r="AB35" s="123"/>
      <c r="AC35" s="123">
        <v>0.0</v>
      </c>
      <c r="AD35" s="44">
        <f t="shared" si="7"/>
        <v>-15000</v>
      </c>
      <c r="AE35" s="123">
        <v>0.0</v>
      </c>
    </row>
    <row r="36">
      <c r="A36" s="120">
        <v>2012.0</v>
      </c>
      <c r="B36" s="121">
        <v>12.0</v>
      </c>
      <c r="C36" s="122" t="s">
        <v>26</v>
      </c>
      <c r="D36" s="44"/>
      <c r="E36" s="123">
        <v>5412.8</v>
      </c>
      <c r="F36" s="123">
        <v>-8000.0</v>
      </c>
      <c r="G36" s="123"/>
      <c r="H36" s="123">
        <v>-1600.66</v>
      </c>
      <c r="I36" s="44"/>
      <c r="J36" s="44"/>
      <c r="K36" s="44"/>
      <c r="L36" s="123">
        <v>26420.69</v>
      </c>
      <c r="M36" s="44"/>
      <c r="N36" s="44"/>
      <c r="O36" s="123">
        <v>273006.0</v>
      </c>
      <c r="P36" s="52">
        <f t="shared" si="1"/>
        <v>273005.19</v>
      </c>
      <c r="Q36" s="124">
        <f t="shared" si="2"/>
        <v>0.81</v>
      </c>
      <c r="R36" s="52">
        <f t="array" ref="R36">IFERROR(INDEX('Fund YTD Target Values'!$1:$1000, MATCH($C36,'Fund YTD Target Values'!$A:$A,0), MATCH($A36,'Fund YTD Target Values'!$1:$1,0)),0)</f>
        <v>288779.5524</v>
      </c>
      <c r="S36" s="52">
        <f>IFERROR(__xludf.DUMMYFUNCTION("IFERROR(sum(FILTER('Fund Data'!$V:$V, 'Fund Data'!$C:$C = $C36, 'Fund Data'!$A:$A &lt; $A36)),0) + IFERROR(sum(FILTER('Fund Data'!$V:$V, 'Fund Data'!$C:$C = $C36, 'Fund Data'!$A:$A = $A36, 'Fund Data'!$B:$B &lt;= $B36)),0)"),250000.0)</f>
        <v>250000</v>
      </c>
      <c r="T36" s="123">
        <v>250000.0</v>
      </c>
      <c r="U36" s="44">
        <f t="shared" si="8"/>
        <v>0</v>
      </c>
      <c r="V36" s="44">
        <f t="shared" si="3"/>
        <v>0</v>
      </c>
      <c r="W36" s="123"/>
      <c r="X36" s="123"/>
      <c r="Y36" s="123">
        <v>0.0</v>
      </c>
      <c r="Z36" s="123">
        <v>0.0</v>
      </c>
      <c r="AA36" s="123">
        <v>0.0</v>
      </c>
      <c r="AB36" s="123"/>
      <c r="AC36" s="123">
        <v>0.0</v>
      </c>
      <c r="AD36" s="44">
        <f t="shared" si="7"/>
        <v>-8000</v>
      </c>
      <c r="AE36" s="123">
        <v>0.0</v>
      </c>
    </row>
    <row r="37">
      <c r="A37" s="120">
        <v>2011.0</v>
      </c>
      <c r="B37" s="121">
        <v>12.0</v>
      </c>
      <c r="C37" s="122" t="s">
        <v>26</v>
      </c>
      <c r="D37" s="44"/>
      <c r="E37" s="123">
        <v>4496.13</v>
      </c>
      <c r="F37" s="123">
        <v>-4000.0</v>
      </c>
      <c r="G37" s="123"/>
      <c r="H37" s="123">
        <v>-1609.34</v>
      </c>
      <c r="I37" s="44"/>
      <c r="J37" s="123">
        <v>349.45</v>
      </c>
      <c r="K37" s="44"/>
      <c r="L37" s="123">
        <v>-16619.12</v>
      </c>
      <c r="M37" s="44"/>
      <c r="N37" s="44"/>
      <c r="O37" s="123">
        <v>250773.0</v>
      </c>
      <c r="P37" s="52">
        <f t="shared" si="1"/>
        <v>250772.36</v>
      </c>
      <c r="Q37" s="124">
        <f t="shared" si="2"/>
        <v>0.6400000001</v>
      </c>
      <c r="R37" s="52">
        <f t="array" ref="R37">IFERROR(INDEX('Fund YTD Target Values'!$1:$1000, MATCH($C37,'Fund YTD Target Values'!$A:$A,0), MATCH($A37,'Fund YTD Target Values'!$1:$1,0)),0)</f>
        <v>282914.1958</v>
      </c>
      <c r="S37" s="52">
        <f>IFERROR(__xludf.DUMMYFUNCTION("IFERROR(sum(FILTER('Fund Data'!$V:$V, 'Fund Data'!$C:$C = $C37, 'Fund Data'!$A:$A &lt; $A37)),0) + IFERROR(sum(FILTER('Fund Data'!$V:$V, 'Fund Data'!$C:$C = $C37, 'Fund Data'!$A:$A = $A37, 'Fund Data'!$B:$B &lt;= $B37)),0)"),250000.0)</f>
        <v>250000</v>
      </c>
      <c r="T37" s="123">
        <v>250000.0</v>
      </c>
      <c r="U37" s="44">
        <f t="shared" si="8"/>
        <v>0</v>
      </c>
      <c r="V37" s="44">
        <f t="shared" si="3"/>
        <v>0</v>
      </c>
      <c r="W37" s="123"/>
      <c r="X37" s="123"/>
      <c r="Y37" s="123">
        <v>0.0</v>
      </c>
      <c r="Z37" s="123">
        <v>0.0</v>
      </c>
      <c r="AA37" s="123">
        <v>0.0</v>
      </c>
      <c r="AB37" s="123"/>
      <c r="AC37" s="123">
        <v>0.0</v>
      </c>
      <c r="AD37" s="44">
        <f t="shared" si="7"/>
        <v>-4000</v>
      </c>
      <c r="AE37" s="123">
        <v>0.0</v>
      </c>
    </row>
    <row r="38">
      <c r="A38" s="120">
        <v>2010.0</v>
      </c>
      <c r="B38" s="121">
        <v>12.0</v>
      </c>
      <c r="C38" s="122" t="s">
        <v>26</v>
      </c>
      <c r="D38" s="44"/>
      <c r="E38" s="123">
        <v>5020.14</v>
      </c>
      <c r="F38" s="44"/>
      <c r="G38" s="123"/>
      <c r="H38" s="123">
        <v>-1443.8</v>
      </c>
      <c r="I38" s="44"/>
      <c r="J38" s="44"/>
      <c r="K38" s="44"/>
      <c r="L38" s="123">
        <v>28168.66</v>
      </c>
      <c r="M38" s="44"/>
      <c r="N38" s="44"/>
      <c r="O38" s="123">
        <v>268156.0</v>
      </c>
      <c r="P38" s="52">
        <f t="shared" si="1"/>
        <v>268155.24</v>
      </c>
      <c r="Q38" s="124">
        <f t="shared" si="2"/>
        <v>0.76</v>
      </c>
      <c r="R38" s="52">
        <f t="array" ref="R38">IFERROR(INDEX('Fund YTD Target Values'!$1:$1000, MATCH($C38,'Fund YTD Target Values'!$A:$A,0), MATCH($A38,'Fund YTD Target Values'!$1:$1,0)),0)</f>
        <v>274260.7178</v>
      </c>
      <c r="S38" s="52">
        <f>IFERROR(__xludf.DUMMYFUNCTION("IFERROR(sum(FILTER('Fund Data'!$V:$V, 'Fund Data'!$C:$C = $C38, 'Fund Data'!$A:$A &lt; $A38)),0) + IFERROR(sum(FILTER('Fund Data'!$V:$V, 'Fund Data'!$C:$C = $C38, 'Fund Data'!$A:$A = $A38, 'Fund Data'!$B:$B &lt;= $B38)),0)"),250000.0)</f>
        <v>250000</v>
      </c>
      <c r="T38" s="123">
        <v>250000.0</v>
      </c>
      <c r="U38" s="44">
        <f t="shared" si="8"/>
        <v>0</v>
      </c>
      <c r="V38" s="44">
        <f t="shared" si="3"/>
        <v>0</v>
      </c>
      <c r="W38" s="123"/>
      <c r="X38" s="123"/>
      <c r="Y38" s="123">
        <v>0.0</v>
      </c>
      <c r="Z38" s="123">
        <v>0.0</v>
      </c>
      <c r="AA38" s="123">
        <v>0.0</v>
      </c>
      <c r="AB38" s="123"/>
      <c r="AC38" s="123">
        <v>0.0</v>
      </c>
      <c r="AD38" s="44">
        <f t="shared" si="7"/>
        <v>0</v>
      </c>
      <c r="AE38" s="123">
        <v>0.0</v>
      </c>
    </row>
    <row r="39">
      <c r="A39" s="120">
        <v>2009.0</v>
      </c>
      <c r="B39" s="121">
        <v>12.0</v>
      </c>
      <c r="C39" s="122" t="s">
        <v>26</v>
      </c>
      <c r="D39" s="44"/>
      <c r="E39" s="123">
        <v>6080.09</v>
      </c>
      <c r="F39" s="44"/>
      <c r="G39" s="123"/>
      <c r="H39" s="123">
        <v>-1237.05</v>
      </c>
      <c r="I39" s="44"/>
      <c r="J39" s="44"/>
      <c r="K39" s="44"/>
      <c r="L39" s="123">
        <v>36234.58</v>
      </c>
      <c r="M39" s="44"/>
      <c r="N39" s="44"/>
      <c r="O39" s="123">
        <v>236411.0</v>
      </c>
      <c r="P39" s="52">
        <f t="shared" si="1"/>
        <v>236410.24</v>
      </c>
      <c r="Q39" s="124">
        <f t="shared" si="2"/>
        <v>0.76</v>
      </c>
      <c r="R39" s="52">
        <f t="array" ref="R39">IFERROR(INDEX('Fund YTD Target Values'!$1:$1000, MATCH($C39,'Fund YTD Target Values'!$A:$A,0), MATCH($A39,'Fund YTD Target Values'!$1:$1,0)),0)</f>
        <v>269823.9499</v>
      </c>
      <c r="S39" s="52">
        <f>IFERROR(__xludf.DUMMYFUNCTION("IFERROR(sum(FILTER('Fund Data'!$V:$V, 'Fund Data'!$C:$C = $C39, 'Fund Data'!$A:$A &lt; $A39)),0) + IFERROR(sum(FILTER('Fund Data'!$V:$V, 'Fund Data'!$C:$C = $C39, 'Fund Data'!$A:$A = $A39, 'Fund Data'!$B:$B &lt;= $B39)),0)"),250000.0)</f>
        <v>250000</v>
      </c>
      <c r="T39" s="123">
        <v>250000.0</v>
      </c>
      <c r="U39" s="44">
        <f t="shared" si="8"/>
        <v>0</v>
      </c>
      <c r="V39" s="44">
        <f t="shared" si="3"/>
        <v>0</v>
      </c>
      <c r="W39" s="123"/>
      <c r="X39" s="123"/>
      <c r="Y39" s="123">
        <v>0.0</v>
      </c>
      <c r="Z39" s="123">
        <v>0.0</v>
      </c>
      <c r="AA39" s="123">
        <v>0.0</v>
      </c>
      <c r="AB39" s="123"/>
      <c r="AC39" s="123">
        <v>0.0</v>
      </c>
      <c r="AD39" s="44">
        <f t="shared" si="7"/>
        <v>0</v>
      </c>
      <c r="AE39" s="123">
        <v>0.0</v>
      </c>
    </row>
    <row r="40">
      <c r="A40" s="120">
        <v>2008.0</v>
      </c>
      <c r="B40" s="121">
        <v>12.0</v>
      </c>
      <c r="C40" s="122" t="s">
        <v>26</v>
      </c>
      <c r="D40" s="123">
        <v>30000.0</v>
      </c>
      <c r="E40" s="123">
        <v>5815.63</v>
      </c>
      <c r="F40" s="123">
        <v>-15000.0</v>
      </c>
      <c r="G40" s="123"/>
      <c r="H40" s="123">
        <v>-1292.95</v>
      </c>
      <c r="I40" s="44"/>
      <c r="J40" s="123">
        <v>474.15</v>
      </c>
      <c r="K40" s="44"/>
      <c r="L40" s="123">
        <v>-58871.59</v>
      </c>
      <c r="M40" s="44"/>
      <c r="N40" s="44"/>
      <c r="O40" s="123">
        <v>195333.0</v>
      </c>
      <c r="P40" s="52">
        <f t="shared" si="1"/>
        <v>195332.62</v>
      </c>
      <c r="Q40" s="124">
        <f t="shared" si="2"/>
        <v>0.3799999999</v>
      </c>
      <c r="R40" s="52">
        <f t="array" ref="R40">IFERROR(INDEX('Fund YTD Target Values'!$1:$1000, MATCH($C40,'Fund YTD Target Values'!$A:$A,0), MATCH($A40,'Fund YTD Target Values'!$1:$1,0)),0)</f>
        <v>270738.5046</v>
      </c>
      <c r="S40" s="52">
        <f>IFERROR(__xludf.DUMMYFUNCTION("IFERROR(sum(FILTER('Fund Data'!$V:$V, 'Fund Data'!$C:$C = $C40, 'Fund Data'!$A:$A &lt; $A40)),0) + IFERROR(sum(FILTER('Fund Data'!$V:$V, 'Fund Data'!$C:$C = $C40, 'Fund Data'!$A:$A = $A40, 'Fund Data'!$B:$B &lt;= $B40)),0)"),250000.0)</f>
        <v>250000</v>
      </c>
      <c r="T40" s="123">
        <v>250000.0</v>
      </c>
      <c r="U40" s="44">
        <f t="shared" si="8"/>
        <v>0</v>
      </c>
      <c r="V40" s="44">
        <f t="shared" si="3"/>
        <v>30000</v>
      </c>
      <c r="W40" s="123"/>
      <c r="X40" s="123"/>
      <c r="Y40" s="123">
        <v>0.0</v>
      </c>
      <c r="Z40" s="123">
        <v>0.0</v>
      </c>
      <c r="AA40" s="123">
        <v>0.0</v>
      </c>
      <c r="AB40" s="123"/>
      <c r="AC40" s="123">
        <v>0.0</v>
      </c>
      <c r="AD40" s="44">
        <f t="shared" si="7"/>
        <v>-15000</v>
      </c>
      <c r="AE40" s="123">
        <v>0.0</v>
      </c>
    </row>
    <row r="41">
      <c r="A41" s="120">
        <v>2007.0</v>
      </c>
      <c r="B41" s="121">
        <v>12.0</v>
      </c>
      <c r="C41" s="122" t="s">
        <v>26</v>
      </c>
      <c r="D41" s="123">
        <v>30000.0</v>
      </c>
      <c r="E41" s="123">
        <v>3574.91</v>
      </c>
      <c r="F41" s="123">
        <v>-35000.0</v>
      </c>
      <c r="G41" s="123"/>
      <c r="H41" s="123">
        <v>-1360.94</v>
      </c>
      <c r="I41" s="44"/>
      <c r="J41" s="123">
        <v>4902.09</v>
      </c>
      <c r="K41" s="44"/>
      <c r="L41" s="123">
        <v>13988.51</v>
      </c>
      <c r="M41" s="123">
        <v>-4.0</v>
      </c>
      <c r="N41" s="44"/>
      <c r="O41" s="123">
        <v>234208.0</v>
      </c>
      <c r="P41" s="52">
        <f t="shared" si="1"/>
        <v>234207.38</v>
      </c>
      <c r="Q41" s="124">
        <f t="shared" si="2"/>
        <v>0.62</v>
      </c>
      <c r="R41" s="52">
        <f t="array" ref="R41">IFERROR(INDEX('Fund YTD Target Values'!$1:$1000, MATCH($C41,'Fund YTD Target Values'!$A:$A,0), MATCH($A41,'Fund YTD Target Values'!$1:$1,0)),0)</f>
        <v>231823.4266</v>
      </c>
      <c r="S41" s="52">
        <f>IFERROR(__xludf.DUMMYFUNCTION("IFERROR(sum(FILTER('Fund Data'!$V:$V, 'Fund Data'!$C:$C = $C41, 'Fund Data'!$A:$A &lt; $A41)),0) + IFERROR(sum(FILTER('Fund Data'!$V:$V, 'Fund Data'!$C:$C = $C41, 'Fund Data'!$A:$A = $A41, 'Fund Data'!$B:$B &lt;= $B41)),0)"),220000.0)</f>
        <v>220000</v>
      </c>
      <c r="T41" s="123">
        <v>219999.0</v>
      </c>
      <c r="U41" s="44">
        <f t="shared" si="8"/>
        <v>1</v>
      </c>
      <c r="V41" s="44">
        <f t="shared" si="3"/>
        <v>30000</v>
      </c>
      <c r="W41" s="123"/>
      <c r="X41" s="123"/>
      <c r="Y41" s="123">
        <v>0.0</v>
      </c>
      <c r="Z41" s="123">
        <v>0.0</v>
      </c>
      <c r="AA41" s="123">
        <v>0.0</v>
      </c>
      <c r="AB41" s="123"/>
      <c r="AC41" s="123">
        <v>0.0</v>
      </c>
      <c r="AD41" s="44">
        <f t="shared" si="7"/>
        <v>-35000</v>
      </c>
      <c r="AE41" s="123">
        <v>0.0</v>
      </c>
    </row>
    <row r="42">
      <c r="A42" s="120">
        <v>2006.0</v>
      </c>
      <c r="B42" s="121">
        <v>12.0</v>
      </c>
      <c r="C42" s="122" t="s">
        <v>26</v>
      </c>
      <c r="D42" s="123">
        <v>30000.0</v>
      </c>
      <c r="E42" s="123">
        <v>3001.21</v>
      </c>
      <c r="F42" s="44"/>
      <c r="G42" s="123"/>
      <c r="H42" s="123">
        <v>-1100.21</v>
      </c>
      <c r="I42" s="44"/>
      <c r="J42" s="44"/>
      <c r="K42" s="44"/>
      <c r="L42" s="123">
        <v>15680.69</v>
      </c>
      <c r="M42" s="123">
        <v>-481.55</v>
      </c>
      <c r="N42" s="44"/>
      <c r="O42" s="123">
        <v>218107.0</v>
      </c>
      <c r="P42" s="52">
        <f t="shared" si="1"/>
        <v>218106.81</v>
      </c>
      <c r="Q42" s="124">
        <f t="shared" si="2"/>
        <v>0.19</v>
      </c>
      <c r="R42" s="52">
        <f t="array" ref="R42">IFERROR(INDEX('Fund YTD Target Values'!$1:$1000, MATCH($C42,'Fund YTD Target Values'!$A:$A,0), MATCH($A42,'Fund YTD Target Values'!$1:$1,0)),0)</f>
        <v>196226.3587</v>
      </c>
      <c r="S42" s="52">
        <f>IFERROR(__xludf.DUMMYFUNCTION("IFERROR(sum(FILTER('Fund Data'!$V:$V, 'Fund Data'!$C:$C = $C42, 'Fund Data'!$A:$A &lt; $A42)),0) + IFERROR(sum(FILTER('Fund Data'!$V:$V, 'Fund Data'!$C:$C = $C42, 'Fund Data'!$A:$A = $A42, 'Fund Data'!$B:$B &lt;= $B42)),0)"),190000.0)</f>
        <v>190000</v>
      </c>
      <c r="T42" s="123">
        <v>189999.0</v>
      </c>
      <c r="U42" s="44">
        <f t="shared" si="8"/>
        <v>1</v>
      </c>
      <c r="V42" s="44">
        <f t="shared" si="3"/>
        <v>30000</v>
      </c>
      <c r="W42" s="123"/>
      <c r="X42" s="123"/>
      <c r="Y42" s="123">
        <v>0.0</v>
      </c>
      <c r="Z42" s="123">
        <v>0.0</v>
      </c>
      <c r="AA42" s="123">
        <v>0.0</v>
      </c>
      <c r="AB42" s="123"/>
      <c r="AC42" s="123">
        <v>0.0</v>
      </c>
      <c r="AD42" s="44">
        <f t="shared" si="7"/>
        <v>0</v>
      </c>
      <c r="AE42" s="123">
        <v>0.0</v>
      </c>
    </row>
    <row r="43">
      <c r="A43" s="120">
        <v>2005.0</v>
      </c>
      <c r="B43" s="121">
        <v>12.0</v>
      </c>
      <c r="C43" s="122" t="s">
        <v>26</v>
      </c>
      <c r="D43" s="123">
        <v>130000.0</v>
      </c>
      <c r="E43" s="123">
        <v>2946.26</v>
      </c>
      <c r="F43" s="123">
        <v>-500.0</v>
      </c>
      <c r="G43" s="123"/>
      <c r="H43" s="123">
        <v>-654.19</v>
      </c>
      <c r="I43" s="44"/>
      <c r="J43" s="123">
        <v>15630.96</v>
      </c>
      <c r="K43" s="123">
        <v>-421.21</v>
      </c>
      <c r="L43" s="123">
        <v>-7814.7</v>
      </c>
      <c r="M43" s="123">
        <v>484.17</v>
      </c>
      <c r="N43" s="44"/>
      <c r="O43" s="123">
        <v>171007.0</v>
      </c>
      <c r="P43" s="52">
        <f t="shared" si="1"/>
        <v>171006.67</v>
      </c>
      <c r="Q43" s="124">
        <f t="shared" si="2"/>
        <v>0.33</v>
      </c>
      <c r="R43" s="52">
        <f t="array" ref="R43">IFERROR(INDEX('Fund YTD Target Values'!$1:$1000, MATCH($C43,'Fund YTD Target Values'!$A:$A,0), MATCH($A43,'Fund YTD Target Values'!$1:$1,0)),0)</f>
        <v>161017.1011</v>
      </c>
      <c r="S43" s="52">
        <f>IFERROR(__xludf.DUMMYFUNCTION("IFERROR(sum(FILTER('Fund Data'!$V:$V, 'Fund Data'!$C:$C = $C43, 'Fund Data'!$A:$A &lt; $A43)),0) + IFERROR(sum(FILTER('Fund Data'!$V:$V, 'Fund Data'!$C:$C = $C43, 'Fund Data'!$A:$A = $A43, 'Fund Data'!$B:$B &lt;= $B43)),0)"),160000.0)</f>
        <v>160000</v>
      </c>
      <c r="T43" s="123">
        <v>160000.0</v>
      </c>
      <c r="U43" s="44">
        <f t="shared" si="8"/>
        <v>0</v>
      </c>
      <c r="V43" s="44">
        <f t="shared" si="3"/>
        <v>130000</v>
      </c>
      <c r="W43" s="123"/>
      <c r="X43" s="123"/>
      <c r="Y43" s="123">
        <v>0.0</v>
      </c>
      <c r="Z43" s="123">
        <v>0.0</v>
      </c>
      <c r="AA43" s="123">
        <v>0.0</v>
      </c>
      <c r="AB43" s="123"/>
      <c r="AC43" s="123">
        <v>0.0</v>
      </c>
      <c r="AD43" s="44">
        <f t="shared" si="7"/>
        <v>-500</v>
      </c>
      <c r="AE43" s="123">
        <v>0.0</v>
      </c>
    </row>
    <row r="44">
      <c r="A44" s="120">
        <v>2004.0</v>
      </c>
      <c r="B44" s="121">
        <v>12.0</v>
      </c>
      <c r="C44" s="122" t="s">
        <v>26</v>
      </c>
      <c r="D44" s="123">
        <v>30000.0</v>
      </c>
      <c r="E44" s="123">
        <v>242.67</v>
      </c>
      <c r="F44" s="44"/>
      <c r="G44" s="123"/>
      <c r="H44" s="123">
        <v>-11.95</v>
      </c>
      <c r="I44" s="123"/>
      <c r="J44" s="44"/>
      <c r="K44" s="44"/>
      <c r="L44" s="123">
        <v>767.23</v>
      </c>
      <c r="M44" s="123">
        <v>0.91</v>
      </c>
      <c r="N44" s="123">
        <v>336.52</v>
      </c>
      <c r="O44" s="123">
        <v>31335.0</v>
      </c>
      <c r="P44" s="52">
        <f t="shared" si="1"/>
        <v>31335.38</v>
      </c>
      <c r="Q44" s="124">
        <f t="shared" si="2"/>
        <v>-0.38</v>
      </c>
      <c r="R44" s="52">
        <f t="array" ref="R44">IFERROR(INDEX('Fund YTD Target Values'!$1:$1000, MATCH($C44,'Fund YTD Target Values'!$A:$A,0), MATCH($A44,'Fund YTD Target Values'!$1:$1,0)),0)</f>
        <v>30000</v>
      </c>
      <c r="S44" s="52">
        <f>IFERROR(__xludf.DUMMYFUNCTION("IFERROR(sum(FILTER('Fund Data'!$V:$V, 'Fund Data'!$C:$C = $C44, 'Fund Data'!$A:$A &lt; $A44)),0) + IFERROR(sum(FILTER('Fund Data'!$V:$V, 'Fund Data'!$C:$C = $C44, 'Fund Data'!$A:$A = $A44, 'Fund Data'!$B:$B &lt;= $B44)),0)"),30000.0)</f>
        <v>30000</v>
      </c>
      <c r="T44" s="123">
        <v>30000.0</v>
      </c>
      <c r="U44" s="44">
        <f t="shared" si="8"/>
        <v>0</v>
      </c>
      <c r="V44" s="44">
        <f t="shared" si="3"/>
        <v>30000</v>
      </c>
      <c r="W44" s="123"/>
      <c r="X44" s="123"/>
      <c r="Y44" s="123">
        <v>0.0</v>
      </c>
      <c r="Z44" s="123">
        <v>0.0</v>
      </c>
      <c r="AA44" s="123">
        <v>0.0</v>
      </c>
      <c r="AB44" s="123"/>
      <c r="AC44" s="123">
        <v>0.0</v>
      </c>
      <c r="AD44" s="44">
        <f t="shared" si="7"/>
        <v>0</v>
      </c>
      <c r="AE44" s="123">
        <v>0.0</v>
      </c>
    </row>
    <row r="45">
      <c r="A45" s="120">
        <v>2019.0</v>
      </c>
      <c r="B45" s="121">
        <v>6.0</v>
      </c>
      <c r="C45" s="122" t="s">
        <v>27</v>
      </c>
      <c r="D45" s="44"/>
      <c r="E45" s="123">
        <v>3614.17</v>
      </c>
      <c r="F45" s="123">
        <v>-14000.0</v>
      </c>
      <c r="G45" s="44"/>
      <c r="H45" s="123">
        <v>-816.43</v>
      </c>
      <c r="I45" s="44"/>
      <c r="J45" s="123">
        <v>3403.93</v>
      </c>
      <c r="K45" s="44"/>
      <c r="L45" s="123">
        <v>24803.76</v>
      </c>
      <c r="M45" s="44"/>
      <c r="N45" s="44"/>
      <c r="O45" s="123">
        <v>287888.9</v>
      </c>
      <c r="P45" s="52">
        <f t="shared" si="1"/>
        <v>287889.24</v>
      </c>
      <c r="Q45" s="124">
        <f t="shared" si="2"/>
        <v>-0.34</v>
      </c>
      <c r="R45" s="52">
        <f t="array" ref="R45">IFERROR(INDEX('Fund YTD Target Values'!$1:$1000, MATCH($C45,'Fund YTD Target Values'!$A:$A,0), MATCH($A45,'Fund YTD Target Values'!$1:$1,0)),0)</f>
        <v>400157.1334</v>
      </c>
      <c r="S45" s="52">
        <f>IFERROR(__xludf.DUMMYFUNCTION("IFERROR(sum(FILTER('Fund Data'!$V:$V, 'Fund Data'!$C:$C = $C45, 'Fund Data'!$A:$A &lt; $A45)),0) + IFERROR(sum(FILTER('Fund Data'!$V:$V, 'Fund Data'!$C:$C = $C45, 'Fund Data'!$A:$A = $A45, 'Fund Data'!$B:$B &lt;= $B45)),0)"),276213.7)</f>
        <v>276213.7</v>
      </c>
      <c r="T45" s="44"/>
      <c r="U45" s="44"/>
      <c r="V45" s="44">
        <f t="shared" si="3"/>
        <v>0</v>
      </c>
      <c r="W45" s="52">
        <f>IFERROR(__xludf.DUMMYFUNCTION("iFERROR((FILTER('Fund Data'!$Y:$Y, 'Fund Data'!$C:$C = $C45, 'Fund Data'!$A:$A = $A45 - 1, 'Fund Data'!$B:$B = 12) + FILTER('Fund Data'!$AA:$AA, 'Fund Data'!$C:$C = $C45, 'Fund Data'!$A:$A = $A45 - 1, 'Fund Data'!$B:$B = 12)) * (1 + AVERAGE(FILTER('Inflat"&amp;"ion Data'!$C:$C,'Inflation Data'!$A:$A = ($A45 - 2)))) * 'Parameters and Distribution Sum'!$A$4,0)"),9924.42530607715)</f>
        <v>9924.425306</v>
      </c>
      <c r="X45" s="52">
        <f>IFERROR(__xludf.DUMMYFUNCTION("IFERROR((IFERROR(FILTER('Fund Data'!$P:$P,'Fund Data'!$C:$C = $C45,'Fund Data'!$A:$A = ($A45 - 2), 'Fund Data'!$B:$B = 12),0) - SUM(FILTER('Fund Data'!$V:$V, 'Fund Data'!$C:$C = $C45, 'Fund Data'!$A:$A = ($A45 - 2), 'Fund Data'!$B:$B &gt; 3)))  * 'Parameters"&amp;" and Distribution Sum'!$B$4 * (1 - 'Parameters and Distribution Sum'!$A$4),0)"),4164.552900000001)</f>
        <v>4164.5529</v>
      </c>
      <c r="Y45" s="52">
        <f t="shared" ref="Y45:Y50" si="9">sum($W45:$X45)</f>
        <v>14088.97821</v>
      </c>
      <c r="Z45" s="52">
        <f>IFERROR(__xludf.DUMMYFUNCTION("((IFERROR((SUM(FILTER('Fund Data'!$V:$V, 'Fund Data'!$C:$C = $C45, 'Fund Data'!$A:$A = $A45 - 1, 'Fund Data'!$B:$B &gt;= 4, 'Fund Data'!$B:$B &lt;= ($B45 + 5))) / 12) * ($B45 - 3) * 'Parameters and Distribution Sum'!$B$4, 0) + IF($B45 &gt;= 9, IFERROR(SUM(FILTER('"&amp;"Fund Data'!$V:$V, 'Fund Data'!$C:$C = $C45, 'Fund Data'!$A:$A = $A45, 'Fund Data'!$B:$B &lt;= 3)) * 'Parameters and Distribution Sum'!$B$4, 0),0)))"),0.0)</f>
        <v>0</v>
      </c>
      <c r="AA45" s="44">
        <f>IFERROR(__xludf.DUMMYFUNCTION("IFERROR(((IFERROR(SUM(FILTER('Fund Data'!$V:$V, 'Fund Data'!$C:$C = $C45, 'Fund Data'!$A:$A = $A45 - 2, 'Fund Data'!$B:$B &gt;= 4)) * 'Parameters and Distribution Sum'!$B$4,0) + IFERROR(SUM(FILTER('Fund Data'!$V:$V, 'Fund Data'!$C:$C = $C45, 'Fund Data'!$A:$"&amp;"A = $A45 - 1, 'Fund Data'!$B:$B &lt;= 3)) * 'Parameters and Distribution Sum'!$B$4,0))),0)"),0.0)</f>
        <v>0</v>
      </c>
      <c r="AB45" s="44">
        <f t="shared" ref="AB45:AB51" si="10">IFERROR(__xludf.DUMMYFUNCTION("IFERROR(FILTER($AE:$AE,$C:$C = $C45,$A:$A = $A45 - 1,$B:$B = 12),0)"),0.0)</f>
        <v>0</v>
      </c>
      <c r="AC45" s="44">
        <f t="shared" ref="AC45:AC51" si="11">sum($Y45:$AB45)</f>
        <v>14088.97821</v>
      </c>
      <c r="AD45" s="44">
        <f t="shared" si="7"/>
        <v>88.97820608</v>
      </c>
      <c r="AE45" s="44"/>
    </row>
    <row r="46">
      <c r="A46" s="120">
        <v>2019.0</v>
      </c>
      <c r="B46" s="121">
        <v>5.0</v>
      </c>
      <c r="C46" s="122" t="s">
        <v>27</v>
      </c>
      <c r="D46" s="44"/>
      <c r="E46" s="123">
        <v>3297.59</v>
      </c>
      <c r="F46" s="44"/>
      <c r="G46" s="44"/>
      <c r="H46" s="123">
        <v>-679.28</v>
      </c>
      <c r="I46" s="44"/>
      <c r="J46" s="44"/>
      <c r="K46" s="44"/>
      <c r="L46" s="123">
        <v>16943.93</v>
      </c>
      <c r="M46" s="44"/>
      <c r="N46" s="44"/>
      <c r="O46" s="123">
        <v>290445.71</v>
      </c>
      <c r="P46" s="52">
        <f t="shared" si="1"/>
        <v>290446.05</v>
      </c>
      <c r="Q46" s="124">
        <f t="shared" si="2"/>
        <v>-0.34</v>
      </c>
      <c r="R46" s="52">
        <f t="array" ref="R46">IFERROR(INDEX('Fund YTD Target Values'!$1:$1000, MATCH($C46,'Fund YTD Target Values'!$A:$A,0), MATCH($A46,'Fund YTD Target Values'!$1:$1,0)),0)</f>
        <v>400157.1334</v>
      </c>
      <c r="S46" s="52">
        <f>IFERROR(__xludf.DUMMYFUNCTION("IFERROR(sum(FILTER('Fund Data'!$V:$V, 'Fund Data'!$C:$C = $C46, 'Fund Data'!$A:$A &lt; $A46)),0) + IFERROR(sum(FILTER('Fund Data'!$V:$V, 'Fund Data'!$C:$C = $C46, 'Fund Data'!$A:$A = $A46, 'Fund Data'!$B:$B &lt;= $B46)),0)"),276213.7)</f>
        <v>276213.7</v>
      </c>
      <c r="T46" s="44"/>
      <c r="U46" s="44"/>
      <c r="V46" s="44">
        <f t="shared" si="3"/>
        <v>0</v>
      </c>
      <c r="W46" s="52">
        <f>IFERROR(__xludf.DUMMYFUNCTION("iFERROR((FILTER('Fund Data'!$Y:$Y, 'Fund Data'!$C:$C = $C46, 'Fund Data'!$A:$A = $A46 - 1, 'Fund Data'!$B:$B = 12) + FILTER('Fund Data'!$AA:$AA, 'Fund Data'!$C:$C = $C46, 'Fund Data'!$A:$A = $A46 - 1, 'Fund Data'!$B:$B = 12)) * (1 + AVERAGE(FILTER('Inflat"&amp;"ion Data'!$C:$C,'Inflation Data'!$A:$A = ($A46 - 2)))) * 'Parameters and Distribution Sum'!$A$4,0)"),9924.42530607715)</f>
        <v>9924.425306</v>
      </c>
      <c r="X46" s="52">
        <f>IFERROR(__xludf.DUMMYFUNCTION("IFERROR((IFERROR(FILTER('Fund Data'!$P:$P,'Fund Data'!$C:$C = $C46,'Fund Data'!$A:$A = ($A46 - 2), 'Fund Data'!$B:$B = 12),0) - SUM(FILTER('Fund Data'!$V:$V, 'Fund Data'!$C:$C = $C46, 'Fund Data'!$A:$A = ($A46 - 2), 'Fund Data'!$B:$B &gt; 3)))  * 'Parameters"&amp;" and Distribution Sum'!$B$4 * (1 - 'Parameters and Distribution Sum'!$A$4),0)"),4164.552900000001)</f>
        <v>4164.5529</v>
      </c>
      <c r="Y46" s="52">
        <f t="shared" si="9"/>
        <v>14088.97821</v>
      </c>
      <c r="Z46" s="52">
        <f>IFERROR(__xludf.DUMMYFUNCTION("((IFERROR((SUM(FILTER('Fund Data'!$V:$V, 'Fund Data'!$C:$C = $C46, 'Fund Data'!$A:$A = $A46 - 1, 'Fund Data'!$B:$B &gt;= 4, 'Fund Data'!$B:$B &lt;= ($B46 + 5))) / 12) * ($B46 - 3) * 'Parameters and Distribution Sum'!$B$4, 0) + IF($B46 &gt;= 9, IFERROR(SUM(FILTER('"&amp;"Fund Data'!$V:$V, 'Fund Data'!$C:$C = $C46, 'Fund Data'!$A:$A = $A46, 'Fund Data'!$B:$B &lt;= 3)) * 'Parameters and Distribution Sum'!$B$4, 0),0)))"),0.0)</f>
        <v>0</v>
      </c>
      <c r="AA46" s="44">
        <f>IFERROR(__xludf.DUMMYFUNCTION("IFERROR(((IFERROR(SUM(FILTER('Fund Data'!$V:$V, 'Fund Data'!$C:$C = $C46, 'Fund Data'!$A:$A = $A46 - 2, 'Fund Data'!$B:$B &gt;= 4)) * 'Parameters and Distribution Sum'!$B$4,0) + IFERROR(SUM(FILTER('Fund Data'!$V:$V, 'Fund Data'!$C:$C = $C46, 'Fund Data'!$A:$"&amp;"A = $A46 - 1, 'Fund Data'!$B:$B &lt;= 3)) * 'Parameters and Distribution Sum'!$B$4,0))),0)"),0.0)</f>
        <v>0</v>
      </c>
      <c r="AB46" s="44">
        <f t="shared" si="10"/>
        <v>0</v>
      </c>
      <c r="AC46" s="44">
        <f t="shared" si="11"/>
        <v>14088.97821</v>
      </c>
      <c r="AD46" s="44">
        <f t="shared" si="7"/>
        <v>14088.97821</v>
      </c>
      <c r="AE46" s="44"/>
    </row>
    <row r="47">
      <c r="A47" s="120">
        <v>2019.0</v>
      </c>
      <c r="B47" s="121">
        <v>4.0</v>
      </c>
      <c r="C47" s="122" t="s">
        <v>27</v>
      </c>
      <c r="D47" s="44"/>
      <c r="E47" s="123">
        <v>3039.26</v>
      </c>
      <c r="F47" s="44"/>
      <c r="G47" s="44"/>
      <c r="H47" s="123">
        <v>-538.38</v>
      </c>
      <c r="I47" s="44"/>
      <c r="J47" s="44"/>
      <c r="K47" s="44"/>
      <c r="L47" s="123">
        <v>28468.24</v>
      </c>
      <c r="M47" s="44"/>
      <c r="N47" s="44"/>
      <c r="O47" s="123">
        <v>301853.0</v>
      </c>
      <c r="P47" s="52">
        <f t="shared" si="1"/>
        <v>301852.93</v>
      </c>
      <c r="Q47" s="124">
        <f t="shared" si="2"/>
        <v>0.06999999995</v>
      </c>
      <c r="R47" s="52">
        <f t="array" ref="R47">IFERROR(INDEX('Fund YTD Target Values'!$1:$1000, MATCH($C47,'Fund YTD Target Values'!$A:$A,0), MATCH($A47,'Fund YTD Target Values'!$1:$1,0)),0)</f>
        <v>400157.1334</v>
      </c>
      <c r="S47" s="52">
        <f>IFERROR(__xludf.DUMMYFUNCTION("IFERROR(sum(FILTER('Fund Data'!$V:$V, 'Fund Data'!$C:$C = $C47, 'Fund Data'!$A:$A &lt; $A47)),0) + IFERROR(sum(FILTER('Fund Data'!$V:$V, 'Fund Data'!$C:$C = $C47, 'Fund Data'!$A:$A = $A47, 'Fund Data'!$B:$B &lt;= $B47)),0)"),276213.7)</f>
        <v>276213.7</v>
      </c>
      <c r="T47" s="44"/>
      <c r="U47" s="44"/>
      <c r="V47" s="44">
        <f t="shared" si="3"/>
        <v>0</v>
      </c>
      <c r="W47" s="52">
        <f>IFERROR(__xludf.DUMMYFUNCTION("iFERROR((FILTER('Fund Data'!$Y:$Y, 'Fund Data'!$C:$C = $C47, 'Fund Data'!$A:$A = $A47 - 1, 'Fund Data'!$B:$B = 12) + FILTER('Fund Data'!$AA:$AA, 'Fund Data'!$C:$C = $C47, 'Fund Data'!$A:$A = $A47 - 1, 'Fund Data'!$B:$B = 12)) * (1 + AVERAGE(FILTER('Inflat"&amp;"ion Data'!$C:$C,'Inflation Data'!$A:$A = ($A47 - 2)))) * 'Parameters and Distribution Sum'!$A$4,0)"),9924.42530607715)</f>
        <v>9924.425306</v>
      </c>
      <c r="X47" s="52">
        <f>IFERROR(__xludf.DUMMYFUNCTION("IFERROR((IFERROR(FILTER('Fund Data'!$P:$P,'Fund Data'!$C:$C = $C47,'Fund Data'!$A:$A = ($A47 - 2), 'Fund Data'!$B:$B = 12),0) - SUM(FILTER('Fund Data'!$V:$V, 'Fund Data'!$C:$C = $C47, 'Fund Data'!$A:$A = ($A47 - 2), 'Fund Data'!$B:$B &gt; 3)))  * 'Parameters"&amp;" and Distribution Sum'!$B$4 * (1 - 'Parameters and Distribution Sum'!$A$4),0)"),4164.552900000001)</f>
        <v>4164.5529</v>
      </c>
      <c r="Y47" s="52">
        <f t="shared" si="9"/>
        <v>14088.97821</v>
      </c>
      <c r="Z47" s="52">
        <f>IFERROR(__xludf.DUMMYFUNCTION("((IFERROR((SUM(FILTER('Fund Data'!$V:$V, 'Fund Data'!$C:$C = $C47, 'Fund Data'!$A:$A = $A47 - 1, 'Fund Data'!$B:$B &gt;= 4, 'Fund Data'!$B:$B &lt;= ($B47 + 5))) / 12) * ($B47 - 3) * 'Parameters and Distribution Sum'!$B$4, 0) + IF($B47 &gt;= 9, IFERROR(SUM(FILTER('"&amp;"Fund Data'!$V:$V, 'Fund Data'!$C:$C = $C47, 'Fund Data'!$A:$A = $A47, 'Fund Data'!$B:$B &lt;= 3)) * 'Parameters and Distribution Sum'!$B$4, 0),0)))"),0.0)</f>
        <v>0</v>
      </c>
      <c r="AA47" s="44">
        <f>IFERROR(__xludf.DUMMYFUNCTION("IFERROR(((IFERROR(SUM(FILTER('Fund Data'!$V:$V, 'Fund Data'!$C:$C = $C47, 'Fund Data'!$A:$A = $A47 - 2, 'Fund Data'!$B:$B &gt;= 4)) * 'Parameters and Distribution Sum'!$B$4,0) + IFERROR(SUM(FILTER('Fund Data'!$V:$V, 'Fund Data'!$C:$C = $C47, 'Fund Data'!$A:$"&amp;"A = $A47 - 1, 'Fund Data'!$B:$B &lt;= 3)) * 'Parameters and Distribution Sum'!$B$4,0))),0)"),0.0)</f>
        <v>0</v>
      </c>
      <c r="AB47" s="44">
        <f t="shared" si="10"/>
        <v>0</v>
      </c>
      <c r="AC47" s="44">
        <f t="shared" si="11"/>
        <v>14088.97821</v>
      </c>
      <c r="AD47" s="44">
        <f t="shared" si="7"/>
        <v>14088.97821</v>
      </c>
      <c r="AE47" s="44"/>
    </row>
    <row r="48">
      <c r="A48" s="120">
        <v>2019.0</v>
      </c>
      <c r="B48" s="121">
        <v>3.0</v>
      </c>
      <c r="C48" s="122" t="s">
        <v>27</v>
      </c>
      <c r="D48" s="44"/>
      <c r="E48" s="123">
        <v>2296.88</v>
      </c>
      <c r="F48" s="44"/>
      <c r="G48" s="44"/>
      <c r="H48" s="123">
        <v>-400.28</v>
      </c>
      <c r="I48" s="44"/>
      <c r="J48" s="44"/>
      <c r="K48" s="44"/>
      <c r="L48" s="123">
        <v>22589.29</v>
      </c>
      <c r="M48" s="44"/>
      <c r="N48" s="44"/>
      <c r="O48" s="123">
        <v>295369.0</v>
      </c>
      <c r="P48" s="52">
        <f t="shared" si="1"/>
        <v>295369.7</v>
      </c>
      <c r="Q48" s="124">
        <f t="shared" si="2"/>
        <v>-0.7000000001</v>
      </c>
      <c r="R48" s="52">
        <f t="array" ref="R48">IFERROR(INDEX('Fund YTD Target Values'!$1:$1000, MATCH($C48,'Fund YTD Target Values'!$A:$A,0), MATCH($A48,'Fund YTD Target Values'!$1:$1,0)),0)</f>
        <v>400157.1334</v>
      </c>
      <c r="S48" s="52">
        <f>IFERROR(__xludf.DUMMYFUNCTION("IFERROR(sum(FILTER('Fund Data'!$V:$V, 'Fund Data'!$C:$C = $C48, 'Fund Data'!$A:$A &lt; $A48)),0) + IFERROR(sum(FILTER('Fund Data'!$V:$V, 'Fund Data'!$C:$C = $C48, 'Fund Data'!$A:$A = $A48, 'Fund Data'!$B:$B &lt;= $B48)),0)"),276213.7)</f>
        <v>276213.7</v>
      </c>
      <c r="T48" s="123"/>
      <c r="U48" s="44"/>
      <c r="V48" s="44">
        <f t="shared" si="3"/>
        <v>0</v>
      </c>
      <c r="W48" s="52">
        <f>IFERROR(__xludf.DUMMYFUNCTION("iFERROR((FILTER('Fund Data'!$Y:$Y, 'Fund Data'!$C:$C = $C48, 'Fund Data'!$A:$A = $A48 - 1, 'Fund Data'!$B:$B = 12) + FILTER('Fund Data'!$AA:$AA, 'Fund Data'!$C:$C = $C48, 'Fund Data'!$A:$A = $A48 - 1, 'Fund Data'!$B:$B = 12)) * (1 + AVERAGE(FILTER('Inflat"&amp;"ion Data'!$C:$C,'Inflation Data'!$A:$A = ($A48 - 2)))) * 'Parameters and Distribution Sum'!$A$4,0)"),9924.42530607715)</f>
        <v>9924.425306</v>
      </c>
      <c r="X48" s="52">
        <f>IFERROR(__xludf.DUMMYFUNCTION("IFERROR((IFERROR(FILTER('Fund Data'!$P:$P,'Fund Data'!$C:$C = $C48,'Fund Data'!$A:$A = ($A48 - 2), 'Fund Data'!$B:$B = 12),0) - SUM(FILTER('Fund Data'!$V:$V, 'Fund Data'!$C:$C = $C48, 'Fund Data'!$A:$A = ($A48 - 2), 'Fund Data'!$B:$B &gt; 3)))  * 'Parameters"&amp;" and Distribution Sum'!$B$4 * (1 - 'Parameters and Distribution Sum'!$A$4),0)"),4164.552900000001)</f>
        <v>4164.5529</v>
      </c>
      <c r="Y48" s="52">
        <f t="shared" si="9"/>
        <v>14088.97821</v>
      </c>
      <c r="Z48" s="52">
        <f>IFERROR(__xludf.DUMMYFUNCTION("((IFERROR((SUM(FILTER('Fund Data'!$V:$V, 'Fund Data'!$C:$C = $C48, 'Fund Data'!$A:$A = $A48 - 1, 'Fund Data'!$B:$B &gt;= 4, 'Fund Data'!$B:$B &lt;= ($B48 + 5))) / 12) * ($B48 - 3) * 'Parameters and Distribution Sum'!$B$4, 0) + IF($B48 &gt;= 9, IFERROR(SUM(FILTER('"&amp;"Fund Data'!$V:$V, 'Fund Data'!$C:$C = $C48, 'Fund Data'!$A:$A = $A48, 'Fund Data'!$B:$B &lt;= 3)) * 'Parameters and Distribution Sum'!$B$4, 0),0)))"),0.0)</f>
        <v>0</v>
      </c>
      <c r="AA48" s="44">
        <f>IFERROR(__xludf.DUMMYFUNCTION("IFERROR(((IFERROR(SUM(FILTER('Fund Data'!$V:$V, 'Fund Data'!$C:$C = $C48, 'Fund Data'!$A:$A = $A48 - 2, 'Fund Data'!$B:$B &gt;= 4)) * 'Parameters and Distribution Sum'!$B$4,0) + IFERROR(SUM(FILTER('Fund Data'!$V:$V, 'Fund Data'!$C:$C = $C48, 'Fund Data'!$A:$"&amp;"A = $A48 - 1, 'Fund Data'!$B:$B &lt;= 3)) * 'Parameters and Distribution Sum'!$B$4,0))),0)"),0.0)</f>
        <v>0</v>
      </c>
      <c r="AB48" s="44">
        <f t="shared" si="10"/>
        <v>0</v>
      </c>
      <c r="AC48" s="44">
        <f t="shared" si="11"/>
        <v>14088.97821</v>
      </c>
      <c r="AD48" s="44">
        <f t="shared" si="7"/>
        <v>14088.97821</v>
      </c>
      <c r="AE48" s="44"/>
    </row>
    <row r="49">
      <c r="A49" s="120">
        <v>2019.0</v>
      </c>
      <c r="B49" s="121">
        <v>2.0</v>
      </c>
      <c r="C49" s="122" t="s">
        <v>27</v>
      </c>
      <c r="D49" s="44"/>
      <c r="E49" s="123">
        <v>1941.89</v>
      </c>
      <c r="F49" s="44"/>
      <c r="G49" s="44"/>
      <c r="H49" s="123">
        <v>-263.05</v>
      </c>
      <c r="I49" s="44"/>
      <c r="J49" s="44"/>
      <c r="K49" s="44"/>
      <c r="L49" s="123">
        <v>20910.99</v>
      </c>
      <c r="M49" s="44"/>
      <c r="N49" s="44"/>
      <c r="O49" s="123">
        <v>293473.0</v>
      </c>
      <c r="P49" s="52">
        <f t="shared" si="1"/>
        <v>293473.64</v>
      </c>
      <c r="Q49" s="124">
        <f t="shared" si="2"/>
        <v>-0.6400000001</v>
      </c>
      <c r="R49" s="52">
        <f t="array" ref="R49">IFERROR(INDEX('Fund YTD Target Values'!$1:$1000, MATCH($C49,'Fund YTD Target Values'!$A:$A,0), MATCH($A49,'Fund YTD Target Values'!$1:$1,0)),0)</f>
        <v>400157.1334</v>
      </c>
      <c r="S49" s="52">
        <f>IFERROR(__xludf.DUMMYFUNCTION("IFERROR(sum(FILTER('Fund Data'!$V:$V, 'Fund Data'!$C:$C = $C49, 'Fund Data'!$A:$A &lt; $A49)),0) + IFERROR(sum(FILTER('Fund Data'!$V:$V, 'Fund Data'!$C:$C = $C49, 'Fund Data'!$A:$A = $A49, 'Fund Data'!$B:$B &lt;= $B49)),0)"),276213.7)</f>
        <v>276213.7</v>
      </c>
      <c r="T49" s="44"/>
      <c r="U49" s="44"/>
      <c r="V49" s="44">
        <f t="shared" si="3"/>
        <v>0</v>
      </c>
      <c r="W49" s="52">
        <f>IFERROR(__xludf.DUMMYFUNCTION("iFERROR((FILTER('Fund Data'!$Y:$Y, 'Fund Data'!$C:$C = $C49, 'Fund Data'!$A:$A = $A49 - 1, 'Fund Data'!$B:$B = 12) + FILTER('Fund Data'!$AA:$AA, 'Fund Data'!$C:$C = $C49, 'Fund Data'!$A:$A = $A49 - 1, 'Fund Data'!$B:$B = 12)) * (1 + AVERAGE(FILTER('Inflat"&amp;"ion Data'!$C:$C,'Inflation Data'!$A:$A = ($A49 - 2)))) * 'Parameters and Distribution Sum'!$A$4,0)"),9924.42530607715)</f>
        <v>9924.425306</v>
      </c>
      <c r="X49" s="52">
        <f>IFERROR(__xludf.DUMMYFUNCTION("IFERROR((IFERROR(FILTER('Fund Data'!$P:$P,'Fund Data'!$C:$C = $C49,'Fund Data'!$A:$A = ($A49 - 2), 'Fund Data'!$B:$B = 12),0) - SUM(FILTER('Fund Data'!$V:$V, 'Fund Data'!$C:$C = $C49, 'Fund Data'!$A:$A = ($A49 - 2), 'Fund Data'!$B:$B &gt; 3)))  * 'Parameters"&amp;" and Distribution Sum'!$B$4 * (1 - 'Parameters and Distribution Sum'!$A$4),0)"),4164.552900000001)</f>
        <v>4164.5529</v>
      </c>
      <c r="Y49" s="52">
        <f t="shared" si="9"/>
        <v>14088.97821</v>
      </c>
      <c r="Z49" s="52">
        <f>IFERROR(__xludf.DUMMYFUNCTION("((IFERROR((SUM(FILTER('Fund Data'!$V:$V, 'Fund Data'!$C:$C = $C49, 'Fund Data'!$A:$A = $A49 - 1, 'Fund Data'!$B:$B &gt;= 4, 'Fund Data'!$B:$B &lt;= ($B49 + 5))) / 12) * ($B49 - 3) * 'Parameters and Distribution Sum'!$B$4, 0) + IF($B49 &gt;= 9, IFERROR(SUM(FILTER('"&amp;"Fund Data'!$V:$V, 'Fund Data'!$C:$C = $C49, 'Fund Data'!$A:$A = $A49, 'Fund Data'!$B:$B &lt;= 3)) * 'Parameters and Distribution Sum'!$B$4, 0),0)))"),0.0)</f>
        <v>0</v>
      </c>
      <c r="AA49" s="44">
        <f>IFERROR(__xludf.DUMMYFUNCTION("IFERROR(((IFERROR(SUM(FILTER('Fund Data'!$V:$V, 'Fund Data'!$C:$C = $C49, 'Fund Data'!$A:$A = $A49 - 2, 'Fund Data'!$B:$B &gt;= 4)) * 'Parameters and Distribution Sum'!$B$4,0) + IFERROR(SUM(FILTER('Fund Data'!$V:$V, 'Fund Data'!$C:$C = $C49, 'Fund Data'!$A:$"&amp;"A = $A49 - 1, 'Fund Data'!$B:$B &lt;= 3)) * 'Parameters and Distribution Sum'!$B$4,0))),0)"),0.0)</f>
        <v>0</v>
      </c>
      <c r="AB49" s="44">
        <f t="shared" si="10"/>
        <v>0</v>
      </c>
      <c r="AC49" s="44">
        <f t="shared" si="11"/>
        <v>14088.97821</v>
      </c>
      <c r="AD49" s="44">
        <f t="shared" si="7"/>
        <v>14088.97821</v>
      </c>
      <c r="AE49" s="44"/>
    </row>
    <row r="50">
      <c r="A50" s="120">
        <v>2019.0</v>
      </c>
      <c r="B50" s="121">
        <v>1.0</v>
      </c>
      <c r="C50" s="122" t="s">
        <v>27</v>
      </c>
      <c r="D50" s="44"/>
      <c r="E50" s="123">
        <v>1796.06</v>
      </c>
      <c r="F50" s="44"/>
      <c r="G50" s="44"/>
      <c r="H50" s="123">
        <v>-127.8</v>
      </c>
      <c r="I50" s="44"/>
      <c r="J50" s="44"/>
      <c r="K50" s="44"/>
      <c r="L50" s="123">
        <v>16176.43</v>
      </c>
      <c r="M50" s="44"/>
      <c r="N50" s="44"/>
      <c r="O50" s="123">
        <v>288728.0</v>
      </c>
      <c r="P50" s="52">
        <f t="shared" si="1"/>
        <v>288728.5</v>
      </c>
      <c r="Q50" s="124">
        <f t="shared" si="2"/>
        <v>-0.5000000001</v>
      </c>
      <c r="R50" s="52">
        <f t="array" ref="R50">IFERROR(INDEX('Fund YTD Target Values'!$1:$1000, MATCH($C50,'Fund YTD Target Values'!$A:$A,0), MATCH($A50,'Fund YTD Target Values'!$1:$1,0)),0)</f>
        <v>400157.1334</v>
      </c>
      <c r="S50" s="52">
        <f>IFERROR(__xludf.DUMMYFUNCTION("IFERROR(sum(FILTER('Fund Data'!$V:$V, 'Fund Data'!$C:$C = $C50, 'Fund Data'!$A:$A &lt; $A50)),0) + IFERROR(sum(FILTER('Fund Data'!$V:$V, 'Fund Data'!$C:$C = $C50, 'Fund Data'!$A:$A = $A50, 'Fund Data'!$B:$B &lt;= $B50)),0)"),276213.7)</f>
        <v>276213.7</v>
      </c>
      <c r="T50" s="44"/>
      <c r="U50" s="44"/>
      <c r="V50" s="44">
        <f t="shared" si="3"/>
        <v>0</v>
      </c>
      <c r="W50" s="52">
        <f>IFERROR(__xludf.DUMMYFUNCTION("iFERROR((FILTER('Fund Data'!$Y:$Y, 'Fund Data'!$C:$C = $C50, 'Fund Data'!$A:$A = $A50 - 1, 'Fund Data'!$B:$B = 12) + FILTER('Fund Data'!$AA:$AA, 'Fund Data'!$C:$C = $C50, 'Fund Data'!$A:$A = $A50 - 1, 'Fund Data'!$B:$B = 12)) * (1 + AVERAGE(FILTER('Inflat"&amp;"ion Data'!$C:$C,'Inflation Data'!$A:$A = ($A50 - 2)))) * 'Parameters and Distribution Sum'!$A$4,0)"),9924.42530607715)</f>
        <v>9924.425306</v>
      </c>
      <c r="X50" s="52">
        <f>IFERROR(__xludf.DUMMYFUNCTION("IFERROR((IFERROR(FILTER('Fund Data'!$P:$P,'Fund Data'!$C:$C = $C50,'Fund Data'!$A:$A = ($A50 - 2), 'Fund Data'!$B:$B = 12),0) - SUM(FILTER('Fund Data'!$V:$V, 'Fund Data'!$C:$C = $C50, 'Fund Data'!$A:$A = ($A50 - 2), 'Fund Data'!$B:$B &gt; 3)))  * 'Parameters"&amp;" and Distribution Sum'!$B$4 * (1 - 'Parameters and Distribution Sum'!$A$4),0)"),4164.552900000001)</f>
        <v>4164.5529</v>
      </c>
      <c r="Y50" s="52">
        <f t="shared" si="9"/>
        <v>14088.97821</v>
      </c>
      <c r="Z50" s="52">
        <f>IFERROR(__xludf.DUMMYFUNCTION("((IFERROR((SUM(FILTER('Fund Data'!$V:$V, 'Fund Data'!$C:$C = $C50, 'Fund Data'!$A:$A = $A50 - 1, 'Fund Data'!$B:$B &gt;= 4, 'Fund Data'!$B:$B &lt;= ($B50 + 5))) / 12) * ($B50 - 3) * 'Parameters and Distribution Sum'!$B$4, 0) + IF($B50 &gt;= 9, IFERROR(SUM(FILTER('"&amp;"Fund Data'!$V:$V, 'Fund Data'!$C:$C = $C50, 'Fund Data'!$A:$A = $A50, 'Fund Data'!$B:$B &lt;= 3)) * 'Parameters and Distribution Sum'!$B$4, 0),0)))"),0.0)</f>
        <v>0</v>
      </c>
      <c r="AA50" s="44">
        <f>IFERROR(__xludf.DUMMYFUNCTION("IFERROR(((IFERROR(SUM(FILTER('Fund Data'!$V:$V, 'Fund Data'!$C:$C = $C50, 'Fund Data'!$A:$A = $A50 - 2, 'Fund Data'!$B:$B &gt;= 4)) * 'Parameters and Distribution Sum'!$B$4,0) + IFERROR(SUM(FILTER('Fund Data'!$V:$V, 'Fund Data'!$C:$C = $C50, 'Fund Data'!$A:$"&amp;"A = $A50 - 1, 'Fund Data'!$B:$B &lt;= 3)) * 'Parameters and Distribution Sum'!$B$4,0))),0)"),0.0)</f>
        <v>0</v>
      </c>
      <c r="AB50" s="44">
        <f t="shared" si="10"/>
        <v>0</v>
      </c>
      <c r="AC50" s="44">
        <f t="shared" si="11"/>
        <v>14088.97821</v>
      </c>
      <c r="AD50" s="44">
        <f t="shared" si="7"/>
        <v>14088.97821</v>
      </c>
      <c r="AE50" s="44"/>
    </row>
    <row r="51">
      <c r="A51" s="120">
        <v>2018.0</v>
      </c>
      <c r="B51" s="121">
        <v>12.0</v>
      </c>
      <c r="C51" s="122" t="s">
        <v>27</v>
      </c>
      <c r="D51" s="44"/>
      <c r="E51" s="123">
        <v>6531.31</v>
      </c>
      <c r="F51" s="123">
        <v>-15000.0</v>
      </c>
      <c r="G51" s="44"/>
      <c r="H51" s="123">
        <v>-1797.4</v>
      </c>
      <c r="I51" s="44"/>
      <c r="J51" s="123">
        <v>3753.69</v>
      </c>
      <c r="K51" s="44"/>
      <c r="L51" s="123">
        <v>-31089.19</v>
      </c>
      <c r="M51" s="44"/>
      <c r="N51" s="44"/>
      <c r="O51" s="123">
        <v>270883.0</v>
      </c>
      <c r="P51" s="52">
        <f t="shared" si="1"/>
        <v>270883.81</v>
      </c>
      <c r="Q51" s="124">
        <f t="shared" si="2"/>
        <v>-0.8100000001</v>
      </c>
      <c r="R51" s="52">
        <f t="array" ref="R51">IFERROR(INDEX('Fund YTD Target Values'!$1:$1000, MATCH($C51,'Fund YTD Target Values'!$A:$A,0), MATCH($A51,'Fund YTD Target Values'!$1:$1,0)),0)</f>
        <v>393297.582</v>
      </c>
      <c r="S51" s="52">
        <f>IFERROR(__xludf.DUMMYFUNCTION("IFERROR(sum(FILTER('Fund Data'!$V:$V, 'Fund Data'!$C:$C = $C51, 'Fund Data'!$A:$A &lt; $A51)),0) + IFERROR(sum(FILTER('Fund Data'!$V:$V, 'Fund Data'!$C:$C = $C51, 'Fund Data'!$A:$A = $A51, 'Fund Data'!$B:$B &lt;= $B51)),0)"),276213.7)</f>
        <v>276213.7</v>
      </c>
      <c r="T51" s="123">
        <v>272248.0</v>
      </c>
      <c r="U51" s="44">
        <f t="shared" ref="U51:U89" si="12">S51-T51</f>
        <v>3965.7</v>
      </c>
      <c r="V51" s="44">
        <f t="shared" si="3"/>
        <v>0</v>
      </c>
      <c r="W51" s="52"/>
      <c r="X51" s="52"/>
      <c r="Y51" s="52">
        <v>13881.843000000003</v>
      </c>
      <c r="Z51" s="123">
        <v>0.0</v>
      </c>
      <c r="AA51" s="123">
        <v>0.0</v>
      </c>
      <c r="AB51" s="44">
        <f t="shared" si="10"/>
        <v>0</v>
      </c>
      <c r="AC51" s="44">
        <f t="shared" si="11"/>
        <v>13881.843</v>
      </c>
      <c r="AD51" s="44">
        <f t="shared" si="7"/>
        <v>-1118.157</v>
      </c>
      <c r="AE51" s="123">
        <v>0.0</v>
      </c>
    </row>
    <row r="52">
      <c r="A52" s="120">
        <v>2018.0</v>
      </c>
      <c r="B52" s="121">
        <v>11.0</v>
      </c>
      <c r="C52" s="122" t="s">
        <v>27</v>
      </c>
      <c r="D52" s="44"/>
      <c r="E52" s="123">
        <v>6149.59</v>
      </c>
      <c r="F52" s="123">
        <v>-15000.0</v>
      </c>
      <c r="G52" s="44"/>
      <c r="H52" s="123">
        <v>-1662.94</v>
      </c>
      <c r="I52" s="44"/>
      <c r="J52" s="123">
        <v>3753.69</v>
      </c>
      <c r="K52" s="44"/>
      <c r="L52" s="123">
        <v>-15083.54</v>
      </c>
      <c r="M52" s="44"/>
      <c r="N52" s="44"/>
      <c r="O52" s="123">
        <v>286642.0</v>
      </c>
      <c r="P52" s="52">
        <f t="shared" si="1"/>
        <v>286642.2</v>
      </c>
      <c r="Q52" s="124">
        <f t="shared" si="2"/>
        <v>-0.2</v>
      </c>
      <c r="R52" s="52">
        <f t="array" ref="R52">IFERROR(INDEX('Fund YTD Target Values'!$1:$1000, MATCH($C52,'Fund YTD Target Values'!$A:$A,0), MATCH($A52,'Fund YTD Target Values'!$1:$1,0)),0)</f>
        <v>393297.582</v>
      </c>
      <c r="S52" s="52">
        <f>IFERROR(__xludf.DUMMYFUNCTION("IFERROR(sum(FILTER('Fund Data'!$V:$V, 'Fund Data'!$C:$C = $C52, 'Fund Data'!$A:$A &lt; $A52)),0) + IFERROR(sum(FILTER('Fund Data'!$V:$V, 'Fund Data'!$C:$C = $C52, 'Fund Data'!$A:$A = $A52, 'Fund Data'!$B:$B &lt;= $B52)),0)"),276213.7)</f>
        <v>276213.7</v>
      </c>
      <c r="T52" s="123">
        <v>272248.0</v>
      </c>
      <c r="U52" s="44">
        <f t="shared" si="12"/>
        <v>3965.7</v>
      </c>
      <c r="V52" s="44">
        <f t="shared" si="3"/>
        <v>0</v>
      </c>
      <c r="W52" s="123"/>
      <c r="X52" s="123"/>
      <c r="Y52" s="123">
        <v>0.0</v>
      </c>
      <c r="Z52" s="123">
        <v>0.0</v>
      </c>
      <c r="AA52" s="123">
        <v>0.0</v>
      </c>
      <c r="AB52" s="123"/>
      <c r="AC52" s="123">
        <v>0.0</v>
      </c>
      <c r="AD52" s="44">
        <f t="shared" si="7"/>
        <v>-15000</v>
      </c>
      <c r="AE52" s="123">
        <v>0.0</v>
      </c>
    </row>
    <row r="53">
      <c r="A53" s="120">
        <v>2018.0</v>
      </c>
      <c r="B53" s="121">
        <v>10.0</v>
      </c>
      <c r="C53" s="135" t="s">
        <v>27</v>
      </c>
      <c r="D53" s="138"/>
      <c r="E53" s="137">
        <v>5894.91</v>
      </c>
      <c r="F53" s="136">
        <v>-15000.0</v>
      </c>
      <c r="G53" s="138"/>
      <c r="H53" s="137">
        <v>-1390.11</v>
      </c>
      <c r="I53" s="138"/>
      <c r="J53" s="136">
        <v>3753.69</v>
      </c>
      <c r="K53" s="138"/>
      <c r="L53" s="136">
        <v>-17556.81</v>
      </c>
      <c r="M53" s="44"/>
      <c r="N53" s="44"/>
      <c r="O53" s="136">
        <v>284187.0</v>
      </c>
      <c r="P53" s="52">
        <f t="shared" si="1"/>
        <v>284187.08</v>
      </c>
      <c r="Q53" s="124">
        <f t="shared" si="2"/>
        <v>-0.08000000002</v>
      </c>
      <c r="R53" s="52">
        <f t="array" ref="R53">IFERROR(INDEX('Fund YTD Target Values'!$1:$1000, MATCH($C53,'Fund YTD Target Values'!$A:$A,0), MATCH($A53,'Fund YTD Target Values'!$1:$1,0)),0)</f>
        <v>393297.582</v>
      </c>
      <c r="S53" s="52">
        <f>IFERROR(__xludf.DUMMYFUNCTION("IFERROR(sum(FILTER('Fund Data'!$V:$V, 'Fund Data'!$C:$C = $C53, 'Fund Data'!$A:$A &lt; $A53)),0) + IFERROR(sum(FILTER('Fund Data'!$V:$V, 'Fund Data'!$C:$C = $C53, 'Fund Data'!$A:$A = $A53, 'Fund Data'!$B:$B &lt;= $B53)),0)"),276213.7)</f>
        <v>276213.7</v>
      </c>
      <c r="T53" s="123">
        <v>272248.0</v>
      </c>
      <c r="U53" s="44">
        <f t="shared" si="12"/>
        <v>3965.7</v>
      </c>
      <c r="V53" s="44">
        <f t="shared" si="3"/>
        <v>0</v>
      </c>
      <c r="W53" s="123"/>
      <c r="X53" s="123"/>
      <c r="Y53" s="123">
        <v>0.0</v>
      </c>
      <c r="Z53" s="123">
        <v>0.0</v>
      </c>
      <c r="AA53" s="123">
        <v>0.0</v>
      </c>
      <c r="AB53" s="123"/>
      <c r="AC53" s="123">
        <v>0.0</v>
      </c>
      <c r="AD53" s="44">
        <f t="shared" si="7"/>
        <v>-15000</v>
      </c>
      <c r="AE53" s="123">
        <v>0.0</v>
      </c>
    </row>
    <row r="54">
      <c r="A54" s="120">
        <v>2018.0</v>
      </c>
      <c r="B54" s="121">
        <v>9.0</v>
      </c>
      <c r="C54" s="122" t="s">
        <v>27</v>
      </c>
      <c r="D54" s="44"/>
      <c r="E54" s="123">
        <v>5040.27</v>
      </c>
      <c r="F54" s="123">
        <v>-15000.0</v>
      </c>
      <c r="G54" s="44"/>
      <c r="H54" s="123">
        <v>-1390.11</v>
      </c>
      <c r="I54" s="44"/>
      <c r="J54" s="123">
        <v>3753.69</v>
      </c>
      <c r="K54" s="44"/>
      <c r="L54" s="123">
        <v>-2310.81</v>
      </c>
      <c r="M54" s="44"/>
      <c r="N54" s="44"/>
      <c r="O54" s="123">
        <v>298578.0</v>
      </c>
      <c r="P54" s="52">
        <f t="shared" si="1"/>
        <v>298578.44</v>
      </c>
      <c r="Q54" s="124">
        <f t="shared" si="2"/>
        <v>-0.44</v>
      </c>
      <c r="R54" s="52">
        <f t="array" ref="R54">IFERROR(INDEX('Fund YTD Target Values'!$1:$1000, MATCH($C54,'Fund YTD Target Values'!$A:$A,0), MATCH($A54,'Fund YTD Target Values'!$1:$1,0)),0)</f>
        <v>393297.582</v>
      </c>
      <c r="S54" s="52">
        <f>IFERROR(__xludf.DUMMYFUNCTION("IFERROR(sum(FILTER('Fund Data'!$V:$V, 'Fund Data'!$C:$C = $C54, 'Fund Data'!$A:$A &lt; $A54)),0) + IFERROR(sum(FILTER('Fund Data'!$V:$V, 'Fund Data'!$C:$C = $C54, 'Fund Data'!$A:$A = $A54, 'Fund Data'!$B:$B &lt;= $B54)),0)"),276213.7)</f>
        <v>276213.7</v>
      </c>
      <c r="T54" s="123">
        <v>272248.0</v>
      </c>
      <c r="U54" s="44">
        <f t="shared" si="12"/>
        <v>3965.7</v>
      </c>
      <c r="V54" s="44">
        <f t="shared" si="3"/>
        <v>0</v>
      </c>
      <c r="W54" s="123"/>
      <c r="X54" s="123"/>
      <c r="Y54" s="123">
        <v>0.0</v>
      </c>
      <c r="Z54" s="123">
        <v>0.0</v>
      </c>
      <c r="AA54" s="123">
        <v>0.0</v>
      </c>
      <c r="AB54" s="123"/>
      <c r="AC54" s="123">
        <v>0.0</v>
      </c>
      <c r="AD54" s="44">
        <f t="shared" si="7"/>
        <v>-15000</v>
      </c>
      <c r="AE54" s="123">
        <v>0.0</v>
      </c>
    </row>
    <row r="55">
      <c r="A55" s="120">
        <v>2018.0</v>
      </c>
      <c r="B55" s="121">
        <v>8.0</v>
      </c>
      <c r="C55" s="122" t="s">
        <v>27</v>
      </c>
      <c r="D55" s="44"/>
      <c r="E55" s="123">
        <v>4779.67</v>
      </c>
      <c r="F55" s="123">
        <v>-10500.0</v>
      </c>
      <c r="G55" s="44"/>
      <c r="H55" s="123">
        <v>-1238.05</v>
      </c>
      <c r="I55" s="44"/>
      <c r="J55" s="123">
        <v>2252.85</v>
      </c>
      <c r="K55" s="44"/>
      <c r="L55" s="123">
        <v>302.92</v>
      </c>
      <c r="M55" s="44"/>
      <c r="N55" s="44"/>
      <c r="O55" s="123">
        <v>304082.0</v>
      </c>
      <c r="P55" s="52">
        <f t="shared" si="1"/>
        <v>304082.79</v>
      </c>
      <c r="Q55" s="124">
        <f t="shared" si="2"/>
        <v>-0.79</v>
      </c>
      <c r="R55" s="52">
        <f t="array" ref="R55">IFERROR(INDEX('Fund YTD Target Values'!$1:$1000, MATCH($C55,'Fund YTD Target Values'!$A:$A,0), MATCH($A55,'Fund YTD Target Values'!$1:$1,0)),0)</f>
        <v>393297.582</v>
      </c>
      <c r="S55" s="52">
        <f>IFERROR(__xludf.DUMMYFUNCTION("IFERROR(sum(FILTER('Fund Data'!$V:$V, 'Fund Data'!$C:$C = $C55, 'Fund Data'!$A:$A &lt; $A55)),0) + IFERROR(sum(FILTER('Fund Data'!$V:$V, 'Fund Data'!$C:$C = $C55, 'Fund Data'!$A:$A = $A55, 'Fund Data'!$B:$B &lt;= $B55)),0)"),276213.7)</f>
        <v>276213.7</v>
      </c>
      <c r="T55" s="123">
        <v>272248.0</v>
      </c>
      <c r="U55" s="44">
        <f t="shared" si="12"/>
        <v>3965.7</v>
      </c>
      <c r="V55" s="44">
        <f t="shared" si="3"/>
        <v>0</v>
      </c>
      <c r="W55" s="123"/>
      <c r="X55" s="123"/>
      <c r="Y55" s="123">
        <v>0.0</v>
      </c>
      <c r="Z55" s="123">
        <v>0.0</v>
      </c>
      <c r="AA55" s="123">
        <v>0.0</v>
      </c>
      <c r="AB55" s="123"/>
      <c r="AC55" s="123">
        <v>0.0</v>
      </c>
      <c r="AD55" s="44">
        <f t="shared" si="7"/>
        <v>-10500</v>
      </c>
      <c r="AE55" s="123">
        <v>0.0</v>
      </c>
    </row>
    <row r="56">
      <c r="A56" s="120">
        <v>2018.0</v>
      </c>
      <c r="B56" s="121">
        <v>7.0</v>
      </c>
      <c r="C56" s="122" t="s">
        <v>27</v>
      </c>
      <c r="D56" s="44"/>
      <c r="E56" s="123">
        <v>4526.0</v>
      </c>
      <c r="F56" s="123">
        <v>-5500.0</v>
      </c>
      <c r="G56" s="44"/>
      <c r="H56" s="123">
        <v>-1084.02</v>
      </c>
      <c r="I56" s="44"/>
      <c r="J56" s="123">
        <v>859.75</v>
      </c>
      <c r="K56" s="44"/>
      <c r="L56" s="123">
        <v>770.23</v>
      </c>
      <c r="M56" s="44"/>
      <c r="N56" s="44"/>
      <c r="O56" s="123">
        <v>308057.0</v>
      </c>
      <c r="P56" s="52">
        <f t="shared" si="1"/>
        <v>308057.36</v>
      </c>
      <c r="Q56" s="124">
        <f t="shared" si="2"/>
        <v>-0.36</v>
      </c>
      <c r="R56" s="52">
        <f t="array" ref="R56">IFERROR(INDEX('Fund YTD Target Values'!$1:$1000, MATCH($C56,'Fund YTD Target Values'!$A:$A,0), MATCH($A56,'Fund YTD Target Values'!$1:$1,0)),0)</f>
        <v>393297.582</v>
      </c>
      <c r="S56" s="52">
        <f>IFERROR(__xludf.DUMMYFUNCTION("IFERROR(sum(FILTER('Fund Data'!$V:$V, 'Fund Data'!$C:$C = $C56, 'Fund Data'!$A:$A &lt; $A56)),0) + IFERROR(sum(FILTER('Fund Data'!$V:$V, 'Fund Data'!$C:$C = $C56, 'Fund Data'!$A:$A = $A56, 'Fund Data'!$B:$B &lt;= $B56)),0)"),276213.7)</f>
        <v>276213.7</v>
      </c>
      <c r="T56" s="123">
        <v>272248.0</v>
      </c>
      <c r="U56" s="44">
        <f t="shared" si="12"/>
        <v>3965.7</v>
      </c>
      <c r="V56" s="44">
        <f t="shared" si="3"/>
        <v>0</v>
      </c>
      <c r="W56" s="123"/>
      <c r="X56" s="123"/>
      <c r="Y56" s="123">
        <v>0.0</v>
      </c>
      <c r="Z56" s="123">
        <v>0.0</v>
      </c>
      <c r="AA56" s="123">
        <v>0.0</v>
      </c>
      <c r="AB56" s="123"/>
      <c r="AC56" s="123">
        <v>0.0</v>
      </c>
      <c r="AD56" s="44">
        <f t="shared" si="7"/>
        <v>-5500</v>
      </c>
      <c r="AE56" s="123">
        <v>0.0</v>
      </c>
    </row>
    <row r="57">
      <c r="A57" s="120">
        <v>2018.0</v>
      </c>
      <c r="B57" s="121">
        <v>6.0</v>
      </c>
      <c r="C57" s="122" t="s">
        <v>27</v>
      </c>
      <c r="D57" s="44"/>
      <c r="E57" s="123">
        <v>3837.36</v>
      </c>
      <c r="F57" s="123">
        <v>-5500.0</v>
      </c>
      <c r="G57" s="44"/>
      <c r="H57" s="123">
        <v>-932.77</v>
      </c>
      <c r="I57" s="44"/>
      <c r="J57" s="123">
        <v>859.75</v>
      </c>
      <c r="K57" s="44"/>
      <c r="L57" s="123">
        <v>-4236.74</v>
      </c>
      <c r="M57" s="44"/>
      <c r="N57" s="44"/>
      <c r="O57" s="123">
        <v>302513.0</v>
      </c>
      <c r="P57" s="52">
        <f t="shared" si="1"/>
        <v>302513</v>
      </c>
      <c r="Q57" s="124">
        <f t="shared" si="2"/>
        <v>0</v>
      </c>
      <c r="R57" s="52">
        <f t="array" ref="R57">IFERROR(INDEX('Fund YTD Target Values'!$1:$1000, MATCH($C57,'Fund YTD Target Values'!$A:$A,0), MATCH($A57,'Fund YTD Target Values'!$1:$1,0)),0)</f>
        <v>393297.582</v>
      </c>
      <c r="S57" s="52">
        <f>IFERROR(__xludf.DUMMYFUNCTION("IFERROR(sum(FILTER('Fund Data'!$V:$V, 'Fund Data'!$C:$C = $C57, 'Fund Data'!$A:$A &lt; $A57)),0) + IFERROR(sum(FILTER('Fund Data'!$V:$V, 'Fund Data'!$C:$C = $C57, 'Fund Data'!$A:$A = $A57, 'Fund Data'!$B:$B &lt;= $B57)),0)"),276213.7)</f>
        <v>276213.7</v>
      </c>
      <c r="T57" s="123">
        <v>272248.0</v>
      </c>
      <c r="U57" s="44">
        <f t="shared" si="12"/>
        <v>3965.7</v>
      </c>
      <c r="V57" s="44">
        <f t="shared" si="3"/>
        <v>0</v>
      </c>
      <c r="W57" s="123"/>
      <c r="X57" s="123"/>
      <c r="Y57" s="123">
        <v>0.0</v>
      </c>
      <c r="Z57" s="123">
        <v>0.0</v>
      </c>
      <c r="AA57" s="123">
        <v>0.0</v>
      </c>
      <c r="AB57" s="123"/>
      <c r="AC57" s="123">
        <v>0.0</v>
      </c>
      <c r="AD57" s="44">
        <f t="shared" si="7"/>
        <v>-5500</v>
      </c>
      <c r="AE57" s="123">
        <v>0.0</v>
      </c>
    </row>
    <row r="58">
      <c r="A58" s="120">
        <v>2018.0</v>
      </c>
      <c r="B58" s="121">
        <v>5.0</v>
      </c>
      <c r="C58" s="122" t="s">
        <v>27</v>
      </c>
      <c r="D58" s="44"/>
      <c r="E58" s="123">
        <v>3396.76</v>
      </c>
      <c r="F58" s="44"/>
      <c r="G58" s="44"/>
      <c r="H58" s="123">
        <v>-777.78</v>
      </c>
      <c r="I58" s="44"/>
      <c r="J58" s="44"/>
      <c r="K58" s="44"/>
      <c r="L58" s="123">
        <v>-1115.89</v>
      </c>
      <c r="M58" s="44"/>
      <c r="N58" s="44"/>
      <c r="O58" s="123">
        <v>309988.0</v>
      </c>
      <c r="P58" s="52">
        <f t="shared" si="1"/>
        <v>309988.49</v>
      </c>
      <c r="Q58" s="124">
        <f t="shared" si="2"/>
        <v>-0.49</v>
      </c>
      <c r="R58" s="52">
        <f t="array" ref="R58">IFERROR(INDEX('Fund YTD Target Values'!$1:$1000, MATCH($C58,'Fund YTD Target Values'!$A:$A,0), MATCH($A58,'Fund YTD Target Values'!$1:$1,0)),0)</f>
        <v>393297.582</v>
      </c>
      <c r="S58" s="52">
        <f>IFERROR(__xludf.DUMMYFUNCTION("IFERROR(sum(FILTER('Fund Data'!$V:$V, 'Fund Data'!$C:$C = $C58, 'Fund Data'!$A:$A &lt; $A58)),0) + IFERROR(sum(FILTER('Fund Data'!$V:$V, 'Fund Data'!$C:$C = $C58, 'Fund Data'!$A:$A = $A58, 'Fund Data'!$B:$B &lt;= $B58)),0)"),276213.7)</f>
        <v>276213.7</v>
      </c>
      <c r="T58" s="123">
        <v>272248.0</v>
      </c>
      <c r="U58" s="44">
        <f t="shared" si="12"/>
        <v>3965.7</v>
      </c>
      <c r="V58" s="44">
        <f t="shared" si="3"/>
        <v>0</v>
      </c>
      <c r="W58" s="123"/>
      <c r="X58" s="123"/>
      <c r="Y58" s="123">
        <v>0.0</v>
      </c>
      <c r="Z58" s="123">
        <v>0.0</v>
      </c>
      <c r="AA58" s="123">
        <v>0.0</v>
      </c>
      <c r="AB58" s="123"/>
      <c r="AC58" s="123">
        <v>0.0</v>
      </c>
      <c r="AD58" s="44">
        <f t="shared" si="7"/>
        <v>0</v>
      </c>
      <c r="AE58" s="123">
        <v>0.0</v>
      </c>
    </row>
    <row r="59">
      <c r="A59" s="120">
        <v>2018.0</v>
      </c>
      <c r="B59" s="121">
        <v>4.0</v>
      </c>
      <c r="C59" s="122" t="s">
        <v>27</v>
      </c>
      <c r="D59" s="44"/>
      <c r="E59" s="123">
        <v>3152.84</v>
      </c>
      <c r="F59" s="44"/>
      <c r="G59" s="44"/>
      <c r="H59" s="123">
        <v>-623.15</v>
      </c>
      <c r="I59" s="44"/>
      <c r="J59" s="44"/>
      <c r="K59" s="44"/>
      <c r="L59" s="123">
        <v>-1765.47</v>
      </c>
      <c r="M59" s="44"/>
      <c r="N59" s="44"/>
      <c r="O59" s="123">
        <v>309249.0</v>
      </c>
      <c r="P59" s="52">
        <f t="shared" si="1"/>
        <v>309249.62</v>
      </c>
      <c r="Q59" s="124">
        <f t="shared" si="2"/>
        <v>-0.62</v>
      </c>
      <c r="R59" s="52">
        <f t="array" ref="R59">IFERROR(INDEX('Fund YTD Target Values'!$1:$1000, MATCH($C59,'Fund YTD Target Values'!$A:$A,0), MATCH($A59,'Fund YTD Target Values'!$1:$1,0)),0)</f>
        <v>393297.582</v>
      </c>
      <c r="S59" s="52">
        <f>IFERROR(__xludf.DUMMYFUNCTION("IFERROR(sum(FILTER('Fund Data'!$V:$V, 'Fund Data'!$C:$C = $C59, 'Fund Data'!$A:$A &lt; $A59)),0) + IFERROR(sum(FILTER('Fund Data'!$V:$V, 'Fund Data'!$C:$C = $C59, 'Fund Data'!$A:$A = $A59, 'Fund Data'!$B:$B &lt;= $B59)),0)"),276213.7)</f>
        <v>276213.7</v>
      </c>
      <c r="T59" s="123">
        <v>272248.0</v>
      </c>
      <c r="U59" s="44">
        <f t="shared" si="12"/>
        <v>3965.7</v>
      </c>
      <c r="V59" s="44">
        <f t="shared" si="3"/>
        <v>0</v>
      </c>
      <c r="W59" s="123"/>
      <c r="X59" s="123"/>
      <c r="Y59" s="123">
        <v>0.0</v>
      </c>
      <c r="Z59" s="123">
        <v>0.0</v>
      </c>
      <c r="AA59" s="123">
        <v>0.0</v>
      </c>
      <c r="AB59" s="123"/>
      <c r="AC59" s="123">
        <v>0.0</v>
      </c>
      <c r="AD59" s="44">
        <f t="shared" si="7"/>
        <v>0</v>
      </c>
      <c r="AE59" s="123">
        <v>0.0</v>
      </c>
    </row>
    <row r="60">
      <c r="A60" s="120">
        <v>2018.0</v>
      </c>
      <c r="B60" s="121">
        <v>3.0</v>
      </c>
      <c r="C60" s="122" t="s">
        <v>27</v>
      </c>
      <c r="D60" s="44"/>
      <c r="E60" s="123">
        <v>2408.66</v>
      </c>
      <c r="F60" s="44"/>
      <c r="G60" s="44"/>
      <c r="H60" s="123">
        <v>-468.94</v>
      </c>
      <c r="I60" s="44"/>
      <c r="J60" s="44"/>
      <c r="K60" s="44"/>
      <c r="L60" s="123">
        <v>-2017.97</v>
      </c>
      <c r="M60" s="44"/>
      <c r="N60" s="44"/>
      <c r="O60" s="123">
        <v>308407.0</v>
      </c>
      <c r="P60" s="52">
        <f t="shared" si="1"/>
        <v>308407.15</v>
      </c>
      <c r="Q60" s="124">
        <f t="shared" si="2"/>
        <v>-0.15</v>
      </c>
      <c r="R60" s="52">
        <f t="array" ref="R60">IFERROR(INDEX('Fund YTD Target Values'!$1:$1000, MATCH($C60,'Fund YTD Target Values'!$A:$A,0), MATCH($A60,'Fund YTD Target Values'!$1:$1,0)),0)</f>
        <v>393297.582</v>
      </c>
      <c r="S60" s="52">
        <f>IFERROR(__xludf.DUMMYFUNCTION("IFERROR(sum(FILTER('Fund Data'!$V:$V, 'Fund Data'!$C:$C = $C60, 'Fund Data'!$A:$A &lt; $A60)),0) + IFERROR(sum(FILTER('Fund Data'!$V:$V, 'Fund Data'!$C:$C = $C60, 'Fund Data'!$A:$A = $A60, 'Fund Data'!$B:$B &lt;= $B60)),0)"),276213.7)</f>
        <v>276213.7</v>
      </c>
      <c r="T60" s="123">
        <v>272248.0</v>
      </c>
      <c r="U60" s="44">
        <f t="shared" si="12"/>
        <v>3965.7</v>
      </c>
      <c r="V60" s="44">
        <f t="shared" si="3"/>
        <v>0</v>
      </c>
      <c r="W60" s="123"/>
      <c r="X60" s="123"/>
      <c r="Y60" s="123">
        <v>0.0</v>
      </c>
      <c r="Z60" s="123">
        <v>0.0</v>
      </c>
      <c r="AA60" s="123">
        <v>0.0</v>
      </c>
      <c r="AB60" s="123"/>
      <c r="AC60" s="123">
        <v>0.0</v>
      </c>
      <c r="AD60" s="44">
        <f t="shared" si="7"/>
        <v>0</v>
      </c>
      <c r="AE60" s="123">
        <v>0.0</v>
      </c>
    </row>
    <row r="61">
      <c r="A61" s="120">
        <v>2018.0</v>
      </c>
      <c r="B61" s="121">
        <v>2.0</v>
      </c>
      <c r="C61" s="122" t="s">
        <v>27</v>
      </c>
      <c r="D61" s="44"/>
      <c r="E61" s="123">
        <v>2137.23</v>
      </c>
      <c r="F61" s="44"/>
      <c r="G61" s="44"/>
      <c r="H61" s="123">
        <v>-765.64</v>
      </c>
      <c r="I61" s="44"/>
      <c r="J61" s="44"/>
      <c r="K61" s="44"/>
      <c r="L61" s="123">
        <v>132.36</v>
      </c>
      <c r="M61" s="44"/>
      <c r="N61" s="44"/>
      <c r="O61" s="123">
        <v>309989.0</v>
      </c>
      <c r="P61" s="52">
        <f t="shared" si="1"/>
        <v>309989.35</v>
      </c>
      <c r="Q61" s="124">
        <f t="shared" si="2"/>
        <v>-0.35</v>
      </c>
      <c r="R61" s="52">
        <f t="array" ref="R61">IFERROR(INDEX('Fund YTD Target Values'!$1:$1000, MATCH($C61,'Fund YTD Target Values'!$A:$A,0), MATCH($A61,'Fund YTD Target Values'!$1:$1,0)),0)</f>
        <v>393297.582</v>
      </c>
      <c r="S61" s="52">
        <f>IFERROR(__xludf.DUMMYFUNCTION("IFERROR(sum(FILTER('Fund Data'!$V:$V, 'Fund Data'!$C:$C = $C61, 'Fund Data'!$A:$A &lt; $A61)),0) + IFERROR(sum(FILTER('Fund Data'!$V:$V, 'Fund Data'!$C:$C = $C61, 'Fund Data'!$A:$A = $A61, 'Fund Data'!$B:$B &lt;= $B61)),0)"),276213.7)</f>
        <v>276213.7</v>
      </c>
      <c r="T61" s="123">
        <v>272248.0</v>
      </c>
      <c r="U61" s="44">
        <f t="shared" si="12"/>
        <v>3965.7</v>
      </c>
      <c r="V61" s="44">
        <f t="shared" si="3"/>
        <v>0</v>
      </c>
      <c r="W61" s="123"/>
      <c r="X61" s="123"/>
      <c r="Y61" s="123">
        <v>0.0</v>
      </c>
      <c r="Z61" s="123">
        <v>0.0</v>
      </c>
      <c r="AA61" s="123">
        <v>0.0</v>
      </c>
      <c r="AB61" s="123"/>
      <c r="AC61" s="123">
        <v>0.0</v>
      </c>
      <c r="AD61" s="44">
        <f t="shared" si="7"/>
        <v>0</v>
      </c>
      <c r="AE61" s="123">
        <v>0.0</v>
      </c>
    </row>
    <row r="62">
      <c r="A62" s="120">
        <v>2018.0</v>
      </c>
      <c r="B62" s="121">
        <v>1.0</v>
      </c>
      <c r="C62" s="122" t="s">
        <v>27</v>
      </c>
      <c r="D62" s="44"/>
      <c r="E62" s="123">
        <v>1907.91</v>
      </c>
      <c r="F62" s="44"/>
      <c r="G62" s="44"/>
      <c r="H62" s="123">
        <v>-605.93</v>
      </c>
      <c r="I62" s="44"/>
      <c r="J62" s="44"/>
      <c r="K62" s="44"/>
      <c r="L62" s="123">
        <v>9629.63</v>
      </c>
      <c r="M62" s="44"/>
      <c r="N62" s="44"/>
      <c r="O62" s="123">
        <v>319417.0</v>
      </c>
      <c r="P62" s="52">
        <f t="shared" si="1"/>
        <v>319417.01</v>
      </c>
      <c r="Q62" s="124">
        <f t="shared" si="2"/>
        <v>-0.01000000001</v>
      </c>
      <c r="R62" s="52">
        <f t="array" ref="R62">IFERROR(INDEX('Fund YTD Target Values'!$1:$1000, MATCH($C62,'Fund YTD Target Values'!$A:$A,0), MATCH($A62,'Fund YTD Target Values'!$1:$1,0)),0)</f>
        <v>393297.582</v>
      </c>
      <c r="S62" s="52">
        <f>IFERROR(__xludf.DUMMYFUNCTION("IFERROR(sum(FILTER('Fund Data'!$V:$V, 'Fund Data'!$C:$C = $C62, 'Fund Data'!$A:$A &lt; $A62)),0) + IFERROR(sum(FILTER('Fund Data'!$V:$V, 'Fund Data'!$C:$C = $C62, 'Fund Data'!$A:$A = $A62, 'Fund Data'!$B:$B &lt;= $B62)),0)"),276213.7)</f>
        <v>276213.7</v>
      </c>
      <c r="T62" s="123">
        <v>272248.0</v>
      </c>
      <c r="U62" s="44">
        <f t="shared" si="12"/>
        <v>3965.7</v>
      </c>
      <c r="V62" s="44">
        <f t="shared" si="3"/>
        <v>0</v>
      </c>
      <c r="W62" s="123"/>
      <c r="X62" s="123"/>
      <c r="Y62" s="123">
        <v>0.0</v>
      </c>
      <c r="Z62" s="123">
        <v>0.0</v>
      </c>
      <c r="AA62" s="123">
        <v>0.0</v>
      </c>
      <c r="AB62" s="123"/>
      <c r="AC62" s="123">
        <v>0.0</v>
      </c>
      <c r="AD62" s="44">
        <f t="shared" si="7"/>
        <v>0</v>
      </c>
      <c r="AE62" s="123">
        <v>0.0</v>
      </c>
    </row>
    <row r="63">
      <c r="A63" s="120">
        <v>2017.0</v>
      </c>
      <c r="B63" s="121">
        <v>12.0</v>
      </c>
      <c r="C63" s="122" t="s">
        <v>27</v>
      </c>
      <c r="D63" s="44"/>
      <c r="E63" s="123">
        <v>6580.14</v>
      </c>
      <c r="F63" s="123">
        <v>-15000.0</v>
      </c>
      <c r="G63" s="123"/>
      <c r="H63" s="123">
        <v>-1794.09</v>
      </c>
      <c r="I63" s="44"/>
      <c r="J63" s="123">
        <v>3053.52</v>
      </c>
      <c r="K63" s="44"/>
      <c r="L63" s="123">
        <v>34132.67</v>
      </c>
      <c r="M63" s="44"/>
      <c r="N63" s="44"/>
      <c r="O63" s="123">
        <v>308485.0</v>
      </c>
      <c r="P63" s="52">
        <f t="shared" si="1"/>
        <v>308485.4</v>
      </c>
      <c r="Q63" s="124">
        <f t="shared" si="2"/>
        <v>-0.4</v>
      </c>
      <c r="R63" s="52">
        <f t="array" ref="R63">IFERROR(INDEX('Fund YTD Target Values'!$1:$1000, MATCH($C63,'Fund YTD Target Values'!$A:$A,0), MATCH($A63,'Fund YTD Target Values'!$1:$1,0)),0)</f>
        <v>383919.6363</v>
      </c>
      <c r="S63" s="52">
        <f>IFERROR(__xludf.DUMMYFUNCTION("IFERROR(sum(FILTER('Fund Data'!$V:$V, 'Fund Data'!$C:$C = $C63, 'Fund Data'!$A:$A &lt; $A63)),0) + IFERROR(sum(FILTER('Fund Data'!$V:$V, 'Fund Data'!$C:$C = $C63, 'Fund Data'!$A:$A = $A63, 'Fund Data'!$B:$B &lt;= $B63)),0)"),276213.7)</f>
        <v>276213.7</v>
      </c>
      <c r="T63" s="123">
        <v>272248.0</v>
      </c>
      <c r="U63" s="44">
        <f t="shared" si="12"/>
        <v>3965.7</v>
      </c>
      <c r="V63" s="44">
        <f t="shared" si="3"/>
        <v>0</v>
      </c>
      <c r="W63" s="123"/>
      <c r="X63" s="123"/>
      <c r="Y63" s="123">
        <v>0.0</v>
      </c>
      <c r="Z63" s="123">
        <v>0.0</v>
      </c>
      <c r="AA63" s="123">
        <v>0.0</v>
      </c>
      <c r="AB63" s="123"/>
      <c r="AC63" s="123">
        <v>0.0</v>
      </c>
      <c r="AD63" s="44">
        <f t="shared" si="7"/>
        <v>-15000</v>
      </c>
      <c r="AE63" s="123">
        <v>0.0</v>
      </c>
    </row>
    <row r="64">
      <c r="A64" s="120">
        <v>2017.0</v>
      </c>
      <c r="B64" s="121">
        <v>11.0</v>
      </c>
      <c r="C64" s="122" t="s">
        <v>27</v>
      </c>
      <c r="D64" s="44"/>
      <c r="E64" s="123">
        <v>6146.2</v>
      </c>
      <c r="F64" s="123">
        <v>-15000.0</v>
      </c>
      <c r="G64" s="44"/>
      <c r="H64" s="123">
        <v>-1640.69</v>
      </c>
      <c r="I64" s="44"/>
      <c r="J64" s="123">
        <v>3053.52</v>
      </c>
      <c r="K64" s="44"/>
      <c r="L64" s="123">
        <v>32650.25</v>
      </c>
      <c r="M64" s="44"/>
      <c r="N64" s="44"/>
      <c r="O64" s="123">
        <v>306722.0</v>
      </c>
      <c r="P64" s="52">
        <f t="shared" si="1"/>
        <v>306722.44</v>
      </c>
      <c r="Q64" s="124">
        <f t="shared" si="2"/>
        <v>-0.4400000001</v>
      </c>
      <c r="R64" s="52">
        <f t="array" ref="R64">IFERROR(INDEX('Fund YTD Target Values'!$1:$1000, MATCH($C64,'Fund YTD Target Values'!$A:$A,0), MATCH($A64,'Fund YTD Target Values'!$1:$1,0)),0)</f>
        <v>383919.6363</v>
      </c>
      <c r="S64" s="52">
        <f>IFERROR(__xludf.DUMMYFUNCTION("IFERROR(sum(FILTER('Fund Data'!$V:$V, 'Fund Data'!$C:$C = $C64, 'Fund Data'!$A:$A &lt; $A64)),0) + IFERROR(sum(FILTER('Fund Data'!$V:$V, 'Fund Data'!$C:$C = $C64, 'Fund Data'!$A:$A = $A64, 'Fund Data'!$B:$B &lt;= $B64)),0)"),276213.7)</f>
        <v>276213.7</v>
      </c>
      <c r="T64" s="123">
        <v>272248.0</v>
      </c>
      <c r="U64" s="44">
        <f t="shared" si="12"/>
        <v>3965.7</v>
      </c>
      <c r="V64" s="44">
        <f t="shared" si="3"/>
        <v>0</v>
      </c>
      <c r="W64" s="123"/>
      <c r="X64" s="123"/>
      <c r="Y64" s="123">
        <v>0.0</v>
      </c>
      <c r="Z64" s="123">
        <v>0.0</v>
      </c>
      <c r="AA64" s="123">
        <v>0.0</v>
      </c>
      <c r="AB64" s="123"/>
      <c r="AC64" s="123">
        <v>0.0</v>
      </c>
      <c r="AD64" s="44">
        <f t="shared" si="7"/>
        <v>-15000</v>
      </c>
      <c r="AE64" s="123">
        <v>0.0</v>
      </c>
    </row>
    <row r="65">
      <c r="A65" s="120">
        <v>2017.0</v>
      </c>
      <c r="B65" s="121">
        <v>10.0</v>
      </c>
      <c r="C65" s="122" t="s">
        <v>27</v>
      </c>
      <c r="D65" s="44"/>
      <c r="E65" s="123">
        <v>5935.56</v>
      </c>
      <c r="F65" s="123">
        <v>-6000.0</v>
      </c>
      <c r="G65" s="44"/>
      <c r="H65" s="123">
        <v>-1484.56</v>
      </c>
      <c r="I65" s="44"/>
      <c r="J65" s="123">
        <v>331.85</v>
      </c>
      <c r="K65" s="44"/>
      <c r="L65" s="123">
        <v>31973.26</v>
      </c>
      <c r="M65" s="44"/>
      <c r="N65" s="44"/>
      <c r="O65" s="123">
        <v>312269.0</v>
      </c>
      <c r="P65" s="52">
        <f t="shared" si="1"/>
        <v>312269.27</v>
      </c>
      <c r="Q65" s="124">
        <f t="shared" si="2"/>
        <v>-0.27</v>
      </c>
      <c r="R65" s="52">
        <f t="array" ref="R65">IFERROR(INDEX('Fund YTD Target Values'!$1:$1000, MATCH($C65,'Fund YTD Target Values'!$A:$A,0), MATCH($A65,'Fund YTD Target Values'!$1:$1,0)),0)</f>
        <v>383919.6363</v>
      </c>
      <c r="S65" s="52">
        <f>IFERROR(__xludf.DUMMYFUNCTION("IFERROR(sum(FILTER('Fund Data'!$V:$V, 'Fund Data'!$C:$C = $C65, 'Fund Data'!$A:$A &lt; $A65)),0) + IFERROR(sum(FILTER('Fund Data'!$V:$V, 'Fund Data'!$C:$C = $C65, 'Fund Data'!$A:$A = $A65, 'Fund Data'!$B:$B &lt;= $B65)),0)"),276213.7)</f>
        <v>276213.7</v>
      </c>
      <c r="T65" s="123">
        <v>272248.0</v>
      </c>
      <c r="U65" s="44">
        <f t="shared" si="12"/>
        <v>3965.7</v>
      </c>
      <c r="V65" s="44">
        <f t="shared" si="3"/>
        <v>0</v>
      </c>
      <c r="W65" s="123"/>
      <c r="X65" s="123"/>
      <c r="Y65" s="123">
        <v>0.0</v>
      </c>
      <c r="Z65" s="123">
        <v>0.0</v>
      </c>
      <c r="AA65" s="123">
        <v>0.0</v>
      </c>
      <c r="AB65" s="123"/>
      <c r="AC65" s="123">
        <v>0.0</v>
      </c>
      <c r="AD65" s="44">
        <f t="shared" si="7"/>
        <v>-6000</v>
      </c>
      <c r="AE65" s="123">
        <v>0.0</v>
      </c>
    </row>
    <row r="66">
      <c r="A66" s="120">
        <v>2017.0</v>
      </c>
      <c r="B66" s="121">
        <v>9.0</v>
      </c>
      <c r="C66" s="122" t="s">
        <v>27</v>
      </c>
      <c r="D66" s="44"/>
      <c r="E66" s="123">
        <v>5294.14</v>
      </c>
      <c r="F66" s="123">
        <v>-6000.0</v>
      </c>
      <c r="G66" s="44"/>
      <c r="H66" s="123">
        <v>-1330.67</v>
      </c>
      <c r="I66" s="44"/>
      <c r="J66" s="123">
        <v>331.85</v>
      </c>
      <c r="K66" s="44"/>
      <c r="L66" s="123">
        <v>27978.75</v>
      </c>
      <c r="M66" s="44"/>
      <c r="N66" s="44"/>
      <c r="O66" s="123">
        <v>307787.0</v>
      </c>
      <c r="P66" s="52">
        <f t="shared" si="1"/>
        <v>307787.23</v>
      </c>
      <c r="Q66" s="124">
        <f t="shared" si="2"/>
        <v>-0.23</v>
      </c>
      <c r="R66" s="52">
        <f t="array" ref="R66">IFERROR(INDEX('Fund YTD Target Values'!$1:$1000, MATCH($C66,'Fund YTD Target Values'!$A:$A,0), MATCH($A66,'Fund YTD Target Values'!$1:$1,0)),0)</f>
        <v>383919.6363</v>
      </c>
      <c r="S66" s="52">
        <f>IFERROR(__xludf.DUMMYFUNCTION("IFERROR(sum(FILTER('Fund Data'!$V:$V, 'Fund Data'!$C:$C = $C66, 'Fund Data'!$A:$A &lt; $A66)),0) + IFERROR(sum(FILTER('Fund Data'!$V:$V, 'Fund Data'!$C:$C = $C66, 'Fund Data'!$A:$A = $A66, 'Fund Data'!$B:$B &lt;= $B66)),0)"),276213.7)</f>
        <v>276213.7</v>
      </c>
      <c r="T66" s="123">
        <v>272248.0</v>
      </c>
      <c r="U66" s="44">
        <f t="shared" si="12"/>
        <v>3965.7</v>
      </c>
      <c r="V66" s="44">
        <f t="shared" si="3"/>
        <v>0</v>
      </c>
      <c r="W66" s="123"/>
      <c r="X66" s="123"/>
      <c r="Y66" s="123">
        <v>0.0</v>
      </c>
      <c r="Z66" s="123">
        <v>0.0</v>
      </c>
      <c r="AA66" s="123">
        <v>0.0</v>
      </c>
      <c r="AB66" s="123"/>
      <c r="AC66" s="123">
        <v>0.0</v>
      </c>
      <c r="AD66" s="44">
        <f t="shared" si="7"/>
        <v>-6000</v>
      </c>
      <c r="AE66" s="123">
        <v>0.0</v>
      </c>
    </row>
    <row r="67">
      <c r="A67" s="120">
        <v>2017.0</v>
      </c>
      <c r="B67" s="121">
        <v>8.0</v>
      </c>
      <c r="C67" s="122" t="s">
        <v>27</v>
      </c>
      <c r="D67" s="44"/>
      <c r="E67" s="123">
        <v>4910.11</v>
      </c>
      <c r="F67" s="123">
        <v>-5000.0</v>
      </c>
      <c r="G67" s="44"/>
      <c r="H67" s="123">
        <v>-1177.9</v>
      </c>
      <c r="I67" s="44"/>
      <c r="J67" s="123">
        <v>331.85</v>
      </c>
      <c r="K67" s="44"/>
      <c r="L67" s="123">
        <v>24959.32</v>
      </c>
      <c r="M67" s="44"/>
      <c r="N67" s="44"/>
      <c r="O67" s="123">
        <v>305536.0</v>
      </c>
      <c r="P67" s="52">
        <f t="shared" si="1"/>
        <v>305536.54</v>
      </c>
      <c r="Q67" s="124">
        <f t="shared" si="2"/>
        <v>-0.54</v>
      </c>
      <c r="R67" s="52">
        <f t="array" ref="R67">IFERROR(INDEX('Fund YTD Target Values'!$1:$1000, MATCH($C67,'Fund YTD Target Values'!$A:$A,0), MATCH($A67,'Fund YTD Target Values'!$1:$1,0)),0)</f>
        <v>383919.6363</v>
      </c>
      <c r="S67" s="52">
        <f>IFERROR(__xludf.DUMMYFUNCTION("IFERROR(sum(FILTER('Fund Data'!$V:$V, 'Fund Data'!$C:$C = $C67, 'Fund Data'!$A:$A &lt; $A67)),0) + IFERROR(sum(FILTER('Fund Data'!$V:$V, 'Fund Data'!$C:$C = $C67, 'Fund Data'!$A:$A = $A67, 'Fund Data'!$B:$B &lt;= $B67)),0)"),276213.7)</f>
        <v>276213.7</v>
      </c>
      <c r="T67" s="123">
        <v>272248.0</v>
      </c>
      <c r="U67" s="44">
        <f t="shared" si="12"/>
        <v>3965.7</v>
      </c>
      <c r="V67" s="44">
        <f t="shared" si="3"/>
        <v>0</v>
      </c>
      <c r="W67" s="123"/>
      <c r="X67" s="123"/>
      <c r="Y67" s="123">
        <v>0.0</v>
      </c>
      <c r="Z67" s="123">
        <v>0.0</v>
      </c>
      <c r="AA67" s="123">
        <v>0.0</v>
      </c>
      <c r="AB67" s="123"/>
      <c r="AC67" s="123">
        <v>0.0</v>
      </c>
      <c r="AD67" s="44">
        <f t="shared" si="7"/>
        <v>-5000</v>
      </c>
      <c r="AE67" s="123">
        <v>0.0</v>
      </c>
    </row>
    <row r="68">
      <c r="A68" s="120">
        <v>2017.0</v>
      </c>
      <c r="B68" s="121">
        <v>7.0</v>
      </c>
      <c r="C68" s="122" t="s">
        <v>27</v>
      </c>
      <c r="D68" s="44"/>
      <c r="E68" s="123">
        <v>4702.04</v>
      </c>
      <c r="F68" s="123">
        <v>-5000.0</v>
      </c>
      <c r="G68" s="44"/>
      <c r="H68" s="123">
        <v>-1025.56</v>
      </c>
      <c r="I68" s="44"/>
      <c r="J68" s="123">
        <v>331.85</v>
      </c>
      <c r="K68" s="44"/>
      <c r="L68" s="123">
        <v>24164.19</v>
      </c>
      <c r="M68" s="44"/>
      <c r="N68" s="44"/>
      <c r="O68" s="123">
        <v>304685.0</v>
      </c>
      <c r="P68" s="52">
        <f t="shared" si="1"/>
        <v>304685.68</v>
      </c>
      <c r="Q68" s="124">
        <f t="shared" si="2"/>
        <v>-0.6800000001</v>
      </c>
      <c r="R68" s="52">
        <f t="array" ref="R68">IFERROR(INDEX('Fund YTD Target Values'!$1:$1000, MATCH($C68,'Fund YTD Target Values'!$A:$A,0), MATCH($A68,'Fund YTD Target Values'!$1:$1,0)),0)</f>
        <v>383919.6363</v>
      </c>
      <c r="S68" s="52">
        <f>IFERROR(__xludf.DUMMYFUNCTION("IFERROR(sum(FILTER('Fund Data'!$V:$V, 'Fund Data'!$C:$C = $C68, 'Fund Data'!$A:$A &lt; $A68)),0) + IFERROR(sum(FILTER('Fund Data'!$V:$V, 'Fund Data'!$C:$C = $C68, 'Fund Data'!$A:$A = $A68, 'Fund Data'!$B:$B &lt;= $B68)),0)"),276213.7)</f>
        <v>276213.7</v>
      </c>
      <c r="T68" s="123">
        <v>272248.0</v>
      </c>
      <c r="U68" s="44">
        <f t="shared" si="12"/>
        <v>3965.7</v>
      </c>
      <c r="V68" s="44">
        <f t="shared" si="3"/>
        <v>0</v>
      </c>
      <c r="W68" s="123"/>
      <c r="X68" s="123"/>
      <c r="Y68" s="123">
        <v>0.0</v>
      </c>
      <c r="Z68" s="123">
        <v>0.0</v>
      </c>
      <c r="AA68" s="123">
        <v>0.0</v>
      </c>
      <c r="AB68" s="123"/>
      <c r="AC68" s="123">
        <v>0.0</v>
      </c>
      <c r="AD68" s="44">
        <f t="shared" si="7"/>
        <v>-5000</v>
      </c>
      <c r="AE68" s="123">
        <v>0.0</v>
      </c>
    </row>
    <row r="69">
      <c r="A69" s="120">
        <v>2017.0</v>
      </c>
      <c r="B69" s="121">
        <v>6.0</v>
      </c>
      <c r="C69" s="122" t="s">
        <v>27</v>
      </c>
      <c r="D69" s="44"/>
      <c r="E69" s="123">
        <v>3745.36</v>
      </c>
      <c r="F69" s="123">
        <v>-5000.0</v>
      </c>
      <c r="G69" s="44"/>
      <c r="H69" s="123">
        <v>-876.75</v>
      </c>
      <c r="I69" s="44"/>
      <c r="J69" s="123">
        <v>331.85</v>
      </c>
      <c r="K69" s="44"/>
      <c r="L69" s="123">
        <v>17876.34</v>
      </c>
      <c r="M69" s="44"/>
      <c r="N69" s="44"/>
      <c r="O69" s="123">
        <v>297590.0</v>
      </c>
      <c r="P69" s="52">
        <f t="shared" si="1"/>
        <v>297589.96</v>
      </c>
      <c r="Q69" s="124">
        <f t="shared" si="2"/>
        <v>0.03999999998</v>
      </c>
      <c r="R69" s="52">
        <f t="array" ref="R69">IFERROR(INDEX('Fund YTD Target Values'!$1:$1000, MATCH($C69,'Fund YTD Target Values'!$A:$A,0), MATCH($A69,'Fund YTD Target Values'!$1:$1,0)),0)</f>
        <v>383919.6363</v>
      </c>
      <c r="S69" s="52">
        <f>IFERROR(__xludf.DUMMYFUNCTION("IFERROR(sum(FILTER('Fund Data'!$V:$V, 'Fund Data'!$C:$C = $C69, 'Fund Data'!$A:$A &lt; $A69)),0) + IFERROR(sum(FILTER('Fund Data'!$V:$V, 'Fund Data'!$C:$C = $C69, 'Fund Data'!$A:$A = $A69, 'Fund Data'!$B:$B &lt;= $B69)),0)"),276213.7)</f>
        <v>276213.7</v>
      </c>
      <c r="T69" s="123">
        <v>272248.0</v>
      </c>
      <c r="U69" s="44">
        <f t="shared" si="12"/>
        <v>3965.7</v>
      </c>
      <c r="V69" s="44">
        <f t="shared" si="3"/>
        <v>0</v>
      </c>
      <c r="W69" s="123"/>
      <c r="X69" s="123"/>
      <c r="Y69" s="123">
        <v>0.0</v>
      </c>
      <c r="Z69" s="123">
        <v>0.0</v>
      </c>
      <c r="AA69" s="123">
        <v>0.0</v>
      </c>
      <c r="AB69" s="123"/>
      <c r="AC69" s="123">
        <v>0.0</v>
      </c>
      <c r="AD69" s="44">
        <f t="shared" si="7"/>
        <v>-5000</v>
      </c>
      <c r="AE69" s="123">
        <v>0.0</v>
      </c>
    </row>
    <row r="70">
      <c r="A70" s="120">
        <v>2017.0</v>
      </c>
      <c r="B70" s="121">
        <v>5.0</v>
      </c>
      <c r="C70" s="122" t="s">
        <v>27</v>
      </c>
      <c r="D70" s="44"/>
      <c r="E70" s="123">
        <v>3545.33</v>
      </c>
      <c r="F70" s="123">
        <v>-5000.0</v>
      </c>
      <c r="G70" s="44"/>
      <c r="H70" s="123">
        <v>-728.24</v>
      </c>
      <c r="I70" s="44"/>
      <c r="J70" s="123">
        <v>331.85</v>
      </c>
      <c r="K70" s="44"/>
      <c r="L70" s="123">
        <v>17229.77</v>
      </c>
      <c r="M70" s="44"/>
      <c r="N70" s="44"/>
      <c r="O70" s="123">
        <v>296892.0</v>
      </c>
      <c r="P70" s="52">
        <f t="shared" si="1"/>
        <v>296891.87</v>
      </c>
      <c r="Q70" s="124">
        <f t="shared" si="2"/>
        <v>0.1299999999</v>
      </c>
      <c r="R70" s="52">
        <f t="array" ref="R70">IFERROR(INDEX('Fund YTD Target Values'!$1:$1000, MATCH($C70,'Fund YTD Target Values'!$A:$A,0), MATCH($A70,'Fund YTD Target Values'!$1:$1,0)),0)</f>
        <v>383919.6363</v>
      </c>
      <c r="S70" s="52">
        <f>IFERROR(__xludf.DUMMYFUNCTION("IFERROR(sum(FILTER('Fund Data'!$V:$V, 'Fund Data'!$C:$C = $C70, 'Fund Data'!$A:$A &lt; $A70)),0) + IFERROR(sum(FILTER('Fund Data'!$V:$V, 'Fund Data'!$C:$C = $C70, 'Fund Data'!$A:$A = $A70, 'Fund Data'!$B:$B &lt;= $B70)),0)"),276213.7)</f>
        <v>276213.7</v>
      </c>
      <c r="T70" s="123">
        <v>272248.0</v>
      </c>
      <c r="U70" s="44">
        <f t="shared" si="12"/>
        <v>3965.7</v>
      </c>
      <c r="V70" s="44">
        <f t="shared" si="3"/>
        <v>0</v>
      </c>
      <c r="W70" s="123"/>
      <c r="X70" s="123"/>
      <c r="Y70" s="123">
        <v>0.0</v>
      </c>
      <c r="Z70" s="123">
        <v>0.0</v>
      </c>
      <c r="AA70" s="123">
        <v>0.0</v>
      </c>
      <c r="AB70" s="123"/>
      <c r="AC70" s="123">
        <v>0.0</v>
      </c>
      <c r="AD70" s="44">
        <f t="shared" si="7"/>
        <v>-5000</v>
      </c>
      <c r="AE70" s="123">
        <v>0.0</v>
      </c>
    </row>
    <row r="71">
      <c r="A71" s="120">
        <v>2017.0</v>
      </c>
      <c r="B71" s="121">
        <v>4.0</v>
      </c>
      <c r="C71" s="122" t="s">
        <v>27</v>
      </c>
      <c r="D71" s="44"/>
      <c r="E71" s="123">
        <v>3351.5</v>
      </c>
      <c r="F71" s="44"/>
      <c r="G71" s="44"/>
      <c r="H71" s="123">
        <v>-579.0</v>
      </c>
      <c r="I71" s="44"/>
      <c r="J71" s="44"/>
      <c r="K71" s="44"/>
      <c r="L71" s="123">
        <v>14198.92</v>
      </c>
      <c r="M71" s="44"/>
      <c r="N71" s="44"/>
      <c r="O71" s="123">
        <v>298484.0</v>
      </c>
      <c r="P71" s="52">
        <f t="shared" si="1"/>
        <v>298484.58</v>
      </c>
      <c r="Q71" s="124">
        <f t="shared" si="2"/>
        <v>-0.58</v>
      </c>
      <c r="R71" s="52">
        <f t="array" ref="R71">IFERROR(INDEX('Fund YTD Target Values'!$1:$1000, MATCH($C71,'Fund YTD Target Values'!$A:$A,0), MATCH($A71,'Fund YTD Target Values'!$1:$1,0)),0)</f>
        <v>383919.6363</v>
      </c>
      <c r="S71" s="52">
        <f>IFERROR(__xludf.DUMMYFUNCTION("IFERROR(sum(FILTER('Fund Data'!$V:$V, 'Fund Data'!$C:$C = $C71, 'Fund Data'!$A:$A &lt; $A71)),0) + IFERROR(sum(FILTER('Fund Data'!$V:$V, 'Fund Data'!$C:$C = $C71, 'Fund Data'!$A:$A = $A71, 'Fund Data'!$B:$B &lt;= $B71)),0)"),276213.7)</f>
        <v>276213.7</v>
      </c>
      <c r="T71" s="123">
        <v>272248.0</v>
      </c>
      <c r="U71" s="44">
        <f t="shared" si="12"/>
        <v>3965.7</v>
      </c>
      <c r="V71" s="44">
        <f t="shared" si="3"/>
        <v>0</v>
      </c>
      <c r="W71" s="123"/>
      <c r="X71" s="123"/>
      <c r="Y71" s="123">
        <v>0.0</v>
      </c>
      <c r="Z71" s="123">
        <v>0.0</v>
      </c>
      <c r="AA71" s="123">
        <v>0.0</v>
      </c>
      <c r="AB71" s="123"/>
      <c r="AC71" s="123">
        <v>0.0</v>
      </c>
      <c r="AD71" s="44">
        <f t="shared" si="7"/>
        <v>0</v>
      </c>
      <c r="AE71" s="123">
        <v>0.0</v>
      </c>
    </row>
    <row r="72">
      <c r="A72" s="120">
        <v>2017.0</v>
      </c>
      <c r="B72" s="121">
        <v>3.0</v>
      </c>
      <c r="C72" s="122" t="s">
        <v>27</v>
      </c>
      <c r="D72" s="44"/>
      <c r="E72" s="123">
        <v>2536.24</v>
      </c>
      <c r="F72" s="44"/>
      <c r="G72" s="44"/>
      <c r="H72" s="123">
        <v>-431.59</v>
      </c>
      <c r="I72" s="44"/>
      <c r="J72" s="44"/>
      <c r="K72" s="44"/>
      <c r="L72" s="123">
        <v>11212.1</v>
      </c>
      <c r="M72" s="44"/>
      <c r="N72" s="44"/>
      <c r="O72" s="123">
        <v>294830.0</v>
      </c>
      <c r="P72" s="52">
        <f t="shared" si="1"/>
        <v>294829.91</v>
      </c>
      <c r="Q72" s="124">
        <f t="shared" si="2"/>
        <v>0.08999999997</v>
      </c>
      <c r="R72" s="52">
        <f t="array" ref="R72">IFERROR(INDEX('Fund YTD Target Values'!$1:$1000, MATCH($C72,'Fund YTD Target Values'!$A:$A,0), MATCH($A72,'Fund YTD Target Values'!$1:$1,0)),0)</f>
        <v>383919.6363</v>
      </c>
      <c r="S72" s="52">
        <f>IFERROR(__xludf.DUMMYFUNCTION("IFERROR(sum(FILTER('Fund Data'!$V:$V, 'Fund Data'!$C:$C = $C72, 'Fund Data'!$A:$A &lt; $A72)),0) + IFERROR(sum(FILTER('Fund Data'!$V:$V, 'Fund Data'!$C:$C = $C72, 'Fund Data'!$A:$A = $A72, 'Fund Data'!$B:$B &lt;= $B72)),0)"),276213.7)</f>
        <v>276213.7</v>
      </c>
      <c r="T72" s="123">
        <v>272248.0</v>
      </c>
      <c r="U72" s="44">
        <f t="shared" si="12"/>
        <v>3965.7</v>
      </c>
      <c r="V72" s="44">
        <f t="shared" si="3"/>
        <v>0</v>
      </c>
      <c r="W72" s="123"/>
      <c r="X72" s="123"/>
      <c r="Y72" s="123">
        <v>0.0</v>
      </c>
      <c r="Z72" s="123">
        <v>0.0</v>
      </c>
      <c r="AA72" s="123">
        <v>0.0</v>
      </c>
      <c r="AB72" s="123"/>
      <c r="AC72" s="123">
        <v>0.0</v>
      </c>
      <c r="AD72" s="44">
        <f t="shared" si="7"/>
        <v>0</v>
      </c>
      <c r="AE72" s="123">
        <v>0.0</v>
      </c>
    </row>
    <row r="73">
      <c r="A73" s="120">
        <v>2017.0</v>
      </c>
      <c r="B73" s="121">
        <v>2.0</v>
      </c>
      <c r="C73" s="122" t="s">
        <v>27</v>
      </c>
      <c r="D73" s="44"/>
      <c r="E73" s="123">
        <v>2339.31</v>
      </c>
      <c r="F73" s="44"/>
      <c r="G73" s="44"/>
      <c r="H73" s="123">
        <v>-284.73</v>
      </c>
      <c r="I73" s="44"/>
      <c r="J73" s="44"/>
      <c r="K73" s="44"/>
      <c r="L73" s="123">
        <v>10161.89</v>
      </c>
      <c r="M73" s="44"/>
      <c r="N73" s="44"/>
      <c r="O73" s="123">
        <v>293729.0</v>
      </c>
      <c r="P73" s="52">
        <f t="shared" si="1"/>
        <v>293729.63</v>
      </c>
      <c r="Q73" s="124">
        <f t="shared" si="2"/>
        <v>-0.63</v>
      </c>
      <c r="R73" s="52">
        <f t="array" ref="R73">IFERROR(INDEX('Fund YTD Target Values'!$1:$1000, MATCH($C73,'Fund YTD Target Values'!$A:$A,0), MATCH($A73,'Fund YTD Target Values'!$1:$1,0)),0)</f>
        <v>383919.6363</v>
      </c>
      <c r="S73" s="52">
        <f>IFERROR(__xludf.DUMMYFUNCTION("IFERROR(sum(FILTER('Fund Data'!$V:$V, 'Fund Data'!$C:$C = $C73, 'Fund Data'!$A:$A &lt; $A73)),0) + IFERROR(sum(FILTER('Fund Data'!$V:$V, 'Fund Data'!$C:$C = $C73, 'Fund Data'!$A:$A = $A73, 'Fund Data'!$B:$B &lt;= $B73)),0)"),276213.7)</f>
        <v>276213.7</v>
      </c>
      <c r="T73" s="123">
        <v>272248.0</v>
      </c>
      <c r="U73" s="44">
        <f t="shared" si="12"/>
        <v>3965.7</v>
      </c>
      <c r="V73" s="44">
        <f t="shared" si="3"/>
        <v>0</v>
      </c>
      <c r="W73" s="123"/>
      <c r="X73" s="123"/>
      <c r="Y73" s="123">
        <v>0.0</v>
      </c>
      <c r="Z73" s="123">
        <v>0.0</v>
      </c>
      <c r="AA73" s="123">
        <v>0.0</v>
      </c>
      <c r="AB73" s="123"/>
      <c r="AC73" s="123">
        <v>0.0</v>
      </c>
      <c r="AD73" s="44">
        <f t="shared" si="7"/>
        <v>0</v>
      </c>
      <c r="AE73" s="123">
        <v>0.0</v>
      </c>
    </row>
    <row r="74">
      <c r="A74" s="120">
        <v>2017.0</v>
      </c>
      <c r="B74" s="121">
        <v>1.0</v>
      </c>
      <c r="C74" s="122" t="s">
        <v>27</v>
      </c>
      <c r="D74" s="44"/>
      <c r="E74" s="123">
        <v>2136.41</v>
      </c>
      <c r="F74" s="44"/>
      <c r="G74" s="44"/>
      <c r="H74" s="123">
        <v>-140.75</v>
      </c>
      <c r="I74" s="44"/>
      <c r="J74" s="44"/>
      <c r="K74" s="44"/>
      <c r="L74" s="123">
        <v>4442.41</v>
      </c>
      <c r="M74" s="44"/>
      <c r="N74" s="44"/>
      <c r="O74" s="123">
        <v>287951.0</v>
      </c>
      <c r="P74" s="52">
        <f t="shared" si="1"/>
        <v>287951.23</v>
      </c>
      <c r="Q74" s="124">
        <f t="shared" si="2"/>
        <v>-0.23</v>
      </c>
      <c r="R74" s="52">
        <f t="array" ref="R74">IFERROR(INDEX('Fund YTD Target Values'!$1:$1000, MATCH($C74,'Fund YTD Target Values'!$A:$A,0), MATCH($A74,'Fund YTD Target Values'!$1:$1,0)),0)</f>
        <v>383919.6363</v>
      </c>
      <c r="S74" s="52">
        <f>IFERROR(__xludf.DUMMYFUNCTION("IFERROR(sum(FILTER('Fund Data'!$V:$V, 'Fund Data'!$C:$C = $C74, 'Fund Data'!$A:$A &lt; $A74)),0) + IFERROR(sum(FILTER('Fund Data'!$V:$V, 'Fund Data'!$C:$C = $C74, 'Fund Data'!$A:$A = $A74, 'Fund Data'!$B:$B &lt;= $B74)),0)"),276213.7)</f>
        <v>276213.7</v>
      </c>
      <c r="T74" s="123">
        <v>272248.0</v>
      </c>
      <c r="U74" s="44">
        <f t="shared" si="12"/>
        <v>3965.7</v>
      </c>
      <c r="V74" s="44">
        <f t="shared" si="3"/>
        <v>0</v>
      </c>
      <c r="W74" s="123"/>
      <c r="X74" s="123"/>
      <c r="Y74" s="123">
        <v>0.0</v>
      </c>
      <c r="Z74" s="123">
        <v>0.0</v>
      </c>
      <c r="AA74" s="123">
        <v>0.0</v>
      </c>
      <c r="AB74" s="123"/>
      <c r="AC74" s="123">
        <v>0.0</v>
      </c>
      <c r="AD74" s="44">
        <f t="shared" si="7"/>
        <v>0</v>
      </c>
      <c r="AE74" s="123">
        <v>0.0</v>
      </c>
    </row>
    <row r="75">
      <c r="A75" s="120">
        <v>2016.0</v>
      </c>
      <c r="B75" s="121">
        <v>12.0</v>
      </c>
      <c r="C75" s="122" t="s">
        <v>27</v>
      </c>
      <c r="D75" s="44"/>
      <c r="E75" s="123">
        <v>6392.61</v>
      </c>
      <c r="F75" s="123">
        <v>-31000.0</v>
      </c>
      <c r="G75" s="123"/>
      <c r="H75" s="123">
        <v>-1742.97</v>
      </c>
      <c r="I75" s="44"/>
      <c r="J75" s="123">
        <v>6455.43</v>
      </c>
      <c r="K75" s="44"/>
      <c r="L75" s="123">
        <v>6555.07</v>
      </c>
      <c r="M75" s="44"/>
      <c r="N75" s="44"/>
      <c r="O75" s="123">
        <v>281513.0</v>
      </c>
      <c r="P75" s="52">
        <f t="shared" si="1"/>
        <v>281513.16</v>
      </c>
      <c r="Q75" s="124">
        <f t="shared" si="2"/>
        <v>-0.1599999999</v>
      </c>
      <c r="R75" s="52">
        <f t="array" ref="R75">IFERROR(INDEX('Fund YTD Target Values'!$1:$1000, MATCH($C75,'Fund YTD Target Values'!$A:$A,0), MATCH($A75,'Fund YTD Target Values'!$1:$1,0)),0)</f>
        <v>375906.7519</v>
      </c>
      <c r="S75" s="52">
        <f>IFERROR(__xludf.DUMMYFUNCTION("IFERROR(sum(FILTER('Fund Data'!$V:$V, 'Fund Data'!$C:$C = $C75, 'Fund Data'!$A:$A &lt; $A75)),0) + IFERROR(sum(FILTER('Fund Data'!$V:$V, 'Fund Data'!$C:$C = $C75, 'Fund Data'!$A:$A = $A75, 'Fund Data'!$B:$B &lt;= $B75)),0)"),276213.7)</f>
        <v>276213.7</v>
      </c>
      <c r="T75" s="123">
        <v>272248.0</v>
      </c>
      <c r="U75" s="44">
        <f t="shared" si="12"/>
        <v>3965.7</v>
      </c>
      <c r="V75" s="44">
        <f t="shared" si="3"/>
        <v>0</v>
      </c>
      <c r="W75" s="123"/>
      <c r="X75" s="123"/>
      <c r="Y75" s="123">
        <v>0.0</v>
      </c>
      <c r="Z75" s="123">
        <v>0.0</v>
      </c>
      <c r="AA75" s="123">
        <v>0.0</v>
      </c>
      <c r="AB75" s="123"/>
      <c r="AC75" s="123">
        <v>0.0</v>
      </c>
      <c r="AD75" s="44">
        <f t="shared" si="7"/>
        <v>-31000</v>
      </c>
      <c r="AE75" s="123">
        <v>0.0</v>
      </c>
    </row>
    <row r="76">
      <c r="A76" s="120">
        <v>2015.0</v>
      </c>
      <c r="B76" s="121">
        <v>12.0</v>
      </c>
      <c r="C76" s="122" t="s">
        <v>27</v>
      </c>
      <c r="D76" s="44"/>
      <c r="E76" s="123">
        <v>7410.51</v>
      </c>
      <c r="F76" s="123">
        <v>-16000.0</v>
      </c>
      <c r="G76" s="123"/>
      <c r="H76" s="123">
        <v>-1886.72</v>
      </c>
      <c r="I76" s="44"/>
      <c r="J76" s="123">
        <v>1522.9</v>
      </c>
      <c r="K76" s="44"/>
      <c r="L76" s="123">
        <v>-14966.09</v>
      </c>
      <c r="M76" s="44"/>
      <c r="N76" s="44"/>
      <c r="O76" s="123">
        <v>294853.0</v>
      </c>
      <c r="P76" s="52">
        <f t="shared" si="1"/>
        <v>294853.02</v>
      </c>
      <c r="Q76" s="124">
        <f t="shared" si="2"/>
        <v>-0.02000000002</v>
      </c>
      <c r="R76" s="52">
        <f t="array" ref="R76">IFERROR(INDEX('Fund YTD Target Values'!$1:$1000, MATCH($C76,'Fund YTD Target Values'!$A:$A,0), MATCH($A76,'Fund YTD Target Values'!$1:$1,0)),0)</f>
        <v>371222.5036</v>
      </c>
      <c r="S76" s="52">
        <f>IFERROR(__xludf.DUMMYFUNCTION("IFERROR(sum(FILTER('Fund Data'!$V:$V, 'Fund Data'!$C:$C = $C76, 'Fund Data'!$A:$A &lt; $A76)),0) + IFERROR(sum(FILTER('Fund Data'!$V:$V, 'Fund Data'!$C:$C = $C76, 'Fund Data'!$A:$A = $A76, 'Fund Data'!$B:$B &lt;= $B76)),0)"),276213.7)</f>
        <v>276213.7</v>
      </c>
      <c r="T76" s="123">
        <v>272248.0</v>
      </c>
      <c r="U76" s="44">
        <f t="shared" si="12"/>
        <v>3965.7</v>
      </c>
      <c r="V76" s="44">
        <f t="shared" si="3"/>
        <v>0</v>
      </c>
      <c r="W76" s="123"/>
      <c r="X76" s="123"/>
      <c r="Y76" s="123">
        <v>0.0</v>
      </c>
      <c r="Z76" s="123">
        <v>0.0</v>
      </c>
      <c r="AA76" s="123">
        <v>0.0</v>
      </c>
      <c r="AB76" s="123"/>
      <c r="AC76" s="123">
        <v>0.0</v>
      </c>
      <c r="AD76" s="44">
        <f t="shared" si="7"/>
        <v>-16000</v>
      </c>
      <c r="AE76" s="123">
        <v>0.0</v>
      </c>
    </row>
    <row r="77">
      <c r="A77" s="120">
        <v>2014.0</v>
      </c>
      <c r="B77" s="121">
        <v>12.0</v>
      </c>
      <c r="C77" s="122" t="s">
        <v>27</v>
      </c>
      <c r="D77" s="44"/>
      <c r="E77" s="123">
        <v>6121.36</v>
      </c>
      <c r="F77" s="123">
        <v>-11000.0</v>
      </c>
      <c r="G77" s="123"/>
      <c r="H77" s="123">
        <v>-1965.95</v>
      </c>
      <c r="I77" s="44"/>
      <c r="J77" s="123">
        <v>1833.2</v>
      </c>
      <c r="K77" s="44"/>
      <c r="L77" s="123">
        <v>-369.66</v>
      </c>
      <c r="M77" s="44"/>
      <c r="N77" s="44"/>
      <c r="O77" s="123">
        <v>318772.0</v>
      </c>
      <c r="P77" s="52">
        <f t="shared" si="1"/>
        <v>318772.42</v>
      </c>
      <c r="Q77" s="124">
        <f t="shared" si="2"/>
        <v>-0.42</v>
      </c>
      <c r="R77" s="52">
        <f t="array" ref="R77">IFERROR(INDEX('Fund YTD Target Values'!$1:$1000, MATCH($C77,'Fund YTD Target Values'!$A:$A,0), MATCH($A77,'Fund YTD Target Values'!$1:$1,0)),0)</f>
        <v>370781.6458</v>
      </c>
      <c r="S77" s="52">
        <f>IFERROR(__xludf.DUMMYFUNCTION("IFERROR(sum(FILTER('Fund Data'!$V:$V, 'Fund Data'!$C:$C = $C77, 'Fund Data'!$A:$A &lt; $A77)),0) + IFERROR(sum(FILTER('Fund Data'!$V:$V, 'Fund Data'!$C:$C = $C77, 'Fund Data'!$A:$A = $A77, 'Fund Data'!$B:$B &lt;= $B77)),0)"),276213.7)</f>
        <v>276213.7</v>
      </c>
      <c r="T77" s="123">
        <v>272248.0</v>
      </c>
      <c r="U77" s="44">
        <f t="shared" si="12"/>
        <v>3965.7</v>
      </c>
      <c r="V77" s="44">
        <f t="shared" si="3"/>
        <v>0</v>
      </c>
      <c r="W77" s="123"/>
      <c r="X77" s="123"/>
      <c r="Y77" s="123">
        <v>0.0</v>
      </c>
      <c r="Z77" s="123">
        <v>0.0</v>
      </c>
      <c r="AA77" s="123">
        <v>0.0</v>
      </c>
      <c r="AB77" s="123"/>
      <c r="AC77" s="123">
        <v>0.0</v>
      </c>
      <c r="AD77" s="44">
        <f t="shared" si="7"/>
        <v>-11000</v>
      </c>
      <c r="AE77" s="123">
        <v>0.0</v>
      </c>
    </row>
    <row r="78">
      <c r="A78" s="120">
        <v>2013.0</v>
      </c>
      <c r="B78" s="121">
        <v>12.0</v>
      </c>
      <c r="C78" s="122" t="s">
        <v>27</v>
      </c>
      <c r="D78" s="44"/>
      <c r="E78" s="123">
        <v>6522.24</v>
      </c>
      <c r="F78" s="123">
        <v>-15000.0</v>
      </c>
      <c r="G78" s="123"/>
      <c r="H78" s="123">
        <v>-1878.13</v>
      </c>
      <c r="I78" s="44"/>
      <c r="J78" s="123">
        <v>3487.47</v>
      </c>
      <c r="K78" s="44"/>
      <c r="L78" s="123">
        <v>24714.43</v>
      </c>
      <c r="M78" s="44"/>
      <c r="N78" s="44"/>
      <c r="O78" s="123">
        <v>324153.0</v>
      </c>
      <c r="P78" s="52">
        <f t="shared" si="1"/>
        <v>324153.47</v>
      </c>
      <c r="Q78" s="124">
        <f t="shared" si="2"/>
        <v>-0.47</v>
      </c>
      <c r="R78" s="52">
        <f t="array" ref="R78">IFERROR(INDEX('Fund YTD Target Values'!$1:$1000, MATCH($C78,'Fund YTD Target Values'!$A:$A,0), MATCH($A78,'Fund YTD Target Values'!$1:$1,0)),0)</f>
        <v>364863.9007</v>
      </c>
      <c r="S78" s="52">
        <f>IFERROR(__xludf.DUMMYFUNCTION("IFERROR(sum(FILTER('Fund Data'!$V:$V, 'Fund Data'!$C:$C = $C78, 'Fund Data'!$A:$A &lt; $A78)),0) + IFERROR(sum(FILTER('Fund Data'!$V:$V, 'Fund Data'!$C:$C = $C78, 'Fund Data'!$A:$A = $A78, 'Fund Data'!$B:$B &lt;= $B78)),0)"),276213.7)</f>
        <v>276213.7</v>
      </c>
      <c r="T78" s="123">
        <v>272248.0</v>
      </c>
      <c r="U78" s="44">
        <f t="shared" si="12"/>
        <v>3965.7</v>
      </c>
      <c r="V78" s="44">
        <f t="shared" si="3"/>
        <v>0</v>
      </c>
      <c r="W78" s="123"/>
      <c r="X78" s="123"/>
      <c r="Y78" s="123">
        <v>0.0</v>
      </c>
      <c r="Z78" s="123">
        <v>0.0</v>
      </c>
      <c r="AA78" s="123">
        <v>0.0</v>
      </c>
      <c r="AB78" s="123"/>
      <c r="AC78" s="123">
        <v>0.0</v>
      </c>
      <c r="AD78" s="44">
        <f t="shared" si="7"/>
        <v>-15000</v>
      </c>
      <c r="AE78" s="123">
        <v>0.0</v>
      </c>
    </row>
    <row r="79">
      <c r="A79" s="120">
        <v>2012.0</v>
      </c>
      <c r="B79" s="121">
        <v>12.0</v>
      </c>
      <c r="C79" s="122" t="s">
        <v>27</v>
      </c>
      <c r="D79" s="123">
        <v>250.0</v>
      </c>
      <c r="E79" s="123">
        <v>6188.24</v>
      </c>
      <c r="F79" s="123">
        <v>-15000.0</v>
      </c>
      <c r="G79" s="123"/>
      <c r="H79" s="123">
        <v>-1822.47</v>
      </c>
      <c r="I79" s="44"/>
      <c r="J79" s="123">
        <v>1211.77</v>
      </c>
      <c r="K79" s="44"/>
      <c r="L79" s="123">
        <v>29044.04</v>
      </c>
      <c r="M79" s="44"/>
      <c r="N79" s="44"/>
      <c r="O79" s="123">
        <v>306306.0</v>
      </c>
      <c r="P79" s="52">
        <f t="shared" si="1"/>
        <v>306307.46</v>
      </c>
      <c r="Q79" s="124">
        <f t="shared" si="2"/>
        <v>-1.46</v>
      </c>
      <c r="R79" s="52">
        <f t="array" ref="R79">IFERROR(INDEX('Fund YTD Target Values'!$1:$1000, MATCH($C79,'Fund YTD Target Values'!$A:$A,0), MATCH($A79,'Fund YTD Target Values'!$1:$1,0)),0)</f>
        <v>359592.1165</v>
      </c>
      <c r="S79" s="52">
        <f>IFERROR(__xludf.DUMMYFUNCTION("IFERROR(sum(FILTER('Fund Data'!$V:$V, 'Fund Data'!$C:$C = $C79, 'Fund Data'!$A:$A &lt; $A79)),0) + IFERROR(sum(FILTER('Fund Data'!$V:$V, 'Fund Data'!$C:$C = $C79, 'Fund Data'!$A:$A = $A79, 'Fund Data'!$B:$B &lt;= $B79)),0)"),276213.7)</f>
        <v>276213.7</v>
      </c>
      <c r="T79" s="123">
        <v>272248.0</v>
      </c>
      <c r="U79" s="44">
        <f t="shared" si="12"/>
        <v>3965.7</v>
      </c>
      <c r="V79" s="44">
        <f t="shared" si="3"/>
        <v>250</v>
      </c>
      <c r="W79" s="123"/>
      <c r="X79" s="123"/>
      <c r="Y79" s="123">
        <v>0.0</v>
      </c>
      <c r="Z79" s="123">
        <v>0.0</v>
      </c>
      <c r="AA79" s="123">
        <v>0.0</v>
      </c>
      <c r="AB79" s="123"/>
      <c r="AC79" s="123">
        <v>0.0</v>
      </c>
      <c r="AD79" s="44">
        <f t="shared" si="7"/>
        <v>-15000</v>
      </c>
      <c r="AE79" s="123">
        <v>0.0</v>
      </c>
    </row>
    <row r="80">
      <c r="A80" s="120">
        <v>2011.0</v>
      </c>
      <c r="B80" s="121">
        <v>12.0</v>
      </c>
      <c r="C80" s="122" t="s">
        <v>27</v>
      </c>
      <c r="D80" s="123">
        <v>250.0</v>
      </c>
      <c r="E80" s="123">
        <v>5404.54</v>
      </c>
      <c r="F80" s="123">
        <v>-20000.0</v>
      </c>
      <c r="G80" s="123"/>
      <c r="H80" s="123">
        <v>-1925.26</v>
      </c>
      <c r="I80" s="44"/>
      <c r="J80" s="123">
        <v>2007.56</v>
      </c>
      <c r="K80" s="44"/>
      <c r="L80" s="123">
        <v>-21909.25</v>
      </c>
      <c r="M80" s="44"/>
      <c r="N80" s="44"/>
      <c r="O80" s="123">
        <v>286434.0</v>
      </c>
      <c r="P80" s="52">
        <f t="shared" si="1"/>
        <v>286435.88</v>
      </c>
      <c r="Q80" s="124">
        <f t="shared" si="2"/>
        <v>-1.88</v>
      </c>
      <c r="R80" s="52">
        <f t="array" ref="R80">IFERROR(INDEX('Fund YTD Target Values'!$1:$1000, MATCH($C80,'Fund YTD Target Values'!$A:$A,0), MATCH($A80,'Fund YTD Target Values'!$1:$1,0)),0)</f>
        <v>352043.5747</v>
      </c>
      <c r="S80" s="52">
        <f>IFERROR(__xludf.DUMMYFUNCTION("IFERROR(sum(FILTER('Fund Data'!$V:$V, 'Fund Data'!$C:$C = $C80, 'Fund Data'!$A:$A &lt; $A80)),0) + IFERROR(sum(FILTER('Fund Data'!$V:$V, 'Fund Data'!$C:$C = $C80, 'Fund Data'!$A:$A = $A80, 'Fund Data'!$B:$B &lt;= $B80)),0)"),275963.7)</f>
        <v>275963.7</v>
      </c>
      <c r="T80" s="123">
        <v>271998.0</v>
      </c>
      <c r="U80" s="44">
        <f t="shared" si="12"/>
        <v>3965.7</v>
      </c>
      <c r="V80" s="44">
        <f t="shared" si="3"/>
        <v>250</v>
      </c>
      <c r="W80" s="123"/>
      <c r="X80" s="123"/>
      <c r="Y80" s="123">
        <v>0.0</v>
      </c>
      <c r="Z80" s="123">
        <v>0.0</v>
      </c>
      <c r="AA80" s="123">
        <v>0.0</v>
      </c>
      <c r="AB80" s="123"/>
      <c r="AC80" s="123">
        <v>0.0</v>
      </c>
      <c r="AD80" s="44">
        <f t="shared" si="7"/>
        <v>-20000</v>
      </c>
      <c r="AE80" s="123">
        <v>0.0</v>
      </c>
    </row>
    <row r="81">
      <c r="A81" s="120">
        <v>2010.0</v>
      </c>
      <c r="B81" s="121">
        <v>12.0</v>
      </c>
      <c r="C81" s="122" t="s">
        <v>27</v>
      </c>
      <c r="D81" s="123">
        <v>750.0</v>
      </c>
      <c r="E81" s="123">
        <v>6172.38</v>
      </c>
      <c r="F81" s="123">
        <v>-5000.0</v>
      </c>
      <c r="G81" s="123"/>
      <c r="H81" s="123">
        <v>-1762.18</v>
      </c>
      <c r="I81" s="44"/>
      <c r="J81" s="123">
        <v>326.23</v>
      </c>
      <c r="K81" s="44"/>
      <c r="L81" s="123">
        <v>33868.74</v>
      </c>
      <c r="M81" s="44"/>
      <c r="N81" s="44"/>
      <c r="O81" s="123">
        <v>322606.0</v>
      </c>
      <c r="P81" s="52">
        <f t="shared" si="1"/>
        <v>322608.29</v>
      </c>
      <c r="Q81" s="124">
        <f t="shared" si="2"/>
        <v>-2.29</v>
      </c>
      <c r="R81" s="52">
        <f t="array" ref="R81">IFERROR(INDEX('Fund YTD Target Values'!$1:$1000, MATCH($C81,'Fund YTD Target Values'!$A:$A,0), MATCH($A81,'Fund YTD Target Values'!$1:$1,0)),0)</f>
        <v>341033.2876</v>
      </c>
      <c r="S81" s="52">
        <f>IFERROR(__xludf.DUMMYFUNCTION("IFERROR(sum(FILTER('Fund Data'!$V:$V, 'Fund Data'!$C:$C = $C81, 'Fund Data'!$A:$A &lt; $A81)),0) + IFERROR(sum(FILTER('Fund Data'!$V:$V, 'Fund Data'!$C:$C = $C81, 'Fund Data'!$A:$A = $A81, 'Fund Data'!$B:$B &lt;= $B81)),0)"),275713.7)</f>
        <v>275713.7</v>
      </c>
      <c r="T81" s="123">
        <v>271748.0</v>
      </c>
      <c r="U81" s="44">
        <f t="shared" si="12"/>
        <v>3965.7</v>
      </c>
      <c r="V81" s="44">
        <f t="shared" si="3"/>
        <v>750</v>
      </c>
      <c r="W81" s="123"/>
      <c r="X81" s="123"/>
      <c r="Y81" s="123">
        <v>0.0</v>
      </c>
      <c r="Z81" s="123">
        <v>0.0</v>
      </c>
      <c r="AA81" s="123">
        <v>0.0</v>
      </c>
      <c r="AB81" s="123"/>
      <c r="AC81" s="123">
        <v>0.0</v>
      </c>
      <c r="AD81" s="44">
        <f t="shared" si="7"/>
        <v>-5000</v>
      </c>
      <c r="AE81" s="123">
        <v>0.0</v>
      </c>
    </row>
    <row r="82">
      <c r="A82" s="120">
        <v>2009.0</v>
      </c>
      <c r="B82" s="121">
        <v>12.0</v>
      </c>
      <c r="C82" s="122" t="s">
        <v>27</v>
      </c>
      <c r="D82" s="123">
        <v>1000.0</v>
      </c>
      <c r="E82" s="123">
        <v>7520.19</v>
      </c>
      <c r="F82" s="123">
        <v>-5000.0</v>
      </c>
      <c r="G82" s="123"/>
      <c r="H82" s="123">
        <v>-1528.85</v>
      </c>
      <c r="I82" s="44"/>
      <c r="J82" s="44"/>
      <c r="K82" s="123">
        <v>-3.24</v>
      </c>
      <c r="L82" s="123">
        <v>44892.36</v>
      </c>
      <c r="M82" s="44"/>
      <c r="N82" s="44"/>
      <c r="O82" s="123">
        <v>288251.0</v>
      </c>
      <c r="P82" s="52">
        <f t="shared" si="1"/>
        <v>288253.12</v>
      </c>
      <c r="Q82" s="124">
        <f t="shared" si="2"/>
        <v>-2.12</v>
      </c>
      <c r="R82" s="52">
        <f t="array" ref="R82">IFERROR(INDEX('Fund YTD Target Values'!$1:$1000, MATCH($C82,'Fund YTD Target Values'!$A:$A,0), MATCH($A82,'Fund YTD Target Values'!$1:$1,0)),0)</f>
        <v>334778.46</v>
      </c>
      <c r="S82" s="52">
        <f>IFERROR(__xludf.DUMMYFUNCTION("IFERROR(sum(FILTER('Fund Data'!$V:$V, 'Fund Data'!$C:$C = $C82, 'Fund Data'!$A:$A &lt; $A82)),0) + IFERROR(sum(FILTER('Fund Data'!$V:$V, 'Fund Data'!$C:$C = $C82, 'Fund Data'!$A:$A = $A82, 'Fund Data'!$B:$B &lt;= $B82)),0)"),274963.7)</f>
        <v>274963.7</v>
      </c>
      <c r="T82" s="123">
        <v>270998.0</v>
      </c>
      <c r="U82" s="44">
        <f t="shared" si="12"/>
        <v>3965.7</v>
      </c>
      <c r="V82" s="44">
        <f t="shared" si="3"/>
        <v>1000</v>
      </c>
      <c r="W82" s="123"/>
      <c r="X82" s="123"/>
      <c r="Y82" s="123">
        <v>0.0</v>
      </c>
      <c r="Z82" s="123">
        <v>0.0</v>
      </c>
      <c r="AA82" s="123">
        <v>0.0</v>
      </c>
      <c r="AB82" s="123"/>
      <c r="AC82" s="123">
        <v>0.0</v>
      </c>
      <c r="AD82" s="44">
        <f t="shared" si="7"/>
        <v>-5000</v>
      </c>
      <c r="AE82" s="123">
        <v>0.0</v>
      </c>
    </row>
    <row r="83">
      <c r="A83" s="120">
        <v>2008.0</v>
      </c>
      <c r="B83" s="121">
        <v>12.0</v>
      </c>
      <c r="C83" s="122" t="s">
        <v>27</v>
      </c>
      <c r="D83" s="123">
        <v>999.0</v>
      </c>
      <c r="E83" s="123">
        <v>7725.7</v>
      </c>
      <c r="F83" s="123">
        <v>-5000.0</v>
      </c>
      <c r="G83" s="123"/>
      <c r="H83" s="123">
        <v>-1740.06</v>
      </c>
      <c r="I83" s="44"/>
      <c r="J83" s="44"/>
      <c r="K83" s="44"/>
      <c r="L83" s="123">
        <v>-80103.41</v>
      </c>
      <c r="M83" s="44"/>
      <c r="N83" s="44"/>
      <c r="O83" s="123">
        <v>241371.0</v>
      </c>
      <c r="P83" s="52">
        <f t="shared" si="1"/>
        <v>241372.66</v>
      </c>
      <c r="Q83" s="124">
        <f t="shared" si="2"/>
        <v>-1.66</v>
      </c>
      <c r="R83" s="52">
        <f t="array" ref="R83">IFERROR(INDEX('Fund YTD Target Values'!$1:$1000, MATCH($C83,'Fund YTD Target Values'!$A:$A,0), MATCH($A83,'Fund YTD Target Values'!$1:$1,0)),0)</f>
        <v>334909.7853</v>
      </c>
      <c r="S83" s="52">
        <f>IFERROR(__xludf.DUMMYFUNCTION("IFERROR(sum(FILTER('Fund Data'!$V:$V, 'Fund Data'!$C:$C = $C83, 'Fund Data'!$A:$A &lt; $A83)),0) + IFERROR(sum(FILTER('Fund Data'!$V:$V, 'Fund Data'!$C:$C = $C83, 'Fund Data'!$A:$A = $A83, 'Fund Data'!$B:$B &lt;= $B83)),0)"),273963.7)</f>
        <v>273963.7</v>
      </c>
      <c r="T83" s="123">
        <v>269998.0</v>
      </c>
      <c r="U83" s="44">
        <f t="shared" si="12"/>
        <v>3965.7</v>
      </c>
      <c r="V83" s="44">
        <f t="shared" si="3"/>
        <v>999</v>
      </c>
      <c r="W83" s="123"/>
      <c r="X83" s="123"/>
      <c r="Y83" s="123">
        <v>0.0</v>
      </c>
      <c r="Z83" s="123">
        <v>0.0</v>
      </c>
      <c r="AA83" s="123">
        <v>0.0</v>
      </c>
      <c r="AB83" s="123"/>
      <c r="AC83" s="123">
        <v>0.0</v>
      </c>
      <c r="AD83" s="44">
        <f t="shared" si="7"/>
        <v>-5000</v>
      </c>
      <c r="AE83" s="123">
        <v>0.0</v>
      </c>
    </row>
    <row r="84">
      <c r="A84" s="120">
        <v>2007.0</v>
      </c>
      <c r="B84" s="121">
        <v>12.0</v>
      </c>
      <c r="C84" s="122" t="s">
        <v>27</v>
      </c>
      <c r="D84" s="123">
        <v>4842.0</v>
      </c>
      <c r="E84" s="123">
        <v>5294.49</v>
      </c>
      <c r="F84" s="123">
        <v>-40000.0</v>
      </c>
      <c r="G84" s="123"/>
      <c r="H84" s="123">
        <v>-1994.1</v>
      </c>
      <c r="I84" s="44"/>
      <c r="J84" s="123">
        <v>3993.09</v>
      </c>
      <c r="K84" s="44"/>
      <c r="L84" s="123">
        <v>23904.12</v>
      </c>
      <c r="M84" s="123">
        <v>-17.0</v>
      </c>
      <c r="N84" s="44"/>
      <c r="O84" s="123">
        <v>319389.0</v>
      </c>
      <c r="P84" s="52">
        <f t="shared" si="1"/>
        <v>319491.43</v>
      </c>
      <c r="Q84" s="124">
        <f t="shared" si="2"/>
        <v>-102.43</v>
      </c>
      <c r="R84" s="52">
        <f t="array" ref="R84">IFERROR(INDEX('Fund YTD Target Values'!$1:$1000, MATCH($C84,'Fund YTD Target Values'!$A:$A,0), MATCH($A84,'Fund YTD Target Values'!$1:$1,0)),0)</f>
        <v>321545.3322</v>
      </c>
      <c r="S84" s="52">
        <f>IFERROR(__xludf.DUMMYFUNCTION("IFERROR(sum(FILTER('Fund Data'!$V:$V, 'Fund Data'!$C:$C = $C84, 'Fund Data'!$A:$A &lt; $A84)),0) + IFERROR(sum(FILTER('Fund Data'!$V:$V, 'Fund Data'!$C:$C = $C84, 'Fund Data'!$A:$A = $A84, 'Fund Data'!$B:$B &lt;= $B84)),0)"),272964.7)</f>
        <v>272964.7</v>
      </c>
      <c r="T84" s="123">
        <v>268999.0</v>
      </c>
      <c r="U84" s="44">
        <f t="shared" si="12"/>
        <v>3965.7</v>
      </c>
      <c r="V84" s="44">
        <f t="shared" si="3"/>
        <v>4842</v>
      </c>
      <c r="W84" s="123"/>
      <c r="X84" s="123"/>
      <c r="Y84" s="123">
        <v>0.0</v>
      </c>
      <c r="Z84" s="123">
        <v>0.0</v>
      </c>
      <c r="AA84" s="123">
        <v>0.0</v>
      </c>
      <c r="AB84" s="123"/>
      <c r="AC84" s="123">
        <v>0.0</v>
      </c>
      <c r="AD84" s="44">
        <f t="shared" si="7"/>
        <v>-40000</v>
      </c>
      <c r="AE84" s="123">
        <v>0.0</v>
      </c>
    </row>
    <row r="85">
      <c r="A85" s="120">
        <v>2006.0</v>
      </c>
      <c r="B85" s="121">
        <v>12.0</v>
      </c>
      <c r="C85" s="122" t="s">
        <v>27</v>
      </c>
      <c r="D85" s="123">
        <f>6193.09+68700</f>
        <v>74893.09</v>
      </c>
      <c r="E85" s="123">
        <v>3926.87</v>
      </c>
      <c r="F85" s="123">
        <v>-15000.0</v>
      </c>
      <c r="G85" s="123"/>
      <c r="H85" s="123">
        <v>-1421.29</v>
      </c>
      <c r="I85" s="44"/>
      <c r="J85" s="123">
        <v>450.23</v>
      </c>
      <c r="K85" s="44"/>
      <c r="L85" s="123">
        <v>25814.19</v>
      </c>
      <c r="M85" s="123">
        <v>-641.87</v>
      </c>
      <c r="N85" s="44"/>
      <c r="O85" s="123">
        <v>323467.0</v>
      </c>
      <c r="P85" s="52">
        <f t="shared" si="1"/>
        <v>323468.83</v>
      </c>
      <c r="Q85" s="124">
        <f t="shared" si="2"/>
        <v>-1.83</v>
      </c>
      <c r="R85" s="52">
        <f t="array" ref="R85">IFERROR(INDEX('Fund YTD Target Values'!$1:$1000, MATCH($C85,'Fund YTD Target Values'!$A:$A,0), MATCH($A85,'Fund YTD Target Values'!$1:$1,0)),0)</f>
        <v>307920.3575</v>
      </c>
      <c r="S85" s="52">
        <f>IFERROR(__xludf.DUMMYFUNCTION("IFERROR(sum(FILTER('Fund Data'!$V:$V, 'Fund Data'!$C:$C = $C85, 'Fund Data'!$A:$A &lt; $A85)),0) + IFERROR(sum(FILTER('Fund Data'!$V:$V, 'Fund Data'!$C:$C = $C85, 'Fund Data'!$A:$A = $A85, 'Fund Data'!$B:$B &lt;= $B85)),0)"),268122.69999999995)</f>
        <v>268122.7</v>
      </c>
      <c r="T85" s="123">
        <v>264157.0</v>
      </c>
      <c r="U85" s="44">
        <f t="shared" si="12"/>
        <v>3965.7</v>
      </c>
      <c r="V85" s="44">
        <f t="shared" si="3"/>
        <v>74893.09</v>
      </c>
      <c r="W85" s="123"/>
      <c r="X85" s="123"/>
      <c r="Y85" s="123">
        <v>0.0</v>
      </c>
      <c r="Z85" s="123">
        <v>0.0</v>
      </c>
      <c r="AA85" s="123">
        <v>0.0</v>
      </c>
      <c r="AB85" s="123"/>
      <c r="AC85" s="123">
        <v>0.0</v>
      </c>
      <c r="AD85" s="44">
        <f t="shared" si="7"/>
        <v>-15000</v>
      </c>
      <c r="AE85" s="123">
        <v>0.0</v>
      </c>
    </row>
    <row r="86">
      <c r="A86" s="120">
        <v>2005.0</v>
      </c>
      <c r="B86" s="121">
        <v>12.0</v>
      </c>
      <c r="C86" s="122" t="s">
        <v>27</v>
      </c>
      <c r="D86" s="123">
        <v>11101.0</v>
      </c>
      <c r="E86" s="123">
        <v>4516.33</v>
      </c>
      <c r="F86" s="44"/>
      <c r="G86" s="123"/>
      <c r="H86" s="123">
        <v>-1182.84</v>
      </c>
      <c r="I86" s="44"/>
      <c r="J86" s="123">
        <v>29080.69</v>
      </c>
      <c r="K86" s="123">
        <v>-88.46</v>
      </c>
      <c r="L86" s="123">
        <v>-19869.24</v>
      </c>
      <c r="M86" s="123">
        <v>652.41</v>
      </c>
      <c r="N86" s="44"/>
      <c r="O86" s="123">
        <v>235446.0</v>
      </c>
      <c r="P86" s="52">
        <f t="shared" si="1"/>
        <v>235447.61</v>
      </c>
      <c r="Q86" s="124">
        <f t="shared" si="2"/>
        <v>-1.61</v>
      </c>
      <c r="R86" s="52">
        <f t="array" ref="R86">IFERROR(INDEX('Fund YTD Target Values'!$1:$1000, MATCH($C86,'Fund YTD Target Values'!$A:$A,0), MATCH($A86,'Fund YTD Target Values'!$1:$1,0)),0)</f>
        <v>225724.5806</v>
      </c>
      <c r="S86" s="52">
        <f>IFERROR(__xludf.DUMMYFUNCTION("IFERROR(sum(FILTER('Fund Data'!$V:$V, 'Fund Data'!$C:$C = $C86, 'Fund Data'!$A:$A &lt; $A86)),0) + IFERROR(sum(FILTER('Fund Data'!$V:$V, 'Fund Data'!$C:$C = $C86, 'Fund Data'!$A:$A = $A86, 'Fund Data'!$B:$B &lt;= $B86)),0)"),193229.61)</f>
        <v>193229.61</v>
      </c>
      <c r="T86" s="123">
        <v>189256.0</v>
      </c>
      <c r="U86" s="44">
        <f t="shared" si="12"/>
        <v>3973.61</v>
      </c>
      <c r="V86" s="44">
        <f t="shared" si="3"/>
        <v>11101</v>
      </c>
      <c r="W86" s="123"/>
      <c r="X86" s="123"/>
      <c r="Y86" s="123">
        <v>0.0</v>
      </c>
      <c r="Z86" s="123">
        <v>0.0</v>
      </c>
      <c r="AA86" s="123">
        <v>0.0</v>
      </c>
      <c r="AB86" s="123"/>
      <c r="AC86" s="123">
        <v>0.0</v>
      </c>
      <c r="AD86" s="44">
        <f t="shared" si="7"/>
        <v>0</v>
      </c>
      <c r="AE86" s="123">
        <v>0.0</v>
      </c>
    </row>
    <row r="87">
      <c r="A87" s="120">
        <v>2004.0</v>
      </c>
      <c r="B87" s="121">
        <v>12.0</v>
      </c>
      <c r="C87" s="122" t="s">
        <v>27</v>
      </c>
      <c r="D87" s="123">
        <v>9114.66</v>
      </c>
      <c r="E87" s="123">
        <v>7245.26</v>
      </c>
      <c r="F87" s="123">
        <v>-46500.0</v>
      </c>
      <c r="G87" s="123"/>
      <c r="H87" s="123">
        <v>-1047.36</v>
      </c>
      <c r="I87" s="123"/>
      <c r="J87" s="123">
        <v>9062.91</v>
      </c>
      <c r="K87" s="123">
        <v>-3252.68</v>
      </c>
      <c r="L87" s="123">
        <v>6825.6</v>
      </c>
      <c r="M87" s="123">
        <v>-11.73</v>
      </c>
      <c r="N87" s="123">
        <v>2582.0</v>
      </c>
      <c r="O87" s="123">
        <v>211236.0</v>
      </c>
      <c r="P87" s="52">
        <f t="shared" si="1"/>
        <v>211237.72</v>
      </c>
      <c r="Q87" s="124">
        <f t="shared" si="2"/>
        <v>-1.72</v>
      </c>
      <c r="R87" s="52">
        <f t="array" ref="R87">IFERROR(INDEX('Fund YTD Target Values'!$1:$1000, MATCH($C87,'Fund YTD Target Values'!$A:$A,0), MATCH($A87,'Fund YTD Target Values'!$1:$1,0)),0)</f>
        <v>207585.7246</v>
      </c>
      <c r="S87" s="52">
        <f>IFERROR(__xludf.DUMMYFUNCTION("IFERROR(sum(FILTER('Fund Data'!$V:$V, 'Fund Data'!$C:$C = $C87, 'Fund Data'!$A:$A &lt; $A87)),0) + IFERROR(sum(FILTER('Fund Data'!$V:$V, 'Fund Data'!$C:$C = $C87, 'Fund Data'!$A:$A = $A87, 'Fund Data'!$B:$B &lt;= $B87)),0)"),182128.61000000002)</f>
        <v>182128.61</v>
      </c>
      <c r="T87" s="123">
        <v>178135.0</v>
      </c>
      <c r="U87" s="44">
        <f t="shared" si="12"/>
        <v>3993.61</v>
      </c>
      <c r="V87" s="44">
        <f t="shared" si="3"/>
        <v>9114.66</v>
      </c>
      <c r="W87" s="123"/>
      <c r="X87" s="123"/>
      <c r="Y87" s="123">
        <v>0.0</v>
      </c>
      <c r="Z87" s="123">
        <v>0.0</v>
      </c>
      <c r="AA87" s="123">
        <v>0.0</v>
      </c>
      <c r="AB87" s="123"/>
      <c r="AC87" s="123">
        <v>0.0</v>
      </c>
      <c r="AD87" s="44">
        <f t="shared" si="7"/>
        <v>-46500</v>
      </c>
      <c r="AE87" s="123">
        <v>0.0</v>
      </c>
    </row>
    <row r="88">
      <c r="A88" s="120">
        <v>2003.0</v>
      </c>
      <c r="B88" s="121">
        <v>12.0</v>
      </c>
      <c r="C88" s="122" t="s">
        <v>27</v>
      </c>
      <c r="D88" s="123">
        <v>3000.0</v>
      </c>
      <c r="E88" s="123">
        <v>5282.41</v>
      </c>
      <c r="F88" s="123">
        <v>-6500.0</v>
      </c>
      <c r="G88" s="123"/>
      <c r="H88" s="123">
        <v>-790.93</v>
      </c>
      <c r="I88" s="123"/>
      <c r="J88" s="123">
        <v>22131.42</v>
      </c>
      <c r="K88" s="123">
        <v>-841.4</v>
      </c>
      <c r="L88" s="123">
        <v>24249.88</v>
      </c>
      <c r="M88" s="123">
        <v>9.42</v>
      </c>
      <c r="N88" s="123">
        <v>2249.13</v>
      </c>
      <c r="O88" s="123">
        <v>227217.0</v>
      </c>
      <c r="P88" s="52">
        <f t="shared" si="1"/>
        <v>227219.06</v>
      </c>
      <c r="Q88" s="124">
        <f t="shared" si="2"/>
        <v>-2.06</v>
      </c>
      <c r="R88" s="52">
        <f t="array" ref="R88">IFERROR(INDEX('Fund YTD Target Values'!$1:$1000, MATCH($C88,'Fund YTD Target Values'!$A:$A,0), MATCH($A88,'Fund YTD Target Values'!$1:$1,0)),0)</f>
        <v>193298.6593</v>
      </c>
      <c r="S88" s="52">
        <f>IFERROR(__xludf.DUMMYFUNCTION("IFERROR(sum(FILTER('Fund Data'!$V:$V, 'Fund Data'!$C:$C = $C88, 'Fund Data'!$A:$A &lt; $A88)),0) + IFERROR(sum(FILTER('Fund Data'!$V:$V, 'Fund Data'!$C:$C = $C88, 'Fund Data'!$A:$A = $A88, 'Fund Data'!$B:$B &lt;= $B88)),0)"),173013.95)</f>
        <v>173013.95</v>
      </c>
      <c r="T88" s="123">
        <v>169020.0</v>
      </c>
      <c r="U88" s="44">
        <f t="shared" si="12"/>
        <v>3993.95</v>
      </c>
      <c r="V88" s="44">
        <f t="shared" si="3"/>
        <v>3000</v>
      </c>
      <c r="W88" s="123"/>
      <c r="X88" s="123"/>
      <c r="Y88" s="123">
        <v>0.0</v>
      </c>
      <c r="Z88" s="123">
        <v>0.0</v>
      </c>
      <c r="AA88" s="123">
        <v>0.0</v>
      </c>
      <c r="AB88" s="123"/>
      <c r="AC88" s="123">
        <v>0.0</v>
      </c>
      <c r="AD88" s="44">
        <f t="shared" si="7"/>
        <v>-6500</v>
      </c>
      <c r="AE88" s="123">
        <v>0.0</v>
      </c>
    </row>
    <row r="89">
      <c r="A89" s="120">
        <v>2002.0</v>
      </c>
      <c r="B89" s="121">
        <v>12.0</v>
      </c>
      <c r="C89" s="122" t="s">
        <v>27</v>
      </c>
      <c r="D89" s="123">
        <v>16477.55</v>
      </c>
      <c r="E89" s="123">
        <v>4688.27</v>
      </c>
      <c r="F89" s="44"/>
      <c r="G89" s="123"/>
      <c r="H89" s="123">
        <v>-588.79</v>
      </c>
      <c r="I89" s="123"/>
      <c r="J89" s="123">
        <v>700.03</v>
      </c>
      <c r="K89" s="123">
        <v>-17733.49</v>
      </c>
      <c r="L89" s="123">
        <v>-9595.15</v>
      </c>
      <c r="M89" s="123">
        <v>0.94</v>
      </c>
      <c r="N89" s="123">
        <v>2295.03</v>
      </c>
      <c r="O89" s="123">
        <v>178427.0</v>
      </c>
      <c r="P89" s="52">
        <f t="shared" si="1"/>
        <v>178429.13</v>
      </c>
      <c r="Q89" s="124">
        <f t="shared" si="2"/>
        <v>-2.13</v>
      </c>
      <c r="R89" s="52">
        <f t="array" ref="R89">IFERROR(INDEX('Fund YTD Target Values'!$1:$1000, MATCH($C89,'Fund YTD Target Values'!$A:$A,0), MATCH($A89,'Fund YTD Target Values'!$1:$1,0)),0)</f>
        <v>186070.6341</v>
      </c>
      <c r="S89" s="52">
        <f>IFERROR(__xludf.DUMMYFUNCTION("IFERROR(sum(FILTER('Fund Data'!$V:$V, 'Fund Data'!$C:$C = $C89, 'Fund Data'!$A:$A &lt; $A89)),0) + IFERROR(sum(FILTER('Fund Data'!$V:$V, 'Fund Data'!$C:$C = $C89, 'Fund Data'!$A:$A = $A89, 'Fund Data'!$B:$B &lt;= $B89)),0)"),170013.94999999998)</f>
        <v>170013.95</v>
      </c>
      <c r="T89" s="123">
        <v>166005.0</v>
      </c>
      <c r="U89" s="44">
        <f t="shared" si="12"/>
        <v>4008.95</v>
      </c>
      <c r="V89" s="44">
        <f t="shared" si="3"/>
        <v>16477.55</v>
      </c>
      <c r="W89" s="123"/>
      <c r="X89" s="123"/>
      <c r="Y89" s="123">
        <v>0.0</v>
      </c>
      <c r="Z89" s="123">
        <v>0.0</v>
      </c>
      <c r="AA89" s="123">
        <v>0.0</v>
      </c>
      <c r="AB89" s="123"/>
      <c r="AC89" s="123">
        <v>0.0</v>
      </c>
      <c r="AD89" s="44">
        <f t="shared" si="7"/>
        <v>0</v>
      </c>
      <c r="AE89" s="123">
        <v>0.0</v>
      </c>
    </row>
    <row r="90">
      <c r="A90" s="120">
        <v>2001.0</v>
      </c>
      <c r="B90" s="121">
        <v>12.0</v>
      </c>
      <c r="C90" s="122" t="s">
        <v>27</v>
      </c>
      <c r="D90" s="123">
        <v>21805.53</v>
      </c>
      <c r="E90" s="123">
        <v>5035.49</v>
      </c>
      <c r="F90" s="123">
        <v>-2000.0</v>
      </c>
      <c r="G90" s="123"/>
      <c r="H90" s="123">
        <v>-514.19</v>
      </c>
      <c r="I90" s="123"/>
      <c r="J90" s="123">
        <v>466.47</v>
      </c>
      <c r="K90" s="123">
        <v>-6029.98</v>
      </c>
      <c r="L90" s="123">
        <v>-3729.63</v>
      </c>
      <c r="M90" s="123">
        <v>-347.25</v>
      </c>
      <c r="N90" s="123">
        <v>495.34</v>
      </c>
      <c r="O90" s="123">
        <v>182185.0</v>
      </c>
      <c r="P90" s="52">
        <f t="shared" si="1"/>
        <v>182184.74</v>
      </c>
      <c r="Q90" s="124">
        <f t="shared" si="2"/>
        <v>0.26</v>
      </c>
      <c r="R90" s="52">
        <f t="array" ref="R90">IFERROR(INDEX('Fund YTD Target Values'!$1:$1000, MATCH($C90,'Fund YTD Target Values'!$A:$A,0), MATCH($A90,'Fund YTD Target Values'!$1:$1,0)),0)</f>
        <v>166946.001</v>
      </c>
      <c r="S90" s="52">
        <f>IFERROR(__xludf.DUMMYFUNCTION("IFERROR(sum(FILTER('Fund Data'!$V:$V, 'Fund Data'!$C:$C = $C90, 'Fund Data'!$A:$A &lt; $A90)),0) + IFERROR(sum(FILTER('Fund Data'!$V:$V, 'Fund Data'!$C:$C = $C90, 'Fund Data'!$A:$A = $A90, 'Fund Data'!$B:$B &lt;= $B90)),0)"),153536.4)</f>
        <v>153536.4</v>
      </c>
      <c r="T90" s="44"/>
      <c r="U90" s="44"/>
      <c r="V90" s="44">
        <f t="shared" si="3"/>
        <v>21805.53</v>
      </c>
      <c r="W90" s="123"/>
      <c r="X90" s="123"/>
      <c r="Y90" s="123">
        <v>0.0</v>
      </c>
      <c r="Z90" s="123">
        <v>0.0</v>
      </c>
      <c r="AA90" s="123">
        <v>0.0</v>
      </c>
      <c r="AB90" s="123"/>
      <c r="AC90" s="123">
        <v>0.0</v>
      </c>
      <c r="AD90" s="44">
        <f t="shared" si="7"/>
        <v>-2000</v>
      </c>
      <c r="AE90" s="123">
        <v>0.0</v>
      </c>
    </row>
    <row r="91">
      <c r="A91" s="120">
        <v>2000.0</v>
      </c>
      <c r="B91" s="121">
        <v>12.0</v>
      </c>
      <c r="C91" s="122" t="s">
        <v>27</v>
      </c>
      <c r="D91" s="123">
        <v>20617.0</v>
      </c>
      <c r="E91" s="123">
        <v>3825.35</v>
      </c>
      <c r="F91" s="123">
        <v>-7000.0</v>
      </c>
      <c r="G91" s="123"/>
      <c r="H91" s="123">
        <v>-508.31</v>
      </c>
      <c r="I91" s="123"/>
      <c r="J91" s="44"/>
      <c r="K91" s="123">
        <v>-1250.88</v>
      </c>
      <c r="L91" s="123">
        <v>-15806.44</v>
      </c>
      <c r="M91" s="123">
        <v>320.42</v>
      </c>
      <c r="N91" s="123">
        <v>14444.69</v>
      </c>
      <c r="O91" s="123">
        <v>167003.0</v>
      </c>
      <c r="P91" s="52">
        <f t="shared" si="1"/>
        <v>167002.96</v>
      </c>
      <c r="Q91" s="124">
        <f t="shared" si="2"/>
        <v>0.04000000001</v>
      </c>
      <c r="R91" s="52">
        <f t="array" ref="R91">IFERROR(INDEX('Fund YTD Target Values'!$1:$1000, MATCH($C91,'Fund YTD Target Values'!$A:$A,0), MATCH($A91,'Fund YTD Target Values'!$1:$1,0)),0)</f>
        <v>141143.6844</v>
      </c>
      <c r="S91" s="52">
        <f>IFERROR(__xludf.DUMMYFUNCTION("IFERROR(sum(FILTER('Fund Data'!$V:$V, 'Fund Data'!$C:$C = $C91, 'Fund Data'!$A:$A &lt; $A91)),0) + IFERROR(sum(FILTER('Fund Data'!$V:$V, 'Fund Data'!$C:$C = $C91, 'Fund Data'!$A:$A = $A91, 'Fund Data'!$B:$B &lt;= $B91)),0)"),131730.87)</f>
        <v>131730.87</v>
      </c>
      <c r="T91" s="44"/>
      <c r="U91" s="44"/>
      <c r="V91" s="44">
        <f t="shared" si="3"/>
        <v>20617</v>
      </c>
      <c r="W91" s="123"/>
      <c r="X91" s="123"/>
      <c r="Y91" s="123">
        <v>0.0</v>
      </c>
      <c r="Z91" s="123">
        <v>0.0</v>
      </c>
      <c r="AA91" s="123">
        <v>0.0</v>
      </c>
      <c r="AB91" s="123"/>
      <c r="AC91" s="123">
        <v>0.0</v>
      </c>
      <c r="AD91" s="44">
        <f t="shared" si="7"/>
        <v>-7000</v>
      </c>
      <c r="AE91" s="123">
        <v>0.0</v>
      </c>
    </row>
    <row r="92">
      <c r="A92" s="120">
        <v>1999.0</v>
      </c>
      <c r="B92" s="121">
        <v>12.0</v>
      </c>
      <c r="C92" s="122" t="s">
        <v>27</v>
      </c>
      <c r="D92" s="123">
        <v>8100.0</v>
      </c>
      <c r="E92" s="123">
        <v>3839.77</v>
      </c>
      <c r="F92" s="44"/>
      <c r="G92" s="123">
        <v>123.0</v>
      </c>
      <c r="H92" s="123">
        <v>-378.93</v>
      </c>
      <c r="I92" s="123"/>
      <c r="J92" s="123">
        <v>3542.68</v>
      </c>
      <c r="K92" s="123">
        <v>-1734.67</v>
      </c>
      <c r="L92" s="123">
        <v>1244.0</v>
      </c>
      <c r="M92" s="123">
        <v>-22.76</v>
      </c>
      <c r="N92" s="123">
        <v>8446.48</v>
      </c>
      <c r="O92" s="123">
        <v>152361.0</v>
      </c>
      <c r="P92" s="52">
        <f t="shared" si="1"/>
        <v>152361.13</v>
      </c>
      <c r="Q92" s="124">
        <f t="shared" si="2"/>
        <v>-0.13</v>
      </c>
      <c r="R92" s="52">
        <f t="array" ref="R92">IFERROR(INDEX('Fund YTD Target Values'!$1:$1000, MATCH($C92,'Fund YTD Target Values'!$A:$A,0), MATCH($A92,'Fund YTD Target Values'!$1:$1,0)),0)</f>
        <v>116590.5422</v>
      </c>
      <c r="S92" s="52">
        <f>IFERROR(__xludf.DUMMYFUNCTION("IFERROR(sum(FILTER('Fund Data'!$V:$V, 'Fund Data'!$C:$C = $C92, 'Fund Data'!$A:$A &lt; $A92)),0) + IFERROR(sum(FILTER('Fund Data'!$V:$V, 'Fund Data'!$C:$C = $C92, 'Fund Data'!$A:$A = $A92, 'Fund Data'!$B:$B &lt;= $B92)),0)"),111113.87)</f>
        <v>111113.87</v>
      </c>
      <c r="T92" s="44"/>
      <c r="U92" s="44"/>
      <c r="V92" s="44">
        <f t="shared" si="3"/>
        <v>8100</v>
      </c>
      <c r="W92" s="123"/>
      <c r="X92" s="123"/>
      <c r="Y92" s="123">
        <v>0.0</v>
      </c>
      <c r="Z92" s="123">
        <v>0.0</v>
      </c>
      <c r="AA92" s="123">
        <v>0.0</v>
      </c>
      <c r="AB92" s="123"/>
      <c r="AC92" s="123">
        <v>0.0</v>
      </c>
      <c r="AD92" s="44">
        <f t="shared" si="7"/>
        <v>0</v>
      </c>
      <c r="AE92" s="123">
        <v>0.0</v>
      </c>
    </row>
    <row r="93">
      <c r="A93" s="120">
        <v>1998.0</v>
      </c>
      <c r="B93" s="121">
        <v>12.0</v>
      </c>
      <c r="C93" s="122" t="s">
        <v>27</v>
      </c>
      <c r="D93" s="123">
        <v>22714.87</v>
      </c>
      <c r="E93" s="123">
        <v>3039.91</v>
      </c>
      <c r="F93" s="123">
        <v>-2000.0</v>
      </c>
      <c r="G93" s="123"/>
      <c r="H93" s="44"/>
      <c r="I93" s="123"/>
      <c r="J93" s="123">
        <v>2081.03</v>
      </c>
      <c r="K93" s="44"/>
      <c r="L93" s="123">
        <v>5451.28</v>
      </c>
      <c r="M93" s="123">
        <v>49.85</v>
      </c>
      <c r="N93" s="123">
        <v>3732.14</v>
      </c>
      <c r="O93" s="123">
        <v>129201.0</v>
      </c>
      <c r="P93" s="52">
        <f t="shared" si="1"/>
        <v>129201.56</v>
      </c>
      <c r="Q93" s="124">
        <f t="shared" si="2"/>
        <v>-0.56</v>
      </c>
      <c r="R93" s="52">
        <f t="array" ref="R93">IFERROR(INDEX('Fund YTD Target Values'!$1:$1000, MATCH($C93,'Fund YTD Target Values'!$A:$A,0), MATCH($A93,'Fund YTD Target Values'!$1:$1,0)),0)</f>
        <v>106169.2928</v>
      </c>
      <c r="S93" s="52">
        <f>IFERROR(__xludf.DUMMYFUNCTION("IFERROR(sum(FILTER('Fund Data'!$V:$V, 'Fund Data'!$C:$C = $C93, 'Fund Data'!$A:$A &lt; $A93)),0) + IFERROR(sum(FILTER('Fund Data'!$V:$V, 'Fund Data'!$C:$C = $C93, 'Fund Data'!$A:$A = $A93, 'Fund Data'!$B:$B &lt;= $B93)),0)"),103013.87)</f>
        <v>103013.87</v>
      </c>
      <c r="T93" s="44"/>
      <c r="U93" s="44"/>
      <c r="V93" s="44">
        <f t="shared" si="3"/>
        <v>22714.87</v>
      </c>
      <c r="W93" s="123"/>
      <c r="X93" s="123"/>
      <c r="Y93" s="123">
        <v>0.0</v>
      </c>
      <c r="Z93" s="123">
        <v>0.0</v>
      </c>
      <c r="AA93" s="123">
        <v>0.0</v>
      </c>
      <c r="AB93" s="123"/>
      <c r="AC93" s="123">
        <v>0.0</v>
      </c>
      <c r="AD93" s="44">
        <f t="shared" si="7"/>
        <v>-2000</v>
      </c>
      <c r="AE93" s="123">
        <v>0.0</v>
      </c>
    </row>
    <row r="94">
      <c r="A94" s="120">
        <v>1997.0</v>
      </c>
      <c r="B94" s="121">
        <v>12.0</v>
      </c>
      <c r="C94" s="122" t="s">
        <v>27</v>
      </c>
      <c r="D94" s="123"/>
      <c r="E94" s="123">
        <v>3099.99</v>
      </c>
      <c r="F94" s="123">
        <v>-2500.0</v>
      </c>
      <c r="G94" s="123"/>
      <c r="H94" s="44"/>
      <c r="I94" s="123"/>
      <c r="J94" s="123">
        <v>51.45</v>
      </c>
      <c r="K94" s="123">
        <v>-180.58</v>
      </c>
      <c r="L94" s="123">
        <v>10959.0</v>
      </c>
      <c r="M94" s="123">
        <v>-4.0</v>
      </c>
      <c r="N94" s="123">
        <v>1969.62</v>
      </c>
      <c r="O94" s="123">
        <v>94132.0</v>
      </c>
      <c r="P94" s="52">
        <f t="shared" si="1"/>
        <v>94132.48</v>
      </c>
      <c r="Q94" s="124">
        <f t="shared" si="2"/>
        <v>-0.48</v>
      </c>
      <c r="R94" s="52">
        <f t="array" ref="R94">IFERROR(INDEX('Fund YTD Target Values'!$1:$1000, MATCH($C94,'Fund YTD Target Values'!$A:$A,0), MATCH($A94,'Fund YTD Target Values'!$1:$1,0)),0)</f>
        <v>82178.80461</v>
      </c>
      <c r="S94" s="52">
        <f>IFERROR(__xludf.DUMMYFUNCTION("IFERROR(sum(FILTER('Fund Data'!$V:$V, 'Fund Data'!$C:$C = $C94, 'Fund Data'!$A:$A &lt; $A94)),0) + IFERROR(sum(FILTER('Fund Data'!$V:$V, 'Fund Data'!$C:$C = $C94, 'Fund Data'!$A:$A = $A94, 'Fund Data'!$B:$B &lt;= $B94)),0)"),80299.0)</f>
        <v>80299</v>
      </c>
      <c r="T94" s="44"/>
      <c r="U94" s="44"/>
      <c r="V94" s="44">
        <f t="shared" si="3"/>
        <v>0</v>
      </c>
      <c r="W94" s="123"/>
      <c r="X94" s="123"/>
      <c r="Y94" s="123">
        <v>0.0</v>
      </c>
      <c r="Z94" s="123">
        <v>0.0</v>
      </c>
      <c r="AA94" s="123">
        <v>0.0</v>
      </c>
      <c r="AB94" s="123"/>
      <c r="AC94" s="123">
        <v>0.0</v>
      </c>
      <c r="AD94" s="44">
        <f t="shared" si="7"/>
        <v>-2500</v>
      </c>
      <c r="AE94" s="123">
        <v>0.0</v>
      </c>
    </row>
    <row r="95">
      <c r="A95" s="120">
        <v>1996.0</v>
      </c>
      <c r="B95" s="121">
        <v>12.0</v>
      </c>
      <c r="C95" s="122" t="s">
        <v>27</v>
      </c>
      <c r="D95" s="123">
        <v>80299.0</v>
      </c>
      <c r="E95" s="123">
        <v>4732.0</v>
      </c>
      <c r="F95" s="123">
        <v>-3000.0</v>
      </c>
      <c r="G95" s="123"/>
      <c r="H95" s="123">
        <v>-129.0</v>
      </c>
      <c r="I95" s="44"/>
      <c r="J95" s="44"/>
      <c r="K95" s="123">
        <v>-507.0</v>
      </c>
      <c r="L95" s="123">
        <v>-644.0</v>
      </c>
      <c r="M95" s="123">
        <v>-14.0</v>
      </c>
      <c r="N95" s="44"/>
      <c r="O95" s="123">
        <v>80737.0</v>
      </c>
      <c r="P95" s="52">
        <f t="shared" si="1"/>
        <v>80737</v>
      </c>
      <c r="Q95" s="124">
        <f t="shared" si="2"/>
        <v>0</v>
      </c>
      <c r="R95" s="52">
        <f t="array" ref="R95">IFERROR(INDEX('Fund YTD Target Values'!$1:$1000, MATCH($C95,'Fund YTD Target Values'!$A:$A,0), MATCH($A95,'Fund YTD Target Values'!$1:$1,0)),0)</f>
        <v>80299</v>
      </c>
      <c r="S95" s="52">
        <f>IFERROR(__xludf.DUMMYFUNCTION("IFERROR(sum(FILTER('Fund Data'!$V:$V, 'Fund Data'!$C:$C = $C95, 'Fund Data'!$A:$A &lt; $A95)),0) + IFERROR(sum(FILTER('Fund Data'!$V:$V, 'Fund Data'!$C:$C = $C95, 'Fund Data'!$A:$A = $A95, 'Fund Data'!$B:$B &lt;= $B95)),0)"),80299.0)</f>
        <v>80299</v>
      </c>
      <c r="T95" s="44"/>
      <c r="U95" s="44"/>
      <c r="V95" s="44">
        <f t="shared" si="3"/>
        <v>80299</v>
      </c>
      <c r="W95" s="123"/>
      <c r="X95" s="123"/>
      <c r="Y95" s="123">
        <v>0.0</v>
      </c>
      <c r="Z95" s="123">
        <v>0.0</v>
      </c>
      <c r="AA95" s="123">
        <v>0.0</v>
      </c>
      <c r="AB95" s="123"/>
      <c r="AC95" s="123">
        <v>0.0</v>
      </c>
      <c r="AD95" s="44">
        <f t="shared" si="7"/>
        <v>-3000</v>
      </c>
      <c r="AE95" s="123">
        <v>0.0</v>
      </c>
    </row>
    <row r="96">
      <c r="A96" s="120">
        <v>2019.0</v>
      </c>
      <c r="B96" s="121">
        <v>6.0</v>
      </c>
      <c r="C96" s="122" t="s">
        <v>25</v>
      </c>
      <c r="D96" s="44"/>
      <c r="E96" s="123">
        <v>998.44</v>
      </c>
      <c r="F96" s="44"/>
      <c r="G96" s="44"/>
      <c r="H96" s="123">
        <v>-225.54</v>
      </c>
      <c r="I96" s="44"/>
      <c r="J96" s="44"/>
      <c r="K96" s="44"/>
      <c r="L96" s="123">
        <v>7829.32</v>
      </c>
      <c r="M96" s="44"/>
      <c r="N96" s="44"/>
      <c r="O96" s="123">
        <v>83440.2</v>
      </c>
      <c r="P96" s="52">
        <f t="shared" si="1"/>
        <v>83440.19</v>
      </c>
      <c r="Q96" s="124">
        <f t="shared" si="2"/>
        <v>0.009999999995</v>
      </c>
      <c r="R96" s="52">
        <f t="array" ref="R96">IFERROR(INDEX('Fund YTD Target Values'!$1:$1000, MATCH($C96,'Fund YTD Target Values'!$A:$A,0), MATCH($A96,'Fund YTD Target Values'!$1:$1,0)),0)</f>
        <v>111079.3858</v>
      </c>
      <c r="S96" s="52">
        <f>IFERROR(__xludf.DUMMYFUNCTION("IFERROR(sum(FILTER('Fund Data'!$V:$V, 'Fund Data'!$C:$C = $C96, 'Fund Data'!$A:$A &lt; $A96)),0) + IFERROR(sum(FILTER('Fund Data'!$V:$V, 'Fund Data'!$C:$C = $C96, 'Fund Data'!$A:$A = $A96, 'Fund Data'!$B:$B &lt;= $B96)),0)"),81000.0)</f>
        <v>81000</v>
      </c>
      <c r="T96" s="123">
        <v>81000.0</v>
      </c>
      <c r="U96" s="44">
        <f t="shared" ref="U96:U140" si="13">S96-T96</f>
        <v>0</v>
      </c>
      <c r="V96" s="44">
        <f t="shared" si="3"/>
        <v>0</v>
      </c>
      <c r="W96" s="52">
        <f>IFERROR(__xludf.DUMMYFUNCTION("iFERROR((FILTER('Fund Data'!$Y:$Y, 'Fund Data'!$C:$C = $C96, 'Fund Data'!$A:$A = $A96 - 1, 'Fund Data'!$B:$B = 12) + FILTER('Fund Data'!$AA:$AA, 'Fund Data'!$C:$C = $C96, 'Fund Data'!$A:$A = $A96 - 1, 'Fund Data'!$B:$B = 12)) * (1 + AVERAGE(FILTER('Inflat"&amp;"ion Data'!$C:$C,'Inflation Data'!$A:$A = ($A96 - 2)))) * 'Parameters and Distribution Sum'!$A$4,0)"),3251.4512616945367)</f>
        <v>3251.451262</v>
      </c>
      <c r="X96" s="52">
        <f>IFERROR(__xludf.DUMMYFUNCTION("IFERROR((IFERROR(FILTER('Fund Data'!$P:$P,'Fund Data'!$C:$C = $C96,'Fund Data'!$A:$A = ($A96 - 2), 'Fund Data'!$B:$B = 12),0) - SUM(FILTER('Fund Data'!$V:$V, 'Fund Data'!$C:$C = $C96, 'Fund Data'!$A:$A = ($A96 - 2), 'Fund Data'!$B:$B &gt; 3)))  * 'Parameters"&amp;" and Distribution Sum'!$B$4 * (1 - 'Parameters and Distribution Sum'!$A$4),0)"),1364.3954550000003)</f>
        <v>1364.395455</v>
      </c>
      <c r="Y96" s="52">
        <f t="shared" ref="Y96:Y101" si="14">sum($W96:$X96)</f>
        <v>4615.846717</v>
      </c>
      <c r="Z96" s="52">
        <f>IFERROR(__xludf.DUMMYFUNCTION("((IFERROR((SUM(FILTER('Fund Data'!$V:$V, 'Fund Data'!$C:$C = $C96, 'Fund Data'!$A:$A = $A96 - 1, 'Fund Data'!$B:$B &gt;= 4, 'Fund Data'!$B:$B &lt;= ($B96 + 5))) / 12) * ($B96 - 3) * 'Parameters and Distribution Sum'!$B$4, 0) + IF($B96 &gt;= 9, IFERROR(SUM(FILTER('"&amp;"Fund Data'!$V:$V, 'Fund Data'!$C:$C = $C96, 'Fund Data'!$A:$A = $A96, 'Fund Data'!$B:$B &lt;= 3)) * 'Parameters and Distribution Sum'!$B$4, 0),0)))"),0.0)</f>
        <v>0</v>
      </c>
      <c r="AA96" s="44">
        <f>IFERROR(__xludf.DUMMYFUNCTION("IFERROR(((IFERROR(SUM(FILTER('Fund Data'!$V:$V, 'Fund Data'!$C:$C = $C96, 'Fund Data'!$A:$A = $A96 - 2, 'Fund Data'!$B:$B &gt;= 4)) * 'Parameters and Distribution Sum'!$B$4,0) + IFERROR(SUM(FILTER('Fund Data'!$V:$V, 'Fund Data'!$C:$C = $C96, 'Fund Data'!$A:$"&amp;"A = $A96 - 1, 'Fund Data'!$B:$B &lt;= 3)) * 'Parameters and Distribution Sum'!$B$4,0))),0)"),0.0)</f>
        <v>0</v>
      </c>
      <c r="AB96" s="44">
        <f t="shared" ref="AB96:AB102" si="15">IFERROR(__xludf.DUMMYFUNCTION("IFERROR(FILTER($AE:$AE,$C:$C = $C96,$A:$A = $A96 - 1,$B:$B = 12),0)"),0.0)</f>
        <v>0</v>
      </c>
      <c r="AC96" s="44">
        <f t="shared" ref="AC96:AC102" si="16">sum($Y96:$AB96)</f>
        <v>4615.846717</v>
      </c>
      <c r="AD96" s="44">
        <f t="shared" si="7"/>
        <v>4615.846717</v>
      </c>
      <c r="AE96" s="44"/>
    </row>
    <row r="97">
      <c r="A97" s="120">
        <v>2019.0</v>
      </c>
      <c r="B97" s="121">
        <v>5.0</v>
      </c>
      <c r="C97" s="122" t="s">
        <v>25</v>
      </c>
      <c r="D97" s="44"/>
      <c r="E97" s="123">
        <v>910.96</v>
      </c>
      <c r="F97" s="44"/>
      <c r="G97" s="44"/>
      <c r="H97" s="123">
        <v>-187.65</v>
      </c>
      <c r="I97" s="44"/>
      <c r="J97" s="44"/>
      <c r="K97" s="44"/>
      <c r="L97" s="123">
        <v>4679.27</v>
      </c>
      <c r="M97" s="44"/>
      <c r="N97" s="44"/>
      <c r="O97" s="123">
        <v>80240.56</v>
      </c>
      <c r="P97" s="52">
        <f t="shared" si="1"/>
        <v>80240.55</v>
      </c>
      <c r="Q97" s="124">
        <f t="shared" si="2"/>
        <v>0.009999999995</v>
      </c>
      <c r="R97" s="52">
        <f t="array" ref="R97">IFERROR(INDEX('Fund YTD Target Values'!$1:$1000, MATCH($C97,'Fund YTD Target Values'!$A:$A,0), MATCH($A97,'Fund YTD Target Values'!$1:$1,0)),0)</f>
        <v>111079.3858</v>
      </c>
      <c r="S97" s="52">
        <f>IFERROR(__xludf.DUMMYFUNCTION("IFERROR(sum(FILTER('Fund Data'!$V:$V, 'Fund Data'!$C:$C = $C97, 'Fund Data'!$A:$A &lt; $A97)),0) + IFERROR(sum(FILTER('Fund Data'!$V:$V, 'Fund Data'!$C:$C = $C97, 'Fund Data'!$A:$A = $A97, 'Fund Data'!$B:$B &lt;= $B97)),0)"),81000.0)</f>
        <v>81000</v>
      </c>
      <c r="T97" s="123">
        <v>81000.0</v>
      </c>
      <c r="U97" s="44">
        <f t="shared" si="13"/>
        <v>0</v>
      </c>
      <c r="V97" s="44">
        <f t="shared" si="3"/>
        <v>0</v>
      </c>
      <c r="W97" s="52">
        <f>IFERROR(__xludf.DUMMYFUNCTION("iFERROR((FILTER('Fund Data'!$Y:$Y, 'Fund Data'!$C:$C = $C97, 'Fund Data'!$A:$A = $A97 - 1, 'Fund Data'!$B:$B = 12) + FILTER('Fund Data'!$AA:$AA, 'Fund Data'!$C:$C = $C97, 'Fund Data'!$A:$A = $A97 - 1, 'Fund Data'!$B:$B = 12)) * (1 + AVERAGE(FILTER('Inflat"&amp;"ion Data'!$C:$C,'Inflation Data'!$A:$A = ($A97 - 2)))) * 'Parameters and Distribution Sum'!$A$4,0)"),3251.4512616945367)</f>
        <v>3251.451262</v>
      </c>
      <c r="X97" s="52">
        <f>IFERROR(__xludf.DUMMYFUNCTION("IFERROR((IFERROR(FILTER('Fund Data'!$P:$P,'Fund Data'!$C:$C = $C97,'Fund Data'!$A:$A = ($A97 - 2), 'Fund Data'!$B:$B = 12),0) - SUM(FILTER('Fund Data'!$V:$V, 'Fund Data'!$C:$C = $C97, 'Fund Data'!$A:$A = ($A97 - 2), 'Fund Data'!$B:$B &gt; 3)))  * 'Parameters"&amp;" and Distribution Sum'!$B$4 * (1 - 'Parameters and Distribution Sum'!$A$4),0)"),1364.3954550000003)</f>
        <v>1364.395455</v>
      </c>
      <c r="Y97" s="52">
        <f t="shared" si="14"/>
        <v>4615.846717</v>
      </c>
      <c r="Z97" s="52">
        <f>IFERROR(__xludf.DUMMYFUNCTION("((IFERROR((SUM(FILTER('Fund Data'!$V:$V, 'Fund Data'!$C:$C = $C97, 'Fund Data'!$A:$A = $A97 - 1, 'Fund Data'!$B:$B &gt;= 4, 'Fund Data'!$B:$B &lt;= ($B97 + 5))) / 12) * ($B97 - 3) * 'Parameters and Distribution Sum'!$B$4, 0) + IF($B97 &gt;= 9, IFERROR(SUM(FILTER('"&amp;"Fund Data'!$V:$V, 'Fund Data'!$C:$C = $C97, 'Fund Data'!$A:$A = $A97, 'Fund Data'!$B:$B &lt;= 3)) * 'Parameters and Distribution Sum'!$B$4, 0),0)))"),0.0)</f>
        <v>0</v>
      </c>
      <c r="AA97" s="44">
        <f>IFERROR(__xludf.DUMMYFUNCTION("IFERROR(((IFERROR(SUM(FILTER('Fund Data'!$V:$V, 'Fund Data'!$C:$C = $C97, 'Fund Data'!$A:$A = $A97 - 2, 'Fund Data'!$B:$B &gt;= 4)) * 'Parameters and Distribution Sum'!$B$4,0) + IFERROR(SUM(FILTER('Fund Data'!$V:$V, 'Fund Data'!$C:$C = $C97, 'Fund Data'!$A:$"&amp;"A = $A97 - 1, 'Fund Data'!$B:$B &lt;= 3)) * 'Parameters and Distribution Sum'!$B$4,0))),0)"),0.0)</f>
        <v>0</v>
      </c>
      <c r="AB97" s="44">
        <f t="shared" si="15"/>
        <v>0</v>
      </c>
      <c r="AC97" s="44">
        <f t="shared" si="16"/>
        <v>4615.846717</v>
      </c>
      <c r="AD97" s="44">
        <f t="shared" si="7"/>
        <v>4615.846717</v>
      </c>
      <c r="AE97" s="44"/>
    </row>
    <row r="98">
      <c r="A98" s="120">
        <v>2019.0</v>
      </c>
      <c r="B98" s="121">
        <v>4.0</v>
      </c>
      <c r="C98" s="122" t="s">
        <v>25</v>
      </c>
      <c r="D98" s="44"/>
      <c r="E98" s="123">
        <v>839.56</v>
      </c>
      <c r="F98" s="44"/>
      <c r="G98" s="44"/>
      <c r="H98" s="123">
        <v>-148.73</v>
      </c>
      <c r="I98" s="44"/>
      <c r="J98" s="44"/>
      <c r="K98" s="44"/>
      <c r="L98" s="123">
        <v>7861.85</v>
      </c>
      <c r="M98" s="44"/>
      <c r="N98" s="44"/>
      <c r="O98" s="123">
        <v>83391.0</v>
      </c>
      <c r="P98" s="52">
        <f t="shared" si="1"/>
        <v>83390.65</v>
      </c>
      <c r="Q98" s="124">
        <f t="shared" si="2"/>
        <v>0.35</v>
      </c>
      <c r="R98" s="52">
        <f t="array" ref="R98">IFERROR(INDEX('Fund YTD Target Values'!$1:$1000, MATCH($C98,'Fund YTD Target Values'!$A:$A,0), MATCH($A98,'Fund YTD Target Values'!$1:$1,0)),0)</f>
        <v>111079.3858</v>
      </c>
      <c r="S98" s="52">
        <f>IFERROR(__xludf.DUMMYFUNCTION("IFERROR(sum(FILTER('Fund Data'!$V:$V, 'Fund Data'!$C:$C = $C98, 'Fund Data'!$A:$A &lt; $A98)),0) + IFERROR(sum(FILTER('Fund Data'!$V:$V, 'Fund Data'!$C:$C = $C98, 'Fund Data'!$A:$A = $A98, 'Fund Data'!$B:$B &lt;= $B98)),0)"),81000.0)</f>
        <v>81000</v>
      </c>
      <c r="T98" s="123">
        <v>81000.0</v>
      </c>
      <c r="U98" s="44">
        <f t="shared" si="13"/>
        <v>0</v>
      </c>
      <c r="V98" s="44">
        <f t="shared" si="3"/>
        <v>0</v>
      </c>
      <c r="W98" s="52">
        <f>IFERROR(__xludf.DUMMYFUNCTION("iFERROR((FILTER('Fund Data'!$Y:$Y, 'Fund Data'!$C:$C = $C98, 'Fund Data'!$A:$A = $A98 - 1, 'Fund Data'!$B:$B = 12) + FILTER('Fund Data'!$AA:$AA, 'Fund Data'!$C:$C = $C98, 'Fund Data'!$A:$A = $A98 - 1, 'Fund Data'!$B:$B = 12)) * (1 + AVERAGE(FILTER('Inflat"&amp;"ion Data'!$C:$C,'Inflation Data'!$A:$A = ($A98 - 2)))) * 'Parameters and Distribution Sum'!$A$4,0)"),3251.4512616945367)</f>
        <v>3251.451262</v>
      </c>
      <c r="X98" s="52">
        <f>IFERROR(__xludf.DUMMYFUNCTION("IFERROR((IFERROR(FILTER('Fund Data'!$P:$P,'Fund Data'!$C:$C = $C98,'Fund Data'!$A:$A = ($A98 - 2), 'Fund Data'!$B:$B = 12),0) - SUM(FILTER('Fund Data'!$V:$V, 'Fund Data'!$C:$C = $C98, 'Fund Data'!$A:$A = ($A98 - 2), 'Fund Data'!$B:$B &gt; 3)))  * 'Parameters"&amp;" and Distribution Sum'!$B$4 * (1 - 'Parameters and Distribution Sum'!$A$4),0)"),1364.3954550000003)</f>
        <v>1364.395455</v>
      </c>
      <c r="Y98" s="52">
        <f t="shared" si="14"/>
        <v>4615.846717</v>
      </c>
      <c r="Z98" s="52">
        <f>IFERROR(__xludf.DUMMYFUNCTION("((IFERROR((SUM(FILTER('Fund Data'!$V:$V, 'Fund Data'!$C:$C = $C98, 'Fund Data'!$A:$A = $A98 - 1, 'Fund Data'!$B:$B &gt;= 4, 'Fund Data'!$B:$B &lt;= ($B98 + 5))) / 12) * ($B98 - 3) * 'Parameters and Distribution Sum'!$B$4, 0) + IF($B98 &gt;= 9, IFERROR(SUM(FILTER('"&amp;"Fund Data'!$V:$V, 'Fund Data'!$C:$C = $C98, 'Fund Data'!$A:$A = $A98, 'Fund Data'!$B:$B &lt;= 3)) * 'Parameters and Distribution Sum'!$B$4, 0),0)))"),0.0)</f>
        <v>0</v>
      </c>
      <c r="AA98" s="44">
        <f>IFERROR(__xludf.DUMMYFUNCTION("IFERROR(((IFERROR(SUM(FILTER('Fund Data'!$V:$V, 'Fund Data'!$C:$C = $C98, 'Fund Data'!$A:$A = $A98 - 2, 'Fund Data'!$B:$B &gt;= 4)) * 'Parameters and Distribution Sum'!$B$4,0) + IFERROR(SUM(FILTER('Fund Data'!$V:$V, 'Fund Data'!$C:$C = $C98, 'Fund Data'!$A:$"&amp;"A = $A98 - 1, 'Fund Data'!$B:$B &lt;= 3)) * 'Parameters and Distribution Sum'!$B$4,0))),0)"),0.0)</f>
        <v>0</v>
      </c>
      <c r="AB98" s="44">
        <f t="shared" si="15"/>
        <v>0</v>
      </c>
      <c r="AC98" s="44">
        <f t="shared" si="16"/>
        <v>4615.846717</v>
      </c>
      <c r="AD98" s="44">
        <f t="shared" si="7"/>
        <v>4615.846717</v>
      </c>
      <c r="AE98" s="44"/>
    </row>
    <row r="99">
      <c r="A99" s="120">
        <v>2019.0</v>
      </c>
      <c r="B99" s="121">
        <v>3.0</v>
      </c>
      <c r="C99" s="122" t="s">
        <v>25</v>
      </c>
      <c r="D99" s="44"/>
      <c r="E99" s="123">
        <v>634.48</v>
      </c>
      <c r="F99" s="44"/>
      <c r="G99" s="44"/>
      <c r="H99" s="123">
        <v>-110.58</v>
      </c>
      <c r="I99" s="44"/>
      <c r="J99" s="44"/>
      <c r="K99" s="44"/>
      <c r="L99" s="123">
        <v>6238.3</v>
      </c>
      <c r="M99" s="44"/>
      <c r="N99" s="44"/>
      <c r="O99" s="123">
        <v>81600.0</v>
      </c>
      <c r="P99" s="52">
        <f t="shared" si="1"/>
        <v>81600.17</v>
      </c>
      <c r="Q99" s="124">
        <f t="shared" si="2"/>
        <v>-0.17</v>
      </c>
      <c r="R99" s="52">
        <f t="array" ref="R99">IFERROR(INDEX('Fund YTD Target Values'!$1:$1000, MATCH($C99,'Fund YTD Target Values'!$A:$A,0), MATCH($A99,'Fund YTD Target Values'!$1:$1,0)),0)</f>
        <v>111079.3858</v>
      </c>
      <c r="S99" s="52">
        <f>IFERROR(__xludf.DUMMYFUNCTION("IFERROR(sum(FILTER('Fund Data'!$V:$V, 'Fund Data'!$C:$C = $C99, 'Fund Data'!$A:$A &lt; $A99)),0) + IFERROR(sum(FILTER('Fund Data'!$V:$V, 'Fund Data'!$C:$C = $C99, 'Fund Data'!$A:$A = $A99, 'Fund Data'!$B:$B &lt;= $B99)),0)"),81000.0)</f>
        <v>81000</v>
      </c>
      <c r="T99" s="123">
        <v>81000.0</v>
      </c>
      <c r="U99" s="44">
        <f t="shared" si="13"/>
        <v>0</v>
      </c>
      <c r="V99" s="44">
        <f t="shared" si="3"/>
        <v>0</v>
      </c>
      <c r="W99" s="52">
        <f>IFERROR(__xludf.DUMMYFUNCTION("iFERROR((FILTER('Fund Data'!$Y:$Y, 'Fund Data'!$C:$C = $C99, 'Fund Data'!$A:$A = $A99 - 1, 'Fund Data'!$B:$B = 12) + FILTER('Fund Data'!$AA:$AA, 'Fund Data'!$C:$C = $C99, 'Fund Data'!$A:$A = $A99 - 1, 'Fund Data'!$B:$B = 12)) * (1 + AVERAGE(FILTER('Inflat"&amp;"ion Data'!$C:$C,'Inflation Data'!$A:$A = ($A99 - 2)))) * 'Parameters and Distribution Sum'!$A$4,0)"),3251.4512616945367)</f>
        <v>3251.451262</v>
      </c>
      <c r="X99" s="52">
        <f>IFERROR(__xludf.DUMMYFUNCTION("IFERROR((IFERROR(FILTER('Fund Data'!$P:$P,'Fund Data'!$C:$C = $C99,'Fund Data'!$A:$A = ($A99 - 2), 'Fund Data'!$B:$B = 12),0) - SUM(FILTER('Fund Data'!$V:$V, 'Fund Data'!$C:$C = $C99, 'Fund Data'!$A:$A = ($A99 - 2), 'Fund Data'!$B:$B &gt; 3)))  * 'Parameters"&amp;" and Distribution Sum'!$B$4 * (1 - 'Parameters and Distribution Sum'!$A$4),0)"),1364.3954550000003)</f>
        <v>1364.395455</v>
      </c>
      <c r="Y99" s="52">
        <f t="shared" si="14"/>
        <v>4615.846717</v>
      </c>
      <c r="Z99" s="52">
        <f>IFERROR(__xludf.DUMMYFUNCTION("((IFERROR((SUM(FILTER('Fund Data'!$V:$V, 'Fund Data'!$C:$C = $C99, 'Fund Data'!$A:$A = $A99 - 1, 'Fund Data'!$B:$B &gt;= 4, 'Fund Data'!$B:$B &lt;= ($B99 + 5))) / 12) * ($B99 - 3) * 'Parameters and Distribution Sum'!$B$4, 0) + IF($B99 &gt;= 9, IFERROR(SUM(FILTER('"&amp;"Fund Data'!$V:$V, 'Fund Data'!$C:$C = $C99, 'Fund Data'!$A:$A = $A99, 'Fund Data'!$B:$B &lt;= 3)) * 'Parameters and Distribution Sum'!$B$4, 0),0)))"),0.0)</f>
        <v>0</v>
      </c>
      <c r="AA99" s="44">
        <f>IFERROR(__xludf.DUMMYFUNCTION("IFERROR(((IFERROR(SUM(FILTER('Fund Data'!$V:$V, 'Fund Data'!$C:$C = $C99, 'Fund Data'!$A:$A = $A99 - 2, 'Fund Data'!$B:$B &gt;= 4)) * 'Parameters and Distribution Sum'!$B$4,0) + IFERROR(SUM(FILTER('Fund Data'!$V:$V, 'Fund Data'!$C:$C = $C99, 'Fund Data'!$A:$"&amp;"A = $A99 - 1, 'Fund Data'!$B:$B &lt;= 3)) * 'Parameters and Distribution Sum'!$B$4,0))),0)"),0.0)</f>
        <v>0</v>
      </c>
      <c r="AB99" s="44">
        <f t="shared" si="15"/>
        <v>0</v>
      </c>
      <c r="AC99" s="44">
        <f t="shared" si="16"/>
        <v>4615.846717</v>
      </c>
      <c r="AD99" s="44">
        <f t="shared" si="7"/>
        <v>4615.846717</v>
      </c>
      <c r="AE99" s="44"/>
    </row>
    <row r="100">
      <c r="A100" s="120">
        <v>2019.0</v>
      </c>
      <c r="B100" s="121">
        <v>2.0</v>
      </c>
      <c r="C100" s="122" t="s">
        <v>25</v>
      </c>
      <c r="D100" s="44"/>
      <c r="E100" s="123">
        <v>536.39</v>
      </c>
      <c r="F100" s="44"/>
      <c r="G100" s="44"/>
      <c r="H100" s="123">
        <v>-72.67</v>
      </c>
      <c r="I100" s="44"/>
      <c r="J100" s="44"/>
      <c r="K100" s="44"/>
      <c r="L100" s="123">
        <v>5774.82</v>
      </c>
      <c r="M100" s="44"/>
      <c r="N100" s="44"/>
      <c r="O100" s="123">
        <v>81077.0</v>
      </c>
      <c r="P100" s="52">
        <f t="shared" si="1"/>
        <v>81076.51</v>
      </c>
      <c r="Q100" s="124">
        <f t="shared" si="2"/>
        <v>0.49</v>
      </c>
      <c r="R100" s="52">
        <f t="array" ref="R100">IFERROR(INDEX('Fund YTD Target Values'!$1:$1000, MATCH($C100,'Fund YTD Target Values'!$A:$A,0), MATCH($A100,'Fund YTD Target Values'!$1:$1,0)),0)</f>
        <v>111079.3858</v>
      </c>
      <c r="S100" s="52">
        <f>IFERROR(__xludf.DUMMYFUNCTION("IFERROR(sum(FILTER('Fund Data'!$V:$V, 'Fund Data'!$C:$C = $C100, 'Fund Data'!$A:$A &lt; $A100)),0) + IFERROR(sum(FILTER('Fund Data'!$V:$V, 'Fund Data'!$C:$C = $C100, 'Fund Data'!$A:$A = $A100, 'Fund Data'!$B:$B &lt;= $B100)),0)"),81000.0)</f>
        <v>81000</v>
      </c>
      <c r="T100" s="123">
        <v>81000.0</v>
      </c>
      <c r="U100" s="44">
        <f t="shared" si="13"/>
        <v>0</v>
      </c>
      <c r="V100" s="44">
        <f t="shared" si="3"/>
        <v>0</v>
      </c>
      <c r="W100" s="52">
        <f>IFERROR(__xludf.DUMMYFUNCTION("iFERROR((FILTER('Fund Data'!$Y:$Y, 'Fund Data'!$C:$C = $C100, 'Fund Data'!$A:$A = $A100 - 1, 'Fund Data'!$B:$B = 12) + FILTER('Fund Data'!$AA:$AA, 'Fund Data'!$C:$C = $C100, 'Fund Data'!$A:$A = $A100 - 1, 'Fund Data'!$B:$B = 12)) * (1 + AVERAGE(FILTER('In"&amp;"flation Data'!$C:$C,'Inflation Data'!$A:$A = ($A100 - 2)))) * 'Parameters and Distribution Sum'!$A$4,0)"),3251.4512616945367)</f>
        <v>3251.451262</v>
      </c>
      <c r="X100" s="52">
        <f>IFERROR(__xludf.DUMMYFUNCTION("IFERROR((IFERROR(FILTER('Fund Data'!$P:$P,'Fund Data'!$C:$C = $C100,'Fund Data'!$A:$A = ($A100 - 2), 'Fund Data'!$B:$B = 12),0) - SUM(FILTER('Fund Data'!$V:$V, 'Fund Data'!$C:$C = $C100, 'Fund Data'!$A:$A = ($A100 - 2), 'Fund Data'!$B:$B &gt; 3)))  * 'Parame"&amp;"ters and Distribution Sum'!$B$4 * (1 - 'Parameters and Distribution Sum'!$A$4),0)"),1364.3954550000003)</f>
        <v>1364.395455</v>
      </c>
      <c r="Y100" s="52">
        <f t="shared" si="14"/>
        <v>4615.846717</v>
      </c>
      <c r="Z100" s="52">
        <f>IFERROR(__xludf.DUMMYFUNCTION("((IFERROR((SUM(FILTER('Fund Data'!$V:$V, 'Fund Data'!$C:$C = $C100, 'Fund Data'!$A:$A = $A100 - 1, 'Fund Data'!$B:$B &gt;= 4, 'Fund Data'!$B:$B &lt;= ($B100 + 5))) / 12) * ($B100 - 3) * 'Parameters and Distribution Sum'!$B$4, 0) + IF($B100 &gt;= 9, IFERROR(SUM(FIL"&amp;"TER('Fund Data'!$V:$V, 'Fund Data'!$C:$C = $C100, 'Fund Data'!$A:$A = $A100, 'Fund Data'!$B:$B &lt;= 3)) * 'Parameters and Distribution Sum'!$B$4, 0),0)))"),0.0)</f>
        <v>0</v>
      </c>
      <c r="AA100" s="44">
        <f>IFERROR(__xludf.DUMMYFUNCTION("IFERROR(((IFERROR(SUM(FILTER('Fund Data'!$V:$V, 'Fund Data'!$C:$C = $C100, 'Fund Data'!$A:$A = $A100 - 2, 'Fund Data'!$B:$B &gt;= 4)) * 'Parameters and Distribution Sum'!$B$4,0) + IFERROR(SUM(FILTER('Fund Data'!$V:$V, 'Fund Data'!$C:$C = $C100, 'Fund Data'!$"&amp;"A:$A = $A100 - 1, 'Fund Data'!$B:$B &lt;= 3)) * 'Parameters and Distribution Sum'!$B$4,0))),0)"),0.0)</f>
        <v>0</v>
      </c>
      <c r="AB100" s="44">
        <f t="shared" si="15"/>
        <v>0</v>
      </c>
      <c r="AC100" s="44">
        <f t="shared" si="16"/>
        <v>4615.846717</v>
      </c>
      <c r="AD100" s="44">
        <f t="shared" si="7"/>
        <v>4615.846717</v>
      </c>
      <c r="AE100" s="44"/>
    </row>
    <row r="101">
      <c r="A101" s="120">
        <v>2019.0</v>
      </c>
      <c r="B101" s="121">
        <v>1.0</v>
      </c>
      <c r="C101" s="122" t="s">
        <v>25</v>
      </c>
      <c r="D101" s="44"/>
      <c r="E101" s="123">
        <v>496.06</v>
      </c>
      <c r="F101" s="44"/>
      <c r="G101" s="44"/>
      <c r="H101" s="123">
        <v>-35.31</v>
      </c>
      <c r="I101" s="44"/>
      <c r="J101" s="44"/>
      <c r="K101" s="44"/>
      <c r="L101" s="123">
        <v>4467.31</v>
      </c>
      <c r="M101" s="44"/>
      <c r="N101" s="44"/>
      <c r="O101" s="123">
        <v>79766.0</v>
      </c>
      <c r="P101" s="52">
        <f t="shared" si="1"/>
        <v>79766.03</v>
      </c>
      <c r="Q101" s="124">
        <f t="shared" si="2"/>
        <v>-0.03</v>
      </c>
      <c r="R101" s="52">
        <f t="array" ref="R101">IFERROR(INDEX('Fund YTD Target Values'!$1:$1000, MATCH($C101,'Fund YTD Target Values'!$A:$A,0), MATCH($A101,'Fund YTD Target Values'!$1:$1,0)),0)</f>
        <v>111079.3858</v>
      </c>
      <c r="S101" s="52">
        <f>IFERROR(__xludf.DUMMYFUNCTION("IFERROR(sum(FILTER('Fund Data'!$V:$V, 'Fund Data'!$C:$C = $C101, 'Fund Data'!$A:$A &lt; $A101)),0) + IFERROR(sum(FILTER('Fund Data'!$V:$V, 'Fund Data'!$C:$C = $C101, 'Fund Data'!$A:$A = $A101, 'Fund Data'!$B:$B &lt;= $B101)),0)"),81000.0)</f>
        <v>81000</v>
      </c>
      <c r="T101" s="123">
        <v>81000.0</v>
      </c>
      <c r="U101" s="44">
        <f t="shared" si="13"/>
        <v>0</v>
      </c>
      <c r="V101" s="44">
        <f t="shared" si="3"/>
        <v>0</v>
      </c>
      <c r="W101" s="52">
        <f>IFERROR(__xludf.DUMMYFUNCTION("iFERROR((FILTER('Fund Data'!$Y:$Y, 'Fund Data'!$C:$C = $C101, 'Fund Data'!$A:$A = $A101 - 1, 'Fund Data'!$B:$B = 12) + FILTER('Fund Data'!$AA:$AA, 'Fund Data'!$C:$C = $C101, 'Fund Data'!$A:$A = $A101 - 1, 'Fund Data'!$B:$B = 12)) * (1 + AVERAGE(FILTER('In"&amp;"flation Data'!$C:$C,'Inflation Data'!$A:$A = ($A101 - 2)))) * 'Parameters and Distribution Sum'!$A$4,0)"),3251.4512616945367)</f>
        <v>3251.451262</v>
      </c>
      <c r="X101" s="52">
        <f>IFERROR(__xludf.DUMMYFUNCTION("IFERROR((IFERROR(FILTER('Fund Data'!$P:$P,'Fund Data'!$C:$C = $C101,'Fund Data'!$A:$A = ($A101 - 2), 'Fund Data'!$B:$B = 12),0) - SUM(FILTER('Fund Data'!$V:$V, 'Fund Data'!$C:$C = $C101, 'Fund Data'!$A:$A = ($A101 - 2), 'Fund Data'!$B:$B &gt; 3)))  * 'Parame"&amp;"ters and Distribution Sum'!$B$4 * (1 - 'Parameters and Distribution Sum'!$A$4),0)"),1364.3954550000003)</f>
        <v>1364.395455</v>
      </c>
      <c r="Y101" s="52">
        <f t="shared" si="14"/>
        <v>4615.846717</v>
      </c>
      <c r="Z101" s="52">
        <f>IFERROR(__xludf.DUMMYFUNCTION("((IFERROR((SUM(FILTER('Fund Data'!$V:$V, 'Fund Data'!$C:$C = $C101, 'Fund Data'!$A:$A = $A101 - 1, 'Fund Data'!$B:$B &gt;= 4, 'Fund Data'!$B:$B &lt;= ($B101 + 5))) / 12) * ($B101 - 3) * 'Parameters and Distribution Sum'!$B$4, 0) + IF($B101 &gt;= 9, IFERROR(SUM(FIL"&amp;"TER('Fund Data'!$V:$V, 'Fund Data'!$C:$C = $C101, 'Fund Data'!$A:$A = $A101, 'Fund Data'!$B:$B &lt;= 3)) * 'Parameters and Distribution Sum'!$B$4, 0),0)))"),0.0)</f>
        <v>0</v>
      </c>
      <c r="AA101" s="44">
        <f>IFERROR(__xludf.DUMMYFUNCTION("IFERROR(((IFERROR(SUM(FILTER('Fund Data'!$V:$V, 'Fund Data'!$C:$C = $C101, 'Fund Data'!$A:$A = $A101 - 2, 'Fund Data'!$B:$B &gt;= 4)) * 'Parameters and Distribution Sum'!$B$4,0) + IFERROR(SUM(FILTER('Fund Data'!$V:$V, 'Fund Data'!$C:$C = $C101, 'Fund Data'!$"&amp;"A:$A = $A101 - 1, 'Fund Data'!$B:$B &lt;= 3)) * 'Parameters and Distribution Sum'!$B$4,0))),0)"),0.0)</f>
        <v>0</v>
      </c>
      <c r="AB101" s="44">
        <f t="shared" si="15"/>
        <v>0</v>
      </c>
      <c r="AC101" s="44">
        <f t="shared" si="16"/>
        <v>4615.846717</v>
      </c>
      <c r="AD101" s="44">
        <f t="shared" si="7"/>
        <v>4615.846717</v>
      </c>
      <c r="AE101" s="44"/>
    </row>
    <row r="102">
      <c r="A102" s="120">
        <v>2018.0</v>
      </c>
      <c r="B102" s="121">
        <v>12.0</v>
      </c>
      <c r="C102" s="122" t="s">
        <v>25</v>
      </c>
      <c r="D102" s="44"/>
      <c r="E102" s="123">
        <v>2055.53</v>
      </c>
      <c r="F102" s="123">
        <v>-20000.0</v>
      </c>
      <c r="G102" s="44"/>
      <c r="H102" s="123">
        <v>-560.72</v>
      </c>
      <c r="I102" s="44"/>
      <c r="J102" s="123">
        <v>5612.55</v>
      </c>
      <c r="K102" s="44"/>
      <c r="L102" s="123">
        <v>-13335.72</v>
      </c>
      <c r="M102" s="44"/>
      <c r="N102" s="44"/>
      <c r="O102" s="123">
        <v>74838.0</v>
      </c>
      <c r="P102" s="52">
        <f t="shared" si="1"/>
        <v>74837.97</v>
      </c>
      <c r="Q102" s="124">
        <f t="shared" si="2"/>
        <v>0.03000000003</v>
      </c>
      <c r="R102" s="52">
        <f t="array" ref="R102">IFERROR(INDEX('Fund YTD Target Values'!$1:$1000, MATCH($C102,'Fund YTD Target Values'!$A:$A,0), MATCH($A102,'Fund YTD Target Values'!$1:$1,0)),0)</f>
        <v>109175.2469</v>
      </c>
      <c r="S102" s="52">
        <f>IFERROR(__xludf.DUMMYFUNCTION("IFERROR(sum(FILTER('Fund Data'!$V:$V, 'Fund Data'!$C:$C = $C102, 'Fund Data'!$A:$A &lt; $A102)),0) + IFERROR(sum(FILTER('Fund Data'!$V:$V, 'Fund Data'!$C:$C = $C102, 'Fund Data'!$A:$A = $A102, 'Fund Data'!$B:$B &lt;= $B102)),0)"),81000.0)</f>
        <v>81000</v>
      </c>
      <c r="T102" s="123">
        <v>81000.0</v>
      </c>
      <c r="U102" s="44">
        <f t="shared" si="13"/>
        <v>0</v>
      </c>
      <c r="V102" s="44">
        <f t="shared" si="3"/>
        <v>0</v>
      </c>
      <c r="W102" s="52"/>
      <c r="X102" s="52"/>
      <c r="Y102" s="52">
        <v>4547.984849999999</v>
      </c>
      <c r="Z102" s="123">
        <v>0.0</v>
      </c>
      <c r="AA102" s="123">
        <v>0.0</v>
      </c>
      <c r="AB102" s="44">
        <f t="shared" si="15"/>
        <v>0</v>
      </c>
      <c r="AC102" s="44">
        <f t="shared" si="16"/>
        <v>4547.98485</v>
      </c>
      <c r="AD102" s="44">
        <f t="shared" si="7"/>
        <v>-15452.01515</v>
      </c>
      <c r="AE102" s="123">
        <v>0.0</v>
      </c>
    </row>
    <row r="103">
      <c r="A103" s="120">
        <v>2018.0</v>
      </c>
      <c r="B103" s="121">
        <v>11.0</v>
      </c>
      <c r="C103" s="122" t="s">
        <v>25</v>
      </c>
      <c r="D103" s="44"/>
      <c r="E103" s="123">
        <v>1950.07</v>
      </c>
      <c r="F103" s="123">
        <v>-20000.0</v>
      </c>
      <c r="G103" s="44"/>
      <c r="H103" s="123">
        <v>-523.57</v>
      </c>
      <c r="I103" s="44"/>
      <c r="J103" s="123">
        <v>5612.55</v>
      </c>
      <c r="K103" s="44"/>
      <c r="L103" s="123">
        <v>-8915.57</v>
      </c>
      <c r="M103" s="44"/>
      <c r="N103" s="44"/>
      <c r="O103" s="123">
        <v>79190.0</v>
      </c>
      <c r="P103" s="52">
        <f t="shared" si="1"/>
        <v>79189.81</v>
      </c>
      <c r="Q103" s="124">
        <f t="shared" si="2"/>
        <v>0.19</v>
      </c>
      <c r="R103" s="52">
        <f t="array" ref="R103">IFERROR(INDEX('Fund YTD Target Values'!$1:$1000, MATCH($C103,'Fund YTD Target Values'!$A:$A,0), MATCH($A103,'Fund YTD Target Values'!$1:$1,0)),0)</f>
        <v>109175.2469</v>
      </c>
      <c r="S103" s="52">
        <f>IFERROR(__xludf.DUMMYFUNCTION("IFERROR(sum(FILTER('Fund Data'!$V:$V, 'Fund Data'!$C:$C = $C103, 'Fund Data'!$A:$A &lt; $A103)),0) + IFERROR(sum(FILTER('Fund Data'!$V:$V, 'Fund Data'!$C:$C = $C103, 'Fund Data'!$A:$A = $A103, 'Fund Data'!$B:$B &lt;= $B103)),0)"),81000.0)</f>
        <v>81000</v>
      </c>
      <c r="T103" s="123">
        <v>81000.0</v>
      </c>
      <c r="U103" s="44">
        <f t="shared" si="13"/>
        <v>0</v>
      </c>
      <c r="V103" s="44">
        <f t="shared" si="3"/>
        <v>0</v>
      </c>
      <c r="W103" s="123"/>
      <c r="X103" s="123"/>
      <c r="Y103" s="123">
        <v>0.0</v>
      </c>
      <c r="Z103" s="123">
        <v>0.0</v>
      </c>
      <c r="AA103" s="123">
        <v>0.0</v>
      </c>
      <c r="AB103" s="123"/>
      <c r="AC103" s="123">
        <v>0.0</v>
      </c>
      <c r="AD103" s="44">
        <f t="shared" si="7"/>
        <v>-20000</v>
      </c>
      <c r="AE103" s="123">
        <v>0.0</v>
      </c>
    </row>
    <row r="104">
      <c r="A104" s="120">
        <v>2018.0</v>
      </c>
      <c r="B104" s="121">
        <v>10.0</v>
      </c>
      <c r="C104" s="135" t="s">
        <v>25</v>
      </c>
      <c r="D104" s="138"/>
      <c r="E104" s="137">
        <v>1879.69</v>
      </c>
      <c r="F104" s="136">
        <v>-20000.0</v>
      </c>
      <c r="G104" s="138"/>
      <c r="H104" s="137">
        <v>-448.2</v>
      </c>
      <c r="I104" s="138"/>
      <c r="J104" s="136">
        <v>5612.55</v>
      </c>
      <c r="K104" s="138"/>
      <c r="L104" s="136">
        <v>-9598.59</v>
      </c>
      <c r="M104" s="44"/>
      <c r="N104" s="44"/>
      <c r="O104" s="136">
        <v>78512.0</v>
      </c>
      <c r="P104" s="52">
        <f t="shared" si="1"/>
        <v>78511.78</v>
      </c>
      <c r="Q104" s="124">
        <f t="shared" si="2"/>
        <v>0.22</v>
      </c>
      <c r="R104" s="52">
        <f t="array" ref="R104">IFERROR(INDEX('Fund YTD Target Values'!$1:$1000, MATCH($C104,'Fund YTD Target Values'!$A:$A,0), MATCH($A104,'Fund YTD Target Values'!$1:$1,0)),0)</f>
        <v>109175.2469</v>
      </c>
      <c r="S104" s="52">
        <f>IFERROR(__xludf.DUMMYFUNCTION("IFERROR(sum(FILTER('Fund Data'!$V:$V, 'Fund Data'!$C:$C = $C104, 'Fund Data'!$A:$A &lt; $A104)),0) + IFERROR(sum(FILTER('Fund Data'!$V:$V, 'Fund Data'!$C:$C = $C104, 'Fund Data'!$A:$A = $A104, 'Fund Data'!$B:$B &lt;= $B104)),0)"),81000.0)</f>
        <v>81000</v>
      </c>
      <c r="T104" s="123">
        <v>81000.0</v>
      </c>
      <c r="U104" s="44">
        <f t="shared" si="13"/>
        <v>0</v>
      </c>
      <c r="V104" s="44">
        <f t="shared" si="3"/>
        <v>0</v>
      </c>
      <c r="W104" s="123"/>
      <c r="X104" s="123"/>
      <c r="Y104" s="123">
        <v>0.0</v>
      </c>
      <c r="Z104" s="123">
        <v>0.0</v>
      </c>
      <c r="AA104" s="123">
        <v>0.0</v>
      </c>
      <c r="AB104" s="123"/>
      <c r="AC104" s="123">
        <v>0.0</v>
      </c>
      <c r="AD104" s="44">
        <f t="shared" si="7"/>
        <v>-20000</v>
      </c>
      <c r="AE104" s="123">
        <v>0.0</v>
      </c>
    </row>
    <row r="105">
      <c r="A105" s="120">
        <v>2018.0</v>
      </c>
      <c r="B105" s="121">
        <v>9.0</v>
      </c>
      <c r="C105" s="122" t="s">
        <v>25</v>
      </c>
      <c r="D105" s="44"/>
      <c r="E105" s="123">
        <v>1643.71</v>
      </c>
      <c r="F105" s="123">
        <v>-20000.0</v>
      </c>
      <c r="G105" s="44"/>
      <c r="H105" s="123">
        <v>-448.2</v>
      </c>
      <c r="I105" s="44"/>
      <c r="J105" s="123">
        <v>5612.55</v>
      </c>
      <c r="K105" s="44"/>
      <c r="L105" s="123">
        <v>-5388.23</v>
      </c>
      <c r="M105" s="44"/>
      <c r="N105" s="44"/>
      <c r="O105" s="123">
        <v>82486.0</v>
      </c>
      <c r="P105" s="52">
        <f t="shared" si="1"/>
        <v>82486.16</v>
      </c>
      <c r="Q105" s="124">
        <f t="shared" si="2"/>
        <v>-0.16</v>
      </c>
      <c r="R105" s="52">
        <f t="array" ref="R105">IFERROR(INDEX('Fund YTD Target Values'!$1:$1000, MATCH($C105,'Fund YTD Target Values'!$A:$A,0), MATCH($A105,'Fund YTD Target Values'!$1:$1,0)),0)</f>
        <v>109175.2469</v>
      </c>
      <c r="S105" s="52">
        <f>IFERROR(__xludf.DUMMYFUNCTION("IFERROR(sum(FILTER('Fund Data'!$V:$V, 'Fund Data'!$C:$C = $C105, 'Fund Data'!$A:$A &lt; $A105)),0) + IFERROR(sum(FILTER('Fund Data'!$V:$V, 'Fund Data'!$C:$C = $C105, 'Fund Data'!$A:$A = $A105, 'Fund Data'!$B:$B &lt;= $B105)),0)"),81000.0)</f>
        <v>81000</v>
      </c>
      <c r="T105" s="123">
        <v>81000.0</v>
      </c>
      <c r="U105" s="44">
        <f t="shared" si="13"/>
        <v>0</v>
      </c>
      <c r="V105" s="44">
        <f t="shared" si="3"/>
        <v>0</v>
      </c>
      <c r="W105" s="123"/>
      <c r="X105" s="123"/>
      <c r="Y105" s="123">
        <v>0.0</v>
      </c>
      <c r="Z105" s="123">
        <v>0.0</v>
      </c>
      <c r="AA105" s="123">
        <v>0.0</v>
      </c>
      <c r="AB105" s="123"/>
      <c r="AC105" s="123">
        <v>0.0</v>
      </c>
      <c r="AD105" s="44">
        <f t="shared" si="7"/>
        <v>-20000</v>
      </c>
      <c r="AE105" s="123">
        <v>0.0</v>
      </c>
    </row>
    <row r="106">
      <c r="A106" s="120">
        <v>2018.0</v>
      </c>
      <c r="B106" s="121">
        <v>8.0</v>
      </c>
      <c r="C106" s="122" t="s">
        <v>25</v>
      </c>
      <c r="D106" s="44"/>
      <c r="E106" s="123">
        <v>1570.33</v>
      </c>
      <c r="F106" s="123">
        <v>-20000.0</v>
      </c>
      <c r="G106" s="44"/>
      <c r="H106" s="123">
        <v>-406.82</v>
      </c>
      <c r="I106" s="44"/>
      <c r="J106" s="123">
        <v>5612.55</v>
      </c>
      <c r="K106" s="44"/>
      <c r="L106" s="123">
        <v>-5087.37</v>
      </c>
      <c r="M106" s="44"/>
      <c r="N106" s="44"/>
      <c r="O106" s="123">
        <v>82755.0</v>
      </c>
      <c r="P106" s="52">
        <f t="shared" si="1"/>
        <v>82755.02</v>
      </c>
      <c r="Q106" s="124">
        <f t="shared" si="2"/>
        <v>-0.01999999997</v>
      </c>
      <c r="R106" s="52">
        <f t="array" ref="R106">IFERROR(INDEX('Fund YTD Target Values'!$1:$1000, MATCH($C106,'Fund YTD Target Values'!$A:$A,0), MATCH($A106,'Fund YTD Target Values'!$1:$1,0)),0)</f>
        <v>109175.2469</v>
      </c>
      <c r="S106" s="52">
        <f>IFERROR(__xludf.DUMMYFUNCTION("IFERROR(sum(FILTER('Fund Data'!$V:$V, 'Fund Data'!$C:$C = $C106, 'Fund Data'!$A:$A &lt; $A106)),0) + IFERROR(sum(FILTER('Fund Data'!$V:$V, 'Fund Data'!$C:$C = $C106, 'Fund Data'!$A:$A = $A106, 'Fund Data'!$B:$B &lt;= $B106)),0)"),81000.0)</f>
        <v>81000</v>
      </c>
      <c r="T106" s="123">
        <v>81000.0</v>
      </c>
      <c r="U106" s="44">
        <f t="shared" si="13"/>
        <v>0</v>
      </c>
      <c r="V106" s="44">
        <f t="shared" si="3"/>
        <v>0</v>
      </c>
      <c r="W106" s="123"/>
      <c r="X106" s="123"/>
      <c r="Y106" s="123">
        <v>0.0</v>
      </c>
      <c r="Z106" s="123">
        <v>0.0</v>
      </c>
      <c r="AA106" s="123">
        <v>0.0</v>
      </c>
      <c r="AB106" s="123"/>
      <c r="AC106" s="123">
        <v>0.0</v>
      </c>
      <c r="AD106" s="44">
        <f t="shared" si="7"/>
        <v>-20000</v>
      </c>
      <c r="AE106" s="123">
        <v>0.0</v>
      </c>
    </row>
    <row r="107">
      <c r="A107" s="120">
        <v>2018.0</v>
      </c>
      <c r="B107" s="121">
        <v>7.0</v>
      </c>
      <c r="C107" s="122" t="s">
        <v>25</v>
      </c>
      <c r="D107" s="44"/>
      <c r="E107" s="123">
        <v>1485.4</v>
      </c>
      <c r="F107" s="123">
        <v>-1200.0</v>
      </c>
      <c r="G107" s="44"/>
      <c r="H107" s="123">
        <v>-356.05</v>
      </c>
      <c r="I107" s="44"/>
      <c r="J107" s="44"/>
      <c r="K107" s="44"/>
      <c r="L107" s="123">
        <v>535.04</v>
      </c>
      <c r="M107" s="44"/>
      <c r="N107" s="44"/>
      <c r="O107" s="123">
        <v>101531.0</v>
      </c>
      <c r="P107" s="52">
        <f t="shared" si="1"/>
        <v>101530.72</v>
      </c>
      <c r="Q107" s="124">
        <f t="shared" si="2"/>
        <v>0.28</v>
      </c>
      <c r="R107" s="52">
        <f t="array" ref="R107">IFERROR(INDEX('Fund YTD Target Values'!$1:$1000, MATCH($C107,'Fund YTD Target Values'!$A:$A,0), MATCH($A107,'Fund YTD Target Values'!$1:$1,0)),0)</f>
        <v>109175.2469</v>
      </c>
      <c r="S107" s="52">
        <f>IFERROR(__xludf.DUMMYFUNCTION("IFERROR(sum(FILTER('Fund Data'!$V:$V, 'Fund Data'!$C:$C = $C107, 'Fund Data'!$A:$A &lt; $A107)),0) + IFERROR(sum(FILTER('Fund Data'!$V:$V, 'Fund Data'!$C:$C = $C107, 'Fund Data'!$A:$A = $A107, 'Fund Data'!$B:$B &lt;= $B107)),0)"),81000.0)</f>
        <v>81000</v>
      </c>
      <c r="T107" s="123">
        <v>81000.0</v>
      </c>
      <c r="U107" s="44">
        <f t="shared" si="13"/>
        <v>0</v>
      </c>
      <c r="V107" s="44">
        <f t="shared" si="3"/>
        <v>0</v>
      </c>
      <c r="W107" s="123"/>
      <c r="X107" s="123"/>
      <c r="Y107" s="123">
        <v>0.0</v>
      </c>
      <c r="Z107" s="123">
        <v>0.0</v>
      </c>
      <c r="AA107" s="123">
        <v>0.0</v>
      </c>
      <c r="AB107" s="123"/>
      <c r="AC107" s="123">
        <v>0.0</v>
      </c>
      <c r="AD107" s="44">
        <f t="shared" si="7"/>
        <v>-1200</v>
      </c>
      <c r="AE107" s="123">
        <v>0.0</v>
      </c>
    </row>
    <row r="108">
      <c r="A108" s="120">
        <v>2018.0</v>
      </c>
      <c r="B108" s="121">
        <v>6.0</v>
      </c>
      <c r="C108" s="122" t="s">
        <v>25</v>
      </c>
      <c r="D108" s="44"/>
      <c r="E108" s="123">
        <v>1257.2</v>
      </c>
      <c r="F108" s="44"/>
      <c r="G108" s="44"/>
      <c r="H108" s="123">
        <v>-305.6</v>
      </c>
      <c r="I108" s="44"/>
      <c r="J108" s="44"/>
      <c r="K108" s="44"/>
      <c r="L108" s="123">
        <v>-1118.78</v>
      </c>
      <c r="M108" s="44"/>
      <c r="N108" s="44"/>
      <c r="O108" s="123">
        <v>100899.0</v>
      </c>
      <c r="P108" s="52">
        <f t="shared" si="1"/>
        <v>100899.15</v>
      </c>
      <c r="Q108" s="124">
        <f t="shared" si="2"/>
        <v>-0.15</v>
      </c>
      <c r="R108" s="52">
        <f t="array" ref="R108">IFERROR(INDEX('Fund YTD Target Values'!$1:$1000, MATCH($C108,'Fund YTD Target Values'!$A:$A,0), MATCH($A108,'Fund YTD Target Values'!$1:$1,0)),0)</f>
        <v>109175.2469</v>
      </c>
      <c r="S108" s="52">
        <f>IFERROR(__xludf.DUMMYFUNCTION("IFERROR(sum(FILTER('Fund Data'!$V:$V, 'Fund Data'!$C:$C = $C108, 'Fund Data'!$A:$A &lt; $A108)),0) + IFERROR(sum(FILTER('Fund Data'!$V:$V, 'Fund Data'!$C:$C = $C108, 'Fund Data'!$A:$A = $A108, 'Fund Data'!$B:$B &lt;= $B108)),0)"),81000.0)</f>
        <v>81000</v>
      </c>
      <c r="T108" s="123">
        <v>81000.0</v>
      </c>
      <c r="U108" s="44">
        <f t="shared" si="13"/>
        <v>0</v>
      </c>
      <c r="V108" s="44">
        <f t="shared" si="3"/>
        <v>0</v>
      </c>
      <c r="W108" s="123"/>
      <c r="X108" s="123"/>
      <c r="Y108" s="123">
        <v>0.0</v>
      </c>
      <c r="Z108" s="123">
        <v>0.0</v>
      </c>
      <c r="AA108" s="123">
        <v>0.0</v>
      </c>
      <c r="AB108" s="123"/>
      <c r="AC108" s="123">
        <v>0.0</v>
      </c>
      <c r="AD108" s="44">
        <f t="shared" si="7"/>
        <v>0</v>
      </c>
      <c r="AE108" s="123">
        <v>0.0</v>
      </c>
    </row>
    <row r="109">
      <c r="A109" s="120">
        <v>2018.0</v>
      </c>
      <c r="B109" s="121">
        <v>5.0</v>
      </c>
      <c r="C109" s="122" t="s">
        <v>25</v>
      </c>
      <c r="D109" s="44"/>
      <c r="E109" s="123">
        <v>1112.85</v>
      </c>
      <c r="F109" s="44"/>
      <c r="G109" s="44"/>
      <c r="H109" s="123">
        <v>-254.82</v>
      </c>
      <c r="I109" s="44"/>
      <c r="J109" s="44"/>
      <c r="K109" s="44"/>
      <c r="L109" s="123">
        <v>-365.59</v>
      </c>
      <c r="M109" s="44"/>
      <c r="N109" s="44"/>
      <c r="O109" s="123">
        <v>101559.0</v>
      </c>
      <c r="P109" s="52">
        <f t="shared" si="1"/>
        <v>101558.77</v>
      </c>
      <c r="Q109" s="124">
        <f t="shared" si="2"/>
        <v>0.23</v>
      </c>
      <c r="R109" s="52">
        <f t="array" ref="R109">IFERROR(INDEX('Fund YTD Target Values'!$1:$1000, MATCH($C109,'Fund YTD Target Values'!$A:$A,0), MATCH($A109,'Fund YTD Target Values'!$1:$1,0)),0)</f>
        <v>109175.2469</v>
      </c>
      <c r="S109" s="52">
        <f>IFERROR(__xludf.DUMMYFUNCTION("IFERROR(sum(FILTER('Fund Data'!$V:$V, 'Fund Data'!$C:$C = $C109, 'Fund Data'!$A:$A &lt; $A109)),0) + IFERROR(sum(FILTER('Fund Data'!$V:$V, 'Fund Data'!$C:$C = $C109, 'Fund Data'!$A:$A = $A109, 'Fund Data'!$B:$B &lt;= $B109)),0)"),81000.0)</f>
        <v>81000</v>
      </c>
      <c r="T109" s="123">
        <v>81000.0</v>
      </c>
      <c r="U109" s="44">
        <f t="shared" si="13"/>
        <v>0</v>
      </c>
      <c r="V109" s="44">
        <f t="shared" si="3"/>
        <v>0</v>
      </c>
      <c r="W109" s="123"/>
      <c r="X109" s="123"/>
      <c r="Y109" s="123">
        <v>0.0</v>
      </c>
      <c r="Z109" s="123">
        <v>0.0</v>
      </c>
      <c r="AA109" s="123">
        <v>0.0</v>
      </c>
      <c r="AB109" s="123"/>
      <c r="AC109" s="123">
        <v>0.0</v>
      </c>
      <c r="AD109" s="44">
        <f t="shared" si="7"/>
        <v>0</v>
      </c>
      <c r="AE109" s="123">
        <v>0.0</v>
      </c>
    </row>
    <row r="110">
      <c r="A110" s="120">
        <v>2018.0</v>
      </c>
      <c r="B110" s="121">
        <v>4.0</v>
      </c>
      <c r="C110" s="122" t="s">
        <v>25</v>
      </c>
      <c r="D110" s="44"/>
      <c r="E110" s="123">
        <v>1032.94</v>
      </c>
      <c r="F110" s="44"/>
      <c r="G110" s="44"/>
      <c r="H110" s="123">
        <v>-204.16</v>
      </c>
      <c r="I110" s="44"/>
      <c r="J110" s="44"/>
      <c r="K110" s="44"/>
      <c r="L110" s="123">
        <v>-578.4</v>
      </c>
      <c r="M110" s="44"/>
      <c r="N110" s="44"/>
      <c r="O110" s="123">
        <v>101317.0</v>
      </c>
      <c r="P110" s="52">
        <f t="shared" si="1"/>
        <v>101316.71</v>
      </c>
      <c r="Q110" s="124">
        <f t="shared" si="2"/>
        <v>0.29</v>
      </c>
      <c r="R110" s="52">
        <f t="array" ref="R110">IFERROR(INDEX('Fund YTD Target Values'!$1:$1000, MATCH($C110,'Fund YTD Target Values'!$A:$A,0), MATCH($A110,'Fund YTD Target Values'!$1:$1,0)),0)</f>
        <v>109175.2469</v>
      </c>
      <c r="S110" s="52">
        <f>IFERROR(__xludf.DUMMYFUNCTION("IFERROR(sum(FILTER('Fund Data'!$V:$V, 'Fund Data'!$C:$C = $C110, 'Fund Data'!$A:$A &lt; $A110)),0) + IFERROR(sum(FILTER('Fund Data'!$V:$V, 'Fund Data'!$C:$C = $C110, 'Fund Data'!$A:$A = $A110, 'Fund Data'!$B:$B &lt;= $B110)),0)"),81000.0)</f>
        <v>81000</v>
      </c>
      <c r="T110" s="123">
        <v>81000.0</v>
      </c>
      <c r="U110" s="44">
        <f t="shared" si="13"/>
        <v>0</v>
      </c>
      <c r="V110" s="44">
        <f t="shared" si="3"/>
        <v>0</v>
      </c>
      <c r="W110" s="123"/>
      <c r="X110" s="123"/>
      <c r="Y110" s="123">
        <v>0.0</v>
      </c>
      <c r="Z110" s="123">
        <v>0.0</v>
      </c>
      <c r="AA110" s="123">
        <v>0.0</v>
      </c>
      <c r="AB110" s="123"/>
      <c r="AC110" s="123">
        <v>0.0</v>
      </c>
      <c r="AD110" s="44">
        <f t="shared" si="7"/>
        <v>0</v>
      </c>
      <c r="AE110" s="123">
        <v>0.0</v>
      </c>
    </row>
    <row r="111">
      <c r="A111" s="120">
        <v>2018.0</v>
      </c>
      <c r="B111" s="121">
        <v>3.0</v>
      </c>
      <c r="C111" s="122" t="s">
        <v>25</v>
      </c>
      <c r="D111" s="44"/>
      <c r="E111" s="123">
        <v>789.13</v>
      </c>
      <c r="F111" s="44"/>
      <c r="G111" s="44"/>
      <c r="H111" s="123">
        <v>-153.64</v>
      </c>
      <c r="I111" s="44"/>
      <c r="J111" s="44"/>
      <c r="K111" s="44"/>
      <c r="L111" s="123">
        <v>-661.13</v>
      </c>
      <c r="M111" s="44"/>
      <c r="N111" s="44"/>
      <c r="O111" s="123">
        <v>101041.0</v>
      </c>
      <c r="P111" s="52">
        <f t="shared" si="1"/>
        <v>101040.69</v>
      </c>
      <c r="Q111" s="124">
        <f t="shared" si="2"/>
        <v>0.31</v>
      </c>
      <c r="R111" s="52">
        <f t="array" ref="R111">IFERROR(INDEX('Fund YTD Target Values'!$1:$1000, MATCH($C111,'Fund YTD Target Values'!$A:$A,0), MATCH($A111,'Fund YTD Target Values'!$1:$1,0)),0)</f>
        <v>109175.2469</v>
      </c>
      <c r="S111" s="52">
        <f>IFERROR(__xludf.DUMMYFUNCTION("IFERROR(sum(FILTER('Fund Data'!$V:$V, 'Fund Data'!$C:$C = $C111, 'Fund Data'!$A:$A &lt; $A111)),0) + IFERROR(sum(FILTER('Fund Data'!$V:$V, 'Fund Data'!$C:$C = $C111, 'Fund Data'!$A:$A = $A111, 'Fund Data'!$B:$B &lt;= $B111)),0)"),81000.0)</f>
        <v>81000</v>
      </c>
      <c r="T111" s="123">
        <v>81000.0</v>
      </c>
      <c r="U111" s="44">
        <f t="shared" si="13"/>
        <v>0</v>
      </c>
      <c r="V111" s="44">
        <f t="shared" si="3"/>
        <v>0</v>
      </c>
      <c r="W111" s="123"/>
      <c r="X111" s="123"/>
      <c r="Y111" s="123">
        <v>0.0</v>
      </c>
      <c r="Z111" s="123">
        <v>0.0</v>
      </c>
      <c r="AA111" s="123">
        <v>0.0</v>
      </c>
      <c r="AB111" s="123"/>
      <c r="AC111" s="123">
        <v>0.0</v>
      </c>
      <c r="AD111" s="44">
        <f t="shared" si="7"/>
        <v>0</v>
      </c>
      <c r="AE111" s="123">
        <v>0.0</v>
      </c>
    </row>
    <row r="112">
      <c r="A112" s="120">
        <v>2018.0</v>
      </c>
      <c r="B112" s="121">
        <v>2.0</v>
      </c>
      <c r="C112" s="122" t="s">
        <v>25</v>
      </c>
      <c r="D112" s="44"/>
      <c r="E112" s="123">
        <v>700.21</v>
      </c>
      <c r="F112" s="44"/>
      <c r="G112" s="44"/>
      <c r="H112" s="123">
        <v>-250.85</v>
      </c>
      <c r="I112" s="44"/>
      <c r="J112" s="44"/>
      <c r="K112" s="44"/>
      <c r="L112" s="123">
        <v>43.37</v>
      </c>
      <c r="M112" s="44"/>
      <c r="N112" s="44"/>
      <c r="O112" s="123">
        <v>101559.0</v>
      </c>
      <c r="P112" s="52">
        <f t="shared" si="1"/>
        <v>101559.06</v>
      </c>
      <c r="Q112" s="124">
        <f t="shared" si="2"/>
        <v>-0.05999999997</v>
      </c>
      <c r="R112" s="52">
        <f t="array" ref="R112">IFERROR(INDEX('Fund YTD Target Values'!$1:$1000, MATCH($C112,'Fund YTD Target Values'!$A:$A,0), MATCH($A112,'Fund YTD Target Values'!$1:$1,0)),0)</f>
        <v>109175.2469</v>
      </c>
      <c r="S112" s="52">
        <f>IFERROR(__xludf.DUMMYFUNCTION("IFERROR(sum(FILTER('Fund Data'!$V:$V, 'Fund Data'!$C:$C = $C112, 'Fund Data'!$A:$A &lt; $A112)),0) + IFERROR(sum(FILTER('Fund Data'!$V:$V, 'Fund Data'!$C:$C = $C112, 'Fund Data'!$A:$A = $A112, 'Fund Data'!$B:$B &lt;= $B112)),0)"),81000.0)</f>
        <v>81000</v>
      </c>
      <c r="T112" s="123">
        <v>81000.0</v>
      </c>
      <c r="U112" s="44">
        <f t="shared" si="13"/>
        <v>0</v>
      </c>
      <c r="V112" s="44">
        <f t="shared" si="3"/>
        <v>0</v>
      </c>
      <c r="W112" s="123"/>
      <c r="X112" s="123"/>
      <c r="Y112" s="123">
        <v>0.0</v>
      </c>
      <c r="Z112" s="123">
        <v>0.0</v>
      </c>
      <c r="AA112" s="123">
        <v>0.0</v>
      </c>
      <c r="AB112" s="123"/>
      <c r="AC112" s="123">
        <v>0.0</v>
      </c>
      <c r="AD112" s="44">
        <f t="shared" si="7"/>
        <v>0</v>
      </c>
      <c r="AE112" s="123">
        <v>0.0</v>
      </c>
    </row>
    <row r="113">
      <c r="A113" s="120">
        <v>2018.0</v>
      </c>
      <c r="B113" s="121">
        <v>1.0</v>
      </c>
      <c r="C113" s="122" t="s">
        <v>25</v>
      </c>
      <c r="D113" s="44"/>
      <c r="E113" s="123">
        <v>625.08</v>
      </c>
      <c r="F113" s="44"/>
      <c r="G113" s="44"/>
      <c r="H113" s="123">
        <v>-198.52</v>
      </c>
      <c r="I113" s="44"/>
      <c r="J113" s="44"/>
      <c r="K113" s="44"/>
      <c r="L113" s="123">
        <v>3154.87</v>
      </c>
      <c r="M113" s="44"/>
      <c r="N113" s="44"/>
      <c r="O113" s="123">
        <v>104648.0</v>
      </c>
      <c r="P113" s="52">
        <f t="shared" si="1"/>
        <v>104647.76</v>
      </c>
      <c r="Q113" s="124">
        <f t="shared" si="2"/>
        <v>0.24</v>
      </c>
      <c r="R113" s="52">
        <f t="array" ref="R113">IFERROR(INDEX('Fund YTD Target Values'!$1:$1000, MATCH($C113,'Fund YTD Target Values'!$A:$A,0), MATCH($A113,'Fund YTD Target Values'!$1:$1,0)),0)</f>
        <v>109175.2469</v>
      </c>
      <c r="S113" s="52">
        <f>IFERROR(__xludf.DUMMYFUNCTION("IFERROR(sum(FILTER('Fund Data'!$V:$V, 'Fund Data'!$C:$C = $C113, 'Fund Data'!$A:$A &lt; $A113)),0) + IFERROR(sum(FILTER('Fund Data'!$V:$V, 'Fund Data'!$C:$C = $C113, 'Fund Data'!$A:$A = $A113, 'Fund Data'!$B:$B &lt;= $B113)),0)"),81000.0)</f>
        <v>81000</v>
      </c>
      <c r="T113" s="123">
        <v>81000.0</v>
      </c>
      <c r="U113" s="44">
        <f t="shared" si="13"/>
        <v>0</v>
      </c>
      <c r="V113" s="44">
        <f t="shared" si="3"/>
        <v>0</v>
      </c>
      <c r="W113" s="123"/>
      <c r="X113" s="123"/>
      <c r="Y113" s="123">
        <v>0.0</v>
      </c>
      <c r="Z113" s="123">
        <v>0.0</v>
      </c>
      <c r="AA113" s="123">
        <v>0.0</v>
      </c>
      <c r="AB113" s="123"/>
      <c r="AC113" s="123">
        <v>0.0</v>
      </c>
      <c r="AD113" s="44">
        <f t="shared" si="7"/>
        <v>0</v>
      </c>
      <c r="AE113" s="123">
        <v>0.0</v>
      </c>
    </row>
    <row r="114">
      <c r="A114" s="120">
        <v>2017.0</v>
      </c>
      <c r="B114" s="121">
        <v>12.0</v>
      </c>
      <c r="C114" s="122" t="s">
        <v>25</v>
      </c>
      <c r="D114" s="44"/>
      <c r="E114" s="123">
        <v>2162.08</v>
      </c>
      <c r="F114" s="123">
        <v>-5000.0</v>
      </c>
      <c r="G114" s="123"/>
      <c r="H114" s="123">
        <v>-591.12</v>
      </c>
      <c r="I114" s="44"/>
      <c r="J114" s="123">
        <v>341.1</v>
      </c>
      <c r="K114" s="44"/>
      <c r="L114" s="123">
        <v>11866.26</v>
      </c>
      <c r="M114" s="44"/>
      <c r="N114" s="44"/>
      <c r="O114" s="123">
        <v>101066.0</v>
      </c>
      <c r="P114" s="52">
        <f t="shared" si="1"/>
        <v>101066.33</v>
      </c>
      <c r="Q114" s="124">
        <f t="shared" si="2"/>
        <v>-0.33</v>
      </c>
      <c r="R114" s="52">
        <f t="array" ref="R114">IFERROR(INDEX('Fund YTD Target Values'!$1:$1000, MATCH($C114,'Fund YTD Target Values'!$A:$A,0), MATCH($A114,'Fund YTD Target Values'!$1:$1,0)),0)</f>
        <v>106572.0284</v>
      </c>
      <c r="S114" s="52">
        <f>IFERROR(__xludf.DUMMYFUNCTION("IFERROR(sum(FILTER('Fund Data'!$V:$V, 'Fund Data'!$C:$C = $C114, 'Fund Data'!$A:$A &lt; $A114)),0) + IFERROR(sum(FILTER('Fund Data'!$V:$V, 'Fund Data'!$C:$C = $C114, 'Fund Data'!$A:$A = $A114, 'Fund Data'!$B:$B &lt;= $B114)),0)"),81000.0)</f>
        <v>81000</v>
      </c>
      <c r="T114" s="123">
        <v>81000.0</v>
      </c>
      <c r="U114" s="44">
        <f t="shared" si="13"/>
        <v>0</v>
      </c>
      <c r="V114" s="44">
        <f t="shared" si="3"/>
        <v>0</v>
      </c>
      <c r="W114" s="123"/>
      <c r="X114" s="123"/>
      <c r="Y114" s="123">
        <v>0.0</v>
      </c>
      <c r="Z114" s="123">
        <v>0.0</v>
      </c>
      <c r="AA114" s="123">
        <v>0.0</v>
      </c>
      <c r="AB114" s="123"/>
      <c r="AC114" s="123">
        <v>0.0</v>
      </c>
      <c r="AD114" s="44">
        <f t="shared" si="7"/>
        <v>-5000</v>
      </c>
      <c r="AE114" s="123">
        <v>0.0</v>
      </c>
    </row>
    <row r="115">
      <c r="A115" s="120">
        <v>2017.0</v>
      </c>
      <c r="B115" s="121">
        <v>11.0</v>
      </c>
      <c r="C115" s="122" t="s">
        <v>25</v>
      </c>
      <c r="D115" s="44"/>
      <c r="E115" s="123">
        <v>2019.79</v>
      </c>
      <c r="F115" s="123">
        <v>-5000.0</v>
      </c>
      <c r="G115" s="44"/>
      <c r="H115" s="123">
        <v>-540.86</v>
      </c>
      <c r="I115" s="44"/>
      <c r="J115" s="123">
        <v>341.1</v>
      </c>
      <c r="K115" s="44"/>
      <c r="L115" s="123">
        <v>11380.59</v>
      </c>
      <c r="M115" s="44"/>
      <c r="N115" s="44"/>
      <c r="O115" s="123">
        <v>100489.0</v>
      </c>
      <c r="P115" s="52">
        <f t="shared" si="1"/>
        <v>100488.63</v>
      </c>
      <c r="Q115" s="124">
        <f t="shared" si="2"/>
        <v>0.37</v>
      </c>
      <c r="R115" s="52">
        <f t="array" ref="R115">IFERROR(INDEX('Fund YTD Target Values'!$1:$1000, MATCH($C115,'Fund YTD Target Values'!$A:$A,0), MATCH($A115,'Fund YTD Target Values'!$1:$1,0)),0)</f>
        <v>106572.0284</v>
      </c>
      <c r="S115" s="52">
        <f>IFERROR(__xludf.DUMMYFUNCTION("IFERROR(sum(FILTER('Fund Data'!$V:$V, 'Fund Data'!$C:$C = $C115, 'Fund Data'!$A:$A &lt; $A115)),0) + IFERROR(sum(FILTER('Fund Data'!$V:$V, 'Fund Data'!$C:$C = $C115, 'Fund Data'!$A:$A = $A115, 'Fund Data'!$B:$B &lt;= $B115)),0)"),81000.0)</f>
        <v>81000</v>
      </c>
      <c r="T115" s="123">
        <v>81000.0</v>
      </c>
      <c r="U115" s="44">
        <f t="shared" si="13"/>
        <v>0</v>
      </c>
      <c r="V115" s="44">
        <f t="shared" si="3"/>
        <v>0</v>
      </c>
      <c r="W115" s="123"/>
      <c r="X115" s="123"/>
      <c r="Y115" s="123">
        <v>0.0</v>
      </c>
      <c r="Z115" s="123">
        <v>0.0</v>
      </c>
      <c r="AA115" s="123">
        <v>0.0</v>
      </c>
      <c r="AB115" s="123"/>
      <c r="AC115" s="123">
        <v>0.0</v>
      </c>
      <c r="AD115" s="44">
        <f t="shared" si="7"/>
        <v>-5000</v>
      </c>
      <c r="AE115" s="123">
        <v>0.0</v>
      </c>
    </row>
    <row r="116">
      <c r="A116" s="120">
        <v>2017.0</v>
      </c>
      <c r="B116" s="121">
        <v>10.0</v>
      </c>
      <c r="C116" s="122" t="s">
        <v>25</v>
      </c>
      <c r="D116" s="44"/>
      <c r="E116" s="123">
        <v>1950.4</v>
      </c>
      <c r="F116" s="123">
        <v>-1500.0</v>
      </c>
      <c r="G116" s="44"/>
      <c r="H116" s="123">
        <v>-489.43</v>
      </c>
      <c r="I116" s="44"/>
      <c r="J116" s="44"/>
      <c r="K116" s="44"/>
      <c r="L116" s="123">
        <v>10609.76</v>
      </c>
      <c r="M116" s="44"/>
      <c r="N116" s="44"/>
      <c r="O116" s="123">
        <v>102859.0</v>
      </c>
      <c r="P116" s="52">
        <f t="shared" si="1"/>
        <v>102858.74</v>
      </c>
      <c r="Q116" s="124">
        <f t="shared" si="2"/>
        <v>0.26</v>
      </c>
      <c r="R116" s="52">
        <f t="array" ref="R116">IFERROR(INDEX('Fund YTD Target Values'!$1:$1000, MATCH($C116,'Fund YTD Target Values'!$A:$A,0), MATCH($A116,'Fund YTD Target Values'!$1:$1,0)),0)</f>
        <v>106572.0284</v>
      </c>
      <c r="S116" s="52">
        <f>IFERROR(__xludf.DUMMYFUNCTION("IFERROR(sum(FILTER('Fund Data'!$V:$V, 'Fund Data'!$C:$C = $C116, 'Fund Data'!$A:$A &lt; $A116)),0) + IFERROR(sum(FILTER('Fund Data'!$V:$V, 'Fund Data'!$C:$C = $C116, 'Fund Data'!$A:$A = $A116, 'Fund Data'!$B:$B &lt;= $B116)),0)"),81000.0)</f>
        <v>81000</v>
      </c>
      <c r="T116" s="123">
        <v>81000.0</v>
      </c>
      <c r="U116" s="44">
        <f t="shared" si="13"/>
        <v>0</v>
      </c>
      <c r="V116" s="44">
        <f t="shared" si="3"/>
        <v>0</v>
      </c>
      <c r="W116" s="123"/>
      <c r="X116" s="123"/>
      <c r="Y116" s="123">
        <v>0.0</v>
      </c>
      <c r="Z116" s="123">
        <v>0.0</v>
      </c>
      <c r="AA116" s="123">
        <v>0.0</v>
      </c>
      <c r="AB116" s="123"/>
      <c r="AC116" s="123">
        <v>0.0</v>
      </c>
      <c r="AD116" s="44">
        <f t="shared" si="7"/>
        <v>-1500</v>
      </c>
      <c r="AE116" s="123">
        <v>0.0</v>
      </c>
    </row>
    <row r="117">
      <c r="A117" s="120">
        <v>2017.0</v>
      </c>
      <c r="B117" s="121">
        <v>9.0</v>
      </c>
      <c r="C117" s="122" t="s">
        <v>25</v>
      </c>
      <c r="D117" s="44"/>
      <c r="E117" s="123">
        <v>1739.48</v>
      </c>
      <c r="F117" s="123">
        <v>-1500.0</v>
      </c>
      <c r="G117" s="44"/>
      <c r="H117" s="123">
        <v>-438.74</v>
      </c>
      <c r="I117" s="44"/>
      <c r="J117" s="44"/>
      <c r="K117" s="44"/>
      <c r="L117" s="123">
        <v>9295.25</v>
      </c>
      <c r="M117" s="44"/>
      <c r="N117" s="44"/>
      <c r="O117" s="123">
        <v>101384.0</v>
      </c>
      <c r="P117" s="52">
        <f t="shared" si="1"/>
        <v>101384</v>
      </c>
      <c r="Q117" s="124">
        <f t="shared" si="2"/>
        <v>0</v>
      </c>
      <c r="R117" s="52">
        <f t="array" ref="R117">IFERROR(INDEX('Fund YTD Target Values'!$1:$1000, MATCH($C117,'Fund YTD Target Values'!$A:$A,0), MATCH($A117,'Fund YTD Target Values'!$1:$1,0)),0)</f>
        <v>106572.0284</v>
      </c>
      <c r="S117" s="52">
        <f>IFERROR(__xludf.DUMMYFUNCTION("IFERROR(sum(FILTER('Fund Data'!$V:$V, 'Fund Data'!$C:$C = $C117, 'Fund Data'!$A:$A &lt; $A117)),0) + IFERROR(sum(FILTER('Fund Data'!$V:$V, 'Fund Data'!$C:$C = $C117, 'Fund Data'!$A:$A = $A117, 'Fund Data'!$B:$B &lt;= $B117)),0)"),81000.0)</f>
        <v>81000</v>
      </c>
      <c r="T117" s="123">
        <v>81000.0</v>
      </c>
      <c r="U117" s="44">
        <f t="shared" si="13"/>
        <v>0</v>
      </c>
      <c r="V117" s="44">
        <f t="shared" si="3"/>
        <v>0</v>
      </c>
      <c r="W117" s="123"/>
      <c r="X117" s="123"/>
      <c r="Y117" s="123">
        <v>0.0</v>
      </c>
      <c r="Z117" s="123">
        <v>0.0</v>
      </c>
      <c r="AA117" s="123">
        <v>0.0</v>
      </c>
      <c r="AB117" s="123"/>
      <c r="AC117" s="123">
        <v>0.0</v>
      </c>
      <c r="AD117" s="44">
        <f t="shared" si="7"/>
        <v>-1500</v>
      </c>
      <c r="AE117" s="123">
        <v>0.0</v>
      </c>
    </row>
    <row r="118">
      <c r="A118" s="120">
        <v>2017.0</v>
      </c>
      <c r="B118" s="121">
        <v>8.0</v>
      </c>
      <c r="C118" s="122" t="s">
        <v>25</v>
      </c>
      <c r="D118" s="44"/>
      <c r="E118" s="123">
        <v>1613.24</v>
      </c>
      <c r="F118" s="123">
        <v>-1500.0</v>
      </c>
      <c r="G118" s="44"/>
      <c r="H118" s="123">
        <v>-388.58</v>
      </c>
      <c r="I118" s="44"/>
      <c r="J118" s="44"/>
      <c r="K118" s="44"/>
      <c r="L118" s="123">
        <v>8301.61</v>
      </c>
      <c r="M118" s="44"/>
      <c r="N118" s="44"/>
      <c r="O118" s="123">
        <v>100314.0</v>
      </c>
      <c r="P118" s="52">
        <f t="shared" si="1"/>
        <v>100314.28</v>
      </c>
      <c r="Q118" s="124">
        <f t="shared" si="2"/>
        <v>-0.28</v>
      </c>
      <c r="R118" s="52">
        <f t="array" ref="R118">IFERROR(INDEX('Fund YTD Target Values'!$1:$1000, MATCH($C118,'Fund YTD Target Values'!$A:$A,0), MATCH($A118,'Fund YTD Target Values'!$1:$1,0)),0)</f>
        <v>106572.0284</v>
      </c>
      <c r="S118" s="52">
        <f>IFERROR(__xludf.DUMMYFUNCTION("IFERROR(sum(FILTER('Fund Data'!$V:$V, 'Fund Data'!$C:$C = $C118, 'Fund Data'!$A:$A &lt; $A118)),0) + IFERROR(sum(FILTER('Fund Data'!$V:$V, 'Fund Data'!$C:$C = $C118, 'Fund Data'!$A:$A = $A118, 'Fund Data'!$B:$B &lt;= $B118)),0)"),81000.0)</f>
        <v>81000</v>
      </c>
      <c r="T118" s="123">
        <v>81000.0</v>
      </c>
      <c r="U118" s="44">
        <f t="shared" si="13"/>
        <v>0</v>
      </c>
      <c r="V118" s="44">
        <f t="shared" si="3"/>
        <v>0</v>
      </c>
      <c r="W118" s="123"/>
      <c r="X118" s="123"/>
      <c r="Y118" s="123">
        <v>0.0</v>
      </c>
      <c r="Z118" s="123">
        <v>0.0</v>
      </c>
      <c r="AA118" s="123">
        <v>0.0</v>
      </c>
      <c r="AB118" s="123"/>
      <c r="AC118" s="123">
        <v>0.0</v>
      </c>
      <c r="AD118" s="44">
        <f t="shared" si="7"/>
        <v>-1500</v>
      </c>
      <c r="AE118" s="123">
        <v>0.0</v>
      </c>
    </row>
    <row r="119">
      <c r="A119" s="120">
        <v>2017.0</v>
      </c>
      <c r="B119" s="121">
        <v>7.0</v>
      </c>
      <c r="C119" s="122" t="s">
        <v>25</v>
      </c>
      <c r="D119" s="44"/>
      <c r="E119" s="123">
        <v>1543.84</v>
      </c>
      <c r="F119" s="44"/>
      <c r="G119" s="44"/>
      <c r="H119" s="123">
        <v>-337.81</v>
      </c>
      <c r="I119" s="44"/>
      <c r="J119" s="44"/>
      <c r="K119" s="44"/>
      <c r="L119" s="123">
        <v>8039.95</v>
      </c>
      <c r="M119" s="44"/>
      <c r="N119" s="44"/>
      <c r="O119" s="123">
        <v>101534.0</v>
      </c>
      <c r="P119" s="52">
        <f t="shared" si="1"/>
        <v>101533.99</v>
      </c>
      <c r="Q119" s="124">
        <f t="shared" si="2"/>
        <v>0.009999999995</v>
      </c>
      <c r="R119" s="52">
        <f t="array" ref="R119">IFERROR(INDEX('Fund YTD Target Values'!$1:$1000, MATCH($C119,'Fund YTD Target Values'!$A:$A,0), MATCH($A119,'Fund YTD Target Values'!$1:$1,0)),0)</f>
        <v>106572.0284</v>
      </c>
      <c r="S119" s="52">
        <f>IFERROR(__xludf.DUMMYFUNCTION("IFERROR(sum(FILTER('Fund Data'!$V:$V, 'Fund Data'!$C:$C = $C119, 'Fund Data'!$A:$A &lt; $A119)),0) + IFERROR(sum(FILTER('Fund Data'!$V:$V, 'Fund Data'!$C:$C = $C119, 'Fund Data'!$A:$A = $A119, 'Fund Data'!$B:$B &lt;= $B119)),0)"),81000.0)</f>
        <v>81000</v>
      </c>
      <c r="T119" s="123">
        <v>81000.0</v>
      </c>
      <c r="U119" s="44">
        <f t="shared" si="13"/>
        <v>0</v>
      </c>
      <c r="V119" s="44">
        <f t="shared" si="3"/>
        <v>0</v>
      </c>
      <c r="W119" s="123"/>
      <c r="X119" s="123"/>
      <c r="Y119" s="123">
        <v>0.0</v>
      </c>
      <c r="Z119" s="123">
        <v>0.0</v>
      </c>
      <c r="AA119" s="123">
        <v>0.0</v>
      </c>
      <c r="AB119" s="123"/>
      <c r="AC119" s="123">
        <v>0.0</v>
      </c>
      <c r="AD119" s="44">
        <f t="shared" si="7"/>
        <v>0</v>
      </c>
      <c r="AE119" s="123">
        <v>0.0</v>
      </c>
    </row>
    <row r="120">
      <c r="A120" s="120">
        <v>2017.0</v>
      </c>
      <c r="B120" s="121">
        <v>6.0</v>
      </c>
      <c r="C120" s="122" t="s">
        <v>25</v>
      </c>
      <c r="D120" s="44"/>
      <c r="E120" s="123">
        <v>1228.25</v>
      </c>
      <c r="F120" s="44"/>
      <c r="G120" s="44"/>
      <c r="H120" s="123">
        <v>-288.21</v>
      </c>
      <c r="I120" s="44"/>
      <c r="J120" s="44"/>
      <c r="K120" s="44"/>
      <c r="L120" s="123">
        <v>5970.75</v>
      </c>
      <c r="M120" s="44"/>
      <c r="N120" s="44"/>
      <c r="O120" s="123">
        <v>99199.0</v>
      </c>
      <c r="P120" s="52">
        <f t="shared" si="1"/>
        <v>99198.8</v>
      </c>
      <c r="Q120" s="124">
        <f t="shared" si="2"/>
        <v>0.2</v>
      </c>
      <c r="R120" s="52">
        <f t="array" ref="R120">IFERROR(INDEX('Fund YTD Target Values'!$1:$1000, MATCH($C120,'Fund YTD Target Values'!$A:$A,0), MATCH($A120,'Fund YTD Target Values'!$1:$1,0)),0)</f>
        <v>106572.0284</v>
      </c>
      <c r="S120" s="52">
        <f>IFERROR(__xludf.DUMMYFUNCTION("IFERROR(sum(FILTER('Fund Data'!$V:$V, 'Fund Data'!$C:$C = $C120, 'Fund Data'!$A:$A &lt; $A120)),0) + IFERROR(sum(FILTER('Fund Data'!$V:$V, 'Fund Data'!$C:$C = $C120, 'Fund Data'!$A:$A = $A120, 'Fund Data'!$B:$B &lt;= $B120)),0)"),81000.0)</f>
        <v>81000</v>
      </c>
      <c r="T120" s="123">
        <v>81000.0</v>
      </c>
      <c r="U120" s="44">
        <f t="shared" si="13"/>
        <v>0</v>
      </c>
      <c r="V120" s="44">
        <f t="shared" si="3"/>
        <v>0</v>
      </c>
      <c r="W120" s="123"/>
      <c r="X120" s="123"/>
      <c r="Y120" s="123">
        <v>0.0</v>
      </c>
      <c r="Z120" s="123">
        <v>0.0</v>
      </c>
      <c r="AA120" s="123">
        <v>0.0</v>
      </c>
      <c r="AB120" s="123"/>
      <c r="AC120" s="123">
        <v>0.0</v>
      </c>
      <c r="AD120" s="44">
        <f t="shared" si="7"/>
        <v>0</v>
      </c>
      <c r="AE120" s="123">
        <v>0.0</v>
      </c>
    </row>
    <row r="121">
      <c r="A121" s="120">
        <v>2017.0</v>
      </c>
      <c r="B121" s="121">
        <v>5.0</v>
      </c>
      <c r="C121" s="122" t="s">
        <v>25</v>
      </c>
      <c r="D121" s="44"/>
      <c r="E121" s="123">
        <v>1162.27</v>
      </c>
      <c r="F121" s="44"/>
      <c r="G121" s="44"/>
      <c r="H121" s="123">
        <v>-238.73</v>
      </c>
      <c r="I121" s="44"/>
      <c r="J121" s="44"/>
      <c r="K121" s="44"/>
      <c r="L121" s="123">
        <v>5757.97</v>
      </c>
      <c r="M121" s="44"/>
      <c r="N121" s="44"/>
      <c r="O121" s="123">
        <v>98970.0</v>
      </c>
      <c r="P121" s="52">
        <f t="shared" si="1"/>
        <v>98969.52</v>
      </c>
      <c r="Q121" s="124">
        <f t="shared" si="2"/>
        <v>0.48</v>
      </c>
      <c r="R121" s="52">
        <f t="array" ref="R121">IFERROR(INDEX('Fund YTD Target Values'!$1:$1000, MATCH($C121,'Fund YTD Target Values'!$A:$A,0), MATCH($A121,'Fund YTD Target Values'!$1:$1,0)),0)</f>
        <v>106572.0284</v>
      </c>
      <c r="S121" s="52">
        <f>IFERROR(__xludf.DUMMYFUNCTION("IFERROR(sum(FILTER('Fund Data'!$V:$V, 'Fund Data'!$C:$C = $C121, 'Fund Data'!$A:$A &lt; $A121)),0) + IFERROR(sum(FILTER('Fund Data'!$V:$V, 'Fund Data'!$C:$C = $C121, 'Fund Data'!$A:$A = $A121, 'Fund Data'!$B:$B &lt;= $B121)),0)"),81000.0)</f>
        <v>81000</v>
      </c>
      <c r="T121" s="123">
        <v>81000.0</v>
      </c>
      <c r="U121" s="44">
        <f t="shared" si="13"/>
        <v>0</v>
      </c>
      <c r="V121" s="44">
        <f t="shared" si="3"/>
        <v>0</v>
      </c>
      <c r="W121" s="123"/>
      <c r="X121" s="123"/>
      <c r="Y121" s="123">
        <v>0.0</v>
      </c>
      <c r="Z121" s="123">
        <v>0.0</v>
      </c>
      <c r="AA121" s="123">
        <v>0.0</v>
      </c>
      <c r="AB121" s="123"/>
      <c r="AC121" s="123">
        <v>0.0</v>
      </c>
      <c r="AD121" s="44">
        <f t="shared" si="7"/>
        <v>0</v>
      </c>
      <c r="AE121" s="123">
        <v>0.0</v>
      </c>
    </row>
    <row r="122">
      <c r="A122" s="120">
        <v>2017.0</v>
      </c>
      <c r="B122" s="121">
        <v>4.0</v>
      </c>
      <c r="C122" s="122" t="s">
        <v>25</v>
      </c>
      <c r="D122" s="44"/>
      <c r="E122" s="123">
        <v>1098.72</v>
      </c>
      <c r="F122" s="44"/>
      <c r="G122" s="44"/>
      <c r="H122" s="123">
        <v>-189.81</v>
      </c>
      <c r="I122" s="44"/>
      <c r="J122" s="44"/>
      <c r="K122" s="44"/>
      <c r="L122" s="123">
        <v>4654.86</v>
      </c>
      <c r="M122" s="44"/>
      <c r="N122" s="44"/>
      <c r="O122" s="123">
        <v>97852.0</v>
      </c>
      <c r="P122" s="52">
        <f t="shared" si="1"/>
        <v>97851.78</v>
      </c>
      <c r="Q122" s="124">
        <f t="shared" si="2"/>
        <v>0.22</v>
      </c>
      <c r="R122" s="52">
        <f t="array" ref="R122">IFERROR(INDEX('Fund YTD Target Values'!$1:$1000, MATCH($C122,'Fund YTD Target Values'!$A:$A,0), MATCH($A122,'Fund YTD Target Values'!$1:$1,0)),0)</f>
        <v>106572.0284</v>
      </c>
      <c r="S122" s="52">
        <f>IFERROR(__xludf.DUMMYFUNCTION("IFERROR(sum(FILTER('Fund Data'!$V:$V, 'Fund Data'!$C:$C = $C122, 'Fund Data'!$A:$A &lt; $A122)),0) + IFERROR(sum(FILTER('Fund Data'!$V:$V, 'Fund Data'!$C:$C = $C122, 'Fund Data'!$A:$A = $A122, 'Fund Data'!$B:$B &lt;= $B122)),0)"),81000.0)</f>
        <v>81000</v>
      </c>
      <c r="T122" s="123">
        <v>81000.0</v>
      </c>
      <c r="U122" s="44">
        <f t="shared" si="13"/>
        <v>0</v>
      </c>
      <c r="V122" s="44">
        <f t="shared" si="3"/>
        <v>0</v>
      </c>
      <c r="W122" s="123"/>
      <c r="X122" s="123"/>
      <c r="Y122" s="123">
        <v>0.0</v>
      </c>
      <c r="Z122" s="123">
        <v>0.0</v>
      </c>
      <c r="AA122" s="123">
        <v>0.0</v>
      </c>
      <c r="AB122" s="123"/>
      <c r="AC122" s="123">
        <v>0.0</v>
      </c>
      <c r="AD122" s="44">
        <f t="shared" si="7"/>
        <v>0</v>
      </c>
      <c r="AE122" s="123">
        <v>0.0</v>
      </c>
    </row>
    <row r="123">
      <c r="A123" s="120">
        <v>2017.0</v>
      </c>
      <c r="B123" s="121">
        <v>3.0</v>
      </c>
      <c r="C123" s="122" t="s">
        <v>25</v>
      </c>
      <c r="D123" s="44"/>
      <c r="E123" s="123">
        <v>831.45</v>
      </c>
      <c r="F123" s="44"/>
      <c r="G123" s="44"/>
      <c r="H123" s="123">
        <v>-141.49</v>
      </c>
      <c r="I123" s="44"/>
      <c r="J123" s="44"/>
      <c r="K123" s="44"/>
      <c r="L123" s="123">
        <v>3675.68</v>
      </c>
      <c r="M123" s="44"/>
      <c r="N123" s="44"/>
      <c r="O123" s="123">
        <v>96654.0</v>
      </c>
      <c r="P123" s="52">
        <f t="shared" si="1"/>
        <v>96653.65</v>
      </c>
      <c r="Q123" s="124">
        <f t="shared" si="2"/>
        <v>0.35</v>
      </c>
      <c r="R123" s="52">
        <f t="array" ref="R123">IFERROR(INDEX('Fund YTD Target Values'!$1:$1000, MATCH($C123,'Fund YTD Target Values'!$A:$A,0), MATCH($A123,'Fund YTD Target Values'!$1:$1,0)),0)</f>
        <v>106572.0284</v>
      </c>
      <c r="S123" s="52">
        <f>IFERROR(__xludf.DUMMYFUNCTION("IFERROR(sum(FILTER('Fund Data'!$V:$V, 'Fund Data'!$C:$C = $C123, 'Fund Data'!$A:$A &lt; $A123)),0) + IFERROR(sum(FILTER('Fund Data'!$V:$V, 'Fund Data'!$C:$C = $C123, 'Fund Data'!$A:$A = $A123, 'Fund Data'!$B:$B &lt;= $B123)),0)"),81000.0)</f>
        <v>81000</v>
      </c>
      <c r="T123" s="123">
        <v>81000.0</v>
      </c>
      <c r="U123" s="44">
        <f t="shared" si="13"/>
        <v>0</v>
      </c>
      <c r="V123" s="44">
        <f t="shared" si="3"/>
        <v>0</v>
      </c>
      <c r="W123" s="123"/>
      <c r="X123" s="123"/>
      <c r="Y123" s="123">
        <v>0.0</v>
      </c>
      <c r="Z123" s="123">
        <v>0.0</v>
      </c>
      <c r="AA123" s="123">
        <v>0.0</v>
      </c>
      <c r="AB123" s="123"/>
      <c r="AC123" s="123">
        <v>0.0</v>
      </c>
      <c r="AD123" s="44">
        <f t="shared" si="7"/>
        <v>0</v>
      </c>
      <c r="AE123" s="123">
        <v>0.0</v>
      </c>
    </row>
    <row r="124">
      <c r="A124" s="120">
        <v>2017.0</v>
      </c>
      <c r="B124" s="121">
        <v>2.0</v>
      </c>
      <c r="C124" s="122" t="s">
        <v>25</v>
      </c>
      <c r="D124" s="44"/>
      <c r="E124" s="123">
        <v>766.89</v>
      </c>
      <c r="F124" s="44"/>
      <c r="G124" s="44"/>
      <c r="H124" s="123">
        <v>-93.35</v>
      </c>
      <c r="I124" s="44"/>
      <c r="J124" s="44"/>
      <c r="K124" s="44"/>
      <c r="L124" s="123">
        <v>3331.39</v>
      </c>
      <c r="M124" s="44"/>
      <c r="N124" s="44"/>
      <c r="O124" s="123">
        <v>96292.95</v>
      </c>
      <c r="P124" s="52">
        <f t="shared" si="1"/>
        <v>96292.94</v>
      </c>
      <c r="Q124" s="124">
        <f t="shared" si="2"/>
        <v>0.009999999995</v>
      </c>
      <c r="R124" s="52">
        <f t="array" ref="R124">IFERROR(INDEX('Fund YTD Target Values'!$1:$1000, MATCH($C124,'Fund YTD Target Values'!$A:$A,0), MATCH($A124,'Fund YTD Target Values'!$1:$1,0)),0)</f>
        <v>106572.0284</v>
      </c>
      <c r="S124" s="52">
        <f>IFERROR(__xludf.DUMMYFUNCTION("IFERROR(sum(FILTER('Fund Data'!$V:$V, 'Fund Data'!$C:$C = $C124, 'Fund Data'!$A:$A &lt; $A124)),0) + IFERROR(sum(FILTER('Fund Data'!$V:$V, 'Fund Data'!$C:$C = $C124, 'Fund Data'!$A:$A = $A124, 'Fund Data'!$B:$B &lt;= $B124)),0)"),81000.0)</f>
        <v>81000</v>
      </c>
      <c r="T124" s="123">
        <v>81000.0</v>
      </c>
      <c r="U124" s="44">
        <f t="shared" si="13"/>
        <v>0</v>
      </c>
      <c r="V124" s="44">
        <f t="shared" si="3"/>
        <v>0</v>
      </c>
      <c r="W124" s="123"/>
      <c r="X124" s="123"/>
      <c r="Y124" s="123">
        <v>0.0</v>
      </c>
      <c r="Z124" s="123">
        <v>0.0</v>
      </c>
      <c r="AA124" s="123">
        <v>0.0</v>
      </c>
      <c r="AB124" s="123"/>
      <c r="AC124" s="123">
        <v>0.0</v>
      </c>
      <c r="AD124" s="44">
        <f t="shared" si="7"/>
        <v>0</v>
      </c>
      <c r="AE124" s="123">
        <v>0.0</v>
      </c>
    </row>
    <row r="125">
      <c r="A125" s="120">
        <v>2017.0</v>
      </c>
      <c r="B125" s="121">
        <v>1.0</v>
      </c>
      <c r="C125" s="122" t="s">
        <v>25</v>
      </c>
      <c r="D125" s="44"/>
      <c r="E125" s="123">
        <v>700.38</v>
      </c>
      <c r="F125" s="44"/>
      <c r="G125" s="44"/>
      <c r="H125" s="123">
        <v>-46.15</v>
      </c>
      <c r="I125" s="44"/>
      <c r="J125" s="44"/>
      <c r="K125" s="44"/>
      <c r="L125" s="123">
        <v>1456.37</v>
      </c>
      <c r="M125" s="44"/>
      <c r="N125" s="44"/>
      <c r="O125" s="123">
        <v>94399.0</v>
      </c>
      <c r="P125" s="52">
        <f t="shared" si="1"/>
        <v>94398.61</v>
      </c>
      <c r="Q125" s="124">
        <f t="shared" si="2"/>
        <v>0.39</v>
      </c>
      <c r="R125" s="52">
        <f t="array" ref="R125">IFERROR(INDEX('Fund YTD Target Values'!$1:$1000, MATCH($C125,'Fund YTD Target Values'!$A:$A,0), MATCH($A125,'Fund YTD Target Values'!$1:$1,0)),0)</f>
        <v>106572.0284</v>
      </c>
      <c r="S125" s="52">
        <f>IFERROR(__xludf.DUMMYFUNCTION("IFERROR(sum(FILTER('Fund Data'!$V:$V, 'Fund Data'!$C:$C = $C125, 'Fund Data'!$A:$A &lt; $A125)),0) + IFERROR(sum(FILTER('Fund Data'!$V:$V, 'Fund Data'!$C:$C = $C125, 'Fund Data'!$A:$A = $A125, 'Fund Data'!$B:$B &lt;= $B125)),0)"),81000.0)</f>
        <v>81000</v>
      </c>
      <c r="T125" s="123">
        <v>81000.0</v>
      </c>
      <c r="U125" s="44">
        <f t="shared" si="13"/>
        <v>0</v>
      </c>
      <c r="V125" s="44">
        <f t="shared" si="3"/>
        <v>0</v>
      </c>
      <c r="W125" s="123"/>
      <c r="X125" s="123"/>
      <c r="Y125" s="123">
        <v>0.0</v>
      </c>
      <c r="Z125" s="123">
        <v>0.0</v>
      </c>
      <c r="AA125" s="123">
        <v>0.0</v>
      </c>
      <c r="AB125" s="123"/>
      <c r="AC125" s="123">
        <v>0.0</v>
      </c>
      <c r="AD125" s="44">
        <f t="shared" si="7"/>
        <v>0</v>
      </c>
      <c r="AE125" s="123">
        <v>0.0</v>
      </c>
    </row>
    <row r="126">
      <c r="A126" s="120">
        <v>2016.0</v>
      </c>
      <c r="B126" s="121">
        <v>12.0</v>
      </c>
      <c r="C126" s="122" t="s">
        <v>25</v>
      </c>
      <c r="D126" s="44"/>
      <c r="E126" s="123">
        <v>2036.41</v>
      </c>
      <c r="F126" s="123">
        <v>-6000.0</v>
      </c>
      <c r="G126" s="123"/>
      <c r="H126" s="123">
        <v>-561.84</v>
      </c>
      <c r="I126" s="44"/>
      <c r="J126" s="123">
        <v>52.92</v>
      </c>
      <c r="K126" s="44"/>
      <c r="L126" s="123">
        <v>4114.34</v>
      </c>
      <c r="M126" s="44"/>
      <c r="N126" s="44"/>
      <c r="O126" s="123">
        <v>92288.0</v>
      </c>
      <c r="P126" s="52">
        <f t="shared" si="1"/>
        <v>92288.01</v>
      </c>
      <c r="Q126" s="124">
        <f t="shared" si="2"/>
        <v>-0.01000000002</v>
      </c>
      <c r="R126" s="52">
        <f t="array" ref="R126">IFERROR(INDEX('Fund YTD Target Values'!$1:$1000, MATCH($C126,'Fund YTD Target Values'!$A:$A,0), MATCH($A126,'Fund YTD Target Values'!$1:$1,0)),0)</f>
        <v>104347.7365</v>
      </c>
      <c r="S126" s="52">
        <f>IFERROR(__xludf.DUMMYFUNCTION("IFERROR(sum(FILTER('Fund Data'!$V:$V, 'Fund Data'!$C:$C = $C126, 'Fund Data'!$A:$A &lt; $A126)),0) + IFERROR(sum(FILTER('Fund Data'!$V:$V, 'Fund Data'!$C:$C = $C126, 'Fund Data'!$A:$A = $A126, 'Fund Data'!$B:$B &lt;= $B126)),0)"),81000.0)</f>
        <v>81000</v>
      </c>
      <c r="T126" s="123">
        <v>81000.0</v>
      </c>
      <c r="U126" s="44">
        <f t="shared" si="13"/>
        <v>0</v>
      </c>
      <c r="V126" s="44">
        <f t="shared" si="3"/>
        <v>0</v>
      </c>
      <c r="W126" s="123"/>
      <c r="X126" s="123"/>
      <c r="Y126" s="123">
        <v>0.0</v>
      </c>
      <c r="Z126" s="123">
        <v>0.0</v>
      </c>
      <c r="AA126" s="123">
        <v>0.0</v>
      </c>
      <c r="AB126" s="123"/>
      <c r="AC126" s="123">
        <v>0.0</v>
      </c>
      <c r="AD126" s="44">
        <f t="shared" si="7"/>
        <v>-6000</v>
      </c>
      <c r="AE126" s="123">
        <v>0.0</v>
      </c>
    </row>
    <row r="127">
      <c r="A127" s="120">
        <v>2015.0</v>
      </c>
      <c r="B127" s="121">
        <v>12.0</v>
      </c>
      <c r="C127" s="122" t="s">
        <v>25</v>
      </c>
      <c r="D127" s="44"/>
      <c r="E127" s="123">
        <v>2313.92</v>
      </c>
      <c r="F127" s="123">
        <v>-5000.0</v>
      </c>
      <c r="G127" s="123"/>
      <c r="H127" s="123">
        <v>-591.85</v>
      </c>
      <c r="I127" s="44"/>
      <c r="J127" s="123">
        <v>76.25</v>
      </c>
      <c r="K127" s="44"/>
      <c r="L127" s="123">
        <v>-4243.6</v>
      </c>
      <c r="M127" s="44"/>
      <c r="N127" s="44"/>
      <c r="O127" s="123">
        <v>92646.0</v>
      </c>
      <c r="P127" s="52">
        <f t="shared" si="1"/>
        <v>92646.18</v>
      </c>
      <c r="Q127" s="124">
        <f t="shared" si="2"/>
        <v>-0.18</v>
      </c>
      <c r="R127" s="52">
        <f t="array" ref="R127">IFERROR(INDEX('Fund YTD Target Values'!$1:$1000, MATCH($C127,'Fund YTD Target Values'!$A:$A,0), MATCH($A127,'Fund YTD Target Values'!$1:$1,0)),0)</f>
        <v>103047.4388</v>
      </c>
      <c r="S127" s="52">
        <f>IFERROR(__xludf.DUMMYFUNCTION("IFERROR(sum(FILTER('Fund Data'!$V:$V, 'Fund Data'!$C:$C = $C127, 'Fund Data'!$A:$A &lt; $A127)),0) + IFERROR(sum(FILTER('Fund Data'!$V:$V, 'Fund Data'!$C:$C = $C127, 'Fund Data'!$A:$A = $A127, 'Fund Data'!$B:$B &lt;= $B127)),0)"),81000.0)</f>
        <v>81000</v>
      </c>
      <c r="T127" s="123">
        <v>81000.0</v>
      </c>
      <c r="U127" s="44">
        <f t="shared" si="13"/>
        <v>0</v>
      </c>
      <c r="V127" s="44">
        <f t="shared" si="3"/>
        <v>0</v>
      </c>
      <c r="W127" s="123"/>
      <c r="X127" s="123"/>
      <c r="Y127" s="123">
        <v>0.0</v>
      </c>
      <c r="Z127" s="123">
        <v>0.0</v>
      </c>
      <c r="AA127" s="123">
        <v>0.0</v>
      </c>
      <c r="AB127" s="123"/>
      <c r="AC127" s="123">
        <v>0.0</v>
      </c>
      <c r="AD127" s="44">
        <f t="shared" si="7"/>
        <v>-5000</v>
      </c>
      <c r="AE127" s="123">
        <v>0.0</v>
      </c>
    </row>
    <row r="128">
      <c r="A128" s="120">
        <v>2014.0</v>
      </c>
      <c r="B128" s="121">
        <v>12.0</v>
      </c>
      <c r="C128" s="122" t="s">
        <v>25</v>
      </c>
      <c r="D128" s="123">
        <v>10000.0</v>
      </c>
      <c r="E128" s="123">
        <v>1856.19</v>
      </c>
      <c r="F128" s="123">
        <v>-4100.0</v>
      </c>
      <c r="G128" s="123"/>
      <c r="H128" s="123">
        <v>-602.9</v>
      </c>
      <c r="I128" s="44"/>
      <c r="J128" s="123">
        <v>726.8</v>
      </c>
      <c r="K128" s="44"/>
      <c r="L128" s="123">
        <v>-196.66</v>
      </c>
      <c r="M128" s="44"/>
      <c r="N128" s="44"/>
      <c r="O128" s="123">
        <v>100091.0</v>
      </c>
      <c r="P128" s="52">
        <f t="shared" si="1"/>
        <v>100091.46</v>
      </c>
      <c r="Q128" s="124">
        <f t="shared" si="2"/>
        <v>-0.46</v>
      </c>
      <c r="R128" s="52">
        <f t="array" ref="R128">IFERROR(INDEX('Fund YTD Target Values'!$1:$1000, MATCH($C128,'Fund YTD Target Values'!$A:$A,0), MATCH($A128,'Fund YTD Target Values'!$1:$1,0)),0)</f>
        <v>102925.0613</v>
      </c>
      <c r="S128" s="52">
        <f>IFERROR(__xludf.DUMMYFUNCTION("IFERROR(sum(FILTER('Fund Data'!$V:$V, 'Fund Data'!$C:$C = $C128, 'Fund Data'!$A:$A &lt; $A128)),0) + IFERROR(sum(FILTER('Fund Data'!$V:$V, 'Fund Data'!$C:$C = $C128, 'Fund Data'!$A:$A = $A128, 'Fund Data'!$B:$B &lt;= $B128)),0)"),81000.0)</f>
        <v>81000</v>
      </c>
      <c r="T128" s="123">
        <v>81000.0</v>
      </c>
      <c r="U128" s="44">
        <f t="shared" si="13"/>
        <v>0</v>
      </c>
      <c r="V128" s="44">
        <f t="shared" si="3"/>
        <v>10000</v>
      </c>
      <c r="W128" s="123"/>
      <c r="X128" s="123"/>
      <c r="Y128" s="123">
        <v>0.0</v>
      </c>
      <c r="Z128" s="123">
        <v>0.0</v>
      </c>
      <c r="AA128" s="123">
        <v>0.0</v>
      </c>
      <c r="AB128" s="123"/>
      <c r="AC128" s="123">
        <v>0.0</v>
      </c>
      <c r="AD128" s="44">
        <f t="shared" si="7"/>
        <v>-4100</v>
      </c>
      <c r="AE128" s="123">
        <v>0.0</v>
      </c>
    </row>
    <row r="129">
      <c r="A129" s="120">
        <v>2013.0</v>
      </c>
      <c r="B129" s="121">
        <v>12.0</v>
      </c>
      <c r="C129" s="122" t="s">
        <v>25</v>
      </c>
      <c r="D129" s="44"/>
      <c r="E129" s="123">
        <v>1780.48</v>
      </c>
      <c r="F129" s="44"/>
      <c r="G129" s="123"/>
      <c r="H129" s="123">
        <v>-525.53</v>
      </c>
      <c r="I129" s="44"/>
      <c r="J129" s="123">
        <v>1.03</v>
      </c>
      <c r="K129" s="44"/>
      <c r="L129" s="123">
        <v>7639.75</v>
      </c>
      <c r="M129" s="44"/>
      <c r="N129" s="44"/>
      <c r="O129" s="123">
        <v>92408.0</v>
      </c>
      <c r="P129" s="52">
        <f t="shared" si="1"/>
        <v>92408.03</v>
      </c>
      <c r="Q129" s="124">
        <f t="shared" si="2"/>
        <v>-0.02999999998</v>
      </c>
      <c r="R129" s="52">
        <f t="array" ref="R129">IFERROR(INDEX('Fund YTD Target Values'!$1:$1000, MATCH($C129,'Fund YTD Target Values'!$A:$A,0), MATCH($A129,'Fund YTD Target Values'!$1:$1,0)),0)</f>
        <v>91441.95976</v>
      </c>
      <c r="S129" s="52">
        <f>IFERROR(__xludf.DUMMYFUNCTION("IFERROR(sum(FILTER('Fund Data'!$V:$V, 'Fund Data'!$C:$C = $C129, 'Fund Data'!$A:$A &lt; $A129)),0) + IFERROR(sum(FILTER('Fund Data'!$V:$V, 'Fund Data'!$C:$C = $C129, 'Fund Data'!$A:$A = $A129, 'Fund Data'!$B:$B &lt;= $B129)),0)"),71000.0)</f>
        <v>71000</v>
      </c>
      <c r="T129" s="123">
        <v>71000.0</v>
      </c>
      <c r="U129" s="44">
        <f t="shared" si="13"/>
        <v>0</v>
      </c>
      <c r="V129" s="44">
        <f t="shared" si="3"/>
        <v>0</v>
      </c>
      <c r="W129" s="123"/>
      <c r="X129" s="123"/>
      <c r="Y129" s="123">
        <v>0.0</v>
      </c>
      <c r="Z129" s="123">
        <v>0.0</v>
      </c>
      <c r="AA129" s="123">
        <v>0.0</v>
      </c>
      <c r="AB129" s="123"/>
      <c r="AC129" s="123">
        <v>0.0</v>
      </c>
      <c r="AD129" s="44">
        <f t="shared" si="7"/>
        <v>0</v>
      </c>
      <c r="AE129" s="123">
        <v>0.0</v>
      </c>
    </row>
    <row r="130">
      <c r="A130" s="120">
        <v>2012.0</v>
      </c>
      <c r="B130" s="121">
        <v>12.0</v>
      </c>
      <c r="C130" s="122" t="s">
        <v>25</v>
      </c>
      <c r="D130" s="44"/>
      <c r="E130" s="123">
        <v>1636.91</v>
      </c>
      <c r="F130" s="123">
        <v>-1350.0</v>
      </c>
      <c r="G130" s="123"/>
      <c r="H130" s="123">
        <v>-485.53</v>
      </c>
      <c r="I130" s="44"/>
      <c r="J130" s="123">
        <v>209.76</v>
      </c>
      <c r="K130" s="44"/>
      <c r="L130" s="123">
        <v>7786.16</v>
      </c>
      <c r="M130" s="44"/>
      <c r="N130" s="44"/>
      <c r="O130" s="123">
        <v>83512.0</v>
      </c>
      <c r="P130" s="52">
        <f t="shared" si="1"/>
        <v>83512.3</v>
      </c>
      <c r="Q130" s="124">
        <f t="shared" si="2"/>
        <v>-0.3</v>
      </c>
      <c r="R130" s="52">
        <f t="array" ref="R130">IFERROR(INDEX('Fund YTD Target Values'!$1:$1000, MATCH($C130,'Fund YTD Target Values'!$A:$A,0), MATCH($A130,'Fund YTD Target Values'!$1:$1,0)),0)</f>
        <v>90120.74856</v>
      </c>
      <c r="S130" s="52">
        <f>IFERROR(__xludf.DUMMYFUNCTION("IFERROR(sum(FILTER('Fund Data'!$V:$V, 'Fund Data'!$C:$C = $C130, 'Fund Data'!$A:$A &lt; $A130)),0) + IFERROR(sum(FILTER('Fund Data'!$V:$V, 'Fund Data'!$C:$C = $C130, 'Fund Data'!$A:$A = $A130, 'Fund Data'!$B:$B &lt;= $B130)),0)"),71000.0)</f>
        <v>71000</v>
      </c>
      <c r="T130" s="123">
        <v>71000.0</v>
      </c>
      <c r="U130" s="44">
        <f t="shared" si="13"/>
        <v>0</v>
      </c>
      <c r="V130" s="44">
        <f t="shared" si="3"/>
        <v>0</v>
      </c>
      <c r="W130" s="123"/>
      <c r="X130" s="123"/>
      <c r="Y130" s="123">
        <v>0.0</v>
      </c>
      <c r="Z130" s="123">
        <v>0.0</v>
      </c>
      <c r="AA130" s="123">
        <v>0.0</v>
      </c>
      <c r="AB130" s="123"/>
      <c r="AC130" s="123">
        <v>0.0</v>
      </c>
      <c r="AD130" s="44">
        <f t="shared" si="7"/>
        <v>-1350</v>
      </c>
      <c r="AE130" s="123">
        <v>0.0</v>
      </c>
    </row>
    <row r="131">
      <c r="A131" s="120">
        <v>2011.0</v>
      </c>
      <c r="B131" s="121">
        <v>12.0</v>
      </c>
      <c r="C131" s="122" t="s">
        <v>25</v>
      </c>
      <c r="D131" s="44"/>
      <c r="E131" s="123">
        <v>1425.18</v>
      </c>
      <c r="F131" s="123">
        <v>-6703.0</v>
      </c>
      <c r="G131" s="123"/>
      <c r="H131" s="123">
        <v>-505.82</v>
      </c>
      <c r="I131" s="44"/>
      <c r="J131" s="123">
        <v>1172.38</v>
      </c>
      <c r="K131" s="44"/>
      <c r="L131" s="123">
        <v>-5944.98</v>
      </c>
      <c r="M131" s="44"/>
      <c r="N131" s="44"/>
      <c r="O131" s="123">
        <v>75715.0</v>
      </c>
      <c r="P131" s="52">
        <f t="shared" si="1"/>
        <v>75715</v>
      </c>
      <c r="Q131" s="124">
        <f t="shared" si="2"/>
        <v>0</v>
      </c>
      <c r="R131" s="52">
        <f t="array" ref="R131">IFERROR(INDEX('Fund YTD Target Values'!$1:$1000, MATCH($C131,'Fund YTD Target Values'!$A:$A,0), MATCH($A131,'Fund YTD Target Values'!$1:$1,0)),0)</f>
        <v>88290.32006</v>
      </c>
      <c r="S131" s="52">
        <f>IFERROR(__xludf.DUMMYFUNCTION("IFERROR(sum(FILTER('Fund Data'!$V:$V, 'Fund Data'!$C:$C = $C131, 'Fund Data'!$A:$A &lt; $A131)),0) + IFERROR(sum(FILTER('Fund Data'!$V:$V, 'Fund Data'!$C:$C = $C131, 'Fund Data'!$A:$A = $A131, 'Fund Data'!$B:$B &lt;= $B131)),0)"),71000.0)</f>
        <v>71000</v>
      </c>
      <c r="T131" s="123">
        <v>71000.0</v>
      </c>
      <c r="U131" s="44">
        <f t="shared" si="13"/>
        <v>0</v>
      </c>
      <c r="V131" s="44">
        <f t="shared" si="3"/>
        <v>0</v>
      </c>
      <c r="W131" s="123"/>
      <c r="X131" s="123"/>
      <c r="Y131" s="123">
        <v>0.0</v>
      </c>
      <c r="Z131" s="123">
        <v>0.0</v>
      </c>
      <c r="AA131" s="123">
        <v>0.0</v>
      </c>
      <c r="AB131" s="123"/>
      <c r="AC131" s="123">
        <v>0.0</v>
      </c>
      <c r="AD131" s="44">
        <f t="shared" si="7"/>
        <v>-6703</v>
      </c>
      <c r="AE131" s="123">
        <v>0.0</v>
      </c>
    </row>
    <row r="132">
      <c r="A132" s="120">
        <v>2010.0</v>
      </c>
      <c r="B132" s="121">
        <v>12.0</v>
      </c>
      <c r="C132" s="122" t="s">
        <v>25</v>
      </c>
      <c r="D132" s="44"/>
      <c r="E132" s="123">
        <v>1662.53</v>
      </c>
      <c r="F132" s="123">
        <v>-4000.0</v>
      </c>
      <c r="G132" s="123"/>
      <c r="H132" s="123">
        <v>-483.29</v>
      </c>
      <c r="I132" s="44"/>
      <c r="J132" s="123">
        <v>319.06</v>
      </c>
      <c r="K132" s="44"/>
      <c r="L132" s="123">
        <v>8970.06</v>
      </c>
      <c r="M132" s="44"/>
      <c r="N132" s="44"/>
      <c r="O132" s="123">
        <v>86271.0</v>
      </c>
      <c r="P132" s="52">
        <f t="shared" si="1"/>
        <v>86271.24</v>
      </c>
      <c r="Q132" s="124">
        <f t="shared" si="2"/>
        <v>-0.24</v>
      </c>
      <c r="R132" s="52">
        <f t="array" ref="R132">IFERROR(INDEX('Fund YTD Target Values'!$1:$1000, MATCH($C132,'Fund YTD Target Values'!$A:$A,0), MATCH($A132,'Fund YTD Target Values'!$1:$1,0)),0)</f>
        <v>85589.7898</v>
      </c>
      <c r="S132" s="52">
        <f>IFERROR(__xludf.DUMMYFUNCTION("IFERROR(sum(FILTER('Fund Data'!$V:$V, 'Fund Data'!$C:$C = $C132, 'Fund Data'!$A:$A &lt; $A132)),0) + IFERROR(sum(FILTER('Fund Data'!$V:$V, 'Fund Data'!$C:$C = $C132, 'Fund Data'!$A:$A = $A132, 'Fund Data'!$B:$B &lt;= $B132)),0)"),71000.0)</f>
        <v>71000</v>
      </c>
      <c r="T132" s="123">
        <v>71000.0</v>
      </c>
      <c r="U132" s="44">
        <f t="shared" si="13"/>
        <v>0</v>
      </c>
      <c r="V132" s="44">
        <f t="shared" si="3"/>
        <v>0</v>
      </c>
      <c r="W132" s="123"/>
      <c r="X132" s="123"/>
      <c r="Y132" s="123">
        <v>0.0</v>
      </c>
      <c r="Z132" s="123">
        <v>0.0</v>
      </c>
      <c r="AA132" s="123">
        <v>0.0</v>
      </c>
      <c r="AB132" s="123"/>
      <c r="AC132" s="123">
        <v>0.0</v>
      </c>
      <c r="AD132" s="44">
        <f t="shared" si="7"/>
        <v>-4000</v>
      </c>
      <c r="AE132" s="123">
        <v>0.0</v>
      </c>
    </row>
    <row r="133">
      <c r="A133" s="120">
        <v>2009.0</v>
      </c>
      <c r="B133" s="121">
        <v>12.0</v>
      </c>
      <c r="C133" s="122" t="s">
        <v>25</v>
      </c>
      <c r="D133" s="44"/>
      <c r="E133" s="123">
        <v>2033.5</v>
      </c>
      <c r="F133" s="44"/>
      <c r="G133" s="123"/>
      <c r="H133" s="123">
        <v>-418.58</v>
      </c>
      <c r="I133" s="44"/>
      <c r="J133" s="44"/>
      <c r="K133" s="44"/>
      <c r="L133" s="123">
        <v>11982.29</v>
      </c>
      <c r="M133" s="44"/>
      <c r="N133" s="44"/>
      <c r="O133" s="123">
        <v>79803.0</v>
      </c>
      <c r="P133" s="52">
        <f t="shared" si="1"/>
        <v>79802.88</v>
      </c>
      <c r="Q133" s="124">
        <f t="shared" si="2"/>
        <v>0.12</v>
      </c>
      <c r="R133" s="52">
        <f t="array" ref="R133">IFERROR(INDEX('Fund YTD Target Values'!$1:$1000, MATCH($C133,'Fund YTD Target Values'!$A:$A,0), MATCH($A133,'Fund YTD Target Values'!$1:$1,0)),0)</f>
        <v>84205.18746</v>
      </c>
      <c r="S133" s="52">
        <f>IFERROR(__xludf.DUMMYFUNCTION("IFERROR(sum(FILTER('Fund Data'!$V:$V, 'Fund Data'!$C:$C = $C133, 'Fund Data'!$A:$A &lt; $A133)),0) + IFERROR(sum(FILTER('Fund Data'!$V:$V, 'Fund Data'!$C:$C = $C133, 'Fund Data'!$A:$A = $A133, 'Fund Data'!$B:$B &lt;= $B133)),0)"),71000.0)</f>
        <v>71000</v>
      </c>
      <c r="T133" s="123">
        <v>71000.0</v>
      </c>
      <c r="U133" s="44">
        <f t="shared" si="13"/>
        <v>0</v>
      </c>
      <c r="V133" s="44">
        <f t="shared" si="3"/>
        <v>0</v>
      </c>
      <c r="W133" s="123"/>
      <c r="X133" s="123"/>
      <c r="Y133" s="123">
        <v>0.0</v>
      </c>
      <c r="Z133" s="123">
        <v>0.0</v>
      </c>
      <c r="AA133" s="123">
        <v>0.0</v>
      </c>
      <c r="AB133" s="123"/>
      <c r="AC133" s="123">
        <v>0.0</v>
      </c>
      <c r="AD133" s="44">
        <f t="shared" si="7"/>
        <v>0</v>
      </c>
      <c r="AE133" s="123">
        <v>0.0</v>
      </c>
    </row>
    <row r="134">
      <c r="A134" s="120">
        <v>2008.0</v>
      </c>
      <c r="B134" s="121">
        <v>12.0</v>
      </c>
      <c r="C134" s="122" t="s">
        <v>25</v>
      </c>
      <c r="D134" s="44"/>
      <c r="E134" s="123">
        <v>2098.5</v>
      </c>
      <c r="F134" s="44"/>
      <c r="G134" s="123"/>
      <c r="H134" s="123">
        <v>-472.8</v>
      </c>
      <c r="I134" s="44"/>
      <c r="J134" s="44"/>
      <c r="K134" s="44"/>
      <c r="L134" s="123">
        <v>-21605.99</v>
      </c>
      <c r="M134" s="44"/>
      <c r="N134" s="44"/>
      <c r="O134" s="123">
        <v>66206.0</v>
      </c>
      <c r="P134" s="52">
        <f t="shared" si="1"/>
        <v>66205.67</v>
      </c>
      <c r="Q134" s="124">
        <f t="shared" si="2"/>
        <v>0.33</v>
      </c>
      <c r="R134" s="52">
        <f t="array" ref="R134">IFERROR(INDEX('Fund YTD Target Values'!$1:$1000, MATCH($C134,'Fund YTD Target Values'!$A:$A,0), MATCH($A134,'Fund YTD Target Values'!$1:$1,0)),0)</f>
        <v>84490.5967</v>
      </c>
      <c r="S134" s="52">
        <f>IFERROR(__xludf.DUMMYFUNCTION("IFERROR(sum(FILTER('Fund Data'!$V:$V, 'Fund Data'!$C:$C = $C134, 'Fund Data'!$A:$A &lt; $A134)),0) + IFERROR(sum(FILTER('Fund Data'!$V:$V, 'Fund Data'!$C:$C = $C134, 'Fund Data'!$A:$A = $A134, 'Fund Data'!$B:$B &lt;= $B134)),0)"),71000.0)</f>
        <v>71000</v>
      </c>
      <c r="T134" s="123">
        <v>71000.0</v>
      </c>
      <c r="U134" s="44">
        <f t="shared" si="13"/>
        <v>0</v>
      </c>
      <c r="V134" s="44">
        <f t="shared" si="3"/>
        <v>0</v>
      </c>
      <c r="W134" s="123"/>
      <c r="X134" s="123"/>
      <c r="Y134" s="123">
        <v>0.0</v>
      </c>
      <c r="Z134" s="123">
        <v>0.0</v>
      </c>
      <c r="AA134" s="123">
        <v>0.0</v>
      </c>
      <c r="AB134" s="123"/>
      <c r="AC134" s="123">
        <v>0.0</v>
      </c>
      <c r="AD134" s="44">
        <f t="shared" si="7"/>
        <v>0</v>
      </c>
      <c r="AE134" s="123">
        <v>0.0</v>
      </c>
    </row>
    <row r="135">
      <c r="A135" s="120">
        <v>2007.0</v>
      </c>
      <c r="B135" s="121">
        <v>12.0</v>
      </c>
      <c r="C135" s="122" t="s">
        <v>25</v>
      </c>
      <c r="D135" s="44"/>
      <c r="E135" s="123">
        <v>1356.04</v>
      </c>
      <c r="F135" s="123">
        <v>-5000.0</v>
      </c>
      <c r="G135" s="123"/>
      <c r="H135" s="123">
        <v>-517.25</v>
      </c>
      <c r="I135" s="44"/>
      <c r="J135" s="123">
        <v>763.79</v>
      </c>
      <c r="K135" s="44"/>
      <c r="L135" s="123">
        <v>6522.87</v>
      </c>
      <c r="M135" s="123">
        <v>-1.0</v>
      </c>
      <c r="N135" s="44"/>
      <c r="O135" s="123">
        <v>86186.0</v>
      </c>
      <c r="P135" s="52">
        <f t="shared" si="1"/>
        <v>86185.96</v>
      </c>
      <c r="Q135" s="124">
        <f t="shared" si="2"/>
        <v>0.04000000001</v>
      </c>
      <c r="R135" s="52">
        <f t="array" ref="R135">IFERROR(INDEX('Fund YTD Target Values'!$1:$1000, MATCH($C135,'Fund YTD Target Values'!$A:$A,0), MATCH($A135,'Fund YTD Target Values'!$1:$1,0)),0)</f>
        <v>81361.72349</v>
      </c>
      <c r="S135" s="52">
        <f>IFERROR(__xludf.DUMMYFUNCTION("IFERROR(sum(FILTER('Fund Data'!$V:$V, 'Fund Data'!$C:$C = $C135, 'Fund Data'!$A:$A &lt; $A135)),0) + IFERROR(sum(FILTER('Fund Data'!$V:$V, 'Fund Data'!$C:$C = $C135, 'Fund Data'!$A:$A = $A135, 'Fund Data'!$B:$B &lt;= $B135)),0)"),71000.0)</f>
        <v>71000</v>
      </c>
      <c r="T135" s="123">
        <v>71000.0</v>
      </c>
      <c r="U135" s="44">
        <f t="shared" si="13"/>
        <v>0</v>
      </c>
      <c r="V135" s="44">
        <f t="shared" si="3"/>
        <v>0</v>
      </c>
      <c r="W135" s="123"/>
      <c r="X135" s="123"/>
      <c r="Y135" s="123">
        <v>0.0</v>
      </c>
      <c r="Z135" s="123">
        <v>0.0</v>
      </c>
      <c r="AA135" s="123">
        <v>0.0</v>
      </c>
      <c r="AB135" s="123"/>
      <c r="AC135" s="123">
        <v>0.0</v>
      </c>
      <c r="AD135" s="44">
        <f t="shared" si="7"/>
        <v>-5000</v>
      </c>
      <c r="AE135" s="123">
        <v>0.0</v>
      </c>
    </row>
    <row r="136">
      <c r="A136" s="120">
        <v>2006.0</v>
      </c>
      <c r="B136" s="121">
        <v>12.0</v>
      </c>
      <c r="C136" s="122" t="s">
        <v>25</v>
      </c>
      <c r="D136" s="44"/>
      <c r="E136" s="123">
        <v>1384.55</v>
      </c>
      <c r="F136" s="123">
        <v>-9355.0</v>
      </c>
      <c r="G136" s="123"/>
      <c r="H136" s="123">
        <v>-513.65</v>
      </c>
      <c r="I136" s="44"/>
      <c r="J136" s="123">
        <v>371.86</v>
      </c>
      <c r="K136" s="44"/>
      <c r="L136" s="123">
        <v>6799.52</v>
      </c>
      <c r="M136" s="123">
        <v>-237.11</v>
      </c>
      <c r="N136" s="44"/>
      <c r="O136" s="123">
        <v>83062.0</v>
      </c>
      <c r="P136" s="52">
        <f t="shared" si="1"/>
        <v>83061.51</v>
      </c>
      <c r="Q136" s="124">
        <f t="shared" si="2"/>
        <v>0.49</v>
      </c>
      <c r="R136" s="52">
        <f t="array" ref="R136">IFERROR(INDEX('Fund YTD Target Values'!$1:$1000, MATCH($C136,'Fund YTD Target Values'!$A:$A,0), MATCH($A136,'Fund YTD Target Values'!$1:$1,0)),0)</f>
        <v>79105.35962</v>
      </c>
      <c r="S136" s="52">
        <f>IFERROR(__xludf.DUMMYFUNCTION("IFERROR(sum(FILTER('Fund Data'!$V:$V, 'Fund Data'!$C:$C = $C136, 'Fund Data'!$A:$A &lt; $A136)),0) + IFERROR(sum(FILTER('Fund Data'!$V:$V, 'Fund Data'!$C:$C = $C136, 'Fund Data'!$A:$A = $A136, 'Fund Data'!$B:$B &lt;= $B136)),0)"),71000.0)</f>
        <v>71000</v>
      </c>
      <c r="T136" s="123">
        <v>71000.0</v>
      </c>
      <c r="U136" s="44">
        <f t="shared" si="13"/>
        <v>0</v>
      </c>
      <c r="V136" s="44">
        <f t="shared" si="3"/>
        <v>0</v>
      </c>
      <c r="W136" s="123"/>
      <c r="X136" s="123"/>
      <c r="Y136" s="123">
        <v>0.0</v>
      </c>
      <c r="Z136" s="123">
        <v>0.0</v>
      </c>
      <c r="AA136" s="123">
        <v>0.0</v>
      </c>
      <c r="AB136" s="123"/>
      <c r="AC136" s="123">
        <v>0.0</v>
      </c>
      <c r="AD136" s="44">
        <f t="shared" si="7"/>
        <v>-9355</v>
      </c>
      <c r="AE136" s="123">
        <v>0.0</v>
      </c>
    </row>
    <row r="137">
      <c r="A137" s="120">
        <v>2005.0</v>
      </c>
      <c r="B137" s="121">
        <v>12.0</v>
      </c>
      <c r="C137" s="122" t="s">
        <v>25</v>
      </c>
      <c r="D137" s="123">
        <v>10000.0</v>
      </c>
      <c r="E137" s="123">
        <v>1473.3</v>
      </c>
      <c r="F137" s="123">
        <v>-250.0</v>
      </c>
      <c r="G137" s="123"/>
      <c r="H137" s="123">
        <v>-385.09</v>
      </c>
      <c r="I137" s="44"/>
      <c r="J137" s="123">
        <v>8894.63</v>
      </c>
      <c r="K137" s="44"/>
      <c r="L137" s="123">
        <v>-5955.12</v>
      </c>
      <c r="M137" s="123">
        <v>234.68</v>
      </c>
      <c r="N137" s="44"/>
      <c r="O137" s="123">
        <v>84612.0</v>
      </c>
      <c r="P137" s="52">
        <f t="shared" si="1"/>
        <v>84611.34</v>
      </c>
      <c r="Q137" s="124">
        <f t="shared" si="2"/>
        <v>0.66</v>
      </c>
      <c r="R137" s="52">
        <f t="array" ref="R137">IFERROR(INDEX('Fund YTD Target Values'!$1:$1000, MATCH($C137,'Fund YTD Target Values'!$A:$A,0), MATCH($A137,'Fund YTD Target Values'!$1:$1,0)),0)</f>
        <v>76626.32923</v>
      </c>
      <c r="S137" s="52">
        <f>IFERROR(__xludf.DUMMYFUNCTION("IFERROR(sum(FILTER('Fund Data'!$V:$V, 'Fund Data'!$C:$C = $C137, 'Fund Data'!$A:$A &lt; $A137)),0) + IFERROR(sum(FILTER('Fund Data'!$V:$V, 'Fund Data'!$C:$C = $C137, 'Fund Data'!$A:$A = $A137, 'Fund Data'!$B:$B &lt;= $B137)),0)"),71000.0)</f>
        <v>71000</v>
      </c>
      <c r="T137" s="123">
        <v>71000.0</v>
      </c>
      <c r="U137" s="44">
        <f t="shared" si="13"/>
        <v>0</v>
      </c>
      <c r="V137" s="44">
        <f t="shared" si="3"/>
        <v>10000</v>
      </c>
      <c r="W137" s="123"/>
      <c r="X137" s="123"/>
      <c r="Y137" s="123">
        <v>0.0</v>
      </c>
      <c r="Z137" s="123">
        <v>0.0</v>
      </c>
      <c r="AA137" s="123">
        <v>0.0</v>
      </c>
      <c r="AB137" s="123"/>
      <c r="AC137" s="123">
        <v>0.0</v>
      </c>
      <c r="AD137" s="44">
        <f t="shared" si="7"/>
        <v>-250</v>
      </c>
      <c r="AE137" s="123">
        <v>0.0</v>
      </c>
    </row>
    <row r="138">
      <c r="A138" s="120">
        <v>2004.0</v>
      </c>
      <c r="B138" s="121">
        <v>12.0</v>
      </c>
      <c r="C138" s="122" t="s">
        <v>25</v>
      </c>
      <c r="D138" s="123">
        <v>10000.0</v>
      </c>
      <c r="E138" s="123">
        <v>1727.0</v>
      </c>
      <c r="F138" s="123">
        <v>-2000.0</v>
      </c>
      <c r="G138" s="123"/>
      <c r="H138" s="123">
        <v>-258.0</v>
      </c>
      <c r="I138" s="123"/>
      <c r="J138" s="123">
        <v>807.0</v>
      </c>
      <c r="K138" s="123">
        <v>-584.0</v>
      </c>
      <c r="L138" s="123">
        <v>3253.0</v>
      </c>
      <c r="M138" s="123">
        <v>-5.0</v>
      </c>
      <c r="N138" s="123">
        <v>699.0</v>
      </c>
      <c r="O138" s="123">
        <v>70600.0</v>
      </c>
      <c r="P138" s="52">
        <f t="shared" si="1"/>
        <v>70598.94</v>
      </c>
      <c r="Q138" s="124">
        <f t="shared" si="2"/>
        <v>1.06</v>
      </c>
      <c r="R138" s="52">
        <f t="array" ref="R138">IFERROR(INDEX('Fund YTD Target Values'!$1:$1000, MATCH($C138,'Fund YTD Target Values'!$A:$A,0), MATCH($A138,'Fund YTD Target Values'!$1:$1,0)),0)</f>
        <v>64441.54363</v>
      </c>
      <c r="S138" s="52">
        <f>IFERROR(__xludf.DUMMYFUNCTION("IFERROR(sum(FILTER('Fund Data'!$V:$V, 'Fund Data'!$C:$C = $C138, 'Fund Data'!$A:$A &lt; $A138)),0) + IFERROR(sum(FILTER('Fund Data'!$V:$V, 'Fund Data'!$C:$C = $C138, 'Fund Data'!$A:$A = $A138, 'Fund Data'!$B:$B &lt;= $B138)),0)"),61000.0)</f>
        <v>61000</v>
      </c>
      <c r="T138" s="123">
        <v>61000.0</v>
      </c>
      <c r="U138" s="44">
        <f t="shared" si="13"/>
        <v>0</v>
      </c>
      <c r="V138" s="44">
        <f t="shared" si="3"/>
        <v>10000</v>
      </c>
      <c r="W138" s="123"/>
      <c r="X138" s="123"/>
      <c r="Y138" s="123">
        <v>0.0</v>
      </c>
      <c r="Z138" s="123">
        <v>0.0</v>
      </c>
      <c r="AA138" s="123">
        <v>0.0</v>
      </c>
      <c r="AB138" s="123"/>
      <c r="AC138" s="123">
        <v>0.0</v>
      </c>
      <c r="AD138" s="44">
        <f t="shared" si="7"/>
        <v>-2000</v>
      </c>
      <c r="AE138" s="123">
        <v>0.0</v>
      </c>
    </row>
    <row r="139">
      <c r="A139" s="120">
        <v>2003.0</v>
      </c>
      <c r="B139" s="121">
        <v>12.0</v>
      </c>
      <c r="C139" s="122" t="s">
        <v>25</v>
      </c>
      <c r="D139" s="123">
        <v>10000.0</v>
      </c>
      <c r="E139" s="123">
        <v>1058.89</v>
      </c>
      <c r="F139" s="123">
        <v>-1000.0</v>
      </c>
      <c r="G139" s="123"/>
      <c r="H139" s="123">
        <v>-172.12</v>
      </c>
      <c r="I139" s="123"/>
      <c r="J139" s="123">
        <v>4799.33</v>
      </c>
      <c r="K139" s="123">
        <v>-61.87</v>
      </c>
      <c r="L139" s="123">
        <v>4772.0</v>
      </c>
      <c r="M139" s="123">
        <v>6.11</v>
      </c>
      <c r="N139" s="123">
        <v>403.27</v>
      </c>
      <c r="O139" s="123">
        <v>56960.0</v>
      </c>
      <c r="P139" s="52">
        <f t="shared" si="1"/>
        <v>56959.94</v>
      </c>
      <c r="Q139" s="124">
        <f t="shared" si="2"/>
        <v>0.06</v>
      </c>
      <c r="R139" s="52">
        <f t="array" ref="R139">IFERROR(INDEX('Fund YTD Target Values'!$1:$1000, MATCH($C139,'Fund YTD Target Values'!$A:$A,0), MATCH($A139,'Fund YTD Target Values'!$1:$1,0)),0)</f>
        <v>53022.72862</v>
      </c>
      <c r="S139" s="52">
        <f>IFERROR(__xludf.DUMMYFUNCTION("IFERROR(sum(FILTER('Fund Data'!$V:$V, 'Fund Data'!$C:$C = $C139, 'Fund Data'!$A:$A &lt; $A139)),0) + IFERROR(sum(FILTER('Fund Data'!$V:$V, 'Fund Data'!$C:$C = $C139, 'Fund Data'!$A:$A = $A139, 'Fund Data'!$B:$B &lt;= $B139)),0)"),51000.0)</f>
        <v>51000</v>
      </c>
      <c r="T139" s="123">
        <v>51000.0</v>
      </c>
      <c r="U139" s="44">
        <f t="shared" si="13"/>
        <v>0</v>
      </c>
      <c r="V139" s="44">
        <f t="shared" si="3"/>
        <v>10000</v>
      </c>
      <c r="W139" s="123"/>
      <c r="X139" s="123"/>
      <c r="Y139" s="123">
        <v>0.0</v>
      </c>
      <c r="Z139" s="123">
        <v>0.0</v>
      </c>
      <c r="AA139" s="123">
        <v>0.0</v>
      </c>
      <c r="AB139" s="123"/>
      <c r="AC139" s="123">
        <v>0.0</v>
      </c>
      <c r="AD139" s="44">
        <f t="shared" si="7"/>
        <v>-1000</v>
      </c>
      <c r="AE139" s="123">
        <v>0.0</v>
      </c>
    </row>
    <row r="140">
      <c r="A140" s="120">
        <v>2002.0</v>
      </c>
      <c r="B140" s="121">
        <v>12.0</v>
      </c>
      <c r="C140" s="122" t="s">
        <v>25</v>
      </c>
      <c r="D140" s="123">
        <v>10000.0</v>
      </c>
      <c r="E140" s="123">
        <v>734.0</v>
      </c>
      <c r="F140" s="44"/>
      <c r="G140" s="123"/>
      <c r="H140" s="123">
        <v>-96.0</v>
      </c>
      <c r="I140" s="123"/>
      <c r="J140" s="123">
        <v>79.0</v>
      </c>
      <c r="K140" s="123">
        <v>-3162.0</v>
      </c>
      <c r="L140" s="123">
        <v>-1404.0</v>
      </c>
      <c r="M140" s="123">
        <v>-10.0</v>
      </c>
      <c r="N140" s="123">
        <v>381.48</v>
      </c>
      <c r="O140" s="123">
        <v>37155.0</v>
      </c>
      <c r="P140" s="52">
        <f t="shared" si="1"/>
        <v>37154.33</v>
      </c>
      <c r="Q140" s="124">
        <f t="shared" si="2"/>
        <v>0.67</v>
      </c>
      <c r="R140" s="52">
        <f t="array" ref="R140">IFERROR(INDEX('Fund YTD Target Values'!$1:$1000, MATCH($C140,'Fund YTD Target Values'!$A:$A,0), MATCH($A140,'Fund YTD Target Values'!$1:$1,0)),0)</f>
        <v>42066.85651</v>
      </c>
      <c r="S140" s="52">
        <f>IFERROR(__xludf.DUMMYFUNCTION("IFERROR(sum(FILTER('Fund Data'!$V:$V, 'Fund Data'!$C:$C = $C140, 'Fund Data'!$A:$A &lt; $A140)),0) + IFERROR(sum(FILTER('Fund Data'!$V:$V, 'Fund Data'!$C:$C = $C140, 'Fund Data'!$A:$A = $A140, 'Fund Data'!$B:$B &lt;= $B140)),0)"),41000.0)</f>
        <v>41000</v>
      </c>
      <c r="T140" s="123">
        <v>41000.0</v>
      </c>
      <c r="U140" s="44">
        <f t="shared" si="13"/>
        <v>0</v>
      </c>
      <c r="V140" s="44">
        <f t="shared" si="3"/>
        <v>10000</v>
      </c>
      <c r="W140" s="123"/>
      <c r="X140" s="123"/>
      <c r="Y140" s="123">
        <v>0.0</v>
      </c>
      <c r="Z140" s="123">
        <v>0.0</v>
      </c>
      <c r="AA140" s="123">
        <v>0.0</v>
      </c>
      <c r="AB140" s="123"/>
      <c r="AC140" s="123">
        <v>0.0</v>
      </c>
      <c r="AD140" s="44">
        <f t="shared" si="7"/>
        <v>0</v>
      </c>
      <c r="AE140" s="123">
        <v>0.0</v>
      </c>
    </row>
    <row r="141">
      <c r="A141" s="120">
        <v>2001.0</v>
      </c>
      <c r="B141" s="121">
        <v>12.0</v>
      </c>
      <c r="C141" s="122" t="s">
        <v>25</v>
      </c>
      <c r="D141" s="123">
        <v>11000.0</v>
      </c>
      <c r="E141" s="123">
        <v>668.0</v>
      </c>
      <c r="F141" s="44"/>
      <c r="G141" s="123"/>
      <c r="H141" s="123">
        <v>-60.0</v>
      </c>
      <c r="I141" s="123"/>
      <c r="J141" s="123">
        <v>19.0</v>
      </c>
      <c r="K141" s="123">
        <v>-377.0</v>
      </c>
      <c r="L141" s="123">
        <v>-705.0</v>
      </c>
      <c r="M141" s="123">
        <v>-86.0</v>
      </c>
      <c r="N141" s="123">
        <v>55.85</v>
      </c>
      <c r="O141" s="123">
        <v>30632.0</v>
      </c>
      <c r="P141" s="52">
        <f t="shared" si="1"/>
        <v>30631.85</v>
      </c>
      <c r="Q141" s="124">
        <f t="shared" si="2"/>
        <v>0.15</v>
      </c>
      <c r="R141" s="52">
        <f t="array" ref="R141">IFERROR(INDEX('Fund YTD Target Values'!$1:$1000, MATCH($C141,'Fund YTD Target Values'!$A:$A,0), MATCH($A141,'Fund YTD Target Values'!$1:$1,0)),0)</f>
        <v>31566.34297</v>
      </c>
      <c r="S141" s="52">
        <f>IFERROR(__xludf.DUMMYFUNCTION("IFERROR(sum(FILTER('Fund Data'!$V:$V, 'Fund Data'!$C:$C = $C141, 'Fund Data'!$A:$A &lt; $A141)),0) + IFERROR(sum(FILTER('Fund Data'!$V:$V, 'Fund Data'!$C:$C = $C141, 'Fund Data'!$A:$A = $A141, 'Fund Data'!$B:$B &lt;= $B141)),0)"),31000.0)</f>
        <v>31000</v>
      </c>
      <c r="T141" s="44"/>
      <c r="U141" s="44"/>
      <c r="V141" s="44">
        <f t="shared" si="3"/>
        <v>11000</v>
      </c>
      <c r="W141" s="123"/>
      <c r="X141" s="123"/>
      <c r="Y141" s="123">
        <v>0.0</v>
      </c>
      <c r="Z141" s="123">
        <v>0.0</v>
      </c>
      <c r="AA141" s="123">
        <v>0.0</v>
      </c>
      <c r="AB141" s="123"/>
      <c r="AC141" s="123">
        <v>0.0</v>
      </c>
      <c r="AD141" s="44">
        <f t="shared" si="7"/>
        <v>0</v>
      </c>
      <c r="AE141" s="123">
        <v>0.0</v>
      </c>
    </row>
    <row r="142">
      <c r="A142" s="120">
        <v>2000.0</v>
      </c>
      <c r="B142" s="121">
        <v>12.0</v>
      </c>
      <c r="C142" s="122" t="s">
        <v>25</v>
      </c>
      <c r="D142" s="123">
        <v>20000.0</v>
      </c>
      <c r="E142" s="123">
        <v>19.0</v>
      </c>
      <c r="F142" s="44"/>
      <c r="G142" s="123"/>
      <c r="H142" s="123">
        <v>0.0</v>
      </c>
      <c r="I142" s="123"/>
      <c r="J142" s="44"/>
      <c r="K142" s="123">
        <v>0.0</v>
      </c>
      <c r="L142" s="123">
        <v>0.0</v>
      </c>
      <c r="M142" s="123">
        <v>98.0</v>
      </c>
      <c r="N142" s="123">
        <v>0.0</v>
      </c>
      <c r="O142" s="123">
        <v>20117.0</v>
      </c>
      <c r="P142" s="52">
        <f t="shared" si="1"/>
        <v>20117</v>
      </c>
      <c r="Q142" s="124">
        <f t="shared" si="2"/>
        <v>0</v>
      </c>
      <c r="R142" s="52">
        <f t="array" ref="R142">IFERROR(INDEX('Fund YTD Target Values'!$1:$1000, MATCH($C142,'Fund YTD Target Values'!$A:$A,0), MATCH($A142,'Fund YTD Target Values'!$1:$1,0)),0)</f>
        <v>20000</v>
      </c>
      <c r="S142" s="52">
        <f>IFERROR(__xludf.DUMMYFUNCTION("IFERROR(sum(FILTER('Fund Data'!$V:$V, 'Fund Data'!$C:$C = $C142, 'Fund Data'!$A:$A &lt; $A142)),0) + IFERROR(sum(FILTER('Fund Data'!$V:$V, 'Fund Data'!$C:$C = $C142, 'Fund Data'!$A:$A = $A142, 'Fund Data'!$B:$B &lt;= $B142)),0)"),20000.0)</f>
        <v>20000</v>
      </c>
      <c r="T142" s="44"/>
      <c r="U142" s="44"/>
      <c r="V142" s="44">
        <f t="shared" si="3"/>
        <v>20000</v>
      </c>
      <c r="W142" s="123"/>
      <c r="X142" s="123"/>
      <c r="Y142" s="123">
        <v>0.0</v>
      </c>
      <c r="Z142" s="123">
        <v>0.0</v>
      </c>
      <c r="AA142" s="123">
        <v>0.0</v>
      </c>
      <c r="AB142" s="123"/>
      <c r="AC142" s="123">
        <v>0.0</v>
      </c>
      <c r="AD142" s="44">
        <f t="shared" si="7"/>
        <v>0</v>
      </c>
      <c r="AE142" s="123">
        <v>0.0</v>
      </c>
    </row>
    <row r="143">
      <c r="A143" s="120">
        <v>2019.0</v>
      </c>
      <c r="B143" s="121">
        <v>6.0</v>
      </c>
      <c r="C143" s="122" t="s">
        <v>47</v>
      </c>
      <c r="D143" s="123"/>
      <c r="E143" s="123">
        <f>5235.91 + 16010.09</f>
        <v>21246</v>
      </c>
      <c r="F143" s="123">
        <f t="shared" ref="F143:F144" si="17"> 1445076 - 1512075.67</f>
        <v>-66999.67</v>
      </c>
      <c r="G143" s="123">
        <v>400.0</v>
      </c>
      <c r="H143" s="123">
        <v>-3372.55</v>
      </c>
      <c r="I143" s="44"/>
      <c r="J143" s="123">
        <v>296465.87</v>
      </c>
      <c r="K143" s="44"/>
      <c r="L143" s="123">
        <f> 22227.24 -  154854</f>
        <v>-132626.76</v>
      </c>
      <c r="M143" s="44"/>
      <c r="N143" s="44"/>
      <c r="O143" s="123">
        <v>1472538.82</v>
      </c>
      <c r="P143" s="52">
        <f t="shared" si="1"/>
        <v>1472539.17</v>
      </c>
      <c r="Q143" s="124">
        <f t="shared" si="2"/>
        <v>-0.3500000001</v>
      </c>
      <c r="R143" s="52">
        <f t="array" ref="R143">IFERROR(INDEX('Fund YTD Target Values'!$1:$1000, MATCH($C143,'Fund YTD Target Values'!$A:$A,0), MATCH($A143,'Fund YTD Target Values'!$1:$1,0)),0)</f>
        <v>1511057.877</v>
      </c>
      <c r="S143" s="52">
        <f>IFERROR(__xludf.DUMMYFUNCTION("IFERROR(sum(FILTER('Fund Data'!$V:$V, 'Fund Data'!$C:$C = $C143, 'Fund Data'!$A:$A &lt; $A143)),0) + IFERROR(sum(FILTER('Fund Data'!$V:$V, 'Fund Data'!$C:$C = $C143, 'Fund Data'!$A:$A = $A143, 'Fund Data'!$B:$B &lt;= $B143)),0)"),1371168.0)</f>
        <v>1371168</v>
      </c>
      <c r="T143" s="123">
        <v>1371168.0</v>
      </c>
      <c r="U143" s="44">
        <f t="shared" ref="U143:U177" si="19">S143-T143</f>
        <v>0</v>
      </c>
      <c r="V143" s="44">
        <f t="shared" si="3"/>
        <v>0</v>
      </c>
      <c r="W143" s="52">
        <f>IFERROR(__xludf.DUMMYFUNCTION("iFERROR((FILTER('Fund Data'!$Y:$Y, 'Fund Data'!$C:$C = $C143, 'Fund Data'!$A:$A = $A143 - 1, 'Fund Data'!$B:$B = 12) + FILTER('Fund Data'!$AA:$AA, 'Fund Data'!$C:$C = $C143, 'Fund Data'!$A:$A = $A143 - 1, 'Fund Data'!$B:$B = 12)) * (1 + AVERAGE(FILTER('In"&amp;"flation Data'!$C:$C,'Inflation Data'!$A:$A = ($A143 - 2)))) * 'Parameters and Distribution Sum'!$A$4,0)"),46640.32995001506)</f>
        <v>46640.32995</v>
      </c>
      <c r="X143" s="52">
        <f>IFERROR(__xludf.DUMMYFUNCTION("IFERROR((IFERROR(FILTER('Fund Data'!$P:$P,'Fund Data'!$C:$C = $C143,'Fund Data'!$A:$A = ($A143 - 2), 'Fund Data'!$B:$B = 12),0) - SUM(FILTER('Fund Data'!$V:$V, 'Fund Data'!$C:$C = $C143, 'Fund Data'!$A:$A = ($A143 - 2), 'Fund Data'!$B:$B &gt; 3)))  * 'Parame"&amp;"ters and Distribution Sum'!$B$4 * (1 - 'Parameters and Distribution Sum'!$A$4),0)"),20734.745580000003)</f>
        <v>20734.74558</v>
      </c>
      <c r="Y143" s="52">
        <f t="shared" ref="Y143:Y148" si="20">sum($W143:$X143)</f>
        <v>67375.07553</v>
      </c>
      <c r="Z143" s="52">
        <f>IFERROR(__xludf.DUMMYFUNCTION("((IFERROR((SUM(FILTER('Fund Data'!$V:$V, 'Fund Data'!$C:$C = $C143, 'Fund Data'!$A:$A = $A143 - 1, 'Fund Data'!$B:$B &gt;= 4, 'Fund Data'!$B:$B &lt;= ($B143 + 5))) / 12) * ($B143 - 3) * 'Parameters and Distribution Sum'!$B$4, 0) + IF($B143 &gt;= 9, IFERROR(SUM(FIL"&amp;"TER('Fund Data'!$V:$V, 'Fund Data'!$C:$C = $C143, 'Fund Data'!$A:$A = $A143, 'Fund Data'!$B:$B &lt;= 3)) * 'Parameters and Distribution Sum'!$B$4, 0),0)))"),0.0)</f>
        <v>0</v>
      </c>
      <c r="AA143" s="44">
        <f>IFERROR(__xludf.DUMMYFUNCTION("IFERROR(((IFERROR(SUM(FILTER('Fund Data'!$V:$V, 'Fund Data'!$C:$C = $C143, 'Fund Data'!$A:$A = $A143 - 2, 'Fund Data'!$B:$B &gt;= 4)) * 'Parameters and Distribution Sum'!$B$4,0) + IFERROR(SUM(FILTER('Fund Data'!$V:$V, 'Fund Data'!$C:$C = $C143, 'Fund Data'!$"&amp;"A:$A = $A143 - 1, 'Fund Data'!$B:$B &lt;= 3)) * 'Parameters and Distribution Sum'!$B$4,0))),0)"),0.0)</f>
        <v>0</v>
      </c>
      <c r="AB143" s="44">
        <f t="shared" ref="AB143:AB149" si="21">IFERROR(__xludf.DUMMYFUNCTION("IFERROR(FILTER($AE:$AE,$C:$C = $C143,$A:$A = $A143 - 1,$B:$B = 12),0)"),0.0)</f>
        <v>0</v>
      </c>
      <c r="AC143" s="44">
        <f t="shared" ref="AC143:AC149" si="22">sum($Y143:$AB143)</f>
        <v>67375.07553</v>
      </c>
      <c r="AD143" s="44">
        <f t="shared" si="7"/>
        <v>375.40553</v>
      </c>
      <c r="AE143" s="44"/>
    </row>
    <row r="144">
      <c r="A144" s="120">
        <v>2019.0</v>
      </c>
      <c r="B144" s="121">
        <v>5.0</v>
      </c>
      <c r="C144" s="122" t="s">
        <v>47</v>
      </c>
      <c r="D144" s="44"/>
      <c r="E144" s="123">
        <v>16010.09</v>
      </c>
      <c r="F144" s="123">
        <f t="shared" si="17"/>
        <v>-66999.67</v>
      </c>
      <c r="G144" s="123">
        <v>400.0</v>
      </c>
      <c r="H144" s="123">
        <v>-3372.55</v>
      </c>
      <c r="I144" s="44"/>
      <c r="J144" s="123">
        <v>296465.87</v>
      </c>
      <c r="K144" s="44"/>
      <c r="L144" s="123">
        <v>-154854.21</v>
      </c>
      <c r="M144" s="44"/>
      <c r="N144" s="44"/>
      <c r="O144" s="52">
        <f t="shared" ref="O144:P144" si="18">IFERROR(__xludf.DUMMYFUNCTION("IFERROR(sum(FILTER($D:$N,$C:$C = $C144,$A:$A &lt; $A144,$B:$B = 12)),0) + sum($D144:$N144)"),1445075.81)</f>
        <v>1445075.81</v>
      </c>
      <c r="P144" s="52">
        <f t="shared" si="18"/>
        <v>1445075.81</v>
      </c>
      <c r="Q144" s="124">
        <f t="shared" si="2"/>
        <v>0</v>
      </c>
      <c r="R144" s="52">
        <f t="array" ref="R144">IFERROR(INDEX('Fund YTD Target Values'!$1:$1000, MATCH($C144,'Fund YTD Target Values'!$A:$A,0), MATCH($A144,'Fund YTD Target Values'!$1:$1,0)),0)</f>
        <v>1511057.877</v>
      </c>
      <c r="S144" s="52">
        <f>IFERROR(__xludf.DUMMYFUNCTION("IFERROR(sum(FILTER('Fund Data'!$V:$V, 'Fund Data'!$C:$C = $C144, 'Fund Data'!$A:$A &lt; $A144)),0) + IFERROR(sum(FILTER('Fund Data'!$V:$V, 'Fund Data'!$C:$C = $C144, 'Fund Data'!$A:$A = $A144, 'Fund Data'!$B:$B &lt;= $B144)),0)"),1371168.0)</f>
        <v>1371168</v>
      </c>
      <c r="T144" s="123">
        <v>1371168.0</v>
      </c>
      <c r="U144" s="44">
        <f t="shared" si="19"/>
        <v>0</v>
      </c>
      <c r="V144" s="44">
        <f t="shared" si="3"/>
        <v>0</v>
      </c>
      <c r="W144" s="52">
        <f>IFERROR(__xludf.DUMMYFUNCTION("iFERROR((FILTER('Fund Data'!$Y:$Y, 'Fund Data'!$C:$C = $C144, 'Fund Data'!$A:$A = $A144 - 1, 'Fund Data'!$B:$B = 12) + FILTER('Fund Data'!$AA:$AA, 'Fund Data'!$C:$C = $C144, 'Fund Data'!$A:$A = $A144 - 1, 'Fund Data'!$B:$B = 12)) * (1 + AVERAGE(FILTER('In"&amp;"flation Data'!$C:$C,'Inflation Data'!$A:$A = ($A144 - 2)))) * 'Parameters and Distribution Sum'!$A$4,0)"),46640.32995001506)</f>
        <v>46640.32995</v>
      </c>
      <c r="X144" s="52">
        <f>IFERROR(__xludf.DUMMYFUNCTION("IFERROR((IFERROR(FILTER('Fund Data'!$P:$P,'Fund Data'!$C:$C = $C144,'Fund Data'!$A:$A = ($A144 - 2), 'Fund Data'!$B:$B = 12),0) - SUM(FILTER('Fund Data'!$V:$V, 'Fund Data'!$C:$C = $C144, 'Fund Data'!$A:$A = ($A144 - 2), 'Fund Data'!$B:$B &gt; 3)))  * 'Parame"&amp;"ters and Distribution Sum'!$B$4 * (1 - 'Parameters and Distribution Sum'!$A$4),0)"),20734.745580000003)</f>
        <v>20734.74558</v>
      </c>
      <c r="Y144" s="52">
        <f t="shared" si="20"/>
        <v>67375.07553</v>
      </c>
      <c r="Z144" s="52">
        <f>IFERROR(__xludf.DUMMYFUNCTION("((IFERROR((SUM(FILTER('Fund Data'!$V:$V, 'Fund Data'!$C:$C = $C144, 'Fund Data'!$A:$A = $A144 - 1, 'Fund Data'!$B:$B &gt;= 4, 'Fund Data'!$B:$B &lt;= ($B144 + 5))) / 12) * ($B144 - 3) * 'Parameters and Distribution Sum'!$B$4, 0) + IF($B144 &gt;= 9, IFERROR(SUM(FIL"&amp;"TER('Fund Data'!$V:$V, 'Fund Data'!$C:$C = $C144, 'Fund Data'!$A:$A = $A144, 'Fund Data'!$B:$B &lt;= 3)) * 'Parameters and Distribution Sum'!$B$4, 0),0)))"),0.0)</f>
        <v>0</v>
      </c>
      <c r="AA144" s="44">
        <f>IFERROR(__xludf.DUMMYFUNCTION("IFERROR(((IFERROR(SUM(FILTER('Fund Data'!$V:$V, 'Fund Data'!$C:$C = $C144, 'Fund Data'!$A:$A = $A144 - 2, 'Fund Data'!$B:$B &gt;= 4)) * 'Parameters and Distribution Sum'!$B$4,0) + IFERROR(SUM(FILTER('Fund Data'!$V:$V, 'Fund Data'!$C:$C = $C144, 'Fund Data'!$"&amp;"A:$A = $A144 - 1, 'Fund Data'!$B:$B &lt;= 3)) * 'Parameters and Distribution Sum'!$B$4,0))),0)"),0.0)</f>
        <v>0</v>
      </c>
      <c r="AB144" s="44">
        <f t="shared" si="21"/>
        <v>0</v>
      </c>
      <c r="AC144" s="44">
        <f t="shared" si="22"/>
        <v>67375.07553</v>
      </c>
      <c r="AD144" s="44">
        <f t="shared" si="7"/>
        <v>375.40553</v>
      </c>
      <c r="AE144" s="44"/>
    </row>
    <row r="145">
      <c r="A145" s="120">
        <v>2019.0</v>
      </c>
      <c r="B145" s="121">
        <v>4.0</v>
      </c>
      <c r="C145" s="122" t="s">
        <v>47</v>
      </c>
      <c r="D145" s="44"/>
      <c r="E145" s="123">
        <v>15204.25</v>
      </c>
      <c r="F145" s="123">
        <v>-67000.0</v>
      </c>
      <c r="G145" s="44"/>
      <c r="H145" s="123">
        <v>-2697.94</v>
      </c>
      <c r="I145" s="44"/>
      <c r="J145" s="123">
        <v>3674.64</v>
      </c>
      <c r="K145" s="44"/>
      <c r="L145" s="123">
        <v>137937.22</v>
      </c>
      <c r="M145" s="44"/>
      <c r="N145" s="44"/>
      <c r="O145" s="123">
        <v>1444544.0</v>
      </c>
      <c r="P145" s="52">
        <f t="shared" ref="P145:P1775" si="23">IFERROR(__xludf.DUMMYFUNCTION("IFERROR(sum(FILTER($D:$N,$C:$C = $C145,$A:$A &lt; $A145,$B:$B = 12)),0) + sum($D145:$N145)"),1444544.45)</f>
        <v>1444544.45</v>
      </c>
      <c r="Q145" s="124">
        <f t="shared" si="2"/>
        <v>-0.45</v>
      </c>
      <c r="R145" s="52">
        <f t="array" ref="R145">IFERROR(INDEX('Fund YTD Target Values'!$1:$1000, MATCH($C145,'Fund YTD Target Values'!$A:$A,0), MATCH($A145,'Fund YTD Target Values'!$1:$1,0)),0)</f>
        <v>1511057.877</v>
      </c>
      <c r="S145" s="52">
        <f>IFERROR(__xludf.DUMMYFUNCTION("IFERROR(sum(FILTER('Fund Data'!$V:$V, 'Fund Data'!$C:$C = $C145, 'Fund Data'!$A:$A &lt; $A145)),0) + IFERROR(sum(FILTER('Fund Data'!$V:$V, 'Fund Data'!$C:$C = $C145, 'Fund Data'!$A:$A = $A145, 'Fund Data'!$B:$B &lt;= $B145)),0)"),1371168.0)</f>
        <v>1371168</v>
      </c>
      <c r="T145" s="123">
        <v>1371168.0</v>
      </c>
      <c r="U145" s="44">
        <f t="shared" si="19"/>
        <v>0</v>
      </c>
      <c r="V145" s="44">
        <f t="shared" si="3"/>
        <v>0</v>
      </c>
      <c r="W145" s="52">
        <f>IFERROR(__xludf.DUMMYFUNCTION("iFERROR((FILTER('Fund Data'!$Y:$Y, 'Fund Data'!$C:$C = $C145, 'Fund Data'!$A:$A = $A145 - 1, 'Fund Data'!$B:$B = 12) + FILTER('Fund Data'!$AA:$AA, 'Fund Data'!$C:$C = $C145, 'Fund Data'!$A:$A = $A145 - 1, 'Fund Data'!$B:$B = 12)) * (1 + AVERAGE(FILTER('In"&amp;"flation Data'!$C:$C,'Inflation Data'!$A:$A = ($A145 - 2)))) * 'Parameters and Distribution Sum'!$A$4,0)"),46640.32995001506)</f>
        <v>46640.32995</v>
      </c>
      <c r="X145" s="52">
        <f>IFERROR(__xludf.DUMMYFUNCTION("IFERROR((IFERROR(FILTER('Fund Data'!$P:$P,'Fund Data'!$C:$C = $C145,'Fund Data'!$A:$A = ($A145 - 2), 'Fund Data'!$B:$B = 12),0) - SUM(FILTER('Fund Data'!$V:$V, 'Fund Data'!$C:$C = $C145, 'Fund Data'!$A:$A = ($A145 - 2), 'Fund Data'!$B:$B &gt; 3)))  * 'Parame"&amp;"ters and Distribution Sum'!$B$4 * (1 - 'Parameters and Distribution Sum'!$A$4),0)"),20734.745580000003)</f>
        <v>20734.74558</v>
      </c>
      <c r="Y145" s="52">
        <f t="shared" si="20"/>
        <v>67375.07553</v>
      </c>
      <c r="Z145" s="52">
        <f>IFERROR(__xludf.DUMMYFUNCTION("((IFERROR((SUM(FILTER('Fund Data'!$V:$V, 'Fund Data'!$C:$C = $C145, 'Fund Data'!$A:$A = $A145 - 1, 'Fund Data'!$B:$B &gt;= 4, 'Fund Data'!$B:$B &lt;= ($B145 + 5))) / 12) * ($B145 - 3) * 'Parameters and Distribution Sum'!$B$4, 0) + IF($B145 &gt;= 9, IFERROR(SUM(FIL"&amp;"TER('Fund Data'!$V:$V, 'Fund Data'!$C:$C = $C145, 'Fund Data'!$A:$A = $A145, 'Fund Data'!$B:$B &lt;= 3)) * 'Parameters and Distribution Sum'!$B$4, 0),0)))"),0.0)</f>
        <v>0</v>
      </c>
      <c r="AA145" s="44">
        <f>IFERROR(__xludf.DUMMYFUNCTION("IFERROR(((IFERROR(SUM(FILTER('Fund Data'!$V:$V, 'Fund Data'!$C:$C = $C145, 'Fund Data'!$A:$A = $A145 - 2, 'Fund Data'!$B:$B &gt;= 4)) * 'Parameters and Distribution Sum'!$B$4,0) + IFERROR(SUM(FILTER('Fund Data'!$V:$V, 'Fund Data'!$C:$C = $C145, 'Fund Data'!$"&amp;"A:$A = $A145 - 1, 'Fund Data'!$B:$B &lt;= 3)) * 'Parameters and Distribution Sum'!$B$4,0))),0)"),0.0)</f>
        <v>0</v>
      </c>
      <c r="AB145" s="44">
        <f t="shared" si="21"/>
        <v>0</v>
      </c>
      <c r="AC145" s="44">
        <f t="shared" si="22"/>
        <v>67375.07553</v>
      </c>
      <c r="AD145" s="44">
        <f t="shared" si="7"/>
        <v>375.07553</v>
      </c>
      <c r="AE145" s="44"/>
    </row>
    <row r="146">
      <c r="A146" s="120">
        <v>2019.0</v>
      </c>
      <c r="B146" s="121">
        <v>3.0</v>
      </c>
      <c r="C146" s="122" t="s">
        <v>47</v>
      </c>
      <c r="D146" s="44"/>
      <c r="E146" s="123">
        <v>11509.99</v>
      </c>
      <c r="F146" s="44"/>
      <c r="G146" s="44"/>
      <c r="H146" s="123">
        <v>-2005.88</v>
      </c>
      <c r="I146" s="44"/>
      <c r="J146" s="44"/>
      <c r="K146" s="44"/>
      <c r="L146" s="123">
        <v>113199.75</v>
      </c>
      <c r="M146" s="44"/>
      <c r="N146" s="44"/>
      <c r="O146" s="123">
        <v>1480130.0</v>
      </c>
      <c r="P146" s="52">
        <f t="shared" si="23"/>
        <v>1480130.14</v>
      </c>
      <c r="Q146" s="124">
        <f t="shared" si="2"/>
        <v>-0.1400000001</v>
      </c>
      <c r="R146" s="52">
        <f t="array" ref="R146">IFERROR(INDEX('Fund YTD Target Values'!$1:$1000, MATCH($C146,'Fund YTD Target Values'!$A:$A,0), MATCH($A146,'Fund YTD Target Values'!$1:$1,0)),0)</f>
        <v>1511057.877</v>
      </c>
      <c r="S146" s="52">
        <f>IFERROR(__xludf.DUMMYFUNCTION("IFERROR(sum(FILTER('Fund Data'!$V:$V, 'Fund Data'!$C:$C = $C146, 'Fund Data'!$A:$A &lt; $A146)),0) + IFERROR(sum(FILTER('Fund Data'!$V:$V, 'Fund Data'!$C:$C = $C146, 'Fund Data'!$A:$A = $A146, 'Fund Data'!$B:$B &lt;= $B146)),0)"),1371168.0)</f>
        <v>1371168</v>
      </c>
      <c r="T146" s="123">
        <v>1371168.0</v>
      </c>
      <c r="U146" s="44">
        <f t="shared" si="19"/>
        <v>0</v>
      </c>
      <c r="V146" s="44">
        <f t="shared" si="3"/>
        <v>0</v>
      </c>
      <c r="W146" s="52">
        <f>IFERROR(__xludf.DUMMYFUNCTION("iFERROR((FILTER('Fund Data'!$Y:$Y, 'Fund Data'!$C:$C = $C146, 'Fund Data'!$A:$A = $A146 - 1, 'Fund Data'!$B:$B = 12) + FILTER('Fund Data'!$AA:$AA, 'Fund Data'!$C:$C = $C146, 'Fund Data'!$A:$A = $A146 - 1, 'Fund Data'!$B:$B = 12)) * (1 + AVERAGE(FILTER('In"&amp;"flation Data'!$C:$C,'Inflation Data'!$A:$A = ($A146 - 2)))) * 'Parameters and Distribution Sum'!$A$4,0)"),46640.32995001506)</f>
        <v>46640.32995</v>
      </c>
      <c r="X146" s="52">
        <f>IFERROR(__xludf.DUMMYFUNCTION("IFERROR((IFERROR(FILTER('Fund Data'!$P:$P,'Fund Data'!$C:$C = $C146,'Fund Data'!$A:$A = ($A146 - 2), 'Fund Data'!$B:$B = 12),0) - SUM(FILTER('Fund Data'!$V:$V, 'Fund Data'!$C:$C = $C146, 'Fund Data'!$A:$A = ($A146 - 2), 'Fund Data'!$B:$B &gt; 3)))  * 'Parame"&amp;"ters and Distribution Sum'!$B$4 * (1 - 'Parameters and Distribution Sum'!$A$4),0)"),20734.745580000003)</f>
        <v>20734.74558</v>
      </c>
      <c r="Y146" s="52">
        <f t="shared" si="20"/>
        <v>67375.07553</v>
      </c>
      <c r="Z146" s="52">
        <f>IFERROR(__xludf.DUMMYFUNCTION("((IFERROR((SUM(FILTER('Fund Data'!$V:$V, 'Fund Data'!$C:$C = $C146, 'Fund Data'!$A:$A = $A146 - 1, 'Fund Data'!$B:$B &gt;= 4, 'Fund Data'!$B:$B &lt;= ($B146 + 5))) / 12) * ($B146 - 3) * 'Parameters and Distribution Sum'!$B$4, 0) + IF($B146 &gt;= 9, IFERROR(SUM(FIL"&amp;"TER('Fund Data'!$V:$V, 'Fund Data'!$C:$C = $C146, 'Fund Data'!$A:$A = $A146, 'Fund Data'!$B:$B &lt;= 3)) * 'Parameters and Distribution Sum'!$B$4, 0),0)))"),0.0)</f>
        <v>0</v>
      </c>
      <c r="AA146" s="44">
        <f>IFERROR(__xludf.DUMMYFUNCTION("IFERROR(((IFERROR(SUM(FILTER('Fund Data'!$V:$V, 'Fund Data'!$C:$C = $C146, 'Fund Data'!$A:$A = $A146 - 2, 'Fund Data'!$B:$B &gt;= 4)) * 'Parameters and Distribution Sum'!$B$4,0) + IFERROR(SUM(FILTER('Fund Data'!$V:$V, 'Fund Data'!$C:$C = $C146, 'Fund Data'!$"&amp;"A:$A = $A146 - 1, 'Fund Data'!$B:$B &lt;= 3)) * 'Parameters and Distribution Sum'!$B$4,0))),0)"),0.0)</f>
        <v>0</v>
      </c>
      <c r="AB146" s="44">
        <f t="shared" si="21"/>
        <v>0</v>
      </c>
      <c r="AC146" s="44">
        <f t="shared" si="22"/>
        <v>67375.07553</v>
      </c>
      <c r="AD146" s="44">
        <f t="shared" si="7"/>
        <v>67375.07553</v>
      </c>
      <c r="AE146" s="44"/>
    </row>
    <row r="147">
      <c r="A147" s="120">
        <v>2019.0</v>
      </c>
      <c r="B147" s="121">
        <v>2.0</v>
      </c>
      <c r="C147" s="122" t="s">
        <v>47</v>
      </c>
      <c r="D147" s="44"/>
      <c r="E147" s="123">
        <v>9731.1</v>
      </c>
      <c r="F147" s="44"/>
      <c r="G147" s="44"/>
      <c r="H147" s="123">
        <v>-1318.23</v>
      </c>
      <c r="I147" s="44"/>
      <c r="J147" s="44"/>
      <c r="K147" s="44"/>
      <c r="L147" s="123">
        <v>104789.45</v>
      </c>
      <c r="M147" s="44"/>
      <c r="N147" s="44"/>
      <c r="O147" s="123">
        <v>1470628.0</v>
      </c>
      <c r="P147" s="52">
        <f t="shared" si="23"/>
        <v>1470628.6</v>
      </c>
      <c r="Q147" s="124">
        <f t="shared" si="2"/>
        <v>-0.6000000001</v>
      </c>
      <c r="R147" s="52">
        <f t="array" ref="R147">IFERROR(INDEX('Fund YTD Target Values'!$1:$1000, MATCH($C147,'Fund YTD Target Values'!$A:$A,0), MATCH($A147,'Fund YTD Target Values'!$1:$1,0)),0)</f>
        <v>1511057.877</v>
      </c>
      <c r="S147" s="52">
        <f>IFERROR(__xludf.DUMMYFUNCTION("IFERROR(sum(FILTER('Fund Data'!$V:$V, 'Fund Data'!$C:$C = $C147, 'Fund Data'!$A:$A &lt; $A147)),0) + IFERROR(sum(FILTER('Fund Data'!$V:$V, 'Fund Data'!$C:$C = $C147, 'Fund Data'!$A:$A = $A147, 'Fund Data'!$B:$B &lt;= $B147)),0)"),1371168.0)</f>
        <v>1371168</v>
      </c>
      <c r="T147" s="123">
        <v>1371168.0</v>
      </c>
      <c r="U147" s="44">
        <f t="shared" si="19"/>
        <v>0</v>
      </c>
      <c r="V147" s="44">
        <f t="shared" si="3"/>
        <v>0</v>
      </c>
      <c r="W147" s="52">
        <f>IFERROR(__xludf.DUMMYFUNCTION("iFERROR((FILTER('Fund Data'!$Y:$Y, 'Fund Data'!$C:$C = $C147, 'Fund Data'!$A:$A = $A147 - 1, 'Fund Data'!$B:$B = 12) + FILTER('Fund Data'!$AA:$AA, 'Fund Data'!$C:$C = $C147, 'Fund Data'!$A:$A = $A147 - 1, 'Fund Data'!$B:$B = 12)) * (1 + AVERAGE(FILTER('In"&amp;"flation Data'!$C:$C,'Inflation Data'!$A:$A = ($A147 - 2)))) * 'Parameters and Distribution Sum'!$A$4,0)"),46640.32995001506)</f>
        <v>46640.32995</v>
      </c>
      <c r="X147" s="52">
        <f>IFERROR(__xludf.DUMMYFUNCTION("IFERROR((IFERROR(FILTER('Fund Data'!$P:$P,'Fund Data'!$C:$C = $C147,'Fund Data'!$A:$A = ($A147 - 2), 'Fund Data'!$B:$B = 12),0) - SUM(FILTER('Fund Data'!$V:$V, 'Fund Data'!$C:$C = $C147, 'Fund Data'!$A:$A = ($A147 - 2), 'Fund Data'!$B:$B &gt; 3)))  * 'Parame"&amp;"ters and Distribution Sum'!$B$4 * (1 - 'Parameters and Distribution Sum'!$A$4),0)"),20734.745580000003)</f>
        <v>20734.74558</v>
      </c>
      <c r="Y147" s="52">
        <f t="shared" si="20"/>
        <v>67375.07553</v>
      </c>
      <c r="Z147" s="52">
        <f>IFERROR(__xludf.DUMMYFUNCTION("((IFERROR((SUM(FILTER('Fund Data'!$V:$V, 'Fund Data'!$C:$C = $C147, 'Fund Data'!$A:$A = $A147 - 1, 'Fund Data'!$B:$B &gt;= 4, 'Fund Data'!$B:$B &lt;= ($B147 + 5))) / 12) * ($B147 - 3) * 'Parameters and Distribution Sum'!$B$4, 0) + IF($B147 &gt;= 9, IFERROR(SUM(FIL"&amp;"TER('Fund Data'!$V:$V, 'Fund Data'!$C:$C = $C147, 'Fund Data'!$A:$A = $A147, 'Fund Data'!$B:$B &lt;= 3)) * 'Parameters and Distribution Sum'!$B$4, 0),0)))"),0.0)</f>
        <v>0</v>
      </c>
      <c r="AA147" s="44">
        <f>IFERROR(__xludf.DUMMYFUNCTION("IFERROR(((IFERROR(SUM(FILTER('Fund Data'!$V:$V, 'Fund Data'!$C:$C = $C147, 'Fund Data'!$A:$A = $A147 - 2, 'Fund Data'!$B:$B &gt;= 4)) * 'Parameters and Distribution Sum'!$B$4,0) + IFERROR(SUM(FILTER('Fund Data'!$V:$V, 'Fund Data'!$C:$C = $C147, 'Fund Data'!$"&amp;"A:$A = $A147 - 1, 'Fund Data'!$B:$B &lt;= 3)) * 'Parameters and Distribution Sum'!$B$4,0))),0)"),0.0)</f>
        <v>0</v>
      </c>
      <c r="AB147" s="44">
        <f t="shared" si="21"/>
        <v>0</v>
      </c>
      <c r="AC147" s="44">
        <f t="shared" si="22"/>
        <v>67375.07553</v>
      </c>
      <c r="AD147" s="44">
        <f t="shared" si="7"/>
        <v>67375.07553</v>
      </c>
      <c r="AE147" s="44"/>
    </row>
    <row r="148">
      <c r="A148" s="120">
        <v>2019.0</v>
      </c>
      <c r="B148" s="121">
        <v>1.0</v>
      </c>
      <c r="C148" s="122" t="s">
        <v>47</v>
      </c>
      <c r="D148" s="44"/>
      <c r="E148" s="123">
        <v>9000.39</v>
      </c>
      <c r="F148" s="44"/>
      <c r="G148" s="44"/>
      <c r="H148" s="123">
        <v>-640.47</v>
      </c>
      <c r="I148" s="44"/>
      <c r="J148" s="44"/>
      <c r="K148" s="44"/>
      <c r="L148" s="123">
        <v>81063.53</v>
      </c>
      <c r="M148" s="44"/>
      <c r="N148" s="44"/>
      <c r="O148" s="123">
        <v>1446849.0</v>
      </c>
      <c r="P148" s="52">
        <f t="shared" si="23"/>
        <v>1446849.73</v>
      </c>
      <c r="Q148" s="124">
        <f t="shared" si="2"/>
        <v>-0.73</v>
      </c>
      <c r="R148" s="52">
        <f t="array" ref="R148">IFERROR(INDEX('Fund YTD Target Values'!$1:$1000, MATCH($C148,'Fund YTD Target Values'!$A:$A,0), MATCH($A148,'Fund YTD Target Values'!$1:$1,0)),0)</f>
        <v>1511057.877</v>
      </c>
      <c r="S148" s="52">
        <f>IFERROR(__xludf.DUMMYFUNCTION("IFERROR(sum(FILTER('Fund Data'!$V:$V, 'Fund Data'!$C:$C = $C148, 'Fund Data'!$A:$A &lt; $A148)),0) + IFERROR(sum(FILTER('Fund Data'!$V:$V, 'Fund Data'!$C:$C = $C148, 'Fund Data'!$A:$A = $A148, 'Fund Data'!$B:$B &lt;= $B148)),0)"),1371168.0)</f>
        <v>1371168</v>
      </c>
      <c r="T148" s="123">
        <v>1371168.0</v>
      </c>
      <c r="U148" s="44">
        <f t="shared" si="19"/>
        <v>0</v>
      </c>
      <c r="V148" s="44">
        <f t="shared" si="3"/>
        <v>0</v>
      </c>
      <c r="W148" s="52">
        <f>IFERROR(__xludf.DUMMYFUNCTION("iFERROR((FILTER('Fund Data'!$Y:$Y, 'Fund Data'!$C:$C = $C148, 'Fund Data'!$A:$A = $A148 - 1, 'Fund Data'!$B:$B = 12) + FILTER('Fund Data'!$AA:$AA, 'Fund Data'!$C:$C = $C148, 'Fund Data'!$A:$A = $A148 - 1, 'Fund Data'!$B:$B = 12)) * (1 + AVERAGE(FILTER('In"&amp;"flation Data'!$C:$C,'Inflation Data'!$A:$A = ($A148 - 2)))) * 'Parameters and Distribution Sum'!$A$4,0)"),46640.32995001506)</f>
        <v>46640.32995</v>
      </c>
      <c r="X148" s="52">
        <f>IFERROR(__xludf.DUMMYFUNCTION("IFERROR((IFERROR(FILTER('Fund Data'!$P:$P,'Fund Data'!$C:$C = $C148,'Fund Data'!$A:$A = ($A148 - 2), 'Fund Data'!$B:$B = 12),0) - SUM(FILTER('Fund Data'!$V:$V, 'Fund Data'!$C:$C = $C148, 'Fund Data'!$A:$A = ($A148 - 2), 'Fund Data'!$B:$B &gt; 3)))  * 'Parame"&amp;"ters and Distribution Sum'!$B$4 * (1 - 'Parameters and Distribution Sum'!$A$4),0)"),20734.745580000003)</f>
        <v>20734.74558</v>
      </c>
      <c r="Y148" s="52">
        <f t="shared" si="20"/>
        <v>67375.07553</v>
      </c>
      <c r="Z148" s="52">
        <f>IFERROR(__xludf.DUMMYFUNCTION("((IFERROR((SUM(FILTER('Fund Data'!$V:$V, 'Fund Data'!$C:$C = $C148, 'Fund Data'!$A:$A = $A148 - 1, 'Fund Data'!$B:$B &gt;= 4, 'Fund Data'!$B:$B &lt;= ($B148 + 5))) / 12) * ($B148 - 3) * 'Parameters and Distribution Sum'!$B$4, 0) + IF($B148 &gt;= 9, IFERROR(SUM(FIL"&amp;"TER('Fund Data'!$V:$V, 'Fund Data'!$C:$C = $C148, 'Fund Data'!$A:$A = $A148, 'Fund Data'!$B:$B &lt;= 3)) * 'Parameters and Distribution Sum'!$B$4, 0),0)))"),0.0)</f>
        <v>0</v>
      </c>
      <c r="AA148" s="44">
        <f>IFERROR(__xludf.DUMMYFUNCTION("IFERROR(((IFERROR(SUM(FILTER('Fund Data'!$V:$V, 'Fund Data'!$C:$C = $C148, 'Fund Data'!$A:$A = $A148 - 2, 'Fund Data'!$B:$B &gt;= 4)) * 'Parameters and Distribution Sum'!$B$4,0) + IFERROR(SUM(FILTER('Fund Data'!$V:$V, 'Fund Data'!$C:$C = $C148, 'Fund Data'!$"&amp;"A:$A = $A148 - 1, 'Fund Data'!$B:$B &lt;= 3)) * 'Parameters and Distribution Sum'!$B$4,0))),0)"),0.0)</f>
        <v>0</v>
      </c>
      <c r="AB148" s="44">
        <f t="shared" si="21"/>
        <v>0</v>
      </c>
      <c r="AC148" s="44">
        <f t="shared" si="22"/>
        <v>67375.07553</v>
      </c>
      <c r="AD148" s="44">
        <f t="shared" si="7"/>
        <v>67375.07553</v>
      </c>
      <c r="AE148" s="44"/>
    </row>
    <row r="149">
      <c r="A149" s="120">
        <v>2018.0</v>
      </c>
      <c r="B149" s="121">
        <v>12.0</v>
      </c>
      <c r="C149" s="122" t="s">
        <v>47</v>
      </c>
      <c r="D149" s="44"/>
      <c r="E149" s="123">
        <v>32613.6</v>
      </c>
      <c r="F149" s="123">
        <v>-65000.0</v>
      </c>
      <c r="G149" s="44"/>
      <c r="H149" s="123">
        <v>-9227.51</v>
      </c>
      <c r="I149" s="44"/>
      <c r="J149" s="123">
        <v>4790.58</v>
      </c>
      <c r="K149" s="44"/>
      <c r="L149" s="123">
        <v>-141657.47</v>
      </c>
      <c r="M149" s="44"/>
      <c r="N149" s="44"/>
      <c r="O149" s="123">
        <v>1357426.0</v>
      </c>
      <c r="P149" s="52">
        <f t="shared" si="23"/>
        <v>1357426.28</v>
      </c>
      <c r="Q149" s="124">
        <f t="shared" si="2"/>
        <v>-0.2799999998</v>
      </c>
      <c r="R149" s="52">
        <f t="array" ref="R149">IFERROR(INDEX('Fund YTD Target Values'!$1:$1000, MATCH($C149,'Fund YTD Target Values'!$A:$A,0), MATCH($A149,'Fund YTD Target Values'!$1:$1,0)),0)</f>
        <v>1485155.104</v>
      </c>
      <c r="S149" s="52">
        <f>IFERROR(__xludf.DUMMYFUNCTION("IFERROR(sum(FILTER('Fund Data'!$V:$V, 'Fund Data'!$C:$C = $C149, 'Fund Data'!$A:$A &lt; $A149)),0) + IFERROR(sum(FILTER('Fund Data'!$V:$V, 'Fund Data'!$C:$C = $C149, 'Fund Data'!$A:$A = $A149, 'Fund Data'!$B:$B &lt;= $B149)),0)"),1371168.0)</f>
        <v>1371168</v>
      </c>
      <c r="T149" s="123">
        <v>1371168.0</v>
      </c>
      <c r="U149" s="44">
        <f t="shared" si="19"/>
        <v>0</v>
      </c>
      <c r="V149" s="44">
        <f t="shared" si="3"/>
        <v>0</v>
      </c>
      <c r="W149" s="52"/>
      <c r="X149" s="52"/>
      <c r="Y149" s="52">
        <v>65238.411078356694</v>
      </c>
      <c r="Z149" s="123">
        <v>0.0</v>
      </c>
      <c r="AA149" s="123">
        <v>0.0</v>
      </c>
      <c r="AB149" s="44">
        <f t="shared" si="21"/>
        <v>0</v>
      </c>
      <c r="AC149" s="44">
        <f t="shared" si="22"/>
        <v>65238.41108</v>
      </c>
      <c r="AD149" s="44">
        <f t="shared" si="7"/>
        <v>238.4110784</v>
      </c>
      <c r="AE149" s="123">
        <v>0.0</v>
      </c>
    </row>
    <row r="150">
      <c r="A150" s="120">
        <v>2018.0</v>
      </c>
      <c r="B150" s="121">
        <v>11.0</v>
      </c>
      <c r="C150" s="122" t="s">
        <v>47</v>
      </c>
      <c r="D150" s="44"/>
      <c r="E150" s="123">
        <v>30700.75</v>
      </c>
      <c r="F150" s="123">
        <v>-65000.0</v>
      </c>
      <c r="G150" s="44"/>
      <c r="H150" s="123">
        <v>-8553.69</v>
      </c>
      <c r="I150" s="44"/>
      <c r="J150" s="123">
        <v>4790.58</v>
      </c>
      <c r="K150" s="44"/>
      <c r="L150" s="123">
        <v>-61449.72</v>
      </c>
      <c r="M150" s="44"/>
      <c r="N150" s="44"/>
      <c r="O150" s="123">
        <v>1436394.0</v>
      </c>
      <c r="P150" s="52">
        <f t="shared" si="23"/>
        <v>1436395</v>
      </c>
      <c r="Q150" s="124">
        <f t="shared" si="2"/>
        <v>-0.9999999998</v>
      </c>
      <c r="R150" s="52">
        <f t="array" ref="R150">IFERROR(INDEX('Fund YTD Target Values'!$1:$1000, MATCH($C150,'Fund YTD Target Values'!$A:$A,0), MATCH($A150,'Fund YTD Target Values'!$1:$1,0)),0)</f>
        <v>1485155.104</v>
      </c>
      <c r="S150" s="52">
        <f>IFERROR(__xludf.DUMMYFUNCTION("IFERROR(sum(FILTER('Fund Data'!$V:$V, 'Fund Data'!$C:$C = $C150, 'Fund Data'!$A:$A &lt; $A150)),0) + IFERROR(sum(FILTER('Fund Data'!$V:$V, 'Fund Data'!$C:$C = $C150, 'Fund Data'!$A:$A = $A150, 'Fund Data'!$B:$B &lt;= $B150)),0)"),1371168.0)</f>
        <v>1371168</v>
      </c>
      <c r="T150" s="123">
        <v>1371168.0</v>
      </c>
      <c r="U150" s="44">
        <f t="shared" si="19"/>
        <v>0</v>
      </c>
      <c r="V150" s="44">
        <f t="shared" si="3"/>
        <v>0</v>
      </c>
      <c r="W150" s="123"/>
      <c r="X150" s="123"/>
      <c r="Y150" s="123">
        <v>0.0</v>
      </c>
      <c r="Z150" s="123">
        <v>0.0</v>
      </c>
      <c r="AA150" s="123">
        <v>0.0</v>
      </c>
      <c r="AB150" s="123"/>
      <c r="AC150" s="123">
        <v>0.0</v>
      </c>
      <c r="AD150" s="44">
        <f t="shared" si="7"/>
        <v>-65000</v>
      </c>
      <c r="AE150" s="123">
        <v>0.0</v>
      </c>
    </row>
    <row r="151">
      <c r="A151" s="120">
        <v>2018.0</v>
      </c>
      <c r="B151" s="121">
        <v>10.0</v>
      </c>
      <c r="C151" s="135" t="s">
        <v>47</v>
      </c>
      <c r="D151" s="138"/>
      <c r="E151" s="137">
        <v>29424.55</v>
      </c>
      <c r="F151" s="136">
        <v>-65000.0</v>
      </c>
      <c r="G151" s="138"/>
      <c r="H151" s="137">
        <v>-7186.47</v>
      </c>
      <c r="I151" s="138"/>
      <c r="J151" s="136">
        <v>4790.58</v>
      </c>
      <c r="K151" s="138"/>
      <c r="L151" s="136">
        <v>-73843.85</v>
      </c>
      <c r="M151" s="44"/>
      <c r="N151" s="44"/>
      <c r="O151" s="136">
        <v>1424091.0</v>
      </c>
      <c r="P151" s="52">
        <f t="shared" si="23"/>
        <v>1424091.89</v>
      </c>
      <c r="Q151" s="124">
        <f t="shared" si="2"/>
        <v>-0.8899999999</v>
      </c>
      <c r="R151" s="52">
        <f t="array" ref="R151">IFERROR(INDEX('Fund YTD Target Values'!$1:$1000, MATCH($C151,'Fund YTD Target Values'!$A:$A,0), MATCH($A151,'Fund YTD Target Values'!$1:$1,0)),0)</f>
        <v>1485155.104</v>
      </c>
      <c r="S151" s="52">
        <f>IFERROR(__xludf.DUMMYFUNCTION("IFERROR(sum(FILTER('Fund Data'!$V:$V, 'Fund Data'!$C:$C = $C151, 'Fund Data'!$A:$A &lt; $A151)),0) + IFERROR(sum(FILTER('Fund Data'!$V:$V, 'Fund Data'!$C:$C = $C151, 'Fund Data'!$A:$A = $A151, 'Fund Data'!$B:$B &lt;= $B151)),0)"),1371168.0)</f>
        <v>1371168</v>
      </c>
      <c r="T151" s="123">
        <v>1371168.0</v>
      </c>
      <c r="U151" s="44">
        <f t="shared" si="19"/>
        <v>0</v>
      </c>
      <c r="V151" s="44">
        <f t="shared" si="3"/>
        <v>0</v>
      </c>
      <c r="W151" s="123"/>
      <c r="X151" s="123"/>
      <c r="Y151" s="123">
        <v>0.0</v>
      </c>
      <c r="Z151" s="123">
        <v>0.0</v>
      </c>
      <c r="AA151" s="123">
        <v>0.0</v>
      </c>
      <c r="AB151" s="123"/>
      <c r="AC151" s="123">
        <v>0.0</v>
      </c>
      <c r="AD151" s="44">
        <f t="shared" si="7"/>
        <v>-65000</v>
      </c>
      <c r="AE151" s="123">
        <v>0.0</v>
      </c>
    </row>
    <row r="152">
      <c r="A152" s="120">
        <v>2018.0</v>
      </c>
      <c r="B152" s="121">
        <v>9.0</v>
      </c>
      <c r="C152" s="122" t="s">
        <v>47</v>
      </c>
      <c r="D152" s="44"/>
      <c r="E152" s="123">
        <v>25142.23</v>
      </c>
      <c r="F152" s="123">
        <v>-65000.0</v>
      </c>
      <c r="G152" s="44"/>
      <c r="H152" s="123">
        <v>-7186.47</v>
      </c>
      <c r="I152" s="44"/>
      <c r="J152" s="123">
        <v>4790.58</v>
      </c>
      <c r="K152" s="44"/>
      <c r="L152" s="123">
        <v>2557.12</v>
      </c>
      <c r="M152" s="16"/>
      <c r="N152" s="44"/>
      <c r="O152" s="123">
        <v>1496210.0</v>
      </c>
      <c r="P152" s="52">
        <f t="shared" si="23"/>
        <v>1496210.54</v>
      </c>
      <c r="Q152" s="124">
        <f t="shared" si="2"/>
        <v>-0.5399999998</v>
      </c>
      <c r="R152" s="52">
        <f t="array" ref="R152">IFERROR(INDEX('Fund YTD Target Values'!$1:$1000, MATCH($C152,'Fund YTD Target Values'!$A:$A,0), MATCH($A152,'Fund YTD Target Values'!$1:$1,0)),0)</f>
        <v>1485155.104</v>
      </c>
      <c r="S152" s="52">
        <f>IFERROR(__xludf.DUMMYFUNCTION("IFERROR(sum(FILTER('Fund Data'!$V:$V, 'Fund Data'!$C:$C = $C152, 'Fund Data'!$A:$A &lt; $A152)),0) + IFERROR(sum(FILTER('Fund Data'!$V:$V, 'Fund Data'!$C:$C = $C152, 'Fund Data'!$A:$A = $A152, 'Fund Data'!$B:$B &lt;= $B152)),0)"),1371168.0)</f>
        <v>1371168</v>
      </c>
      <c r="T152" s="123">
        <v>1371168.0</v>
      </c>
      <c r="U152" s="44">
        <f t="shared" si="19"/>
        <v>0</v>
      </c>
      <c r="V152" s="44">
        <f t="shared" si="3"/>
        <v>0</v>
      </c>
      <c r="W152" s="123"/>
      <c r="X152" s="123"/>
      <c r="Y152" s="123">
        <v>0.0</v>
      </c>
      <c r="Z152" s="123">
        <v>0.0</v>
      </c>
      <c r="AA152" s="123">
        <v>0.0</v>
      </c>
      <c r="AB152" s="123"/>
      <c r="AC152" s="123">
        <v>0.0</v>
      </c>
      <c r="AD152" s="44">
        <f t="shared" si="7"/>
        <v>-65000</v>
      </c>
      <c r="AE152" s="123">
        <v>0.0</v>
      </c>
    </row>
    <row r="153">
      <c r="A153" s="120">
        <v>2018.0</v>
      </c>
      <c r="B153" s="121">
        <v>8.0</v>
      </c>
      <c r="C153" s="122" t="s">
        <v>47</v>
      </c>
      <c r="D153" s="44"/>
      <c r="E153" s="123">
        <v>23847.44</v>
      </c>
      <c r="F153" s="123">
        <v>-51400.0</v>
      </c>
      <c r="G153" s="44"/>
      <c r="H153" s="123">
        <v>-6399.77</v>
      </c>
      <c r="I153" s="44"/>
      <c r="J153" s="123">
        <v>3634.75</v>
      </c>
      <c r="K153" s="44"/>
      <c r="L153" s="123">
        <v>9242.27</v>
      </c>
      <c r="M153" s="44"/>
      <c r="N153" s="44"/>
      <c r="O153" s="123">
        <v>1514831.0</v>
      </c>
      <c r="P153" s="52">
        <f t="shared" si="23"/>
        <v>1514831.77</v>
      </c>
      <c r="Q153" s="124">
        <f t="shared" si="2"/>
        <v>-0.7699999998</v>
      </c>
      <c r="R153" s="52">
        <f t="array" ref="R153">IFERROR(INDEX('Fund YTD Target Values'!$1:$1000, MATCH($C153,'Fund YTD Target Values'!$A:$A,0), MATCH($A153,'Fund YTD Target Values'!$1:$1,0)),0)</f>
        <v>1485155.104</v>
      </c>
      <c r="S153" s="52">
        <f>IFERROR(__xludf.DUMMYFUNCTION("IFERROR(sum(FILTER('Fund Data'!$V:$V, 'Fund Data'!$C:$C = $C153, 'Fund Data'!$A:$A &lt; $A153)),0) + IFERROR(sum(FILTER('Fund Data'!$V:$V, 'Fund Data'!$C:$C = $C153, 'Fund Data'!$A:$A = $A153, 'Fund Data'!$B:$B &lt;= $B153)),0)"),1371168.0)</f>
        <v>1371168</v>
      </c>
      <c r="T153" s="123">
        <v>1371168.0</v>
      </c>
      <c r="U153" s="44">
        <f t="shared" si="19"/>
        <v>0</v>
      </c>
      <c r="V153" s="44">
        <f t="shared" si="3"/>
        <v>0</v>
      </c>
      <c r="W153" s="123"/>
      <c r="X153" s="123"/>
      <c r="Y153" s="123">
        <v>0.0</v>
      </c>
      <c r="Z153" s="123">
        <v>0.0</v>
      </c>
      <c r="AA153" s="123">
        <v>0.0</v>
      </c>
      <c r="AB153" s="123"/>
      <c r="AC153" s="123">
        <v>0.0</v>
      </c>
      <c r="AD153" s="44">
        <f t="shared" si="7"/>
        <v>-51400</v>
      </c>
      <c r="AE153" s="123">
        <v>0.0</v>
      </c>
    </row>
    <row r="154">
      <c r="A154" s="120">
        <v>2018.0</v>
      </c>
      <c r="B154" s="121">
        <v>7.0</v>
      </c>
      <c r="C154" s="122" t="s">
        <v>47</v>
      </c>
      <c r="D154" s="44"/>
      <c r="E154" s="123">
        <v>22586.02</v>
      </c>
      <c r="F154" s="123">
        <v>-31400.0</v>
      </c>
      <c r="G154" s="44"/>
      <c r="H154" s="123">
        <v>-5605.73</v>
      </c>
      <c r="I154" s="44"/>
      <c r="J154" s="123">
        <v>2150.81</v>
      </c>
      <c r="K154" s="44"/>
      <c r="L154" s="123">
        <v>6092.65</v>
      </c>
      <c r="M154" s="44"/>
      <c r="N154" s="44"/>
      <c r="O154" s="123">
        <v>1529730.0</v>
      </c>
      <c r="P154" s="52">
        <f t="shared" si="23"/>
        <v>1529730.83</v>
      </c>
      <c r="Q154" s="124">
        <f t="shared" si="2"/>
        <v>-0.8299999998</v>
      </c>
      <c r="R154" s="52">
        <f t="array" ref="R154">IFERROR(INDEX('Fund YTD Target Values'!$1:$1000, MATCH($C154,'Fund YTD Target Values'!$A:$A,0), MATCH($A154,'Fund YTD Target Values'!$1:$1,0)),0)</f>
        <v>1485155.104</v>
      </c>
      <c r="S154" s="52">
        <f>IFERROR(__xludf.DUMMYFUNCTION("IFERROR(sum(FILTER('Fund Data'!$V:$V, 'Fund Data'!$C:$C = $C154, 'Fund Data'!$A:$A &lt; $A154)),0) + IFERROR(sum(FILTER('Fund Data'!$V:$V, 'Fund Data'!$C:$C = $C154, 'Fund Data'!$A:$A = $A154, 'Fund Data'!$B:$B &lt;= $B154)),0)"),1371168.0)</f>
        <v>1371168</v>
      </c>
      <c r="T154" s="123">
        <v>1371168.0</v>
      </c>
      <c r="U154" s="44">
        <f t="shared" si="19"/>
        <v>0</v>
      </c>
      <c r="V154" s="44">
        <f t="shared" si="3"/>
        <v>0</v>
      </c>
      <c r="W154" s="123"/>
      <c r="X154" s="123"/>
      <c r="Y154" s="123">
        <v>0.0</v>
      </c>
      <c r="Z154" s="123">
        <v>0.0</v>
      </c>
      <c r="AA154" s="123">
        <v>0.0</v>
      </c>
      <c r="AB154" s="123"/>
      <c r="AC154" s="123">
        <v>0.0</v>
      </c>
      <c r="AD154" s="44">
        <f t="shared" si="7"/>
        <v>-31400</v>
      </c>
      <c r="AE154" s="123">
        <v>0.0</v>
      </c>
    </row>
    <row r="155">
      <c r="A155" s="120">
        <v>2018.0</v>
      </c>
      <c r="B155" s="121">
        <v>6.0</v>
      </c>
      <c r="C155" s="122" t="s">
        <v>47</v>
      </c>
      <c r="D155" s="44"/>
      <c r="E155" s="123">
        <v>19166.69</v>
      </c>
      <c r="F155" s="123">
        <v>-28000.0</v>
      </c>
      <c r="G155" s="44"/>
      <c r="H155" s="123">
        <v>-4823.78</v>
      </c>
      <c r="I155" s="44"/>
      <c r="J155" s="123">
        <v>-2150.81</v>
      </c>
      <c r="K155" s="44"/>
      <c r="L155" s="123">
        <v>-14525.2</v>
      </c>
      <c r="M155" s="44"/>
      <c r="N155" s="44"/>
      <c r="O155" s="123">
        <v>1505573.0</v>
      </c>
      <c r="P155" s="52">
        <f t="shared" si="23"/>
        <v>1505573.98</v>
      </c>
      <c r="Q155" s="124">
        <f t="shared" si="2"/>
        <v>-0.9799999997</v>
      </c>
      <c r="R155" s="52">
        <f t="array" ref="R155">IFERROR(INDEX('Fund YTD Target Values'!$1:$1000, MATCH($C155,'Fund YTD Target Values'!$A:$A,0), MATCH($A155,'Fund YTD Target Values'!$1:$1,0)),0)</f>
        <v>1485155.104</v>
      </c>
      <c r="S155" s="52">
        <f>IFERROR(__xludf.DUMMYFUNCTION("IFERROR(sum(FILTER('Fund Data'!$V:$V, 'Fund Data'!$C:$C = $C155, 'Fund Data'!$A:$A &lt; $A155)),0) + IFERROR(sum(FILTER('Fund Data'!$V:$V, 'Fund Data'!$C:$C = $C155, 'Fund Data'!$A:$A = $A155, 'Fund Data'!$B:$B &lt;= $B155)),0)"),1371168.0)</f>
        <v>1371168</v>
      </c>
      <c r="T155" s="123">
        <v>1371168.0</v>
      </c>
      <c r="U155" s="44">
        <f t="shared" si="19"/>
        <v>0</v>
      </c>
      <c r="V155" s="44">
        <f t="shared" si="3"/>
        <v>0</v>
      </c>
      <c r="W155" s="123"/>
      <c r="X155" s="123"/>
      <c r="Y155" s="123">
        <v>0.0</v>
      </c>
      <c r="Z155" s="123">
        <v>0.0</v>
      </c>
      <c r="AA155" s="123">
        <v>0.0</v>
      </c>
      <c r="AB155" s="123"/>
      <c r="AC155" s="123">
        <v>0.0</v>
      </c>
      <c r="AD155" s="44">
        <f t="shared" si="7"/>
        <v>-28000</v>
      </c>
      <c r="AE155" s="123">
        <v>0.0</v>
      </c>
    </row>
    <row r="156">
      <c r="A156" s="120">
        <v>2018.0</v>
      </c>
      <c r="B156" s="121">
        <v>5.0</v>
      </c>
      <c r="C156" s="122" t="s">
        <v>47</v>
      </c>
      <c r="D156" s="44"/>
      <c r="E156" s="123">
        <v>16975.76</v>
      </c>
      <c r="F156" s="123">
        <v>-7000.0</v>
      </c>
      <c r="G156" s="44"/>
      <c r="H156" s="123">
        <v>-4026.42</v>
      </c>
      <c r="I156" s="44"/>
      <c r="J156" s="123">
        <v>377.1</v>
      </c>
      <c r="K156" s="44"/>
      <c r="L156" s="123">
        <v>-5856.5</v>
      </c>
      <c r="M156" s="44"/>
      <c r="N156" s="44"/>
      <c r="O156" s="123">
        <v>1536376.0</v>
      </c>
      <c r="P156" s="52">
        <f t="shared" si="23"/>
        <v>1536377.02</v>
      </c>
      <c r="Q156" s="124">
        <f t="shared" si="2"/>
        <v>-1.02</v>
      </c>
      <c r="R156" s="52">
        <f t="array" ref="R156">IFERROR(INDEX('Fund YTD Target Values'!$1:$1000, MATCH($C156,'Fund YTD Target Values'!$A:$A,0), MATCH($A156,'Fund YTD Target Values'!$1:$1,0)),0)</f>
        <v>1485155.104</v>
      </c>
      <c r="S156" s="52">
        <f>IFERROR(__xludf.DUMMYFUNCTION("IFERROR(sum(FILTER('Fund Data'!$V:$V, 'Fund Data'!$C:$C = $C156, 'Fund Data'!$A:$A &lt; $A156)),0) + IFERROR(sum(FILTER('Fund Data'!$V:$V, 'Fund Data'!$C:$C = $C156, 'Fund Data'!$A:$A = $A156, 'Fund Data'!$B:$B &lt;= $B156)),0)"),1371168.0)</f>
        <v>1371168</v>
      </c>
      <c r="T156" s="123">
        <v>1371168.0</v>
      </c>
      <c r="U156" s="44">
        <f t="shared" si="19"/>
        <v>0</v>
      </c>
      <c r="V156" s="44">
        <f t="shared" si="3"/>
        <v>0</v>
      </c>
      <c r="W156" s="123"/>
      <c r="X156" s="123"/>
      <c r="Y156" s="123">
        <v>0.0</v>
      </c>
      <c r="Z156" s="123">
        <v>0.0</v>
      </c>
      <c r="AA156" s="123">
        <v>0.0</v>
      </c>
      <c r="AB156" s="123"/>
      <c r="AC156" s="123">
        <v>0.0</v>
      </c>
      <c r="AD156" s="44">
        <f t="shared" si="7"/>
        <v>-7000</v>
      </c>
      <c r="AE156" s="123">
        <v>0.0</v>
      </c>
    </row>
    <row r="157">
      <c r="A157" s="120">
        <v>2018.0</v>
      </c>
      <c r="B157" s="121">
        <v>4.0</v>
      </c>
      <c r="C157" s="122" t="s">
        <v>47</v>
      </c>
      <c r="D157" s="44"/>
      <c r="E157" s="123">
        <v>15764.62</v>
      </c>
      <c r="F157" s="44"/>
      <c r="G157" s="44"/>
      <c r="H157" s="123">
        <v>-3227.39</v>
      </c>
      <c r="I157" s="44"/>
      <c r="J157" s="123">
        <v>377.1</v>
      </c>
      <c r="K157" s="44"/>
      <c r="L157" s="123">
        <v>-9105.01</v>
      </c>
      <c r="M157" s="44"/>
      <c r="N157" s="44"/>
      <c r="O157" s="123">
        <v>1539716.0</v>
      </c>
      <c r="P157" s="52">
        <f t="shared" si="23"/>
        <v>1539716.4</v>
      </c>
      <c r="Q157" s="124">
        <f t="shared" si="2"/>
        <v>-0.3999999999</v>
      </c>
      <c r="R157" s="52">
        <f t="array" ref="R157">IFERROR(INDEX('Fund YTD Target Values'!$1:$1000, MATCH($C157,'Fund YTD Target Values'!$A:$A,0), MATCH($A157,'Fund YTD Target Values'!$1:$1,0)),0)</f>
        <v>1485155.104</v>
      </c>
      <c r="S157" s="52">
        <f>IFERROR(__xludf.DUMMYFUNCTION("IFERROR(sum(FILTER('Fund Data'!$V:$V, 'Fund Data'!$C:$C = $C157, 'Fund Data'!$A:$A &lt; $A157)),0) + IFERROR(sum(FILTER('Fund Data'!$V:$V, 'Fund Data'!$C:$C = $C157, 'Fund Data'!$A:$A = $A157, 'Fund Data'!$B:$B &lt;= $B157)),0)"),1371168.0)</f>
        <v>1371168</v>
      </c>
      <c r="T157" s="123">
        <v>1371168.0</v>
      </c>
      <c r="U157" s="44">
        <f t="shared" si="19"/>
        <v>0</v>
      </c>
      <c r="V157" s="44">
        <f t="shared" si="3"/>
        <v>0</v>
      </c>
      <c r="W157" s="123"/>
      <c r="X157" s="123"/>
      <c r="Y157" s="123">
        <v>0.0</v>
      </c>
      <c r="Z157" s="123">
        <v>0.0</v>
      </c>
      <c r="AA157" s="123">
        <v>0.0</v>
      </c>
      <c r="AB157" s="123"/>
      <c r="AC157" s="123">
        <v>0.0</v>
      </c>
      <c r="AD157" s="44">
        <f t="shared" si="7"/>
        <v>0</v>
      </c>
      <c r="AE157" s="123">
        <v>0.0</v>
      </c>
    </row>
    <row r="158">
      <c r="A158" s="120">
        <v>2018.0</v>
      </c>
      <c r="B158" s="121">
        <v>3.0</v>
      </c>
      <c r="C158" s="122" t="s">
        <v>47</v>
      </c>
      <c r="D158" s="44"/>
      <c r="E158" s="123">
        <v>12050.95</v>
      </c>
      <c r="F158" s="44"/>
      <c r="G158" s="44"/>
      <c r="H158" s="123">
        <v>-2430.45</v>
      </c>
      <c r="I158" s="44"/>
      <c r="J158" s="123">
        <v>377.1</v>
      </c>
      <c r="K158" s="44"/>
      <c r="L158" s="123">
        <v>-10367.76</v>
      </c>
      <c r="M158" s="44"/>
      <c r="N158" s="44"/>
      <c r="O158" s="123">
        <v>1535536.0</v>
      </c>
      <c r="P158" s="52">
        <f t="shared" si="23"/>
        <v>1535536.92</v>
      </c>
      <c r="Q158" s="124">
        <f t="shared" si="2"/>
        <v>-0.9199999999</v>
      </c>
      <c r="R158" s="52">
        <f t="array" ref="R158">IFERROR(INDEX('Fund YTD Target Values'!$1:$1000, MATCH($C158,'Fund YTD Target Values'!$A:$A,0), MATCH($A158,'Fund YTD Target Values'!$1:$1,0)),0)</f>
        <v>1485155.104</v>
      </c>
      <c r="S158" s="52">
        <f>IFERROR(__xludf.DUMMYFUNCTION("IFERROR(sum(FILTER('Fund Data'!$V:$V, 'Fund Data'!$C:$C = $C158, 'Fund Data'!$A:$A &lt; $A158)),0) + IFERROR(sum(FILTER('Fund Data'!$V:$V, 'Fund Data'!$C:$C = $C158, 'Fund Data'!$A:$A = $A158, 'Fund Data'!$B:$B &lt;= $B158)),0)"),1371168.0)</f>
        <v>1371168</v>
      </c>
      <c r="T158" s="123">
        <v>1371168.0</v>
      </c>
      <c r="U158" s="44">
        <f t="shared" si="19"/>
        <v>0</v>
      </c>
      <c r="V158" s="44">
        <f t="shared" si="3"/>
        <v>0</v>
      </c>
      <c r="W158" s="123"/>
      <c r="X158" s="123"/>
      <c r="Y158" s="123">
        <v>0.0</v>
      </c>
      <c r="Z158" s="123">
        <v>0.0</v>
      </c>
      <c r="AA158" s="123">
        <v>0.0</v>
      </c>
      <c r="AB158" s="123"/>
      <c r="AC158" s="123">
        <v>0.0</v>
      </c>
      <c r="AD158" s="44">
        <f t="shared" si="7"/>
        <v>0</v>
      </c>
      <c r="AE158" s="123">
        <v>0.0</v>
      </c>
    </row>
    <row r="159">
      <c r="A159" s="120">
        <v>2018.0</v>
      </c>
      <c r="B159" s="121">
        <v>2.0</v>
      </c>
      <c r="C159" s="122" t="s">
        <v>47</v>
      </c>
      <c r="D159" s="44"/>
      <c r="E159" s="123">
        <v>10700.01</v>
      </c>
      <c r="F159" s="44"/>
      <c r="G159" s="44"/>
      <c r="H159" s="123">
        <v>-3896.42</v>
      </c>
      <c r="I159" s="44"/>
      <c r="J159" s="123">
        <v>377.1</v>
      </c>
      <c r="K159" s="44"/>
      <c r="L159" s="123">
        <v>763.06</v>
      </c>
      <c r="M159" s="44"/>
      <c r="N159" s="44"/>
      <c r="O159" s="123">
        <v>1543850.0</v>
      </c>
      <c r="P159" s="52">
        <f t="shared" si="23"/>
        <v>1543850.83</v>
      </c>
      <c r="Q159" s="124">
        <f t="shared" si="2"/>
        <v>-0.8299999998</v>
      </c>
      <c r="R159" s="52">
        <f t="array" ref="R159">IFERROR(INDEX('Fund YTD Target Values'!$1:$1000, MATCH($C159,'Fund YTD Target Values'!$A:$A,0), MATCH($A159,'Fund YTD Target Values'!$1:$1,0)),0)</f>
        <v>1485155.104</v>
      </c>
      <c r="S159" s="52">
        <f>IFERROR(__xludf.DUMMYFUNCTION("IFERROR(sum(FILTER('Fund Data'!$V:$V, 'Fund Data'!$C:$C = $C159, 'Fund Data'!$A:$A &lt; $A159)),0) + IFERROR(sum(FILTER('Fund Data'!$V:$V, 'Fund Data'!$C:$C = $C159, 'Fund Data'!$A:$A = $A159, 'Fund Data'!$B:$B &lt;= $B159)),0)"),1371168.0)</f>
        <v>1371168</v>
      </c>
      <c r="T159" s="123">
        <v>1371168.0</v>
      </c>
      <c r="U159" s="44">
        <f t="shared" si="19"/>
        <v>0</v>
      </c>
      <c r="V159" s="44">
        <f t="shared" si="3"/>
        <v>0</v>
      </c>
      <c r="W159" s="123"/>
      <c r="X159" s="123"/>
      <c r="Y159" s="123">
        <v>0.0</v>
      </c>
      <c r="Z159" s="123">
        <v>0.0</v>
      </c>
      <c r="AA159" s="123">
        <v>0.0</v>
      </c>
      <c r="AB159" s="123"/>
      <c r="AC159" s="123">
        <v>0.0</v>
      </c>
      <c r="AD159" s="44">
        <f t="shared" si="7"/>
        <v>0</v>
      </c>
      <c r="AE159" s="123">
        <v>0.0</v>
      </c>
    </row>
    <row r="160">
      <c r="A160" s="120">
        <v>2018.0</v>
      </c>
      <c r="B160" s="121">
        <v>1.0</v>
      </c>
      <c r="C160" s="122" t="s">
        <v>47</v>
      </c>
      <c r="D160" s="44"/>
      <c r="E160" s="123">
        <v>9560.76</v>
      </c>
      <c r="F160" s="44"/>
      <c r="G160" s="44"/>
      <c r="H160" s="123">
        <v>-3069.59</v>
      </c>
      <c r="I160" s="44"/>
      <c r="J160" s="44"/>
      <c r="K160" s="44"/>
      <c r="L160" s="123">
        <v>48258.65</v>
      </c>
      <c r="M160" s="44"/>
      <c r="N160" s="44"/>
      <c r="O160" s="123">
        <v>1590656.0</v>
      </c>
      <c r="P160" s="52">
        <f t="shared" si="23"/>
        <v>1590656.9</v>
      </c>
      <c r="Q160" s="124">
        <f t="shared" si="2"/>
        <v>-0.8999999999</v>
      </c>
      <c r="R160" s="52">
        <f t="array" ref="R160">IFERROR(INDEX('Fund YTD Target Values'!$1:$1000, MATCH($C160,'Fund YTD Target Values'!$A:$A,0), MATCH($A160,'Fund YTD Target Values'!$1:$1,0)),0)</f>
        <v>1485155.104</v>
      </c>
      <c r="S160" s="52">
        <f>IFERROR(__xludf.DUMMYFUNCTION("IFERROR(sum(FILTER('Fund Data'!$V:$V, 'Fund Data'!$C:$C = $C160, 'Fund Data'!$A:$A &lt; $A160)),0) + IFERROR(sum(FILTER('Fund Data'!$V:$V, 'Fund Data'!$C:$C = $C160, 'Fund Data'!$A:$A = $A160, 'Fund Data'!$B:$B &lt;= $B160)),0)"),1371168.0)</f>
        <v>1371168</v>
      </c>
      <c r="T160" s="123">
        <v>1371168.0</v>
      </c>
      <c r="U160" s="44">
        <f t="shared" si="19"/>
        <v>0</v>
      </c>
      <c r="V160" s="44">
        <f t="shared" si="3"/>
        <v>0</v>
      </c>
      <c r="W160" s="123"/>
      <c r="X160" s="123"/>
      <c r="Y160" s="123">
        <v>0.0</v>
      </c>
      <c r="Z160" s="123">
        <v>0.0</v>
      </c>
      <c r="AA160" s="123">
        <v>0.0</v>
      </c>
      <c r="AB160" s="123"/>
      <c r="AC160" s="123">
        <v>0.0</v>
      </c>
      <c r="AD160" s="44">
        <f t="shared" si="7"/>
        <v>0</v>
      </c>
      <c r="AE160" s="123">
        <v>0.0</v>
      </c>
    </row>
    <row r="161">
      <c r="A161" s="120">
        <v>2017.0</v>
      </c>
      <c r="B161" s="121">
        <v>12.0</v>
      </c>
      <c r="C161" s="122" t="s">
        <v>47</v>
      </c>
      <c r="D161" s="44"/>
      <c r="E161" s="123">
        <v>32445.85</v>
      </c>
      <c r="F161" s="123">
        <v>-55000.0</v>
      </c>
      <c r="G161" s="123"/>
      <c r="H161" s="123">
        <v>-9196.54</v>
      </c>
      <c r="I161" s="44"/>
      <c r="J161" s="123">
        <v>1220.38</v>
      </c>
      <c r="K161" s="44"/>
      <c r="L161" s="123">
        <v>182522.67</v>
      </c>
      <c r="M161" s="44"/>
      <c r="N161" s="44"/>
      <c r="O161" s="123">
        <v>1535906.0</v>
      </c>
      <c r="P161" s="52">
        <f t="shared" si="23"/>
        <v>1535907.08</v>
      </c>
      <c r="Q161" s="124">
        <f t="shared" si="2"/>
        <v>-1.08</v>
      </c>
      <c r="R161" s="52">
        <f t="array" ref="R161">IFERROR(INDEX('Fund YTD Target Values'!$1:$1000, MATCH($C161,'Fund YTD Target Values'!$A:$A,0), MATCH($A161,'Fund YTD Target Values'!$1:$1,0)),0)</f>
        <v>1449742.468</v>
      </c>
      <c r="S161" s="52">
        <f>IFERROR(__xludf.DUMMYFUNCTION("IFERROR(sum(FILTER('Fund Data'!$V:$V, 'Fund Data'!$C:$C = $C161, 'Fund Data'!$A:$A &lt; $A161)),0) + IFERROR(sum(FILTER('Fund Data'!$V:$V, 'Fund Data'!$C:$C = $C161, 'Fund Data'!$A:$A = $A161, 'Fund Data'!$B:$B &lt;= $B161)),0)"),1371168.0)</f>
        <v>1371168</v>
      </c>
      <c r="T161" s="123">
        <v>1371168.0</v>
      </c>
      <c r="U161" s="44">
        <f t="shared" si="19"/>
        <v>0</v>
      </c>
      <c r="V161" s="44">
        <f t="shared" si="3"/>
        <v>0</v>
      </c>
      <c r="W161" s="123"/>
      <c r="X161" s="123"/>
      <c r="Y161" s="123">
        <v>0.0</v>
      </c>
      <c r="Z161" s="123">
        <v>0.0</v>
      </c>
      <c r="AA161" s="123">
        <v>0.0</v>
      </c>
      <c r="AB161" s="123"/>
      <c r="AC161" s="123">
        <v>0.0</v>
      </c>
      <c r="AD161" s="44">
        <f t="shared" si="7"/>
        <v>-55000</v>
      </c>
      <c r="AE161" s="123">
        <v>0.0</v>
      </c>
    </row>
    <row r="162">
      <c r="A162" s="120">
        <v>2017.0</v>
      </c>
      <c r="B162" s="121">
        <v>11.0</v>
      </c>
      <c r="C162" s="122" t="s">
        <v>47</v>
      </c>
      <c r="D162" s="44"/>
      <c r="E162" s="123">
        <v>30274.61</v>
      </c>
      <c r="F162" s="123">
        <v>-45000.0</v>
      </c>
      <c r="G162" s="44"/>
      <c r="H162" s="123">
        <v>-8398.61</v>
      </c>
      <c r="I162" s="44"/>
      <c r="J162" s="123">
        <v>1220.38</v>
      </c>
      <c r="K162" s="44"/>
      <c r="L162" s="123">
        <v>175093.55</v>
      </c>
      <c r="M162" s="44"/>
      <c r="N162" s="44"/>
      <c r="O162" s="123">
        <v>1537104.0</v>
      </c>
      <c r="P162" s="52">
        <f t="shared" si="23"/>
        <v>1537104.65</v>
      </c>
      <c r="Q162" s="124">
        <f t="shared" si="2"/>
        <v>-0.6499999999</v>
      </c>
      <c r="R162" s="52">
        <f t="array" ref="R162">IFERROR(INDEX('Fund YTD Target Values'!$1:$1000, MATCH($C162,'Fund YTD Target Values'!$A:$A,0), MATCH($A162,'Fund YTD Target Values'!$1:$1,0)),0)</f>
        <v>1449742.468</v>
      </c>
      <c r="S162" s="52">
        <f>IFERROR(__xludf.DUMMYFUNCTION("IFERROR(sum(FILTER('Fund Data'!$V:$V, 'Fund Data'!$C:$C = $C162, 'Fund Data'!$A:$A &lt; $A162)),0) + IFERROR(sum(FILTER('Fund Data'!$V:$V, 'Fund Data'!$C:$C = $C162, 'Fund Data'!$A:$A = $A162, 'Fund Data'!$B:$B &lt;= $B162)),0)"),1371168.0)</f>
        <v>1371168</v>
      </c>
      <c r="T162" s="123">
        <v>1371168.0</v>
      </c>
      <c r="U162" s="44">
        <f t="shared" si="19"/>
        <v>0</v>
      </c>
      <c r="V162" s="44">
        <f t="shared" si="3"/>
        <v>0</v>
      </c>
      <c r="W162" s="123"/>
      <c r="X162" s="123"/>
      <c r="Y162" s="123">
        <v>0.0</v>
      </c>
      <c r="Z162" s="123">
        <v>0.0</v>
      </c>
      <c r="AA162" s="123">
        <v>0.0</v>
      </c>
      <c r="AB162" s="123"/>
      <c r="AC162" s="123">
        <v>0.0</v>
      </c>
      <c r="AD162" s="44">
        <f t="shared" si="7"/>
        <v>-45000</v>
      </c>
      <c r="AE162" s="123">
        <v>0.0</v>
      </c>
    </row>
    <row r="163">
      <c r="A163" s="120">
        <v>2017.0</v>
      </c>
      <c r="B163" s="121">
        <v>10.0</v>
      </c>
      <c r="C163" s="122" t="s">
        <v>47</v>
      </c>
      <c r="D163" s="44"/>
      <c r="E163" s="123">
        <v>29236.05</v>
      </c>
      <c r="F163" s="123">
        <v>-25100.0</v>
      </c>
      <c r="G163" s="44"/>
      <c r="H163" s="123">
        <v>-7599.62</v>
      </c>
      <c r="I163" s="44"/>
      <c r="J163" s="123">
        <v>77.73</v>
      </c>
      <c r="K163" s="44"/>
      <c r="L163" s="123">
        <v>159119.36</v>
      </c>
      <c r="M163" s="44"/>
      <c r="N163" s="44"/>
      <c r="O163" s="123">
        <v>1539648.0</v>
      </c>
      <c r="P163" s="52">
        <f t="shared" si="23"/>
        <v>1539648.24</v>
      </c>
      <c r="Q163" s="124">
        <f t="shared" si="2"/>
        <v>-0.24</v>
      </c>
      <c r="R163" s="52">
        <f t="array" ref="R163">IFERROR(INDEX('Fund YTD Target Values'!$1:$1000, MATCH($C163,'Fund YTD Target Values'!$A:$A,0), MATCH($A163,'Fund YTD Target Values'!$1:$1,0)),0)</f>
        <v>1449742.468</v>
      </c>
      <c r="S163" s="52">
        <f>IFERROR(__xludf.DUMMYFUNCTION("IFERROR(sum(FILTER('Fund Data'!$V:$V, 'Fund Data'!$C:$C = $C163, 'Fund Data'!$A:$A &lt; $A163)),0) + IFERROR(sum(FILTER('Fund Data'!$V:$V, 'Fund Data'!$C:$C = $C163, 'Fund Data'!$A:$A = $A163, 'Fund Data'!$B:$B &lt;= $B163)),0)"),1371168.0)</f>
        <v>1371168</v>
      </c>
      <c r="T163" s="123">
        <v>1371168.0</v>
      </c>
      <c r="U163" s="44">
        <f t="shared" si="19"/>
        <v>0</v>
      </c>
      <c r="V163" s="44">
        <f t="shared" si="3"/>
        <v>0</v>
      </c>
      <c r="W163" s="123"/>
      <c r="X163" s="123"/>
      <c r="Y163" s="123">
        <v>0.0</v>
      </c>
      <c r="Z163" s="123">
        <v>0.0</v>
      </c>
      <c r="AA163" s="123">
        <v>0.0</v>
      </c>
      <c r="AB163" s="123"/>
      <c r="AC163" s="123">
        <v>0.0</v>
      </c>
      <c r="AD163" s="44">
        <f t="shared" si="7"/>
        <v>-25100</v>
      </c>
      <c r="AE163" s="123">
        <v>0.0</v>
      </c>
    </row>
    <row r="164">
      <c r="A164" s="120">
        <v>2017.0</v>
      </c>
      <c r="B164" s="121">
        <v>9.0</v>
      </c>
      <c r="C164" s="122" t="s">
        <v>47</v>
      </c>
      <c r="D164" s="44"/>
      <c r="E164" s="123">
        <v>26075.57</v>
      </c>
      <c r="F164" s="123">
        <v>-25100.0</v>
      </c>
      <c r="G164" s="44"/>
      <c r="H164" s="123">
        <v>-6811.66</v>
      </c>
      <c r="I164" s="44"/>
      <c r="J164" s="123">
        <v>77.73</v>
      </c>
      <c r="K164" s="44"/>
      <c r="L164" s="123">
        <v>139419.92</v>
      </c>
      <c r="M164" s="44"/>
      <c r="N164" s="44"/>
      <c r="O164" s="123">
        <v>1517576.0</v>
      </c>
      <c r="P164" s="52">
        <f t="shared" si="23"/>
        <v>1517576.28</v>
      </c>
      <c r="Q164" s="124">
        <f t="shared" si="2"/>
        <v>-0.28</v>
      </c>
      <c r="R164" s="52">
        <f t="array" ref="R164">IFERROR(INDEX('Fund YTD Target Values'!$1:$1000, MATCH($C164,'Fund YTD Target Values'!$A:$A,0), MATCH($A164,'Fund YTD Target Values'!$1:$1,0)),0)</f>
        <v>1449742.468</v>
      </c>
      <c r="S164" s="52">
        <f>IFERROR(__xludf.DUMMYFUNCTION("IFERROR(sum(FILTER('Fund Data'!$V:$V, 'Fund Data'!$C:$C = $C164, 'Fund Data'!$A:$A &lt; $A164)),0) + IFERROR(sum(FILTER('Fund Data'!$V:$V, 'Fund Data'!$C:$C = $C164, 'Fund Data'!$A:$A = $A164, 'Fund Data'!$B:$B &lt;= $B164)),0)"),1371168.0)</f>
        <v>1371168</v>
      </c>
      <c r="T164" s="123">
        <v>1371168.0</v>
      </c>
      <c r="U164" s="44">
        <f t="shared" si="19"/>
        <v>0</v>
      </c>
      <c r="V164" s="44">
        <f t="shared" si="3"/>
        <v>0</v>
      </c>
      <c r="W164" s="123"/>
      <c r="X164" s="123"/>
      <c r="Y164" s="123">
        <v>0.0</v>
      </c>
      <c r="Z164" s="123">
        <v>0.0</v>
      </c>
      <c r="AA164" s="123">
        <v>0.0</v>
      </c>
      <c r="AB164" s="123"/>
      <c r="AC164" s="123">
        <v>0.0</v>
      </c>
      <c r="AD164" s="44">
        <f t="shared" si="7"/>
        <v>-25100</v>
      </c>
      <c r="AE164" s="123">
        <v>0.0</v>
      </c>
    </row>
    <row r="165">
      <c r="A165" s="120">
        <v>2017.0</v>
      </c>
      <c r="B165" s="121">
        <v>8.0</v>
      </c>
      <c r="C165" s="122" t="s">
        <v>47</v>
      </c>
      <c r="D165" s="44"/>
      <c r="E165" s="123">
        <v>24184.49</v>
      </c>
      <c r="F165" s="123">
        <v>-23800.0</v>
      </c>
      <c r="G165" s="44"/>
      <c r="H165" s="123">
        <v>-6031.5</v>
      </c>
      <c r="I165" s="44"/>
      <c r="J165" s="123">
        <v>77.73</v>
      </c>
      <c r="K165" s="44"/>
      <c r="L165" s="123">
        <v>124529.25</v>
      </c>
      <c r="M165" s="44"/>
      <c r="N165" s="44"/>
      <c r="O165" s="123">
        <v>1502874.0</v>
      </c>
      <c r="P165" s="52">
        <f t="shared" si="23"/>
        <v>1502874.69</v>
      </c>
      <c r="Q165" s="124">
        <f t="shared" si="2"/>
        <v>-0.6899999999</v>
      </c>
      <c r="R165" s="52">
        <f t="array" ref="R165">IFERROR(INDEX('Fund YTD Target Values'!$1:$1000, MATCH($C165,'Fund YTD Target Values'!$A:$A,0), MATCH($A165,'Fund YTD Target Values'!$1:$1,0)),0)</f>
        <v>1449742.468</v>
      </c>
      <c r="S165" s="52">
        <f>IFERROR(__xludf.DUMMYFUNCTION("IFERROR(sum(FILTER('Fund Data'!$V:$V, 'Fund Data'!$C:$C = $C165, 'Fund Data'!$A:$A &lt; $A165)),0) + IFERROR(sum(FILTER('Fund Data'!$V:$V, 'Fund Data'!$C:$C = $C165, 'Fund Data'!$A:$A = $A165, 'Fund Data'!$B:$B &lt;= $B165)),0)"),1371168.0)</f>
        <v>1371168</v>
      </c>
      <c r="T165" s="123">
        <v>1371168.0</v>
      </c>
      <c r="U165" s="44">
        <f t="shared" si="19"/>
        <v>0</v>
      </c>
      <c r="V165" s="44">
        <f t="shared" si="3"/>
        <v>0</v>
      </c>
      <c r="W165" s="123"/>
      <c r="X165" s="123"/>
      <c r="Y165" s="123">
        <v>0.0</v>
      </c>
      <c r="Z165" s="123">
        <v>0.0</v>
      </c>
      <c r="AA165" s="123">
        <v>0.0</v>
      </c>
      <c r="AB165" s="123"/>
      <c r="AC165" s="123">
        <v>0.0</v>
      </c>
      <c r="AD165" s="44">
        <f t="shared" si="7"/>
        <v>-23800</v>
      </c>
      <c r="AE165" s="123">
        <v>0.0</v>
      </c>
    </row>
    <row r="166">
      <c r="A166" s="120">
        <v>2017.0</v>
      </c>
      <c r="B166" s="121">
        <v>7.0</v>
      </c>
      <c r="C166" s="122" t="s">
        <v>47</v>
      </c>
      <c r="D166" s="44"/>
      <c r="E166" s="123">
        <v>23158.39</v>
      </c>
      <c r="F166" s="123">
        <v>-20000.0</v>
      </c>
      <c r="G166" s="44"/>
      <c r="H166" s="123">
        <v>-5250.63</v>
      </c>
      <c r="I166" s="44"/>
      <c r="J166" s="123">
        <v>77.73</v>
      </c>
      <c r="K166" s="44"/>
      <c r="L166" s="123">
        <v>120607.94</v>
      </c>
      <c r="M166" s="44"/>
      <c r="N166" s="44"/>
      <c r="O166" s="123">
        <v>1502508.0</v>
      </c>
      <c r="P166" s="52">
        <f t="shared" si="23"/>
        <v>1502508.15</v>
      </c>
      <c r="Q166" s="124">
        <f t="shared" si="2"/>
        <v>-0.1499999999</v>
      </c>
      <c r="R166" s="52">
        <f t="array" ref="R166">IFERROR(INDEX('Fund YTD Target Values'!$1:$1000, MATCH($C166,'Fund YTD Target Values'!$A:$A,0), MATCH($A166,'Fund YTD Target Values'!$1:$1,0)),0)</f>
        <v>1449742.468</v>
      </c>
      <c r="S166" s="52">
        <f>IFERROR(__xludf.DUMMYFUNCTION("IFERROR(sum(FILTER('Fund Data'!$V:$V, 'Fund Data'!$C:$C = $C166, 'Fund Data'!$A:$A &lt; $A166)),0) + IFERROR(sum(FILTER('Fund Data'!$V:$V, 'Fund Data'!$C:$C = $C166, 'Fund Data'!$A:$A = $A166, 'Fund Data'!$B:$B &lt;= $B166)),0)"),1371168.0)</f>
        <v>1371168</v>
      </c>
      <c r="T166" s="123">
        <v>1371168.0</v>
      </c>
      <c r="U166" s="44">
        <f t="shared" si="19"/>
        <v>0</v>
      </c>
      <c r="V166" s="44">
        <f t="shared" si="3"/>
        <v>0</v>
      </c>
      <c r="W166" s="123"/>
      <c r="X166" s="123"/>
      <c r="Y166" s="123">
        <v>0.0</v>
      </c>
      <c r="Z166" s="123">
        <v>0.0</v>
      </c>
      <c r="AA166" s="123">
        <v>0.0</v>
      </c>
      <c r="AB166" s="123"/>
      <c r="AC166" s="123">
        <v>0.0</v>
      </c>
      <c r="AD166" s="44">
        <f t="shared" si="7"/>
        <v>-20000</v>
      </c>
      <c r="AE166" s="123">
        <v>0.0</v>
      </c>
    </row>
    <row r="167">
      <c r="A167" s="120">
        <v>2017.0</v>
      </c>
      <c r="B167" s="121">
        <v>6.0</v>
      </c>
      <c r="C167" s="122" t="s">
        <v>47</v>
      </c>
      <c r="D167" s="44"/>
      <c r="E167" s="123">
        <v>18440.41</v>
      </c>
      <c r="F167" s="123">
        <v>-20000.0</v>
      </c>
      <c r="G167" s="44"/>
      <c r="H167" s="123">
        <v>-4487.58</v>
      </c>
      <c r="I167" s="44"/>
      <c r="J167" s="123">
        <v>77.73</v>
      </c>
      <c r="K167" s="44"/>
      <c r="L167" s="123">
        <v>89598.61</v>
      </c>
      <c r="M167" s="44"/>
      <c r="N167" s="44"/>
      <c r="O167" s="123">
        <v>1467543.0</v>
      </c>
      <c r="P167" s="52">
        <f t="shared" si="23"/>
        <v>1467543.89</v>
      </c>
      <c r="Q167" s="124">
        <f t="shared" si="2"/>
        <v>-0.8899999999</v>
      </c>
      <c r="R167" s="52">
        <f t="array" ref="R167">IFERROR(INDEX('Fund YTD Target Values'!$1:$1000, MATCH($C167,'Fund YTD Target Values'!$A:$A,0), MATCH($A167,'Fund YTD Target Values'!$1:$1,0)),0)</f>
        <v>1449742.468</v>
      </c>
      <c r="S167" s="52">
        <f>IFERROR(__xludf.DUMMYFUNCTION("IFERROR(sum(FILTER('Fund Data'!$V:$V, 'Fund Data'!$C:$C = $C167, 'Fund Data'!$A:$A &lt; $A167)),0) + IFERROR(sum(FILTER('Fund Data'!$V:$V, 'Fund Data'!$C:$C = $C167, 'Fund Data'!$A:$A = $A167, 'Fund Data'!$B:$B &lt;= $B167)),0)"),1371168.0)</f>
        <v>1371168</v>
      </c>
      <c r="T167" s="123">
        <v>1371168.0</v>
      </c>
      <c r="U167" s="44">
        <f t="shared" si="19"/>
        <v>0</v>
      </c>
      <c r="V167" s="44">
        <f t="shared" si="3"/>
        <v>0</v>
      </c>
      <c r="W167" s="123"/>
      <c r="X167" s="123"/>
      <c r="Y167" s="123">
        <v>0.0</v>
      </c>
      <c r="Z167" s="123">
        <v>0.0</v>
      </c>
      <c r="AA167" s="123">
        <v>0.0</v>
      </c>
      <c r="AB167" s="123"/>
      <c r="AC167" s="123">
        <v>0.0</v>
      </c>
      <c r="AD167" s="44">
        <f t="shared" si="7"/>
        <v>-20000</v>
      </c>
      <c r="AE167" s="123">
        <v>0.0</v>
      </c>
    </row>
    <row r="168">
      <c r="A168" s="120">
        <v>2017.0</v>
      </c>
      <c r="B168" s="121">
        <v>5.0</v>
      </c>
      <c r="C168" s="122" t="s">
        <v>47</v>
      </c>
      <c r="D168" s="44"/>
      <c r="E168" s="123">
        <v>17455.14</v>
      </c>
      <c r="F168" s="123">
        <v>-20000.0</v>
      </c>
      <c r="G168" s="44"/>
      <c r="H168" s="123">
        <v>-3726.01</v>
      </c>
      <c r="I168" s="44"/>
      <c r="J168" s="123">
        <v>77.73</v>
      </c>
      <c r="K168" s="44"/>
      <c r="L168" s="123">
        <v>86409.96</v>
      </c>
      <c r="M168" s="44"/>
      <c r="N168" s="44"/>
      <c r="O168" s="123">
        <v>1464131.0</v>
      </c>
      <c r="P168" s="52">
        <f t="shared" si="23"/>
        <v>1464131.54</v>
      </c>
      <c r="Q168" s="124">
        <f t="shared" si="2"/>
        <v>-0.54</v>
      </c>
      <c r="R168" s="52">
        <f t="array" ref="R168">IFERROR(INDEX('Fund YTD Target Values'!$1:$1000, MATCH($C168,'Fund YTD Target Values'!$A:$A,0), MATCH($A168,'Fund YTD Target Values'!$1:$1,0)),0)</f>
        <v>1449742.468</v>
      </c>
      <c r="S168" s="52">
        <f>IFERROR(__xludf.DUMMYFUNCTION("IFERROR(sum(FILTER('Fund Data'!$V:$V, 'Fund Data'!$C:$C = $C168, 'Fund Data'!$A:$A &lt; $A168)),0) + IFERROR(sum(FILTER('Fund Data'!$V:$V, 'Fund Data'!$C:$C = $C168, 'Fund Data'!$A:$A = $A168, 'Fund Data'!$B:$B &lt;= $B168)),0)"),1371168.0)</f>
        <v>1371168</v>
      </c>
      <c r="T168" s="123">
        <v>1371168.0</v>
      </c>
      <c r="U168" s="44">
        <f t="shared" si="19"/>
        <v>0</v>
      </c>
      <c r="V168" s="44">
        <f t="shared" si="3"/>
        <v>0</v>
      </c>
      <c r="W168" s="123"/>
      <c r="X168" s="123"/>
      <c r="Y168" s="123">
        <v>0.0</v>
      </c>
      <c r="Z168" s="123">
        <v>0.0</v>
      </c>
      <c r="AA168" s="123">
        <v>0.0</v>
      </c>
      <c r="AB168" s="123"/>
      <c r="AC168" s="123">
        <v>0.0</v>
      </c>
      <c r="AD168" s="44">
        <f t="shared" si="7"/>
        <v>-20000</v>
      </c>
      <c r="AE168" s="123">
        <v>0.0</v>
      </c>
    </row>
    <row r="169">
      <c r="A169" s="120">
        <v>2017.0</v>
      </c>
      <c r="B169" s="121">
        <v>4.0</v>
      </c>
      <c r="C169" s="122" t="s">
        <v>47</v>
      </c>
      <c r="D169" s="44"/>
      <c r="E169" s="123">
        <v>16501.84</v>
      </c>
      <c r="F169" s="44"/>
      <c r="G169" s="44"/>
      <c r="H169" s="123">
        <v>-2963.15</v>
      </c>
      <c r="I169" s="44"/>
      <c r="J169" s="44"/>
      <c r="K169" s="44"/>
      <c r="L169" s="123">
        <v>69923.74</v>
      </c>
      <c r="M169" s="44"/>
      <c r="N169" s="44"/>
      <c r="O169" s="123">
        <v>1467377.0</v>
      </c>
      <c r="P169" s="52">
        <f t="shared" si="23"/>
        <v>1467377.15</v>
      </c>
      <c r="Q169" s="124">
        <f t="shared" si="2"/>
        <v>-0.1499999999</v>
      </c>
      <c r="R169" s="52">
        <f t="array" ref="R169">IFERROR(INDEX('Fund YTD Target Values'!$1:$1000, MATCH($C169,'Fund YTD Target Values'!$A:$A,0), MATCH($A169,'Fund YTD Target Values'!$1:$1,0)),0)</f>
        <v>1449742.468</v>
      </c>
      <c r="S169" s="52">
        <f>IFERROR(__xludf.DUMMYFUNCTION("IFERROR(sum(FILTER('Fund Data'!$V:$V, 'Fund Data'!$C:$C = $C169, 'Fund Data'!$A:$A &lt; $A169)),0) + IFERROR(sum(FILTER('Fund Data'!$V:$V, 'Fund Data'!$C:$C = $C169, 'Fund Data'!$A:$A = $A169, 'Fund Data'!$B:$B &lt;= $B169)),0)"),1371168.0)</f>
        <v>1371168</v>
      </c>
      <c r="T169" s="123">
        <v>1371168.0</v>
      </c>
      <c r="U169" s="44">
        <f t="shared" si="19"/>
        <v>0</v>
      </c>
      <c r="V169" s="44">
        <f t="shared" si="3"/>
        <v>0</v>
      </c>
      <c r="W169" s="123"/>
      <c r="X169" s="123"/>
      <c r="Y169" s="123">
        <v>0.0</v>
      </c>
      <c r="Z169" s="123">
        <v>0.0</v>
      </c>
      <c r="AA169" s="123">
        <v>0.0</v>
      </c>
      <c r="AB169" s="123"/>
      <c r="AC169" s="123">
        <v>0.0</v>
      </c>
      <c r="AD169" s="44">
        <f t="shared" si="7"/>
        <v>0</v>
      </c>
      <c r="AE169" s="123">
        <v>0.0</v>
      </c>
    </row>
    <row r="170">
      <c r="A170" s="120">
        <v>2017.0</v>
      </c>
      <c r="B170" s="121">
        <v>3.0</v>
      </c>
      <c r="C170" s="122" t="s">
        <v>47</v>
      </c>
      <c r="D170" s="44"/>
      <c r="E170" s="123">
        <v>12488.11</v>
      </c>
      <c r="F170" s="44"/>
      <c r="G170" s="44"/>
      <c r="H170" s="123">
        <v>-2209.28</v>
      </c>
      <c r="I170" s="44"/>
      <c r="J170" s="44"/>
      <c r="K170" s="44"/>
      <c r="L170" s="123">
        <v>55214.93</v>
      </c>
      <c r="M170" s="44"/>
      <c r="N170" s="44"/>
      <c r="O170" s="123">
        <v>1449408.0</v>
      </c>
      <c r="P170" s="52">
        <f t="shared" si="23"/>
        <v>1449408.48</v>
      </c>
      <c r="Q170" s="124">
        <f t="shared" si="2"/>
        <v>-0.48</v>
      </c>
      <c r="R170" s="52">
        <f t="array" ref="R170">IFERROR(INDEX('Fund YTD Target Values'!$1:$1000, MATCH($C170,'Fund YTD Target Values'!$A:$A,0), MATCH($A170,'Fund YTD Target Values'!$1:$1,0)),0)</f>
        <v>1449742.468</v>
      </c>
      <c r="S170" s="52">
        <f>IFERROR(__xludf.DUMMYFUNCTION("IFERROR(sum(FILTER('Fund Data'!$V:$V, 'Fund Data'!$C:$C = $C170, 'Fund Data'!$A:$A &lt; $A170)),0) + IFERROR(sum(FILTER('Fund Data'!$V:$V, 'Fund Data'!$C:$C = $C170, 'Fund Data'!$A:$A = $A170, 'Fund Data'!$B:$B &lt;= $B170)),0)"),1371168.0)</f>
        <v>1371168</v>
      </c>
      <c r="T170" s="123">
        <v>1371168.0</v>
      </c>
      <c r="U170" s="44">
        <f t="shared" si="19"/>
        <v>0</v>
      </c>
      <c r="V170" s="44">
        <f t="shared" si="3"/>
        <v>0</v>
      </c>
      <c r="W170" s="123"/>
      <c r="X170" s="123"/>
      <c r="Y170" s="123">
        <v>0.0</v>
      </c>
      <c r="Z170" s="123">
        <v>0.0</v>
      </c>
      <c r="AA170" s="123">
        <v>0.0</v>
      </c>
      <c r="AB170" s="123"/>
      <c r="AC170" s="123">
        <v>0.0</v>
      </c>
      <c r="AD170" s="44">
        <f t="shared" si="7"/>
        <v>0</v>
      </c>
      <c r="AE170" s="123">
        <v>0.0</v>
      </c>
    </row>
    <row r="171">
      <c r="A171" s="120">
        <v>2017.0</v>
      </c>
      <c r="B171" s="121">
        <v>2.0</v>
      </c>
      <c r="C171" s="122" t="s">
        <v>47</v>
      </c>
      <c r="D171" s="44"/>
      <c r="E171" s="123">
        <v>11519.14</v>
      </c>
      <c r="F171" s="44"/>
      <c r="G171" s="44"/>
      <c r="H171" s="123">
        <v>-1458.1</v>
      </c>
      <c r="I171" s="44"/>
      <c r="J171" s="44"/>
      <c r="K171" s="44"/>
      <c r="L171" s="123">
        <v>50043.06</v>
      </c>
      <c r="M171" s="44"/>
      <c r="N171" s="44"/>
      <c r="O171" s="123">
        <v>1444018.0</v>
      </c>
      <c r="P171" s="52">
        <f t="shared" si="23"/>
        <v>1444018.82</v>
      </c>
      <c r="Q171" s="124">
        <f t="shared" si="2"/>
        <v>-0.8200000001</v>
      </c>
      <c r="R171" s="52">
        <f t="array" ref="R171">IFERROR(INDEX('Fund YTD Target Values'!$1:$1000, MATCH($C171,'Fund YTD Target Values'!$A:$A,0), MATCH($A171,'Fund YTD Target Values'!$1:$1,0)),0)</f>
        <v>1449742.468</v>
      </c>
      <c r="S171" s="52">
        <f>IFERROR(__xludf.DUMMYFUNCTION("IFERROR(sum(FILTER('Fund Data'!$V:$V, 'Fund Data'!$C:$C = $C171, 'Fund Data'!$A:$A &lt; $A171)),0) + IFERROR(sum(FILTER('Fund Data'!$V:$V, 'Fund Data'!$C:$C = $C171, 'Fund Data'!$A:$A = $A171, 'Fund Data'!$B:$B &lt;= $B171)),0)"),1371168.0)</f>
        <v>1371168</v>
      </c>
      <c r="T171" s="123">
        <v>1371168.0</v>
      </c>
      <c r="U171" s="44">
        <f t="shared" si="19"/>
        <v>0</v>
      </c>
      <c r="V171" s="44">
        <f t="shared" si="3"/>
        <v>0</v>
      </c>
      <c r="W171" s="123"/>
      <c r="X171" s="123"/>
      <c r="Y171" s="123">
        <v>0.0</v>
      </c>
      <c r="Z171" s="123">
        <v>0.0</v>
      </c>
      <c r="AA171" s="123">
        <v>0.0</v>
      </c>
      <c r="AB171" s="123"/>
      <c r="AC171" s="123">
        <v>0.0</v>
      </c>
      <c r="AD171" s="44">
        <f t="shared" si="7"/>
        <v>0</v>
      </c>
      <c r="AE171" s="123">
        <v>0.0</v>
      </c>
    </row>
    <row r="172">
      <c r="A172" s="120">
        <v>2017.0</v>
      </c>
      <c r="B172" s="121">
        <v>1.0</v>
      </c>
      <c r="C172" s="122" t="s">
        <v>47</v>
      </c>
      <c r="D172" s="44"/>
      <c r="E172" s="123">
        <v>10520.54</v>
      </c>
      <c r="F172" s="44"/>
      <c r="G172" s="44"/>
      <c r="H172" s="123">
        <v>-721.13</v>
      </c>
      <c r="I172" s="44"/>
      <c r="J172" s="44"/>
      <c r="K172" s="44"/>
      <c r="L172" s="123">
        <v>21877.03</v>
      </c>
      <c r="M172" s="44"/>
      <c r="N172" s="44"/>
      <c r="O172" s="123">
        <v>1415591.0</v>
      </c>
      <c r="P172" s="52">
        <f t="shared" si="23"/>
        <v>1415591.16</v>
      </c>
      <c r="Q172" s="124">
        <f t="shared" si="2"/>
        <v>-0.1599999999</v>
      </c>
      <c r="R172" s="52">
        <f t="array" ref="R172">IFERROR(INDEX('Fund YTD Target Values'!$1:$1000, MATCH($C172,'Fund YTD Target Values'!$A:$A,0), MATCH($A172,'Fund YTD Target Values'!$1:$1,0)),0)</f>
        <v>1449742.468</v>
      </c>
      <c r="S172" s="52">
        <f>IFERROR(__xludf.DUMMYFUNCTION("IFERROR(sum(FILTER('Fund Data'!$V:$V, 'Fund Data'!$C:$C = $C172, 'Fund Data'!$A:$A &lt; $A172)),0) + IFERROR(sum(FILTER('Fund Data'!$V:$V, 'Fund Data'!$C:$C = $C172, 'Fund Data'!$A:$A = $A172, 'Fund Data'!$B:$B &lt;= $B172)),0)"),1371168.0)</f>
        <v>1371168</v>
      </c>
      <c r="T172" s="123">
        <v>1371168.0</v>
      </c>
      <c r="U172" s="44">
        <f t="shared" si="19"/>
        <v>0</v>
      </c>
      <c r="V172" s="44">
        <f t="shared" si="3"/>
        <v>0</v>
      </c>
      <c r="W172" s="123"/>
      <c r="X172" s="123"/>
      <c r="Y172" s="123">
        <v>0.0</v>
      </c>
      <c r="Z172" s="123">
        <v>0.0</v>
      </c>
      <c r="AA172" s="123">
        <v>0.0</v>
      </c>
      <c r="AB172" s="123"/>
      <c r="AC172" s="123">
        <v>0.0</v>
      </c>
      <c r="AD172" s="44">
        <f t="shared" si="7"/>
        <v>0</v>
      </c>
      <c r="AE172" s="123">
        <v>0.0</v>
      </c>
    </row>
    <row r="173">
      <c r="A173" s="120">
        <v>2016.0</v>
      </c>
      <c r="B173" s="121">
        <v>12.0</v>
      </c>
      <c r="C173" s="122" t="s">
        <v>47</v>
      </c>
      <c r="D173" s="44"/>
      <c r="E173" s="123">
        <v>30427.4</v>
      </c>
      <c r="F173" s="123">
        <v>-79000.0</v>
      </c>
      <c r="G173" s="123"/>
      <c r="H173" s="123">
        <v>-8681.13</v>
      </c>
      <c r="I173" s="44"/>
      <c r="J173" s="44"/>
      <c r="K173" s="123">
        <v>-1895.3</v>
      </c>
      <c r="L173" s="123">
        <v>63832.86</v>
      </c>
      <c r="M173" s="44"/>
      <c r="N173" s="44"/>
      <c r="O173" s="123">
        <v>1383914.0</v>
      </c>
      <c r="P173" s="52">
        <f t="shared" si="23"/>
        <v>1383914.72</v>
      </c>
      <c r="Q173" s="124">
        <f t="shared" si="2"/>
        <v>-0.72</v>
      </c>
      <c r="R173" s="52">
        <f t="array" ref="R173">IFERROR(INDEX('Fund YTD Target Values'!$1:$1000, MATCH($C173,'Fund YTD Target Values'!$A:$A,0), MATCH($A173,'Fund YTD Target Values'!$1:$1,0)),0)</f>
        <v>1419484.524</v>
      </c>
      <c r="S173" s="52">
        <f>IFERROR(__xludf.DUMMYFUNCTION("IFERROR(sum(FILTER('Fund Data'!$V:$V, 'Fund Data'!$C:$C = $C173, 'Fund Data'!$A:$A &lt; $A173)),0) + IFERROR(sum(FILTER('Fund Data'!$V:$V, 'Fund Data'!$C:$C = $C173, 'Fund Data'!$A:$A = $A173, 'Fund Data'!$B:$B &lt;= $B173)),0)"),1371168.0)</f>
        <v>1371168</v>
      </c>
      <c r="T173" s="123">
        <v>1371168.0</v>
      </c>
      <c r="U173" s="44">
        <f t="shared" si="19"/>
        <v>0</v>
      </c>
      <c r="V173" s="44">
        <f t="shared" si="3"/>
        <v>0</v>
      </c>
      <c r="W173" s="123"/>
      <c r="X173" s="123"/>
      <c r="Y173" s="123">
        <v>0.0</v>
      </c>
      <c r="Z173" s="123">
        <v>0.0</v>
      </c>
      <c r="AA173" s="123">
        <v>0.0</v>
      </c>
      <c r="AB173" s="123"/>
      <c r="AC173" s="123">
        <v>0.0</v>
      </c>
      <c r="AD173" s="44">
        <f t="shared" si="7"/>
        <v>-79000</v>
      </c>
      <c r="AE173" s="123">
        <v>0.0</v>
      </c>
    </row>
    <row r="174">
      <c r="A174" s="120">
        <v>2015.0</v>
      </c>
      <c r="B174" s="121">
        <v>12.0</v>
      </c>
      <c r="C174" s="122" t="s">
        <v>47</v>
      </c>
      <c r="D174" s="123">
        <v>424200.0</v>
      </c>
      <c r="E174" s="123">
        <v>28565.36</v>
      </c>
      <c r="F174" s="123">
        <v>-43100.0</v>
      </c>
      <c r="G174" s="123"/>
      <c r="H174" s="123">
        <v>-8407.85</v>
      </c>
      <c r="I174" s="44"/>
      <c r="J174" s="123">
        <v>562.24</v>
      </c>
      <c r="K174" s="44"/>
      <c r="L174" s="123">
        <v>-71580.49</v>
      </c>
      <c r="M174" s="44"/>
      <c r="N174" s="44"/>
      <c r="O174" s="123">
        <v>1379230.0</v>
      </c>
      <c r="P174" s="52">
        <f t="shared" si="23"/>
        <v>1379230.89</v>
      </c>
      <c r="Q174" s="124">
        <f t="shared" si="2"/>
        <v>-0.8900000001</v>
      </c>
      <c r="R174" s="52">
        <f t="array" ref="R174">IFERROR(INDEX('Fund YTD Target Values'!$1:$1000, MATCH($C174,'Fund YTD Target Values'!$A:$A,0), MATCH($A174,'Fund YTD Target Values'!$1:$1,0)),0)</f>
        <v>1401796.047</v>
      </c>
      <c r="S174" s="52">
        <f>IFERROR(__xludf.DUMMYFUNCTION("IFERROR(sum(FILTER('Fund Data'!$V:$V, 'Fund Data'!$C:$C = $C174, 'Fund Data'!$A:$A &lt; $A174)),0) + IFERROR(sum(FILTER('Fund Data'!$V:$V, 'Fund Data'!$C:$C = $C174, 'Fund Data'!$A:$A = $A174, 'Fund Data'!$B:$B &lt;= $B174)),0)"),1371168.0)</f>
        <v>1371168</v>
      </c>
      <c r="T174" s="123">
        <v>1371168.0</v>
      </c>
      <c r="U174" s="44">
        <f t="shared" si="19"/>
        <v>0</v>
      </c>
      <c r="V174" s="44">
        <f t="shared" si="3"/>
        <v>424200</v>
      </c>
      <c r="W174" s="123"/>
      <c r="X174" s="123"/>
      <c r="Y174" s="123">
        <v>0.0</v>
      </c>
      <c r="Z174" s="123">
        <v>0.0</v>
      </c>
      <c r="AA174" s="123">
        <v>0.0</v>
      </c>
      <c r="AB174" s="123"/>
      <c r="AC174" s="123">
        <v>0.0</v>
      </c>
      <c r="AD174" s="44">
        <f t="shared" si="7"/>
        <v>-43100</v>
      </c>
      <c r="AE174" s="123">
        <v>0.0</v>
      </c>
    </row>
    <row r="175">
      <c r="A175" s="120">
        <v>2014.0</v>
      </c>
      <c r="B175" s="121">
        <v>12.0</v>
      </c>
      <c r="C175" s="122" t="s">
        <v>47</v>
      </c>
      <c r="D175" s="44"/>
      <c r="E175" s="123">
        <v>20040.77</v>
      </c>
      <c r="F175" s="123">
        <v>-25000.0</v>
      </c>
      <c r="G175" s="123"/>
      <c r="H175" s="123">
        <v>-6774.78</v>
      </c>
      <c r="I175" s="44"/>
      <c r="J175" s="123">
        <v>1296.83</v>
      </c>
      <c r="K175" s="44"/>
      <c r="L175" s="123">
        <v>3237.56</v>
      </c>
      <c r="M175" s="44"/>
      <c r="N175" s="44"/>
      <c r="O175" s="123">
        <v>1048991.0</v>
      </c>
      <c r="P175" s="52">
        <f t="shared" si="23"/>
        <v>1048991.63</v>
      </c>
      <c r="Q175" s="124">
        <f t="shared" si="2"/>
        <v>-0.6299999999</v>
      </c>
      <c r="R175" s="52">
        <f t="array" ref="R175">IFERROR(INDEX('Fund YTD Target Values'!$1:$1000, MATCH($C175,'Fund YTD Target Values'!$A:$A,0), MATCH($A175,'Fund YTD Target Values'!$1:$1,0)),0)</f>
        <v>976435.0703</v>
      </c>
      <c r="S175" s="52">
        <f>IFERROR(__xludf.DUMMYFUNCTION("IFERROR(sum(FILTER('Fund Data'!$V:$V, 'Fund Data'!$C:$C = $C175, 'Fund Data'!$A:$A &lt; $A175)),0) + IFERROR(sum(FILTER('Fund Data'!$V:$V, 'Fund Data'!$C:$C = $C175, 'Fund Data'!$A:$A = $A175, 'Fund Data'!$B:$B &lt;= $B175)),0)"),946968.0)</f>
        <v>946968</v>
      </c>
      <c r="T175" s="123">
        <v>946968.0</v>
      </c>
      <c r="U175" s="44">
        <f t="shared" si="19"/>
        <v>0</v>
      </c>
      <c r="V175" s="44">
        <f t="shared" si="3"/>
        <v>0</v>
      </c>
      <c r="W175" s="123"/>
      <c r="X175" s="123"/>
      <c r="Y175" s="123">
        <v>0.0</v>
      </c>
      <c r="Z175" s="123">
        <v>0.0</v>
      </c>
      <c r="AA175" s="123">
        <v>0.0</v>
      </c>
      <c r="AB175" s="123"/>
      <c r="AC175" s="123">
        <v>0.0</v>
      </c>
      <c r="AD175" s="44">
        <f t="shared" si="7"/>
        <v>-25000</v>
      </c>
      <c r="AE175" s="123">
        <v>0.0</v>
      </c>
    </row>
    <row r="176">
      <c r="A176" s="120">
        <v>2013.0</v>
      </c>
      <c r="B176" s="121">
        <v>12.0</v>
      </c>
      <c r="C176" s="122" t="s">
        <v>47</v>
      </c>
      <c r="D176" s="44"/>
      <c r="E176" s="123">
        <v>20695.2</v>
      </c>
      <c r="F176" s="123">
        <v>-25000.0</v>
      </c>
      <c r="G176" s="123"/>
      <c r="H176" s="123">
        <v>-6453.46</v>
      </c>
      <c r="I176" s="44"/>
      <c r="J176" s="123">
        <v>433.63</v>
      </c>
      <c r="K176" s="44"/>
      <c r="L176" s="123">
        <v>87203.16</v>
      </c>
      <c r="M176" s="44"/>
      <c r="N176" s="44"/>
      <c r="O176" s="123">
        <v>1056191.0</v>
      </c>
      <c r="P176" s="52">
        <f t="shared" si="23"/>
        <v>1056191.25</v>
      </c>
      <c r="Q176" s="124">
        <f t="shared" si="2"/>
        <v>-0.25</v>
      </c>
      <c r="R176" s="52">
        <f t="array" ref="R176">IFERROR(INDEX('Fund YTD Target Values'!$1:$1000, MATCH($C176,'Fund YTD Target Values'!$A:$A,0), MATCH($A176,'Fund YTD Target Values'!$1:$1,0)),0)</f>
        <v>960850.9821</v>
      </c>
      <c r="S176" s="52">
        <f>IFERROR(__xludf.DUMMYFUNCTION("IFERROR(sum(FILTER('Fund Data'!$V:$V, 'Fund Data'!$C:$C = $C176, 'Fund Data'!$A:$A &lt; $A176)),0) + IFERROR(sum(FILTER('Fund Data'!$V:$V, 'Fund Data'!$C:$C = $C176, 'Fund Data'!$A:$A = $A176, 'Fund Data'!$B:$B &lt;= $B176)),0)"),946968.0)</f>
        <v>946968</v>
      </c>
      <c r="T176" s="123">
        <v>946968.0</v>
      </c>
      <c r="U176" s="44">
        <f t="shared" si="19"/>
        <v>0</v>
      </c>
      <c r="V176" s="44">
        <f t="shared" si="3"/>
        <v>0</v>
      </c>
      <c r="W176" s="123"/>
      <c r="X176" s="123"/>
      <c r="Y176" s="123">
        <v>0.0</v>
      </c>
      <c r="Z176" s="123">
        <v>0.0</v>
      </c>
      <c r="AA176" s="123">
        <v>0.0</v>
      </c>
      <c r="AB176" s="123"/>
      <c r="AC176" s="123">
        <v>0.0</v>
      </c>
      <c r="AD176" s="44">
        <f t="shared" si="7"/>
        <v>-25000</v>
      </c>
      <c r="AE176" s="123">
        <v>0.0</v>
      </c>
    </row>
    <row r="177">
      <c r="A177" s="120">
        <v>2012.0</v>
      </c>
      <c r="B177" s="121">
        <v>12.0</v>
      </c>
      <c r="C177" s="122" t="s">
        <v>47</v>
      </c>
      <c r="D177" s="123">
        <v>946968.0</v>
      </c>
      <c r="E177" s="123">
        <v>1563.23</v>
      </c>
      <c r="F177" s="44"/>
      <c r="G177" s="123"/>
      <c r="H177" s="123">
        <v>-514.44</v>
      </c>
      <c r="I177" s="44"/>
      <c r="J177" s="44"/>
      <c r="K177" s="44"/>
      <c r="L177" s="123">
        <v>31295.93</v>
      </c>
      <c r="M177" s="44"/>
      <c r="N177" s="44"/>
      <c r="O177" s="123">
        <v>979313.0</v>
      </c>
      <c r="P177" s="52">
        <f t="shared" si="23"/>
        <v>979312.72</v>
      </c>
      <c r="Q177" s="124">
        <f t="shared" si="2"/>
        <v>0.2799999999</v>
      </c>
      <c r="R177" s="52">
        <f t="array" ref="R177">IFERROR(INDEX('Fund YTD Target Values'!$1:$1000, MATCH($C177,'Fund YTD Target Values'!$A:$A,0), MATCH($A177,'Fund YTD Target Values'!$1:$1,0)),0)</f>
        <v>946968</v>
      </c>
      <c r="S177" s="52">
        <f>IFERROR(__xludf.DUMMYFUNCTION("IFERROR(sum(FILTER('Fund Data'!$V:$V, 'Fund Data'!$C:$C = $C177, 'Fund Data'!$A:$A &lt; $A177)),0) + IFERROR(sum(FILTER('Fund Data'!$V:$V, 'Fund Data'!$C:$C = $C177, 'Fund Data'!$A:$A = $A177, 'Fund Data'!$B:$B &lt;= $B177)),0)"),946968.0)</f>
        <v>946968</v>
      </c>
      <c r="T177" s="123">
        <v>946968.0</v>
      </c>
      <c r="U177" s="44">
        <f t="shared" si="19"/>
        <v>0</v>
      </c>
      <c r="V177" s="44">
        <f t="shared" si="3"/>
        <v>946968</v>
      </c>
      <c r="W177" s="123"/>
      <c r="X177" s="123"/>
      <c r="Y177" s="123">
        <v>0.0</v>
      </c>
      <c r="Z177" s="123">
        <v>0.0</v>
      </c>
      <c r="AA177" s="123">
        <v>0.0</v>
      </c>
      <c r="AB177" s="123"/>
      <c r="AC177" s="123">
        <v>0.0</v>
      </c>
      <c r="AD177" s="44">
        <f t="shared" si="7"/>
        <v>0</v>
      </c>
      <c r="AE177" s="123">
        <v>0.0</v>
      </c>
    </row>
    <row r="178">
      <c r="A178" s="120">
        <v>2019.0</v>
      </c>
      <c r="B178" s="121">
        <v>6.0</v>
      </c>
      <c r="C178" s="122" t="s">
        <v>28</v>
      </c>
      <c r="D178" s="44"/>
      <c r="E178" s="123">
        <v>38484.72</v>
      </c>
      <c r="F178" s="123">
        <v>-122500.0</v>
      </c>
      <c r="G178" s="44"/>
      <c r="H178" s="123">
        <v>-8673.84</v>
      </c>
      <c r="I178" s="44"/>
      <c r="J178" s="123">
        <v>27665.93</v>
      </c>
      <c r="K178" s="44"/>
      <c r="L178" s="123">
        <v>275360.62</v>
      </c>
      <c r="M178" s="44"/>
      <c r="N178" s="44"/>
      <c r="O178" s="123">
        <v>3112577.8</v>
      </c>
      <c r="P178" s="52">
        <f t="shared" si="23"/>
        <v>3112576.87</v>
      </c>
      <c r="Q178" s="124">
        <f t="shared" si="2"/>
        <v>0.9299999997</v>
      </c>
      <c r="R178" s="52">
        <f t="array" ref="R178">IFERROR(INDEX('Fund YTD Target Values'!$1:$1000, MATCH($C178,'Fund YTD Target Values'!$A:$A,0), MATCH($A178,'Fund YTD Target Values'!$1:$1,0)),0)</f>
        <v>3907469.928</v>
      </c>
      <c r="S178" s="52">
        <f>IFERROR(__xludf.DUMMYFUNCTION("IFERROR(sum(FILTER('Fund Data'!$V:$V, 'Fund Data'!$C:$C = $C178, 'Fund Data'!$A:$A &lt; $A178)),0) + IFERROR(sum(FILTER('Fund Data'!$V:$V, 'Fund Data'!$C:$C = $C178, 'Fund Data'!$A:$A = $A178, 'Fund Data'!$B:$B &lt;= $B178)),0)"),2960091.2499999995)</f>
        <v>2960091.25</v>
      </c>
      <c r="T178" s="44"/>
      <c r="U178" s="44"/>
      <c r="V178" s="44">
        <f t="shared" si="3"/>
        <v>0</v>
      </c>
      <c r="W178" s="52">
        <f>IFERROR(__xludf.DUMMYFUNCTION("iFERROR((FILTER('Fund Data'!$Y:$Y, 'Fund Data'!$C:$C = $C178, 'Fund Data'!$A:$A = $A178 - 1, 'Fund Data'!$B:$B = 12) + FILTER('Fund Data'!$AA:$AA, 'Fund Data'!$C:$C = $C178, 'Fund Data'!$A:$A = $A178 - 1, 'Fund Data'!$B:$B = 12)) * (1 + AVERAGE(FILTER('In"&amp;"flation Data'!$C:$C,'Inflation Data'!$A:$A = ($A178 - 2)))) * 'Parameters and Distribution Sum'!$A$4,0)"),106462.6298445185)</f>
        <v>106462.6298</v>
      </c>
      <c r="X178" s="52">
        <f>IFERROR(__xludf.DUMMYFUNCTION("IFERROR((IFERROR(FILTER('Fund Data'!$P:$P,'Fund Data'!$C:$C = $C178,'Fund Data'!$A:$A = ($A178 - 2), 'Fund Data'!$B:$B = 12),0) - SUM(FILTER('Fund Data'!$V:$V, 'Fund Data'!$C:$C = $C178, 'Fund Data'!$A:$A = ($A178 - 2), 'Fund Data'!$B:$B &gt; 3)))  * 'Parame"&amp;"ters and Distribution Sum'!$B$4 * (1 - 'Parameters and Distribution Sum'!$A$4),0)"),44674.55194500001)</f>
        <v>44674.55195</v>
      </c>
      <c r="Y178" s="52">
        <f t="shared" ref="Y178:Y183" si="24">sum($W178:$X178)</f>
        <v>151137.1818</v>
      </c>
      <c r="Z178" s="52">
        <f>IFERROR(__xludf.DUMMYFUNCTION("((IFERROR((SUM(FILTER('Fund Data'!$V:$V, 'Fund Data'!$C:$C = $C178, 'Fund Data'!$A:$A = $A178 - 1, 'Fund Data'!$B:$B &gt;= 4, 'Fund Data'!$B:$B &lt;= ($B178 + 5))) / 12) * ($B178 - 3) * 'Parameters and Distribution Sum'!$B$4, 0) + IF($B178 &gt;= 9, IFERROR(SUM(FIL"&amp;"TER('Fund Data'!$V:$V, 'Fund Data'!$C:$C = $C178, 'Fund Data'!$A:$A = $A178, 'Fund Data'!$B:$B &lt;= 3)) * 'Parameters and Distribution Sum'!$B$4, 0),0)))"),0.0)</f>
        <v>0</v>
      </c>
      <c r="AA178" s="44">
        <f>IFERROR(__xludf.DUMMYFUNCTION("IFERROR(((IFERROR(SUM(FILTER('Fund Data'!$V:$V, 'Fund Data'!$C:$C = $C178, 'Fund Data'!$A:$A = $A178 - 2, 'Fund Data'!$B:$B &gt;= 4)) * 'Parameters and Distribution Sum'!$B$4,0) + IFERROR(SUM(FILTER('Fund Data'!$V:$V, 'Fund Data'!$C:$C = $C178, 'Fund Data'!$"&amp;"A:$A = $A178 - 1, 'Fund Data'!$B:$B &lt;= 3)) * 'Parameters and Distribution Sum'!$B$4,0))),0)"),0.0)</f>
        <v>0</v>
      </c>
      <c r="AB178" s="44">
        <f t="shared" ref="AB178:AB184" si="25">IFERROR(__xludf.DUMMYFUNCTION("IFERROR(FILTER($AE:$AE,$C:$C = $C178,$A:$A = $A178 - 1,$B:$B = 12),0)"),0.0)</f>
        <v>0</v>
      </c>
      <c r="AC178" s="44">
        <f t="shared" ref="AC178:AC184" si="26">sum($Y178:$AB178)</f>
        <v>151137.1818</v>
      </c>
      <c r="AD178" s="44">
        <f t="shared" si="7"/>
        <v>28637.18179</v>
      </c>
      <c r="AE178" s="44"/>
    </row>
    <row r="179">
      <c r="A179" s="120">
        <v>2019.0</v>
      </c>
      <c r="B179" s="121">
        <v>5.0</v>
      </c>
      <c r="C179" s="122" t="s">
        <v>28</v>
      </c>
      <c r="D179" s="44"/>
      <c r="E179" s="123">
        <v>35207.18</v>
      </c>
      <c r="F179" s="123">
        <v>-79500.0</v>
      </c>
      <c r="G179" s="44"/>
      <c r="H179" s="123">
        <v>-7241.38</v>
      </c>
      <c r="I179" s="44"/>
      <c r="J179" s="123">
        <v>14001.05</v>
      </c>
      <c r="K179" s="44"/>
      <c r="L179" s="123">
        <v>168973.44</v>
      </c>
      <c r="M179" s="44"/>
      <c r="N179" s="44"/>
      <c r="O179" s="123">
        <v>3033680.66</v>
      </c>
      <c r="P179" s="52">
        <f t="shared" si="23"/>
        <v>3033679.73</v>
      </c>
      <c r="Q179" s="124">
        <f t="shared" si="2"/>
        <v>0.9300000002</v>
      </c>
      <c r="R179" s="52">
        <f t="array" ref="R179">IFERROR(INDEX('Fund YTD Target Values'!$1:$1000, MATCH($C179,'Fund YTD Target Values'!$A:$A,0), MATCH($A179,'Fund YTD Target Values'!$1:$1,0)),0)</f>
        <v>3907469.928</v>
      </c>
      <c r="S179" s="52">
        <f>IFERROR(__xludf.DUMMYFUNCTION("IFERROR(sum(FILTER('Fund Data'!$V:$V, 'Fund Data'!$C:$C = $C179, 'Fund Data'!$A:$A &lt; $A179)),0) + IFERROR(sum(FILTER('Fund Data'!$V:$V, 'Fund Data'!$C:$C = $C179, 'Fund Data'!$A:$A = $A179, 'Fund Data'!$B:$B &lt;= $B179)),0)"),2960091.2499999995)</f>
        <v>2960091.25</v>
      </c>
      <c r="T179" s="44"/>
      <c r="U179" s="44"/>
      <c r="V179" s="44">
        <f t="shared" si="3"/>
        <v>0</v>
      </c>
      <c r="W179" s="52">
        <f>IFERROR(__xludf.DUMMYFUNCTION("iFERROR((FILTER('Fund Data'!$Y:$Y, 'Fund Data'!$C:$C = $C179, 'Fund Data'!$A:$A = $A179 - 1, 'Fund Data'!$B:$B = 12) + FILTER('Fund Data'!$AA:$AA, 'Fund Data'!$C:$C = $C179, 'Fund Data'!$A:$A = $A179 - 1, 'Fund Data'!$B:$B = 12)) * (1 + AVERAGE(FILTER('In"&amp;"flation Data'!$C:$C,'Inflation Data'!$A:$A = ($A179 - 2)))) * 'Parameters and Distribution Sum'!$A$4,0)"),106462.6298445185)</f>
        <v>106462.6298</v>
      </c>
      <c r="X179" s="52">
        <f>IFERROR(__xludf.DUMMYFUNCTION("IFERROR((IFERROR(FILTER('Fund Data'!$P:$P,'Fund Data'!$C:$C = $C179,'Fund Data'!$A:$A = ($A179 - 2), 'Fund Data'!$B:$B = 12),0) - SUM(FILTER('Fund Data'!$V:$V, 'Fund Data'!$C:$C = $C179, 'Fund Data'!$A:$A = ($A179 - 2), 'Fund Data'!$B:$B &gt; 3)))  * 'Parame"&amp;"ters and Distribution Sum'!$B$4 * (1 - 'Parameters and Distribution Sum'!$A$4),0)"),44674.55194500001)</f>
        <v>44674.55195</v>
      </c>
      <c r="Y179" s="52">
        <f t="shared" si="24"/>
        <v>151137.1818</v>
      </c>
      <c r="Z179" s="52">
        <f>IFERROR(__xludf.DUMMYFUNCTION("((IFERROR((SUM(FILTER('Fund Data'!$V:$V, 'Fund Data'!$C:$C = $C179, 'Fund Data'!$A:$A = $A179 - 1, 'Fund Data'!$B:$B &gt;= 4, 'Fund Data'!$B:$B &lt;= ($B179 + 5))) / 12) * ($B179 - 3) * 'Parameters and Distribution Sum'!$B$4, 0) + IF($B179 &gt;= 9, IFERROR(SUM(FIL"&amp;"TER('Fund Data'!$V:$V, 'Fund Data'!$C:$C = $C179, 'Fund Data'!$A:$A = $A179, 'Fund Data'!$B:$B &lt;= 3)) * 'Parameters and Distribution Sum'!$B$4, 0),0)))"),0.0)</f>
        <v>0</v>
      </c>
      <c r="AA179" s="44">
        <f>IFERROR(__xludf.DUMMYFUNCTION("IFERROR(((IFERROR(SUM(FILTER('Fund Data'!$V:$V, 'Fund Data'!$C:$C = $C179, 'Fund Data'!$A:$A = $A179 - 2, 'Fund Data'!$B:$B &gt;= 4)) * 'Parameters and Distribution Sum'!$B$4,0) + IFERROR(SUM(FILTER('Fund Data'!$V:$V, 'Fund Data'!$C:$C = $C179, 'Fund Data'!$"&amp;"A:$A = $A179 - 1, 'Fund Data'!$B:$B &lt;= 3)) * 'Parameters and Distribution Sum'!$B$4,0))),0)"),0.0)</f>
        <v>0</v>
      </c>
      <c r="AB179" s="44">
        <f t="shared" si="25"/>
        <v>0</v>
      </c>
      <c r="AC179" s="44">
        <f t="shared" si="26"/>
        <v>151137.1818</v>
      </c>
      <c r="AD179" s="44">
        <f t="shared" si="7"/>
        <v>71637.18179</v>
      </c>
      <c r="AE179" s="44"/>
    </row>
    <row r="180">
      <c r="A180" s="120">
        <v>2019.0</v>
      </c>
      <c r="B180" s="121">
        <v>4.0</v>
      </c>
      <c r="C180" s="122" t="s">
        <v>28</v>
      </c>
      <c r="D180" s="44"/>
      <c r="E180" s="123">
        <v>32520.46</v>
      </c>
      <c r="F180" s="123">
        <v>-39000.0</v>
      </c>
      <c r="G180" s="44"/>
      <c r="H180" s="123">
        <v>-5750.07</v>
      </c>
      <c r="I180" s="44"/>
      <c r="J180" s="123">
        <v>2798.19</v>
      </c>
      <c r="K180" s="44"/>
      <c r="L180" s="123">
        <v>302046.97</v>
      </c>
      <c r="M180" s="44"/>
      <c r="N180" s="44"/>
      <c r="O180" s="123">
        <v>3194856.0</v>
      </c>
      <c r="P180" s="52">
        <f t="shared" si="23"/>
        <v>3194854.99</v>
      </c>
      <c r="Q180" s="124">
        <f t="shared" si="2"/>
        <v>1.01</v>
      </c>
      <c r="R180" s="52">
        <f t="array" ref="R180">IFERROR(INDEX('Fund YTD Target Values'!$1:$1000, MATCH($C180,'Fund YTD Target Values'!$A:$A,0), MATCH($A180,'Fund YTD Target Values'!$1:$1,0)),0)</f>
        <v>3907469.928</v>
      </c>
      <c r="S180" s="52">
        <f>IFERROR(__xludf.DUMMYFUNCTION("IFERROR(sum(FILTER('Fund Data'!$V:$V, 'Fund Data'!$C:$C = $C180, 'Fund Data'!$A:$A &lt; $A180)),0) + IFERROR(sum(FILTER('Fund Data'!$V:$V, 'Fund Data'!$C:$C = $C180, 'Fund Data'!$A:$A = $A180, 'Fund Data'!$B:$B &lt;= $B180)),0)"),2960091.2499999995)</f>
        <v>2960091.25</v>
      </c>
      <c r="T180" s="44"/>
      <c r="U180" s="44"/>
      <c r="V180" s="44">
        <f t="shared" si="3"/>
        <v>0</v>
      </c>
      <c r="W180" s="52">
        <f>IFERROR(__xludf.DUMMYFUNCTION("iFERROR((FILTER('Fund Data'!$Y:$Y, 'Fund Data'!$C:$C = $C180, 'Fund Data'!$A:$A = $A180 - 1, 'Fund Data'!$B:$B = 12) + FILTER('Fund Data'!$AA:$AA, 'Fund Data'!$C:$C = $C180, 'Fund Data'!$A:$A = $A180 - 1, 'Fund Data'!$B:$B = 12)) * (1 + AVERAGE(FILTER('In"&amp;"flation Data'!$C:$C,'Inflation Data'!$A:$A = ($A180 - 2)))) * 'Parameters and Distribution Sum'!$A$4,0)"),106462.6298445185)</f>
        <v>106462.6298</v>
      </c>
      <c r="X180" s="52">
        <f>IFERROR(__xludf.DUMMYFUNCTION("IFERROR((IFERROR(FILTER('Fund Data'!$P:$P,'Fund Data'!$C:$C = $C180,'Fund Data'!$A:$A = ($A180 - 2), 'Fund Data'!$B:$B = 12),0) - SUM(FILTER('Fund Data'!$V:$V, 'Fund Data'!$C:$C = $C180, 'Fund Data'!$A:$A = ($A180 - 2), 'Fund Data'!$B:$B &gt; 3)))  * 'Parame"&amp;"ters and Distribution Sum'!$B$4 * (1 - 'Parameters and Distribution Sum'!$A$4),0)"),44674.55194500001)</f>
        <v>44674.55195</v>
      </c>
      <c r="Y180" s="52">
        <f t="shared" si="24"/>
        <v>151137.1818</v>
      </c>
      <c r="Z180" s="52">
        <f>IFERROR(__xludf.DUMMYFUNCTION("((IFERROR((SUM(FILTER('Fund Data'!$V:$V, 'Fund Data'!$C:$C = $C180, 'Fund Data'!$A:$A = $A180 - 1, 'Fund Data'!$B:$B &gt;= 4, 'Fund Data'!$B:$B &lt;= ($B180 + 5))) / 12) * ($B180 - 3) * 'Parameters and Distribution Sum'!$B$4, 0) + IF($B180 &gt;= 9, IFERROR(SUM(FIL"&amp;"TER('Fund Data'!$V:$V, 'Fund Data'!$C:$C = $C180, 'Fund Data'!$A:$A = $A180, 'Fund Data'!$B:$B &lt;= 3)) * 'Parameters and Distribution Sum'!$B$4, 0),0)))"),0.0)</f>
        <v>0</v>
      </c>
      <c r="AA180" s="44">
        <f>IFERROR(__xludf.DUMMYFUNCTION("IFERROR(((IFERROR(SUM(FILTER('Fund Data'!$V:$V, 'Fund Data'!$C:$C = $C180, 'Fund Data'!$A:$A = $A180 - 2, 'Fund Data'!$B:$B &gt;= 4)) * 'Parameters and Distribution Sum'!$B$4,0) + IFERROR(SUM(FILTER('Fund Data'!$V:$V, 'Fund Data'!$C:$C = $C180, 'Fund Data'!$"&amp;"A:$A = $A180 - 1, 'Fund Data'!$B:$B &lt;= 3)) * 'Parameters and Distribution Sum'!$B$4,0))),0)"),0.0)</f>
        <v>0</v>
      </c>
      <c r="AB180" s="44">
        <f t="shared" si="25"/>
        <v>0</v>
      </c>
      <c r="AC180" s="44">
        <f t="shared" si="26"/>
        <v>151137.1818</v>
      </c>
      <c r="AD180" s="44">
        <f t="shared" si="7"/>
        <v>112137.1818</v>
      </c>
      <c r="AE180" s="44"/>
    </row>
    <row r="181">
      <c r="A181" s="120">
        <v>2019.0</v>
      </c>
      <c r="B181" s="121">
        <v>3.0</v>
      </c>
      <c r="C181" s="122" t="s">
        <v>28</v>
      </c>
      <c r="D181" s="44"/>
      <c r="E181" s="123">
        <v>24608.73</v>
      </c>
      <c r="F181" s="123">
        <v>-39000.0</v>
      </c>
      <c r="G181" s="44"/>
      <c r="H181" s="123">
        <v>-4288.66</v>
      </c>
      <c r="I181" s="44"/>
      <c r="J181" s="123">
        <v>2798.19</v>
      </c>
      <c r="K181" s="44"/>
      <c r="L181" s="123">
        <v>239230.74</v>
      </c>
      <c r="M181" s="44"/>
      <c r="N181" s="44"/>
      <c r="O181" s="123">
        <v>3125589.0</v>
      </c>
      <c r="P181" s="52">
        <f t="shared" si="23"/>
        <v>3125588.44</v>
      </c>
      <c r="Q181" s="124">
        <f t="shared" si="2"/>
        <v>0.5600000001</v>
      </c>
      <c r="R181" s="52">
        <f t="array" ref="R181">IFERROR(INDEX('Fund YTD Target Values'!$1:$1000, MATCH($C181,'Fund YTD Target Values'!$A:$A,0), MATCH($A181,'Fund YTD Target Values'!$1:$1,0)),0)</f>
        <v>3907469.928</v>
      </c>
      <c r="S181" s="52">
        <f>IFERROR(__xludf.DUMMYFUNCTION("IFERROR(sum(FILTER('Fund Data'!$V:$V, 'Fund Data'!$C:$C = $C181, 'Fund Data'!$A:$A &lt; $A181)),0) + IFERROR(sum(FILTER('Fund Data'!$V:$V, 'Fund Data'!$C:$C = $C181, 'Fund Data'!$A:$A = $A181, 'Fund Data'!$B:$B &lt;= $B181)),0)"),2960091.2499999995)</f>
        <v>2960091.25</v>
      </c>
      <c r="T181" s="123"/>
      <c r="U181" s="44"/>
      <c r="V181" s="44">
        <f t="shared" si="3"/>
        <v>0</v>
      </c>
      <c r="W181" s="52">
        <f>IFERROR(__xludf.DUMMYFUNCTION("iFERROR((FILTER('Fund Data'!$Y:$Y, 'Fund Data'!$C:$C = $C181, 'Fund Data'!$A:$A = $A181 - 1, 'Fund Data'!$B:$B = 12) + FILTER('Fund Data'!$AA:$AA, 'Fund Data'!$C:$C = $C181, 'Fund Data'!$A:$A = $A181 - 1, 'Fund Data'!$B:$B = 12)) * (1 + AVERAGE(FILTER('In"&amp;"flation Data'!$C:$C,'Inflation Data'!$A:$A = ($A181 - 2)))) * 'Parameters and Distribution Sum'!$A$4,0)"),106462.6298445185)</f>
        <v>106462.6298</v>
      </c>
      <c r="X181" s="52">
        <f>IFERROR(__xludf.DUMMYFUNCTION("IFERROR((IFERROR(FILTER('Fund Data'!$P:$P,'Fund Data'!$C:$C = $C181,'Fund Data'!$A:$A = ($A181 - 2), 'Fund Data'!$B:$B = 12),0) - SUM(FILTER('Fund Data'!$V:$V, 'Fund Data'!$C:$C = $C181, 'Fund Data'!$A:$A = ($A181 - 2), 'Fund Data'!$B:$B &gt; 3)))  * 'Parame"&amp;"ters and Distribution Sum'!$B$4 * (1 - 'Parameters and Distribution Sum'!$A$4),0)"),44674.55194500001)</f>
        <v>44674.55195</v>
      </c>
      <c r="Y181" s="52">
        <f t="shared" si="24"/>
        <v>151137.1818</v>
      </c>
      <c r="Z181" s="52">
        <f>IFERROR(__xludf.DUMMYFUNCTION("((IFERROR((SUM(FILTER('Fund Data'!$V:$V, 'Fund Data'!$C:$C = $C181, 'Fund Data'!$A:$A = $A181 - 1, 'Fund Data'!$B:$B &gt;= 4, 'Fund Data'!$B:$B &lt;= ($B181 + 5))) / 12) * ($B181 - 3) * 'Parameters and Distribution Sum'!$B$4, 0) + IF($B181 &gt;= 9, IFERROR(SUM(FIL"&amp;"TER('Fund Data'!$V:$V, 'Fund Data'!$C:$C = $C181, 'Fund Data'!$A:$A = $A181, 'Fund Data'!$B:$B &lt;= 3)) * 'Parameters and Distribution Sum'!$B$4, 0),0)))"),0.0)</f>
        <v>0</v>
      </c>
      <c r="AA181" s="44">
        <f>IFERROR(__xludf.DUMMYFUNCTION("IFERROR(((IFERROR(SUM(FILTER('Fund Data'!$V:$V, 'Fund Data'!$C:$C = $C181, 'Fund Data'!$A:$A = $A181 - 2, 'Fund Data'!$B:$B &gt;= 4)) * 'Parameters and Distribution Sum'!$B$4,0) + IFERROR(SUM(FILTER('Fund Data'!$V:$V, 'Fund Data'!$C:$C = $C181, 'Fund Data'!$"&amp;"A:$A = $A181 - 1, 'Fund Data'!$B:$B &lt;= 3)) * 'Parameters and Distribution Sum'!$B$4,0))),0)"),0.0)</f>
        <v>0</v>
      </c>
      <c r="AB181" s="44">
        <f t="shared" si="25"/>
        <v>0</v>
      </c>
      <c r="AC181" s="44">
        <f t="shared" si="26"/>
        <v>151137.1818</v>
      </c>
      <c r="AD181" s="44">
        <f t="shared" si="7"/>
        <v>112137.1818</v>
      </c>
      <c r="AE181" s="44"/>
    </row>
    <row r="182">
      <c r="A182" s="120">
        <v>2019.0</v>
      </c>
      <c r="B182" s="121">
        <v>2.0</v>
      </c>
      <c r="C182" s="122" t="s">
        <v>28</v>
      </c>
      <c r="D182" s="44"/>
      <c r="E182" s="123">
        <v>20805.34</v>
      </c>
      <c r="F182" s="44"/>
      <c r="G182" s="44"/>
      <c r="H182" s="123">
        <v>-2818.42</v>
      </c>
      <c r="I182" s="44"/>
      <c r="J182" s="44"/>
      <c r="K182" s="44"/>
      <c r="L182" s="123">
        <v>224039.94</v>
      </c>
      <c r="M182" s="44"/>
      <c r="N182" s="44"/>
      <c r="O182" s="123">
        <v>3144267.0</v>
      </c>
      <c r="P182" s="52">
        <f t="shared" si="23"/>
        <v>3144266.3</v>
      </c>
      <c r="Q182" s="124">
        <f t="shared" si="2"/>
        <v>0.7000000002</v>
      </c>
      <c r="R182" s="52">
        <f t="array" ref="R182">IFERROR(INDEX('Fund YTD Target Values'!$1:$1000, MATCH($C182,'Fund YTD Target Values'!$A:$A,0), MATCH($A182,'Fund YTD Target Values'!$1:$1,0)),0)</f>
        <v>3907469.928</v>
      </c>
      <c r="S182" s="52">
        <f>IFERROR(__xludf.DUMMYFUNCTION("IFERROR(sum(FILTER('Fund Data'!$V:$V, 'Fund Data'!$C:$C = $C182, 'Fund Data'!$A:$A &lt; $A182)),0) + IFERROR(sum(FILTER('Fund Data'!$V:$V, 'Fund Data'!$C:$C = $C182, 'Fund Data'!$A:$A = $A182, 'Fund Data'!$B:$B &lt;= $B182)),0)"),2960091.2499999995)</f>
        <v>2960091.25</v>
      </c>
      <c r="T182" s="123">
        <v>3009816.0</v>
      </c>
      <c r="U182" s="44">
        <f t="shared" ref="U182:U265" si="27">S182-T182</f>
        <v>-49724.75</v>
      </c>
      <c r="V182" s="44">
        <f t="shared" si="3"/>
        <v>0</v>
      </c>
      <c r="W182" s="52">
        <f>IFERROR(__xludf.DUMMYFUNCTION("iFERROR((FILTER('Fund Data'!$Y:$Y, 'Fund Data'!$C:$C = $C182, 'Fund Data'!$A:$A = $A182 - 1, 'Fund Data'!$B:$B = 12) + FILTER('Fund Data'!$AA:$AA, 'Fund Data'!$C:$C = $C182, 'Fund Data'!$A:$A = $A182 - 1, 'Fund Data'!$B:$B = 12)) * (1 + AVERAGE(FILTER('In"&amp;"flation Data'!$C:$C,'Inflation Data'!$A:$A = ($A182 - 2)))) * 'Parameters and Distribution Sum'!$A$4,0)"),106462.6298445185)</f>
        <v>106462.6298</v>
      </c>
      <c r="X182" s="52">
        <f>IFERROR(__xludf.DUMMYFUNCTION("IFERROR((IFERROR(FILTER('Fund Data'!$P:$P,'Fund Data'!$C:$C = $C182,'Fund Data'!$A:$A = ($A182 - 2), 'Fund Data'!$B:$B = 12),0) - SUM(FILTER('Fund Data'!$V:$V, 'Fund Data'!$C:$C = $C182, 'Fund Data'!$A:$A = ($A182 - 2), 'Fund Data'!$B:$B &gt; 3)))  * 'Parame"&amp;"ters and Distribution Sum'!$B$4 * (1 - 'Parameters and Distribution Sum'!$A$4),0)"),44674.55194500001)</f>
        <v>44674.55195</v>
      </c>
      <c r="Y182" s="52">
        <f t="shared" si="24"/>
        <v>151137.1818</v>
      </c>
      <c r="Z182" s="52">
        <f>IFERROR(__xludf.DUMMYFUNCTION("((IFERROR((SUM(FILTER('Fund Data'!$V:$V, 'Fund Data'!$C:$C = $C182, 'Fund Data'!$A:$A = $A182 - 1, 'Fund Data'!$B:$B &gt;= 4, 'Fund Data'!$B:$B &lt;= ($B182 + 5))) / 12) * ($B182 - 3) * 'Parameters and Distribution Sum'!$B$4, 0) + IF($B182 &gt;= 9, IFERROR(SUM(FIL"&amp;"TER('Fund Data'!$V:$V, 'Fund Data'!$C:$C = $C182, 'Fund Data'!$A:$A = $A182, 'Fund Data'!$B:$B &lt;= 3)) * 'Parameters and Distribution Sum'!$B$4, 0),0)))"),0.0)</f>
        <v>0</v>
      </c>
      <c r="AA182" s="44">
        <f>IFERROR(__xludf.DUMMYFUNCTION("IFERROR(((IFERROR(SUM(FILTER('Fund Data'!$V:$V, 'Fund Data'!$C:$C = $C182, 'Fund Data'!$A:$A = $A182 - 2, 'Fund Data'!$B:$B &gt;= 4)) * 'Parameters and Distribution Sum'!$B$4,0) + IFERROR(SUM(FILTER('Fund Data'!$V:$V, 'Fund Data'!$C:$C = $C182, 'Fund Data'!$"&amp;"A:$A = $A182 - 1, 'Fund Data'!$B:$B &lt;= 3)) * 'Parameters and Distribution Sum'!$B$4,0))),0)"),0.0)</f>
        <v>0</v>
      </c>
      <c r="AB182" s="44">
        <f t="shared" si="25"/>
        <v>0</v>
      </c>
      <c r="AC182" s="44">
        <f t="shared" si="26"/>
        <v>151137.1818</v>
      </c>
      <c r="AD182" s="44">
        <f t="shared" si="7"/>
        <v>151137.1818</v>
      </c>
      <c r="AE182" s="44"/>
    </row>
    <row r="183">
      <c r="A183" s="120">
        <v>2019.0</v>
      </c>
      <c r="B183" s="121">
        <v>1.0</v>
      </c>
      <c r="C183" s="122" t="s">
        <v>28</v>
      </c>
      <c r="D183" s="44"/>
      <c r="E183" s="123">
        <v>19242.96</v>
      </c>
      <c r="F183" s="44"/>
      <c r="G183" s="44"/>
      <c r="H183" s="123">
        <v>-1369.33</v>
      </c>
      <c r="I183" s="44"/>
      <c r="J183" s="44"/>
      <c r="K183" s="44"/>
      <c r="L183" s="123">
        <v>173313.92</v>
      </c>
      <c r="M183" s="44"/>
      <c r="N183" s="44"/>
      <c r="O183" s="123">
        <v>3093428.0</v>
      </c>
      <c r="P183" s="52">
        <f t="shared" si="23"/>
        <v>3093426.99</v>
      </c>
      <c r="Q183" s="124">
        <f t="shared" si="2"/>
        <v>1.01</v>
      </c>
      <c r="R183" s="52">
        <f t="array" ref="R183">IFERROR(INDEX('Fund YTD Target Values'!$1:$1000, MATCH($C183,'Fund YTD Target Values'!$A:$A,0), MATCH($A183,'Fund YTD Target Values'!$1:$1,0)),0)</f>
        <v>3907469.928</v>
      </c>
      <c r="S183" s="52">
        <f>IFERROR(__xludf.DUMMYFUNCTION("IFERROR(sum(FILTER('Fund Data'!$V:$V, 'Fund Data'!$C:$C = $C183, 'Fund Data'!$A:$A &lt; $A183)),0) + IFERROR(sum(FILTER('Fund Data'!$V:$V, 'Fund Data'!$C:$C = $C183, 'Fund Data'!$A:$A = $A183, 'Fund Data'!$B:$B &lt;= $B183)),0)"),2960091.2499999995)</f>
        <v>2960091.25</v>
      </c>
      <c r="T183" s="123">
        <v>3009816.0</v>
      </c>
      <c r="U183" s="44">
        <f t="shared" si="27"/>
        <v>-49724.75</v>
      </c>
      <c r="V183" s="44">
        <f t="shared" si="3"/>
        <v>0</v>
      </c>
      <c r="W183" s="52">
        <f>IFERROR(__xludf.DUMMYFUNCTION("iFERROR((FILTER('Fund Data'!$Y:$Y, 'Fund Data'!$C:$C = $C183, 'Fund Data'!$A:$A = $A183 - 1, 'Fund Data'!$B:$B = 12) + FILTER('Fund Data'!$AA:$AA, 'Fund Data'!$C:$C = $C183, 'Fund Data'!$A:$A = $A183 - 1, 'Fund Data'!$B:$B = 12)) * (1 + AVERAGE(FILTER('In"&amp;"flation Data'!$C:$C,'Inflation Data'!$A:$A = ($A183 - 2)))) * 'Parameters and Distribution Sum'!$A$4,0)"),106462.6298445185)</f>
        <v>106462.6298</v>
      </c>
      <c r="X183" s="52">
        <f>IFERROR(__xludf.DUMMYFUNCTION("IFERROR((IFERROR(FILTER('Fund Data'!$P:$P,'Fund Data'!$C:$C = $C183,'Fund Data'!$A:$A = ($A183 - 2), 'Fund Data'!$B:$B = 12),0) - SUM(FILTER('Fund Data'!$V:$V, 'Fund Data'!$C:$C = $C183, 'Fund Data'!$A:$A = ($A183 - 2), 'Fund Data'!$B:$B &gt; 3)))  * 'Parame"&amp;"ters and Distribution Sum'!$B$4 * (1 - 'Parameters and Distribution Sum'!$A$4),0)"),44674.55194500001)</f>
        <v>44674.55195</v>
      </c>
      <c r="Y183" s="52">
        <f t="shared" si="24"/>
        <v>151137.1818</v>
      </c>
      <c r="Z183" s="52">
        <f>IFERROR(__xludf.DUMMYFUNCTION("((IFERROR((SUM(FILTER('Fund Data'!$V:$V, 'Fund Data'!$C:$C = $C183, 'Fund Data'!$A:$A = $A183 - 1, 'Fund Data'!$B:$B &gt;= 4, 'Fund Data'!$B:$B &lt;= ($B183 + 5))) / 12) * ($B183 - 3) * 'Parameters and Distribution Sum'!$B$4, 0) + IF($B183 &gt;= 9, IFERROR(SUM(FIL"&amp;"TER('Fund Data'!$V:$V, 'Fund Data'!$C:$C = $C183, 'Fund Data'!$A:$A = $A183, 'Fund Data'!$B:$B &lt;= 3)) * 'Parameters and Distribution Sum'!$B$4, 0),0)))"),0.0)</f>
        <v>0</v>
      </c>
      <c r="AA183" s="44">
        <f>IFERROR(__xludf.DUMMYFUNCTION("IFERROR(((IFERROR(SUM(FILTER('Fund Data'!$V:$V, 'Fund Data'!$C:$C = $C183, 'Fund Data'!$A:$A = $A183 - 2, 'Fund Data'!$B:$B &gt;= 4)) * 'Parameters and Distribution Sum'!$B$4,0) + IFERROR(SUM(FILTER('Fund Data'!$V:$V, 'Fund Data'!$C:$C = $C183, 'Fund Data'!$"&amp;"A:$A = $A183 - 1, 'Fund Data'!$B:$B &lt;= 3)) * 'Parameters and Distribution Sum'!$B$4,0))),0)"),0.0)</f>
        <v>0</v>
      </c>
      <c r="AB183" s="44">
        <f t="shared" si="25"/>
        <v>0</v>
      </c>
      <c r="AC183" s="44">
        <f t="shared" si="26"/>
        <v>151137.1818</v>
      </c>
      <c r="AD183" s="44">
        <f t="shared" si="7"/>
        <v>151137.1818</v>
      </c>
      <c r="AE183" s="44"/>
    </row>
    <row r="184">
      <c r="A184" s="120">
        <v>2018.0</v>
      </c>
      <c r="B184" s="121">
        <v>12.0</v>
      </c>
      <c r="C184" s="122" t="s">
        <v>28</v>
      </c>
      <c r="D184" s="44"/>
      <c r="E184" s="123">
        <v>69948.08</v>
      </c>
      <c r="F184" s="123">
        <v>-165000.0</v>
      </c>
      <c r="G184" s="44"/>
      <c r="H184" s="123">
        <v>-19254.41</v>
      </c>
      <c r="I184" s="44"/>
      <c r="J184" s="123">
        <v>39189.66</v>
      </c>
      <c r="K184" s="44"/>
      <c r="L184" s="123">
        <v>-331869.96</v>
      </c>
      <c r="M184" s="44"/>
      <c r="N184" s="44"/>
      <c r="O184" s="123">
        <v>2902240.0</v>
      </c>
      <c r="P184" s="52">
        <f t="shared" si="23"/>
        <v>2902239.44</v>
      </c>
      <c r="Q184" s="124">
        <f t="shared" si="2"/>
        <v>0.5600000001</v>
      </c>
      <c r="R184" s="52">
        <f t="array" ref="R184">IFERROR(INDEX('Fund YTD Target Values'!$1:$1000, MATCH($C184,'Fund YTD Target Values'!$A:$A,0), MATCH($A184,'Fund YTD Target Values'!$1:$1,0)),0)</f>
        <v>3840487.513</v>
      </c>
      <c r="S184" s="52">
        <f>IFERROR(__xludf.DUMMYFUNCTION("IFERROR(sum(FILTER('Fund Data'!$V:$V, 'Fund Data'!$C:$C = $C184, 'Fund Data'!$A:$A &lt; $A184)),0) + IFERROR(sum(FILTER('Fund Data'!$V:$V, 'Fund Data'!$C:$C = $C184, 'Fund Data'!$A:$A = $A184, 'Fund Data'!$B:$B &lt;= $B184)),0)"),2960091.2499999995)</f>
        <v>2960091.25</v>
      </c>
      <c r="T184" s="123">
        <v>3009816.0</v>
      </c>
      <c r="U184" s="44">
        <f t="shared" si="27"/>
        <v>-49724.75</v>
      </c>
      <c r="V184" s="44">
        <f t="shared" si="3"/>
        <v>0</v>
      </c>
      <c r="W184" s="52"/>
      <c r="X184" s="52"/>
      <c r="Y184" s="52">
        <v>148915.17315</v>
      </c>
      <c r="Z184" s="123">
        <v>0.0</v>
      </c>
      <c r="AA184" s="123">
        <v>0.0</v>
      </c>
      <c r="AB184" s="44">
        <f t="shared" si="25"/>
        <v>0</v>
      </c>
      <c r="AC184" s="44">
        <f t="shared" si="26"/>
        <v>148915.1732</v>
      </c>
      <c r="AD184" s="44">
        <f t="shared" si="7"/>
        <v>-16084.82685</v>
      </c>
      <c r="AE184" s="123">
        <v>0.0</v>
      </c>
    </row>
    <row r="185">
      <c r="A185" s="120">
        <v>2018.0</v>
      </c>
      <c r="B185" s="121">
        <v>11.0</v>
      </c>
      <c r="C185" s="122" t="s">
        <v>28</v>
      </c>
      <c r="D185" s="44"/>
      <c r="E185" s="123">
        <v>65858.3</v>
      </c>
      <c r="F185" s="123">
        <v>-165000.0</v>
      </c>
      <c r="G185" s="44"/>
      <c r="H185" s="123">
        <v>-17813.75</v>
      </c>
      <c r="I185" s="44"/>
      <c r="J185" s="123">
        <v>39189.66</v>
      </c>
      <c r="K185" s="44"/>
      <c r="L185" s="123">
        <v>-160385.69</v>
      </c>
      <c r="M185" s="44"/>
      <c r="N185" s="44"/>
      <c r="O185" s="123">
        <v>3071076.0</v>
      </c>
      <c r="P185" s="52">
        <f t="shared" si="23"/>
        <v>3071074.59</v>
      </c>
      <c r="Q185" s="124">
        <f t="shared" si="2"/>
        <v>1.41</v>
      </c>
      <c r="R185" s="52">
        <f t="array" ref="R185">IFERROR(INDEX('Fund YTD Target Values'!$1:$1000, MATCH($C185,'Fund YTD Target Values'!$A:$A,0), MATCH($A185,'Fund YTD Target Values'!$1:$1,0)),0)</f>
        <v>3840487.513</v>
      </c>
      <c r="S185" s="52">
        <f>IFERROR(__xludf.DUMMYFUNCTION("IFERROR(sum(FILTER('Fund Data'!$V:$V, 'Fund Data'!$C:$C = $C185, 'Fund Data'!$A:$A &lt; $A185)),0) + IFERROR(sum(FILTER('Fund Data'!$V:$V, 'Fund Data'!$C:$C = $C185, 'Fund Data'!$A:$A = $A185, 'Fund Data'!$B:$B &lt;= $B185)),0)"),2960091.2499999995)</f>
        <v>2960091.25</v>
      </c>
      <c r="T185" s="123">
        <v>3009816.0</v>
      </c>
      <c r="U185" s="44">
        <f t="shared" si="27"/>
        <v>-49724.75</v>
      </c>
      <c r="V185" s="44">
        <f t="shared" si="3"/>
        <v>0</v>
      </c>
      <c r="W185" s="123"/>
      <c r="X185" s="123"/>
      <c r="Y185" s="123">
        <v>0.0</v>
      </c>
      <c r="Z185" s="123">
        <v>0.0</v>
      </c>
      <c r="AA185" s="123">
        <v>0.0</v>
      </c>
      <c r="AB185" s="123"/>
      <c r="AC185" s="123">
        <v>0.0</v>
      </c>
      <c r="AD185" s="44">
        <f t="shared" si="7"/>
        <v>-165000</v>
      </c>
      <c r="AE185" s="123">
        <v>0.0</v>
      </c>
    </row>
    <row r="186">
      <c r="A186" s="120">
        <v>2018.0</v>
      </c>
      <c r="B186" s="121">
        <v>10.0</v>
      </c>
      <c r="C186" s="135" t="s">
        <v>28</v>
      </c>
      <c r="D186" s="138"/>
      <c r="E186" s="137">
        <v>63129.65</v>
      </c>
      <c r="F186" s="136">
        <v>-165000.0</v>
      </c>
      <c r="G186" s="138"/>
      <c r="H186" s="137">
        <v>-14890.64</v>
      </c>
      <c r="I186" s="138"/>
      <c r="J186" s="136">
        <v>39189.66</v>
      </c>
      <c r="K186" s="138"/>
      <c r="L186" s="136">
        <v>-186884.38</v>
      </c>
      <c r="M186" s="44"/>
      <c r="N186" s="44"/>
      <c r="O186" s="136">
        <v>3044771.0</v>
      </c>
      <c r="P186" s="52">
        <f t="shared" si="23"/>
        <v>3044770.36</v>
      </c>
      <c r="Q186" s="124">
        <f t="shared" si="2"/>
        <v>0.6400000001</v>
      </c>
      <c r="R186" s="52">
        <f t="array" ref="R186">IFERROR(INDEX('Fund YTD Target Values'!$1:$1000, MATCH($C186,'Fund YTD Target Values'!$A:$A,0), MATCH($A186,'Fund YTD Target Values'!$1:$1,0)),0)</f>
        <v>3840487.513</v>
      </c>
      <c r="S186" s="52">
        <f>IFERROR(__xludf.DUMMYFUNCTION("IFERROR(sum(FILTER('Fund Data'!$V:$V, 'Fund Data'!$C:$C = $C186, 'Fund Data'!$A:$A &lt; $A186)),0) + IFERROR(sum(FILTER('Fund Data'!$V:$V, 'Fund Data'!$C:$C = $C186, 'Fund Data'!$A:$A = $A186, 'Fund Data'!$B:$B &lt;= $B186)),0)"),2960091.2499999995)</f>
        <v>2960091.25</v>
      </c>
      <c r="T186" s="123">
        <v>3009816.0</v>
      </c>
      <c r="U186" s="44">
        <f t="shared" si="27"/>
        <v>-49724.75</v>
      </c>
      <c r="V186" s="44">
        <f t="shared" si="3"/>
        <v>0</v>
      </c>
      <c r="W186" s="123"/>
      <c r="X186" s="123"/>
      <c r="Y186" s="123">
        <v>0.0</v>
      </c>
      <c r="Z186" s="123">
        <v>0.0</v>
      </c>
      <c r="AA186" s="123">
        <v>0.0</v>
      </c>
      <c r="AB186" s="123"/>
      <c r="AC186" s="123">
        <v>0.0</v>
      </c>
      <c r="AD186" s="44">
        <f t="shared" si="7"/>
        <v>-165000</v>
      </c>
      <c r="AE186" s="123">
        <v>0.0</v>
      </c>
    </row>
    <row r="187">
      <c r="A187" s="120">
        <v>2018.0</v>
      </c>
      <c r="B187" s="121">
        <v>9.0</v>
      </c>
      <c r="C187" s="122" t="s">
        <v>28</v>
      </c>
      <c r="D187" s="44"/>
      <c r="E187" s="123">
        <v>53972.27</v>
      </c>
      <c r="F187" s="123">
        <v>-165000.0</v>
      </c>
      <c r="G187" s="44"/>
      <c r="H187" s="123">
        <v>-14890.64</v>
      </c>
      <c r="I187" s="44"/>
      <c r="J187" s="123">
        <v>39189.66</v>
      </c>
      <c r="K187" s="44"/>
      <c r="L187" s="123">
        <v>-23539.01</v>
      </c>
      <c r="M187" s="44"/>
      <c r="N187" s="44"/>
      <c r="O187" s="123">
        <v>3198959.0</v>
      </c>
      <c r="P187" s="52">
        <f t="shared" si="23"/>
        <v>3198958.35</v>
      </c>
      <c r="Q187" s="124">
        <f t="shared" si="2"/>
        <v>0.6500000004</v>
      </c>
      <c r="R187" s="52">
        <f t="array" ref="R187">IFERROR(INDEX('Fund YTD Target Values'!$1:$1000, MATCH($C187,'Fund YTD Target Values'!$A:$A,0), MATCH($A187,'Fund YTD Target Values'!$1:$1,0)),0)</f>
        <v>3840487.513</v>
      </c>
      <c r="S187" s="52">
        <f>IFERROR(__xludf.DUMMYFUNCTION("IFERROR(sum(FILTER('Fund Data'!$V:$V, 'Fund Data'!$C:$C = $C187, 'Fund Data'!$A:$A &lt; $A187)),0) + IFERROR(sum(FILTER('Fund Data'!$V:$V, 'Fund Data'!$C:$C = $C187, 'Fund Data'!$A:$A = $A187, 'Fund Data'!$B:$B &lt;= $B187)),0)"),2960091.2499999995)</f>
        <v>2960091.25</v>
      </c>
      <c r="T187" s="123">
        <v>3009816.0</v>
      </c>
      <c r="U187" s="44">
        <f t="shared" si="27"/>
        <v>-49724.75</v>
      </c>
      <c r="V187" s="44">
        <f t="shared" si="3"/>
        <v>0</v>
      </c>
      <c r="W187" s="123"/>
      <c r="X187" s="123"/>
      <c r="Y187" s="123">
        <v>0.0</v>
      </c>
      <c r="Z187" s="123">
        <v>0.0</v>
      </c>
      <c r="AA187" s="123">
        <v>0.0</v>
      </c>
      <c r="AB187" s="123"/>
      <c r="AC187" s="123">
        <v>0.0</v>
      </c>
      <c r="AD187" s="44">
        <f t="shared" si="7"/>
        <v>-165000</v>
      </c>
      <c r="AE187" s="123">
        <v>0.0</v>
      </c>
    </row>
    <row r="188">
      <c r="A188" s="120">
        <v>2018.0</v>
      </c>
      <c r="B188" s="121">
        <v>8.0</v>
      </c>
      <c r="C188" s="122" t="s">
        <v>28</v>
      </c>
      <c r="D188" s="44"/>
      <c r="E188" s="123">
        <v>51176.92</v>
      </c>
      <c r="F188" s="123">
        <v>-102000.0</v>
      </c>
      <c r="G188" s="44"/>
      <c r="H188" s="123">
        <v>-13254.06</v>
      </c>
      <c r="I188" s="44"/>
      <c r="J188" s="123">
        <v>18060.24</v>
      </c>
      <c r="K188" s="44"/>
      <c r="L188" s="123">
        <v>9592.88</v>
      </c>
      <c r="M188" s="44"/>
      <c r="N188" s="44"/>
      <c r="O188" s="123">
        <v>3272803.0</v>
      </c>
      <c r="P188" s="52">
        <f t="shared" si="23"/>
        <v>3272802.05</v>
      </c>
      <c r="Q188" s="124">
        <f t="shared" si="2"/>
        <v>0.9500000002</v>
      </c>
      <c r="R188" s="52">
        <f t="array" ref="R188">IFERROR(INDEX('Fund YTD Target Values'!$1:$1000, MATCH($C188,'Fund YTD Target Values'!$A:$A,0), MATCH($A188,'Fund YTD Target Values'!$1:$1,0)),0)</f>
        <v>3840487.513</v>
      </c>
      <c r="S188" s="52">
        <f>IFERROR(__xludf.DUMMYFUNCTION("IFERROR(sum(FILTER('Fund Data'!$V:$V, 'Fund Data'!$C:$C = $C188, 'Fund Data'!$A:$A &lt; $A188)),0) + IFERROR(sum(FILTER('Fund Data'!$V:$V, 'Fund Data'!$C:$C = $C188, 'Fund Data'!$A:$A = $A188, 'Fund Data'!$B:$B &lt;= $B188)),0)"),2960091.2499999995)</f>
        <v>2960091.25</v>
      </c>
      <c r="T188" s="123">
        <v>3009816.0</v>
      </c>
      <c r="U188" s="44">
        <f t="shared" si="27"/>
        <v>-49724.75</v>
      </c>
      <c r="V188" s="44">
        <f t="shared" si="3"/>
        <v>0</v>
      </c>
      <c r="W188" s="123"/>
      <c r="X188" s="123"/>
      <c r="Y188" s="123">
        <v>0.0</v>
      </c>
      <c r="Z188" s="123">
        <v>0.0</v>
      </c>
      <c r="AA188" s="123">
        <v>0.0</v>
      </c>
      <c r="AB188" s="123"/>
      <c r="AC188" s="123">
        <v>0.0</v>
      </c>
      <c r="AD188" s="44">
        <f t="shared" si="7"/>
        <v>-102000</v>
      </c>
      <c r="AE188" s="123">
        <v>0.0</v>
      </c>
    </row>
    <row r="189">
      <c r="A189" s="120">
        <v>2018.0</v>
      </c>
      <c r="B189" s="121">
        <v>7.0</v>
      </c>
      <c r="C189" s="122" t="s">
        <v>28</v>
      </c>
      <c r="D189" s="44"/>
      <c r="E189" s="123">
        <v>48462.61</v>
      </c>
      <c r="F189" s="123">
        <v>-72000.0</v>
      </c>
      <c r="G189" s="44"/>
      <c r="H189" s="123">
        <v>-11608.3</v>
      </c>
      <c r="I189" s="44"/>
      <c r="J189" s="123">
        <v>8483.71</v>
      </c>
      <c r="K189" s="44"/>
      <c r="L189" s="123">
        <v>8963.49</v>
      </c>
      <c r="M189" s="44"/>
      <c r="N189" s="44"/>
      <c r="O189" s="123">
        <v>3291529.0</v>
      </c>
      <c r="P189" s="52">
        <f t="shared" si="23"/>
        <v>3291527.58</v>
      </c>
      <c r="Q189" s="124">
        <f t="shared" si="2"/>
        <v>1.42</v>
      </c>
      <c r="R189" s="52">
        <f t="array" ref="R189">IFERROR(INDEX('Fund YTD Target Values'!$1:$1000, MATCH($C189,'Fund YTD Target Values'!$A:$A,0), MATCH($A189,'Fund YTD Target Values'!$1:$1,0)),0)</f>
        <v>3840487.513</v>
      </c>
      <c r="S189" s="52">
        <f>IFERROR(__xludf.DUMMYFUNCTION("IFERROR(sum(FILTER('Fund Data'!$V:$V, 'Fund Data'!$C:$C = $C189, 'Fund Data'!$A:$A &lt; $A189)),0) + IFERROR(sum(FILTER('Fund Data'!$V:$V, 'Fund Data'!$C:$C = $C189, 'Fund Data'!$A:$A = $A189, 'Fund Data'!$B:$B &lt;= $B189)),0)"),2960091.2499999995)</f>
        <v>2960091.25</v>
      </c>
      <c r="T189" s="123">
        <v>3009816.0</v>
      </c>
      <c r="U189" s="44">
        <f t="shared" si="27"/>
        <v>-49724.75</v>
      </c>
      <c r="V189" s="44">
        <f t="shared" si="3"/>
        <v>0</v>
      </c>
      <c r="W189" s="123"/>
      <c r="X189" s="123"/>
      <c r="Y189" s="123">
        <v>0.0</v>
      </c>
      <c r="Z189" s="123">
        <v>0.0</v>
      </c>
      <c r="AA189" s="123">
        <v>0.0</v>
      </c>
      <c r="AB189" s="123"/>
      <c r="AC189" s="123">
        <v>0.0</v>
      </c>
      <c r="AD189" s="44">
        <f t="shared" si="7"/>
        <v>-72000</v>
      </c>
      <c r="AE189" s="123">
        <v>0.0</v>
      </c>
    </row>
    <row r="190">
      <c r="A190" s="120">
        <v>2018.0</v>
      </c>
      <c r="B190" s="121">
        <v>6.0</v>
      </c>
      <c r="C190" s="122" t="s">
        <v>28</v>
      </c>
      <c r="D190" s="44"/>
      <c r="E190" s="123">
        <v>41104.55</v>
      </c>
      <c r="F190" s="123">
        <v>-64500.0</v>
      </c>
      <c r="G190" s="44"/>
      <c r="H190" s="123">
        <v>-9988.47</v>
      </c>
      <c r="I190" s="44"/>
      <c r="J190" s="123">
        <v>8483.71</v>
      </c>
      <c r="K190" s="44"/>
      <c r="L190" s="123">
        <v>-44656.97</v>
      </c>
      <c r="M190" s="44"/>
      <c r="N190" s="44"/>
      <c r="O190" s="123">
        <v>3239670.0</v>
      </c>
      <c r="P190" s="52">
        <f t="shared" si="23"/>
        <v>3239668.89</v>
      </c>
      <c r="Q190" s="124">
        <f t="shared" si="2"/>
        <v>1.11</v>
      </c>
      <c r="R190" s="52">
        <f t="array" ref="R190">IFERROR(INDEX('Fund YTD Target Values'!$1:$1000, MATCH($C190,'Fund YTD Target Values'!$A:$A,0), MATCH($A190,'Fund YTD Target Values'!$1:$1,0)),0)</f>
        <v>3840487.513</v>
      </c>
      <c r="S190" s="52">
        <f>IFERROR(__xludf.DUMMYFUNCTION("IFERROR(sum(FILTER('Fund Data'!$V:$V, 'Fund Data'!$C:$C = $C190, 'Fund Data'!$A:$A &lt; $A190)),0) + IFERROR(sum(FILTER('Fund Data'!$V:$V, 'Fund Data'!$C:$C = $C190, 'Fund Data'!$A:$A = $A190, 'Fund Data'!$B:$B &lt;= $B190)),0)"),2960091.2499999995)</f>
        <v>2960091.25</v>
      </c>
      <c r="T190" s="123">
        <v>3009816.0</v>
      </c>
      <c r="U190" s="44">
        <f t="shared" si="27"/>
        <v>-49724.75</v>
      </c>
      <c r="V190" s="44">
        <f t="shared" si="3"/>
        <v>0</v>
      </c>
      <c r="W190" s="123"/>
      <c r="X190" s="123"/>
      <c r="Y190" s="123">
        <v>0.0</v>
      </c>
      <c r="Z190" s="123">
        <v>0.0</v>
      </c>
      <c r="AA190" s="123">
        <v>0.0</v>
      </c>
      <c r="AB190" s="123"/>
      <c r="AC190" s="123">
        <v>0.0</v>
      </c>
      <c r="AD190" s="44">
        <f t="shared" si="7"/>
        <v>-64500</v>
      </c>
      <c r="AE190" s="123">
        <v>0.0</v>
      </c>
    </row>
    <row r="191">
      <c r="A191" s="120">
        <v>2018.0</v>
      </c>
      <c r="B191" s="121">
        <v>5.0</v>
      </c>
      <c r="C191" s="122" t="s">
        <v>28</v>
      </c>
      <c r="D191" s="44"/>
      <c r="E191" s="123">
        <v>36394.12</v>
      </c>
      <c r="F191" s="123">
        <v>-35000.0</v>
      </c>
      <c r="G191" s="44"/>
      <c r="H191" s="123">
        <v>-8343.3</v>
      </c>
      <c r="I191" s="44"/>
      <c r="J191" s="44"/>
      <c r="K191" s="44"/>
      <c r="L191" s="123">
        <v>-11942.6</v>
      </c>
      <c r="M191" s="44"/>
      <c r="N191" s="44"/>
      <c r="O191" s="123">
        <v>3290335.0</v>
      </c>
      <c r="P191" s="52">
        <f t="shared" si="23"/>
        <v>3290334.29</v>
      </c>
      <c r="Q191" s="124">
        <f t="shared" si="2"/>
        <v>0.71</v>
      </c>
      <c r="R191" s="52">
        <f t="array" ref="R191">IFERROR(INDEX('Fund YTD Target Values'!$1:$1000, MATCH($C191,'Fund YTD Target Values'!$A:$A,0), MATCH($A191,'Fund YTD Target Values'!$1:$1,0)),0)</f>
        <v>3840487.513</v>
      </c>
      <c r="S191" s="52">
        <f>IFERROR(__xludf.DUMMYFUNCTION("IFERROR(sum(FILTER('Fund Data'!$V:$V, 'Fund Data'!$C:$C = $C191, 'Fund Data'!$A:$A &lt; $A191)),0) + IFERROR(sum(FILTER('Fund Data'!$V:$V, 'Fund Data'!$C:$C = $C191, 'Fund Data'!$A:$A = $A191, 'Fund Data'!$B:$B &lt;= $B191)),0)"),2960091.2499999995)</f>
        <v>2960091.25</v>
      </c>
      <c r="T191" s="123">
        <v>3009816.0</v>
      </c>
      <c r="U191" s="44">
        <f t="shared" si="27"/>
        <v>-49724.75</v>
      </c>
      <c r="V191" s="44">
        <f t="shared" si="3"/>
        <v>0</v>
      </c>
      <c r="W191" s="123"/>
      <c r="X191" s="123"/>
      <c r="Y191" s="123">
        <v>0.0</v>
      </c>
      <c r="Z191" s="123">
        <v>0.0</v>
      </c>
      <c r="AA191" s="123">
        <v>0.0</v>
      </c>
      <c r="AB191" s="123"/>
      <c r="AC191" s="123">
        <v>0.0</v>
      </c>
      <c r="AD191" s="44">
        <f t="shared" si="7"/>
        <v>-35000</v>
      </c>
      <c r="AE191" s="123">
        <v>0.0</v>
      </c>
    </row>
    <row r="192">
      <c r="A192" s="120">
        <v>2018.0</v>
      </c>
      <c r="B192" s="121">
        <v>4.0</v>
      </c>
      <c r="C192" s="122" t="s">
        <v>28</v>
      </c>
      <c r="D192" s="44"/>
      <c r="E192" s="123">
        <v>33773.88</v>
      </c>
      <c r="F192" s="44"/>
      <c r="G192" s="44"/>
      <c r="H192" s="123">
        <v>-6684.59</v>
      </c>
      <c r="I192" s="44"/>
      <c r="J192" s="44"/>
      <c r="K192" s="44"/>
      <c r="L192" s="123">
        <v>-18894.6</v>
      </c>
      <c r="M192" s="44"/>
      <c r="N192" s="44"/>
      <c r="O192" s="123">
        <v>3317422.0</v>
      </c>
      <c r="P192" s="52">
        <f t="shared" si="23"/>
        <v>3317420.76</v>
      </c>
      <c r="Q192" s="124">
        <f t="shared" si="2"/>
        <v>1.24</v>
      </c>
      <c r="R192" s="52">
        <f t="array" ref="R192">IFERROR(INDEX('Fund YTD Target Values'!$1:$1000, MATCH($C192,'Fund YTD Target Values'!$A:$A,0), MATCH($A192,'Fund YTD Target Values'!$1:$1,0)),0)</f>
        <v>3840487.513</v>
      </c>
      <c r="S192" s="52">
        <f>IFERROR(__xludf.DUMMYFUNCTION("IFERROR(sum(FILTER('Fund Data'!$V:$V, 'Fund Data'!$C:$C = $C192, 'Fund Data'!$A:$A &lt; $A192)),0) + IFERROR(sum(FILTER('Fund Data'!$V:$V, 'Fund Data'!$C:$C = $C192, 'Fund Data'!$A:$A = $A192, 'Fund Data'!$B:$B &lt;= $B192)),0)"),2960091.2499999995)</f>
        <v>2960091.25</v>
      </c>
      <c r="T192" s="123">
        <v>3009816.0</v>
      </c>
      <c r="U192" s="44">
        <f t="shared" si="27"/>
        <v>-49724.75</v>
      </c>
      <c r="V192" s="44">
        <f t="shared" si="3"/>
        <v>0</v>
      </c>
      <c r="W192" s="123"/>
      <c r="X192" s="123"/>
      <c r="Y192" s="123">
        <v>0.0</v>
      </c>
      <c r="Z192" s="123">
        <v>0.0</v>
      </c>
      <c r="AA192" s="123">
        <v>0.0</v>
      </c>
      <c r="AB192" s="123"/>
      <c r="AC192" s="123">
        <v>0.0</v>
      </c>
      <c r="AD192" s="44">
        <f t="shared" si="7"/>
        <v>0</v>
      </c>
      <c r="AE192" s="123">
        <v>0.0</v>
      </c>
    </row>
    <row r="193">
      <c r="A193" s="120">
        <v>2018.0</v>
      </c>
      <c r="B193" s="121">
        <v>3.0</v>
      </c>
      <c r="C193" s="122" t="s">
        <v>28</v>
      </c>
      <c r="D193" s="44"/>
      <c r="E193" s="123">
        <v>25800.35</v>
      </c>
      <c r="F193" s="44"/>
      <c r="G193" s="44"/>
      <c r="H193" s="123">
        <v>-5030.39</v>
      </c>
      <c r="I193" s="44"/>
      <c r="J193" s="44"/>
      <c r="K193" s="44"/>
      <c r="L193" s="123">
        <v>-21596.94</v>
      </c>
      <c r="M193" s="44"/>
      <c r="N193" s="44"/>
      <c r="O193" s="123">
        <v>3308400.0</v>
      </c>
      <c r="P193" s="52">
        <f t="shared" si="23"/>
        <v>3308399.09</v>
      </c>
      <c r="Q193" s="124">
        <f t="shared" si="2"/>
        <v>0.9100000001</v>
      </c>
      <c r="R193" s="52">
        <f t="array" ref="R193">IFERROR(INDEX('Fund YTD Target Values'!$1:$1000, MATCH($C193,'Fund YTD Target Values'!$A:$A,0), MATCH($A193,'Fund YTD Target Values'!$1:$1,0)),0)</f>
        <v>3840487.513</v>
      </c>
      <c r="S193" s="52">
        <f>IFERROR(__xludf.DUMMYFUNCTION("IFERROR(sum(FILTER('Fund Data'!$V:$V, 'Fund Data'!$C:$C = $C193, 'Fund Data'!$A:$A &lt; $A193)),0) + IFERROR(sum(FILTER('Fund Data'!$V:$V, 'Fund Data'!$C:$C = $C193, 'Fund Data'!$A:$A = $A193, 'Fund Data'!$B:$B &lt;= $B193)),0)"),2960091.2499999995)</f>
        <v>2960091.25</v>
      </c>
      <c r="T193" s="123">
        <v>3009816.0</v>
      </c>
      <c r="U193" s="44">
        <f t="shared" si="27"/>
        <v>-49724.75</v>
      </c>
      <c r="V193" s="44">
        <f t="shared" si="3"/>
        <v>0</v>
      </c>
      <c r="W193" s="123"/>
      <c r="X193" s="123"/>
      <c r="Y193" s="123">
        <v>0.0</v>
      </c>
      <c r="Z193" s="123">
        <v>0.0</v>
      </c>
      <c r="AA193" s="123">
        <v>0.0</v>
      </c>
      <c r="AB193" s="123"/>
      <c r="AC193" s="123">
        <v>0.0</v>
      </c>
      <c r="AD193" s="44">
        <f t="shared" si="7"/>
        <v>0</v>
      </c>
      <c r="AE193" s="123">
        <v>0.0</v>
      </c>
    </row>
    <row r="194">
      <c r="A194" s="120">
        <v>2018.0</v>
      </c>
      <c r="B194" s="121">
        <v>2.0</v>
      </c>
      <c r="C194" s="122" t="s">
        <v>28</v>
      </c>
      <c r="D194" s="44"/>
      <c r="E194" s="123">
        <v>22888.11</v>
      </c>
      <c r="F194" s="44"/>
      <c r="G194" s="44"/>
      <c r="H194" s="123">
        <v>-8201.88</v>
      </c>
      <c r="I194" s="44"/>
      <c r="J194" s="44"/>
      <c r="K194" s="44"/>
      <c r="L194" s="123">
        <v>1416.55</v>
      </c>
      <c r="M194" s="44"/>
      <c r="N194" s="44"/>
      <c r="O194" s="123">
        <v>3325330.0</v>
      </c>
      <c r="P194" s="52">
        <f t="shared" si="23"/>
        <v>3325328.85</v>
      </c>
      <c r="Q194" s="124">
        <f t="shared" si="2"/>
        <v>1.15</v>
      </c>
      <c r="R194" s="52">
        <f t="array" ref="R194">IFERROR(INDEX('Fund YTD Target Values'!$1:$1000, MATCH($C194,'Fund YTD Target Values'!$A:$A,0), MATCH($A194,'Fund YTD Target Values'!$1:$1,0)),0)</f>
        <v>3840487.513</v>
      </c>
      <c r="S194" s="52">
        <f>IFERROR(__xludf.DUMMYFUNCTION("IFERROR(sum(FILTER('Fund Data'!$V:$V, 'Fund Data'!$C:$C = $C194, 'Fund Data'!$A:$A &lt; $A194)),0) + IFERROR(sum(FILTER('Fund Data'!$V:$V, 'Fund Data'!$C:$C = $C194, 'Fund Data'!$A:$A = $A194, 'Fund Data'!$B:$B &lt;= $B194)),0)"),2960091.2499999995)</f>
        <v>2960091.25</v>
      </c>
      <c r="T194" s="123">
        <v>3009816.0</v>
      </c>
      <c r="U194" s="44">
        <f t="shared" si="27"/>
        <v>-49724.75</v>
      </c>
      <c r="V194" s="44">
        <f t="shared" si="3"/>
        <v>0</v>
      </c>
      <c r="W194" s="123"/>
      <c r="X194" s="123"/>
      <c r="Y194" s="123">
        <v>0.0</v>
      </c>
      <c r="Z194" s="123">
        <v>0.0</v>
      </c>
      <c r="AA194" s="123">
        <v>0.0</v>
      </c>
      <c r="AB194" s="123"/>
      <c r="AC194" s="123">
        <v>0.0</v>
      </c>
      <c r="AD194" s="44">
        <f t="shared" si="7"/>
        <v>0</v>
      </c>
      <c r="AE194" s="123">
        <v>0.0</v>
      </c>
    </row>
    <row r="195">
      <c r="A195" s="120">
        <v>2018.0</v>
      </c>
      <c r="B195" s="121">
        <v>1.0</v>
      </c>
      <c r="C195" s="122" t="s">
        <v>28</v>
      </c>
      <c r="D195" s="44"/>
      <c r="E195" s="123">
        <v>20426.05</v>
      </c>
      <c r="F195" s="44"/>
      <c r="G195" s="44"/>
      <c r="H195" s="123">
        <v>-6488.77</v>
      </c>
      <c r="I195" s="44"/>
      <c r="J195" s="44"/>
      <c r="K195" s="44"/>
      <c r="L195" s="123">
        <v>103059.45</v>
      </c>
      <c r="M195" s="44"/>
      <c r="N195" s="44"/>
      <c r="O195" s="123">
        <v>3426224.0</v>
      </c>
      <c r="P195" s="52">
        <f t="shared" si="23"/>
        <v>3426222.8</v>
      </c>
      <c r="Q195" s="124">
        <f t="shared" si="2"/>
        <v>1.2</v>
      </c>
      <c r="R195" s="52">
        <f t="array" ref="R195">IFERROR(INDEX('Fund YTD Target Values'!$1:$1000, MATCH($C195,'Fund YTD Target Values'!$A:$A,0), MATCH($A195,'Fund YTD Target Values'!$1:$1,0)),0)</f>
        <v>3840487.513</v>
      </c>
      <c r="S195" s="52">
        <f>IFERROR(__xludf.DUMMYFUNCTION("IFERROR(sum(FILTER('Fund Data'!$V:$V, 'Fund Data'!$C:$C = $C195, 'Fund Data'!$A:$A &lt; $A195)),0) + IFERROR(sum(FILTER('Fund Data'!$V:$V, 'Fund Data'!$C:$C = $C195, 'Fund Data'!$A:$A = $A195, 'Fund Data'!$B:$B &lt;= $B195)),0)"),2960091.2499999995)</f>
        <v>2960091.25</v>
      </c>
      <c r="T195" s="123">
        <v>3009816.0</v>
      </c>
      <c r="U195" s="44">
        <f t="shared" si="27"/>
        <v>-49724.75</v>
      </c>
      <c r="V195" s="44">
        <f t="shared" si="3"/>
        <v>0</v>
      </c>
      <c r="W195" s="123"/>
      <c r="X195" s="123"/>
      <c r="Y195" s="123">
        <v>0.0</v>
      </c>
      <c r="Z195" s="123">
        <v>0.0</v>
      </c>
      <c r="AA195" s="123">
        <v>0.0</v>
      </c>
      <c r="AB195" s="123"/>
      <c r="AC195" s="123">
        <v>0.0</v>
      </c>
      <c r="AD195" s="44">
        <f t="shared" si="7"/>
        <v>0</v>
      </c>
      <c r="AE195" s="123">
        <v>0.0</v>
      </c>
    </row>
    <row r="196">
      <c r="A196" s="120">
        <v>2017.0</v>
      </c>
      <c r="B196" s="121">
        <v>12.0</v>
      </c>
      <c r="C196" s="122" t="s">
        <v>28</v>
      </c>
      <c r="D196" s="44"/>
      <c r="E196" s="123">
        <v>71392.96</v>
      </c>
      <c r="F196" s="123">
        <v>-205000.0</v>
      </c>
      <c r="G196" s="123"/>
      <c r="H196" s="123">
        <v>-19402.02</v>
      </c>
      <c r="I196" s="44"/>
      <c r="J196" s="123">
        <v>50194.52</v>
      </c>
      <c r="K196" s="44"/>
      <c r="L196" s="123">
        <v>353407.33</v>
      </c>
      <c r="M196" s="44"/>
      <c r="N196" s="44"/>
      <c r="O196" s="123">
        <v>3309227.0</v>
      </c>
      <c r="P196" s="52">
        <f t="shared" si="23"/>
        <v>3309226.07</v>
      </c>
      <c r="Q196" s="124">
        <f t="shared" si="2"/>
        <v>0.9300000002</v>
      </c>
      <c r="R196" s="52">
        <f t="array" ref="R196">IFERROR(INDEX('Fund YTD Target Values'!$1:$1000, MATCH($C196,'Fund YTD Target Values'!$A:$A,0), MATCH($A196,'Fund YTD Target Values'!$1:$1,0)),0)</f>
        <v>3748913.384</v>
      </c>
      <c r="S196" s="52">
        <f>IFERROR(__xludf.DUMMYFUNCTION("IFERROR(sum(FILTER('Fund Data'!$V:$V, 'Fund Data'!$C:$C = $C196, 'Fund Data'!$A:$A &lt; $A196)),0) + IFERROR(sum(FILTER('Fund Data'!$V:$V, 'Fund Data'!$C:$C = $C196, 'Fund Data'!$A:$A = $A196, 'Fund Data'!$B:$B &lt;= $B196)),0)"),2960091.2499999995)</f>
        <v>2960091.25</v>
      </c>
      <c r="T196" s="123">
        <v>3009816.0</v>
      </c>
      <c r="U196" s="44">
        <f t="shared" si="27"/>
        <v>-49724.75</v>
      </c>
      <c r="V196" s="44">
        <f t="shared" si="3"/>
        <v>0</v>
      </c>
      <c r="W196" s="123"/>
      <c r="X196" s="123"/>
      <c r="Y196" s="123">
        <v>0.0</v>
      </c>
      <c r="Z196" s="123">
        <v>0.0</v>
      </c>
      <c r="AA196" s="123">
        <v>0.0</v>
      </c>
      <c r="AB196" s="123"/>
      <c r="AC196" s="123">
        <v>0.0</v>
      </c>
      <c r="AD196" s="44">
        <f t="shared" si="7"/>
        <v>-205000</v>
      </c>
      <c r="AE196" s="123">
        <v>0.0</v>
      </c>
    </row>
    <row r="197">
      <c r="A197" s="120">
        <v>2017.0</v>
      </c>
      <c r="B197" s="121">
        <v>11.0</v>
      </c>
      <c r="C197" s="122" t="s">
        <v>28</v>
      </c>
      <c r="D197" s="44"/>
      <c r="E197" s="123">
        <v>66756.44</v>
      </c>
      <c r="F197" s="123">
        <v>-205000.0</v>
      </c>
      <c r="G197" s="44"/>
      <c r="H197" s="123">
        <v>-17756.83</v>
      </c>
      <c r="I197" s="44"/>
      <c r="J197" s="123">
        <v>50194.52</v>
      </c>
      <c r="K197" s="44"/>
      <c r="L197" s="123">
        <v>337541.97</v>
      </c>
      <c r="M197" s="44"/>
      <c r="N197" s="44"/>
      <c r="O197" s="123">
        <v>3290370.0</v>
      </c>
      <c r="P197" s="52">
        <f t="shared" si="23"/>
        <v>3290369.38</v>
      </c>
      <c r="Q197" s="124">
        <f t="shared" si="2"/>
        <v>0.6200000001</v>
      </c>
      <c r="R197" s="52">
        <f t="array" ref="R197">IFERROR(INDEX('Fund YTD Target Values'!$1:$1000, MATCH($C197,'Fund YTD Target Values'!$A:$A,0), MATCH($A197,'Fund YTD Target Values'!$1:$1,0)),0)</f>
        <v>3748913.384</v>
      </c>
      <c r="S197" s="52">
        <f>IFERROR(__xludf.DUMMYFUNCTION("IFERROR(sum(FILTER('Fund Data'!$V:$V, 'Fund Data'!$C:$C = $C197, 'Fund Data'!$A:$A &lt; $A197)),0) + IFERROR(sum(FILTER('Fund Data'!$V:$V, 'Fund Data'!$C:$C = $C197, 'Fund Data'!$A:$A = $A197, 'Fund Data'!$B:$B &lt;= $B197)),0)"),2960091.2499999995)</f>
        <v>2960091.25</v>
      </c>
      <c r="T197" s="123">
        <v>3009816.0</v>
      </c>
      <c r="U197" s="44">
        <f t="shared" si="27"/>
        <v>-49724.75</v>
      </c>
      <c r="V197" s="44">
        <f t="shared" si="3"/>
        <v>0</v>
      </c>
      <c r="W197" s="123"/>
      <c r="X197" s="123"/>
      <c r="Y197" s="123">
        <v>0.0</v>
      </c>
      <c r="Z197" s="123">
        <v>0.0</v>
      </c>
      <c r="AA197" s="123">
        <v>0.0</v>
      </c>
      <c r="AB197" s="123"/>
      <c r="AC197" s="123">
        <v>0.0</v>
      </c>
      <c r="AD197" s="44">
        <f t="shared" si="7"/>
        <v>-205000</v>
      </c>
      <c r="AE197" s="123">
        <v>0.0</v>
      </c>
    </row>
    <row r="198">
      <c r="A198" s="120">
        <v>2017.0</v>
      </c>
      <c r="B198" s="121">
        <v>10.0</v>
      </c>
      <c r="C198" s="122" t="s">
        <v>28</v>
      </c>
      <c r="D198" s="44"/>
      <c r="E198" s="123">
        <v>64522.94</v>
      </c>
      <c r="F198" s="123">
        <v>-171600.0</v>
      </c>
      <c r="G198" s="44"/>
      <c r="H198" s="123">
        <v>-16112.86</v>
      </c>
      <c r="I198" s="44"/>
      <c r="J198" s="123">
        <v>36870.28</v>
      </c>
      <c r="K198" s="44"/>
      <c r="L198" s="123">
        <v>314322.97</v>
      </c>
      <c r="M198" s="44"/>
      <c r="N198" s="44"/>
      <c r="O198" s="123">
        <v>3286638.0</v>
      </c>
      <c r="P198" s="52">
        <f t="shared" si="23"/>
        <v>3286636.61</v>
      </c>
      <c r="Q198" s="124">
        <f t="shared" si="2"/>
        <v>1.39</v>
      </c>
      <c r="R198" s="52">
        <f t="array" ref="R198">IFERROR(INDEX('Fund YTD Target Values'!$1:$1000, MATCH($C198,'Fund YTD Target Values'!$A:$A,0), MATCH($A198,'Fund YTD Target Values'!$1:$1,0)),0)</f>
        <v>3748913.384</v>
      </c>
      <c r="S198" s="52">
        <f>IFERROR(__xludf.DUMMYFUNCTION("IFERROR(sum(FILTER('Fund Data'!$V:$V, 'Fund Data'!$C:$C = $C198, 'Fund Data'!$A:$A &lt; $A198)),0) + IFERROR(sum(FILTER('Fund Data'!$V:$V, 'Fund Data'!$C:$C = $C198, 'Fund Data'!$A:$A = $A198, 'Fund Data'!$B:$B &lt;= $B198)),0)"),2960091.2499999995)</f>
        <v>2960091.25</v>
      </c>
      <c r="T198" s="123">
        <v>3009816.0</v>
      </c>
      <c r="U198" s="44">
        <f t="shared" si="27"/>
        <v>-49724.75</v>
      </c>
      <c r="V198" s="44">
        <f t="shared" si="3"/>
        <v>0</v>
      </c>
      <c r="W198" s="123"/>
      <c r="X198" s="123"/>
      <c r="Y198" s="123">
        <v>0.0</v>
      </c>
      <c r="Z198" s="123">
        <v>0.0</v>
      </c>
      <c r="AA198" s="123">
        <v>0.0</v>
      </c>
      <c r="AB198" s="123"/>
      <c r="AC198" s="123">
        <v>0.0</v>
      </c>
      <c r="AD198" s="44">
        <f t="shared" si="7"/>
        <v>-171600</v>
      </c>
      <c r="AE198" s="123">
        <v>0.0</v>
      </c>
    </row>
    <row r="199">
      <c r="A199" s="120">
        <v>2017.0</v>
      </c>
      <c r="B199" s="121">
        <v>9.0</v>
      </c>
      <c r="C199" s="122" t="s">
        <v>28</v>
      </c>
      <c r="D199" s="44"/>
      <c r="E199" s="123">
        <v>57571.05</v>
      </c>
      <c r="F199" s="123">
        <v>-71600.0</v>
      </c>
      <c r="G199" s="44"/>
      <c r="H199" s="123">
        <v>-14443.84</v>
      </c>
      <c r="I199" s="44"/>
      <c r="J199" s="123">
        <v>7123.93</v>
      </c>
      <c r="K199" s="44"/>
      <c r="L199" s="123">
        <v>300758.63</v>
      </c>
      <c r="M199" s="44"/>
      <c r="N199" s="44"/>
      <c r="O199" s="123">
        <v>3338044.0</v>
      </c>
      <c r="P199" s="52">
        <f t="shared" si="23"/>
        <v>3338043.05</v>
      </c>
      <c r="Q199" s="124">
        <f t="shared" si="2"/>
        <v>0.9500000002</v>
      </c>
      <c r="R199" s="52">
        <f t="array" ref="R199">IFERROR(INDEX('Fund YTD Target Values'!$1:$1000, MATCH($C199,'Fund YTD Target Values'!$A:$A,0), MATCH($A199,'Fund YTD Target Values'!$1:$1,0)),0)</f>
        <v>3748913.384</v>
      </c>
      <c r="S199" s="52">
        <f>IFERROR(__xludf.DUMMYFUNCTION("IFERROR(sum(FILTER('Fund Data'!$V:$V, 'Fund Data'!$C:$C = $C199, 'Fund Data'!$A:$A &lt; $A199)),0) + IFERROR(sum(FILTER('Fund Data'!$V:$V, 'Fund Data'!$C:$C = $C199, 'Fund Data'!$A:$A = $A199, 'Fund Data'!$B:$B &lt;= $B199)),0)"),2960091.2499999995)</f>
        <v>2960091.25</v>
      </c>
      <c r="T199" s="123">
        <v>3009816.0</v>
      </c>
      <c r="U199" s="44">
        <f t="shared" si="27"/>
        <v>-49724.75</v>
      </c>
      <c r="V199" s="44">
        <f t="shared" si="3"/>
        <v>0</v>
      </c>
      <c r="W199" s="123"/>
      <c r="X199" s="123"/>
      <c r="Y199" s="123">
        <v>0.0</v>
      </c>
      <c r="Z199" s="123">
        <v>0.0</v>
      </c>
      <c r="AA199" s="123">
        <v>0.0</v>
      </c>
      <c r="AB199" s="123"/>
      <c r="AC199" s="123">
        <v>0.0</v>
      </c>
      <c r="AD199" s="44">
        <f t="shared" si="7"/>
        <v>-71600</v>
      </c>
      <c r="AE199" s="123">
        <v>0.0</v>
      </c>
    </row>
    <row r="200">
      <c r="A200" s="120">
        <v>2017.0</v>
      </c>
      <c r="B200" s="121">
        <v>8.0</v>
      </c>
      <c r="C200" s="122" t="s">
        <v>28</v>
      </c>
      <c r="D200" s="44"/>
      <c r="E200" s="123">
        <v>53411.39</v>
      </c>
      <c r="F200" s="123">
        <v>-68600.0</v>
      </c>
      <c r="G200" s="44"/>
      <c r="H200" s="123">
        <v>-12790.95</v>
      </c>
      <c r="I200" s="44"/>
      <c r="J200" s="123">
        <v>7123.93</v>
      </c>
      <c r="K200" s="44"/>
      <c r="L200" s="123">
        <v>268004.65</v>
      </c>
      <c r="M200" s="44"/>
      <c r="N200" s="44"/>
      <c r="O200" s="123">
        <v>3305783.0</v>
      </c>
      <c r="P200" s="52">
        <f t="shared" si="23"/>
        <v>3305782.3</v>
      </c>
      <c r="Q200" s="124">
        <f t="shared" si="2"/>
        <v>0.7000000002</v>
      </c>
      <c r="R200" s="52">
        <f t="array" ref="R200">IFERROR(INDEX('Fund YTD Target Values'!$1:$1000, MATCH($C200,'Fund YTD Target Values'!$A:$A,0), MATCH($A200,'Fund YTD Target Values'!$1:$1,0)),0)</f>
        <v>3748913.384</v>
      </c>
      <c r="S200" s="52">
        <f>IFERROR(__xludf.DUMMYFUNCTION("IFERROR(sum(FILTER('Fund Data'!$V:$V, 'Fund Data'!$C:$C = $C200, 'Fund Data'!$A:$A &lt; $A200)),0) + IFERROR(sum(FILTER('Fund Data'!$V:$V, 'Fund Data'!$C:$C = $C200, 'Fund Data'!$A:$A = $A200, 'Fund Data'!$B:$B &lt;= $B200)),0)"),2960091.2499999995)</f>
        <v>2960091.25</v>
      </c>
      <c r="T200" s="123">
        <v>3009816.0</v>
      </c>
      <c r="U200" s="44">
        <f t="shared" si="27"/>
        <v>-49724.75</v>
      </c>
      <c r="V200" s="44">
        <f t="shared" si="3"/>
        <v>0</v>
      </c>
      <c r="W200" s="123"/>
      <c r="X200" s="123"/>
      <c r="Y200" s="123">
        <v>0.0</v>
      </c>
      <c r="Z200" s="123">
        <v>0.0</v>
      </c>
      <c r="AA200" s="123">
        <v>0.0</v>
      </c>
      <c r="AB200" s="123"/>
      <c r="AC200" s="123">
        <v>0.0</v>
      </c>
      <c r="AD200" s="44">
        <f t="shared" si="7"/>
        <v>-68600</v>
      </c>
      <c r="AE200" s="123">
        <v>0.0</v>
      </c>
    </row>
    <row r="201">
      <c r="A201" s="120">
        <v>2017.0</v>
      </c>
      <c r="B201" s="121">
        <v>7.0</v>
      </c>
      <c r="C201" s="122" t="s">
        <v>28</v>
      </c>
      <c r="D201" s="44"/>
      <c r="E201" s="123">
        <v>51154.24</v>
      </c>
      <c r="F201" s="123">
        <v>-60000.0</v>
      </c>
      <c r="G201" s="44"/>
      <c r="H201" s="123">
        <v>-11138.38</v>
      </c>
      <c r="I201" s="44"/>
      <c r="J201" s="123">
        <v>7123.93</v>
      </c>
      <c r="K201" s="44"/>
      <c r="L201" s="123">
        <v>259379.21</v>
      </c>
      <c r="M201" s="44"/>
      <c r="N201" s="44"/>
      <c r="O201" s="123">
        <v>3305153.0</v>
      </c>
      <c r="P201" s="52">
        <f t="shared" si="23"/>
        <v>3305152.28</v>
      </c>
      <c r="Q201" s="124">
        <f t="shared" si="2"/>
        <v>0.7200000002</v>
      </c>
      <c r="R201" s="52">
        <f t="array" ref="R201">IFERROR(INDEX('Fund YTD Target Values'!$1:$1000, MATCH($C201,'Fund YTD Target Values'!$A:$A,0), MATCH($A201,'Fund YTD Target Values'!$1:$1,0)),0)</f>
        <v>3748913.384</v>
      </c>
      <c r="S201" s="52">
        <f>IFERROR(__xludf.DUMMYFUNCTION("IFERROR(sum(FILTER('Fund Data'!$V:$V, 'Fund Data'!$C:$C = $C201, 'Fund Data'!$A:$A &lt; $A201)),0) + IFERROR(sum(FILTER('Fund Data'!$V:$V, 'Fund Data'!$C:$C = $C201, 'Fund Data'!$A:$A = $A201, 'Fund Data'!$B:$B &lt;= $B201)),0)"),2960091.2499999995)</f>
        <v>2960091.25</v>
      </c>
      <c r="T201" s="123">
        <v>3009816.0</v>
      </c>
      <c r="U201" s="44">
        <f t="shared" si="27"/>
        <v>-49724.75</v>
      </c>
      <c r="V201" s="44">
        <f t="shared" si="3"/>
        <v>0</v>
      </c>
      <c r="W201" s="123"/>
      <c r="X201" s="123"/>
      <c r="Y201" s="123">
        <v>0.0</v>
      </c>
      <c r="Z201" s="123">
        <v>0.0</v>
      </c>
      <c r="AA201" s="123">
        <v>0.0</v>
      </c>
      <c r="AB201" s="123"/>
      <c r="AC201" s="123">
        <v>0.0</v>
      </c>
      <c r="AD201" s="44">
        <f t="shared" si="7"/>
        <v>-60000</v>
      </c>
      <c r="AE201" s="123">
        <v>0.0</v>
      </c>
    </row>
    <row r="202">
      <c r="A202" s="120">
        <v>2017.0</v>
      </c>
      <c r="B202" s="121">
        <v>6.0</v>
      </c>
      <c r="C202" s="122" t="s">
        <v>28</v>
      </c>
      <c r="D202" s="44"/>
      <c r="E202" s="123">
        <v>40776.38</v>
      </c>
      <c r="F202" s="123">
        <v>-60000.0</v>
      </c>
      <c r="G202" s="44"/>
      <c r="H202" s="123">
        <v>-9524.17</v>
      </c>
      <c r="I202" s="44"/>
      <c r="J202" s="123">
        <v>7123.93</v>
      </c>
      <c r="K202" s="44"/>
      <c r="L202" s="123">
        <v>191170.12</v>
      </c>
      <c r="M202" s="44"/>
      <c r="N202" s="44"/>
      <c r="O202" s="123">
        <v>3228180.0</v>
      </c>
      <c r="P202" s="52">
        <f t="shared" si="23"/>
        <v>3228179.54</v>
      </c>
      <c r="Q202" s="124">
        <f t="shared" si="2"/>
        <v>0.46</v>
      </c>
      <c r="R202" s="52">
        <f t="array" ref="R202">IFERROR(INDEX('Fund YTD Target Values'!$1:$1000, MATCH($C202,'Fund YTD Target Values'!$A:$A,0), MATCH($A202,'Fund YTD Target Values'!$1:$1,0)),0)</f>
        <v>3748913.384</v>
      </c>
      <c r="S202" s="52">
        <f>IFERROR(__xludf.DUMMYFUNCTION("IFERROR(sum(FILTER('Fund Data'!$V:$V, 'Fund Data'!$C:$C = $C202, 'Fund Data'!$A:$A &lt; $A202)),0) + IFERROR(sum(FILTER('Fund Data'!$V:$V, 'Fund Data'!$C:$C = $C202, 'Fund Data'!$A:$A = $A202, 'Fund Data'!$B:$B &lt;= $B202)),0)"),2960091.2499999995)</f>
        <v>2960091.25</v>
      </c>
      <c r="T202" s="123">
        <v>3009816.0</v>
      </c>
      <c r="U202" s="44">
        <f t="shared" si="27"/>
        <v>-49724.75</v>
      </c>
      <c r="V202" s="44">
        <f t="shared" si="3"/>
        <v>0</v>
      </c>
      <c r="W202" s="123"/>
      <c r="X202" s="123"/>
      <c r="Y202" s="123">
        <v>0.0</v>
      </c>
      <c r="Z202" s="123">
        <v>0.0</v>
      </c>
      <c r="AA202" s="123">
        <v>0.0</v>
      </c>
      <c r="AB202" s="123"/>
      <c r="AC202" s="123">
        <v>0.0</v>
      </c>
      <c r="AD202" s="44">
        <f t="shared" si="7"/>
        <v>-60000</v>
      </c>
      <c r="AE202" s="123">
        <v>0.0</v>
      </c>
    </row>
    <row r="203">
      <c r="A203" s="168">
        <v>2017.0</v>
      </c>
      <c r="B203" s="169">
        <v>5.0</v>
      </c>
      <c r="C203" s="122" t="s">
        <v>28</v>
      </c>
      <c r="D203" s="44"/>
      <c r="E203" s="123">
        <v>38608.07</v>
      </c>
      <c r="F203" s="123">
        <v>-60000.0</v>
      </c>
      <c r="G203" s="44"/>
      <c r="H203" s="123">
        <v>-7913.19</v>
      </c>
      <c r="I203" s="44"/>
      <c r="J203" s="123">
        <v>7123.93</v>
      </c>
      <c r="K203" s="44"/>
      <c r="L203" s="123">
        <v>184156.27</v>
      </c>
      <c r="M203" s="44"/>
      <c r="N203" s="44"/>
      <c r="O203" s="123">
        <v>3220609.0</v>
      </c>
      <c r="P203" s="52">
        <f t="shared" si="23"/>
        <v>3220608.36</v>
      </c>
      <c r="Q203" s="124">
        <f t="shared" si="2"/>
        <v>0.6400000001</v>
      </c>
      <c r="R203" s="52">
        <f t="array" ref="R203">IFERROR(INDEX('Fund YTD Target Values'!$1:$1000, MATCH($C203,'Fund YTD Target Values'!$A:$A,0), MATCH($A203,'Fund YTD Target Values'!$1:$1,0)),0)</f>
        <v>3748913.384</v>
      </c>
      <c r="S203" s="52">
        <f>IFERROR(__xludf.DUMMYFUNCTION("IFERROR(sum(FILTER('Fund Data'!$V:$V, 'Fund Data'!$C:$C = $C203, 'Fund Data'!$A:$A &lt; $A203)),0) + IFERROR(sum(FILTER('Fund Data'!$V:$V, 'Fund Data'!$C:$C = $C203, 'Fund Data'!$A:$A = $A203, 'Fund Data'!$B:$B &lt;= $B203)),0)"),2960091.2499999995)</f>
        <v>2960091.25</v>
      </c>
      <c r="T203" s="123">
        <v>3009816.0</v>
      </c>
      <c r="U203" s="44">
        <f t="shared" si="27"/>
        <v>-49724.75</v>
      </c>
      <c r="V203" s="44">
        <f t="shared" si="3"/>
        <v>0</v>
      </c>
      <c r="W203" s="123"/>
      <c r="X203" s="123"/>
      <c r="Y203" s="123">
        <v>0.0</v>
      </c>
      <c r="Z203" s="123">
        <v>0.0</v>
      </c>
      <c r="AA203" s="123">
        <v>0.0</v>
      </c>
      <c r="AB203" s="123"/>
      <c r="AC203" s="123">
        <v>0.0</v>
      </c>
      <c r="AD203" s="44">
        <f t="shared" si="7"/>
        <v>-60000</v>
      </c>
      <c r="AE203" s="123">
        <v>0.0</v>
      </c>
    </row>
    <row r="204">
      <c r="A204" s="120">
        <v>2017.0</v>
      </c>
      <c r="B204" s="121">
        <v>4.0</v>
      </c>
      <c r="C204" s="122" t="s">
        <v>28</v>
      </c>
      <c r="D204" s="44"/>
      <c r="E204" s="123">
        <v>36500.5</v>
      </c>
      <c r="F204" s="44"/>
      <c r="G204" s="44"/>
      <c r="H204" s="123">
        <v>-6291.43</v>
      </c>
      <c r="I204" s="44"/>
      <c r="J204" s="44"/>
      <c r="K204" s="44"/>
      <c r="L204" s="123">
        <v>154675.11</v>
      </c>
      <c r="M204" s="44"/>
      <c r="N204" s="44"/>
      <c r="O204" s="123">
        <v>3243518.0</v>
      </c>
      <c r="P204" s="52">
        <f t="shared" si="23"/>
        <v>3243517.46</v>
      </c>
      <c r="Q204" s="124">
        <f t="shared" si="2"/>
        <v>0.54</v>
      </c>
      <c r="R204" s="52">
        <f t="array" ref="R204">IFERROR(INDEX('Fund YTD Target Values'!$1:$1000, MATCH($C204,'Fund YTD Target Values'!$A:$A,0), MATCH($A204,'Fund YTD Target Values'!$1:$1,0)),0)</f>
        <v>3748913.384</v>
      </c>
      <c r="S204" s="52">
        <f>IFERROR(__xludf.DUMMYFUNCTION("IFERROR(sum(FILTER('Fund Data'!$V:$V, 'Fund Data'!$C:$C = $C204, 'Fund Data'!$A:$A &lt; $A204)),0) + IFERROR(sum(FILTER('Fund Data'!$V:$V, 'Fund Data'!$C:$C = $C204, 'Fund Data'!$A:$A = $A204, 'Fund Data'!$B:$B &lt;= $B204)),0)"),2960091.2499999995)</f>
        <v>2960091.25</v>
      </c>
      <c r="T204" s="123">
        <v>3009816.0</v>
      </c>
      <c r="U204" s="44">
        <f t="shared" si="27"/>
        <v>-49724.75</v>
      </c>
      <c r="V204" s="44">
        <f t="shared" si="3"/>
        <v>0</v>
      </c>
      <c r="W204" s="123"/>
      <c r="X204" s="123"/>
      <c r="Y204" s="123">
        <v>0.0</v>
      </c>
      <c r="Z204" s="123">
        <v>0.0</v>
      </c>
      <c r="AA204" s="123">
        <v>0.0</v>
      </c>
      <c r="AB204" s="123"/>
      <c r="AC204" s="123">
        <v>0.0</v>
      </c>
      <c r="AD204" s="44">
        <f t="shared" si="7"/>
        <v>0</v>
      </c>
      <c r="AE204" s="123">
        <v>0.0</v>
      </c>
    </row>
    <row r="205">
      <c r="A205" s="120">
        <v>2017.0</v>
      </c>
      <c r="B205" s="121">
        <v>3.0</v>
      </c>
      <c r="C205" s="122" t="s">
        <v>28</v>
      </c>
      <c r="D205" s="44"/>
      <c r="E205" s="123">
        <v>27623.0</v>
      </c>
      <c r="F205" s="44"/>
      <c r="G205" s="44"/>
      <c r="H205" s="123">
        <v>-4689.57</v>
      </c>
      <c r="I205" s="44"/>
      <c r="J205" s="44"/>
      <c r="K205" s="44"/>
      <c r="L205" s="123">
        <v>122138.42</v>
      </c>
      <c r="M205" s="44"/>
      <c r="N205" s="44"/>
      <c r="O205" s="123">
        <v>3203706.0</v>
      </c>
      <c r="P205" s="52">
        <f t="shared" si="23"/>
        <v>3203705.13</v>
      </c>
      <c r="Q205" s="124">
        <f t="shared" si="2"/>
        <v>0.8700000001</v>
      </c>
      <c r="R205" s="52">
        <f t="array" ref="R205">IFERROR(INDEX('Fund YTD Target Values'!$1:$1000, MATCH($C205,'Fund YTD Target Values'!$A:$A,0), MATCH($A205,'Fund YTD Target Values'!$1:$1,0)),0)</f>
        <v>3748913.384</v>
      </c>
      <c r="S205" s="52">
        <f>IFERROR(__xludf.DUMMYFUNCTION("IFERROR(sum(FILTER('Fund Data'!$V:$V, 'Fund Data'!$C:$C = $C205, 'Fund Data'!$A:$A &lt; $A205)),0) + IFERROR(sum(FILTER('Fund Data'!$V:$V, 'Fund Data'!$C:$C = $C205, 'Fund Data'!$A:$A = $A205, 'Fund Data'!$B:$B &lt;= $B205)),0)"),2960091.2499999995)</f>
        <v>2960091.25</v>
      </c>
      <c r="T205" s="123">
        <v>3009816.0</v>
      </c>
      <c r="U205" s="44">
        <f t="shared" si="27"/>
        <v>-49724.75</v>
      </c>
      <c r="V205" s="44">
        <f t="shared" si="3"/>
        <v>0</v>
      </c>
      <c r="W205" s="123"/>
      <c r="X205" s="123"/>
      <c r="Y205" s="123">
        <v>0.0</v>
      </c>
      <c r="Z205" s="123">
        <v>0.0</v>
      </c>
      <c r="AA205" s="123">
        <v>0.0</v>
      </c>
      <c r="AB205" s="123"/>
      <c r="AC205" s="123">
        <v>0.0</v>
      </c>
      <c r="AD205" s="44">
        <f t="shared" si="7"/>
        <v>0</v>
      </c>
      <c r="AE205" s="123">
        <v>0.0</v>
      </c>
    </row>
    <row r="206">
      <c r="A206" s="168">
        <v>2017.0</v>
      </c>
      <c r="B206" s="169">
        <v>2.0</v>
      </c>
      <c r="C206" s="122" t="s">
        <v>28</v>
      </c>
      <c r="D206" s="44"/>
      <c r="E206" s="123">
        <v>25480.48</v>
      </c>
      <c r="F206" s="44"/>
      <c r="G206" s="44"/>
      <c r="H206" s="123">
        <v>-3093.71</v>
      </c>
      <c r="I206" s="44"/>
      <c r="J206" s="44"/>
      <c r="K206" s="44"/>
      <c r="L206" s="123">
        <v>110697.95</v>
      </c>
      <c r="M206" s="44"/>
      <c r="N206" s="44"/>
      <c r="O206" s="123">
        <v>3191719.0</v>
      </c>
      <c r="P206" s="52">
        <f t="shared" si="23"/>
        <v>3191718</v>
      </c>
      <c r="Q206" s="124">
        <f t="shared" si="2"/>
        <v>1</v>
      </c>
      <c r="R206" s="52">
        <f t="array" ref="R206">IFERROR(INDEX('Fund YTD Target Values'!$1:$1000, MATCH($C206,'Fund YTD Target Values'!$A:$A,0), MATCH($A206,'Fund YTD Target Values'!$1:$1,0)),0)</f>
        <v>3748913.384</v>
      </c>
      <c r="S206" s="52">
        <f>IFERROR(__xludf.DUMMYFUNCTION("IFERROR(sum(FILTER('Fund Data'!$V:$V, 'Fund Data'!$C:$C = $C206, 'Fund Data'!$A:$A &lt; $A206)),0) + IFERROR(sum(FILTER('Fund Data'!$V:$V, 'Fund Data'!$C:$C = $C206, 'Fund Data'!$A:$A = $A206, 'Fund Data'!$B:$B &lt;= $B206)),0)"),2960091.2499999995)</f>
        <v>2960091.25</v>
      </c>
      <c r="T206" s="123">
        <v>3009816.0</v>
      </c>
      <c r="U206" s="44">
        <f t="shared" si="27"/>
        <v>-49724.75</v>
      </c>
      <c r="V206" s="44">
        <f t="shared" si="3"/>
        <v>0</v>
      </c>
      <c r="W206" s="123"/>
      <c r="X206" s="123"/>
      <c r="Y206" s="123">
        <v>0.0</v>
      </c>
      <c r="Z206" s="123">
        <v>0.0</v>
      </c>
      <c r="AA206" s="123">
        <v>0.0</v>
      </c>
      <c r="AB206" s="123"/>
      <c r="AC206" s="123">
        <v>0.0</v>
      </c>
      <c r="AD206" s="44">
        <f t="shared" si="7"/>
        <v>0</v>
      </c>
      <c r="AE206" s="123">
        <v>0.0</v>
      </c>
    </row>
    <row r="207">
      <c r="A207" s="168">
        <v>2017.0</v>
      </c>
      <c r="B207" s="169">
        <v>1.0</v>
      </c>
      <c r="C207" s="122" t="s">
        <v>28</v>
      </c>
      <c r="D207" s="44"/>
      <c r="E207" s="123">
        <v>23272.18</v>
      </c>
      <c r="F207" s="44"/>
      <c r="G207" s="44"/>
      <c r="H207" s="123">
        <v>-1529.32</v>
      </c>
      <c r="I207" s="44"/>
      <c r="J207" s="44"/>
      <c r="K207" s="44"/>
      <c r="L207" s="123">
        <v>48393.17</v>
      </c>
      <c r="M207" s="44"/>
      <c r="N207" s="44"/>
      <c r="O207" s="123">
        <v>3128770.0</v>
      </c>
      <c r="P207" s="52">
        <f t="shared" si="23"/>
        <v>3128769.31</v>
      </c>
      <c r="Q207" s="124">
        <f t="shared" si="2"/>
        <v>0.6900000004</v>
      </c>
      <c r="R207" s="52">
        <f t="array" ref="R207">IFERROR(INDEX('Fund YTD Target Values'!$1:$1000, MATCH($C207,'Fund YTD Target Values'!$A:$A,0), MATCH($A207,'Fund YTD Target Values'!$1:$1,0)),0)</f>
        <v>3748913.384</v>
      </c>
      <c r="S207" s="52">
        <f>IFERROR(__xludf.DUMMYFUNCTION("IFERROR(sum(FILTER('Fund Data'!$V:$V, 'Fund Data'!$C:$C = $C207, 'Fund Data'!$A:$A &lt; $A207)),0) + IFERROR(sum(FILTER('Fund Data'!$V:$V, 'Fund Data'!$C:$C = $C207, 'Fund Data'!$A:$A = $A207, 'Fund Data'!$B:$B &lt;= $B207)),0)"),2960091.2499999995)</f>
        <v>2960091.25</v>
      </c>
      <c r="T207" s="123">
        <v>3009816.0</v>
      </c>
      <c r="U207" s="44">
        <f t="shared" si="27"/>
        <v>-49724.75</v>
      </c>
      <c r="V207" s="44">
        <f t="shared" si="3"/>
        <v>0</v>
      </c>
      <c r="W207" s="123"/>
      <c r="X207" s="123"/>
      <c r="Y207" s="123">
        <v>0.0</v>
      </c>
      <c r="Z207" s="123">
        <v>0.0</v>
      </c>
      <c r="AA207" s="123">
        <v>0.0</v>
      </c>
      <c r="AB207" s="123"/>
      <c r="AC207" s="123">
        <v>0.0</v>
      </c>
      <c r="AD207" s="44">
        <f t="shared" si="7"/>
        <v>0</v>
      </c>
      <c r="AE207" s="123">
        <v>0.0</v>
      </c>
    </row>
    <row r="208">
      <c r="A208" s="120">
        <v>2016.0</v>
      </c>
      <c r="B208" s="121">
        <v>12.0</v>
      </c>
      <c r="C208" s="122" t="s">
        <v>28</v>
      </c>
      <c r="D208" s="44"/>
      <c r="E208" s="123">
        <v>67994.24</v>
      </c>
      <c r="F208" s="123">
        <v>-201245.0</v>
      </c>
      <c r="G208" s="123"/>
      <c r="H208" s="123">
        <v>-18584.36</v>
      </c>
      <c r="I208" s="44"/>
      <c r="J208" s="123">
        <v>35208.71</v>
      </c>
      <c r="K208" s="44"/>
      <c r="L208" s="123">
        <v>102572.87</v>
      </c>
      <c r="M208" s="44"/>
      <c r="N208" s="44"/>
      <c r="O208" s="123">
        <v>3058634.0</v>
      </c>
      <c r="P208" s="52">
        <f t="shared" si="23"/>
        <v>3058633.28</v>
      </c>
      <c r="Q208" s="124">
        <f t="shared" si="2"/>
        <v>0.7200000002</v>
      </c>
      <c r="R208" s="52">
        <f t="array" ref="R208">IFERROR(INDEX('Fund YTD Target Values'!$1:$1000, MATCH($C208,'Fund YTD Target Values'!$A:$A,0), MATCH($A208,'Fund YTD Target Values'!$1:$1,0)),0)</f>
        <v>3670668.859</v>
      </c>
      <c r="S208" s="52">
        <f>IFERROR(__xludf.DUMMYFUNCTION("IFERROR(sum(FILTER('Fund Data'!$V:$V, 'Fund Data'!$C:$C = $C208, 'Fund Data'!$A:$A &lt; $A208)),0) + IFERROR(sum(FILTER('Fund Data'!$V:$V, 'Fund Data'!$C:$C = $C208, 'Fund Data'!$A:$A = $A208, 'Fund Data'!$B:$B &lt;= $B208)),0)"),2960091.2499999995)</f>
        <v>2960091.25</v>
      </c>
      <c r="T208" s="123">
        <v>3009816.0</v>
      </c>
      <c r="U208" s="44">
        <f t="shared" si="27"/>
        <v>-49724.75</v>
      </c>
      <c r="V208" s="44">
        <f t="shared" si="3"/>
        <v>0</v>
      </c>
      <c r="W208" s="123"/>
      <c r="X208" s="123"/>
      <c r="Y208" s="123">
        <v>0.0</v>
      </c>
      <c r="Z208" s="123">
        <v>0.0</v>
      </c>
      <c r="AA208" s="123">
        <v>0.0</v>
      </c>
      <c r="AB208" s="123"/>
      <c r="AC208" s="123">
        <v>0.0</v>
      </c>
      <c r="AD208" s="44">
        <f t="shared" si="7"/>
        <v>-201245</v>
      </c>
      <c r="AE208" s="123">
        <v>0.0</v>
      </c>
    </row>
    <row r="209">
      <c r="A209" s="120">
        <v>2015.0</v>
      </c>
      <c r="B209" s="121">
        <v>12.0</v>
      </c>
      <c r="C209" s="122" t="s">
        <v>28</v>
      </c>
      <c r="D209" s="44"/>
      <c r="E209" s="123">
        <v>78670.35</v>
      </c>
      <c r="F209" s="123">
        <v>-206735.0</v>
      </c>
      <c r="G209" s="123"/>
      <c r="H209" s="123">
        <v>-20037.23</v>
      </c>
      <c r="I209" s="44"/>
      <c r="J209" s="123">
        <v>29978.65</v>
      </c>
      <c r="K209" s="44"/>
      <c r="L209" s="123">
        <v>-176261.26</v>
      </c>
      <c r="M209" s="44"/>
      <c r="N209" s="44"/>
      <c r="O209" s="123">
        <v>3072688.0</v>
      </c>
      <c r="P209" s="52">
        <f t="shared" si="23"/>
        <v>3072686.82</v>
      </c>
      <c r="Q209" s="124">
        <f t="shared" si="2"/>
        <v>1.18</v>
      </c>
      <c r="R209" s="52">
        <f t="array" ref="R209">IFERROR(INDEX('Fund YTD Target Values'!$1:$1000, MATCH($C209,'Fund YTD Target Values'!$A:$A,0), MATCH($A209,'Fund YTD Target Values'!$1:$1,0)),0)</f>
        <v>3624927.929</v>
      </c>
      <c r="S209" s="52">
        <f>IFERROR(__xludf.DUMMYFUNCTION("IFERROR(sum(FILTER('Fund Data'!$V:$V, 'Fund Data'!$C:$C = $C209, 'Fund Data'!$A:$A &lt; $A209)),0) + IFERROR(sum(FILTER('Fund Data'!$V:$V, 'Fund Data'!$C:$C = $C209, 'Fund Data'!$A:$A = $A209, 'Fund Data'!$B:$B &lt;= $B209)),0)"),2960091.2499999995)</f>
        <v>2960091.25</v>
      </c>
      <c r="T209" s="123">
        <v>3009816.0</v>
      </c>
      <c r="U209" s="44">
        <f t="shared" si="27"/>
        <v>-49724.75</v>
      </c>
      <c r="V209" s="44">
        <f t="shared" si="3"/>
        <v>0</v>
      </c>
      <c r="W209" s="123"/>
      <c r="X209" s="123"/>
      <c r="Y209" s="123">
        <v>0.0</v>
      </c>
      <c r="Z209" s="123">
        <v>0.0</v>
      </c>
      <c r="AA209" s="123">
        <v>0.0</v>
      </c>
      <c r="AB209" s="123"/>
      <c r="AC209" s="123">
        <v>0.0</v>
      </c>
      <c r="AD209" s="44">
        <f t="shared" si="7"/>
        <v>-206735</v>
      </c>
      <c r="AE209" s="123">
        <v>0.0</v>
      </c>
    </row>
    <row r="210">
      <c r="A210" s="120">
        <v>2014.0</v>
      </c>
      <c r="B210" s="121">
        <v>12.0</v>
      </c>
      <c r="C210" s="122" t="s">
        <v>28</v>
      </c>
      <c r="D210" s="44"/>
      <c r="E210" s="123">
        <v>66392.5</v>
      </c>
      <c r="F210" s="123">
        <v>-210000.0</v>
      </c>
      <c r="G210" s="123"/>
      <c r="H210" s="123">
        <v>-21276.6</v>
      </c>
      <c r="I210" s="44"/>
      <c r="J210" s="123">
        <v>41151.36</v>
      </c>
      <c r="K210" s="44"/>
      <c r="L210" s="123">
        <v>-21854.54</v>
      </c>
      <c r="M210" s="44"/>
      <c r="N210" s="44"/>
      <c r="O210" s="123">
        <v>3367072.0</v>
      </c>
      <c r="P210" s="52">
        <f t="shared" si="23"/>
        <v>3367071.31</v>
      </c>
      <c r="Q210" s="124">
        <f t="shared" si="2"/>
        <v>0.6899999999</v>
      </c>
      <c r="R210" s="52">
        <f t="array" ref="R210">IFERROR(INDEX('Fund YTD Target Values'!$1:$1000, MATCH($C210,'Fund YTD Target Values'!$A:$A,0), MATCH($A210,'Fund YTD Target Values'!$1:$1,0)),0)</f>
        <v>3620623.025</v>
      </c>
      <c r="S210" s="52">
        <f>IFERROR(__xludf.DUMMYFUNCTION("IFERROR(sum(FILTER('Fund Data'!$V:$V, 'Fund Data'!$C:$C = $C210, 'Fund Data'!$A:$A &lt; $A210)),0) + IFERROR(sum(FILTER('Fund Data'!$V:$V, 'Fund Data'!$C:$C = $C210, 'Fund Data'!$A:$A = $A210, 'Fund Data'!$B:$B &lt;= $B210)),0)"),2960091.2499999995)</f>
        <v>2960091.25</v>
      </c>
      <c r="T210" s="123">
        <v>3009816.0</v>
      </c>
      <c r="U210" s="44">
        <f t="shared" si="27"/>
        <v>-49724.75</v>
      </c>
      <c r="V210" s="44">
        <f t="shared" si="3"/>
        <v>0</v>
      </c>
      <c r="W210" s="123"/>
      <c r="X210" s="123"/>
      <c r="Y210" s="123">
        <v>0.0</v>
      </c>
      <c r="Z210" s="123">
        <v>0.0</v>
      </c>
      <c r="AA210" s="123">
        <v>0.0</v>
      </c>
      <c r="AB210" s="123"/>
      <c r="AC210" s="123">
        <v>0.0</v>
      </c>
      <c r="AD210" s="44">
        <f t="shared" si="7"/>
        <v>-210000</v>
      </c>
      <c r="AE210" s="123">
        <v>0.0</v>
      </c>
    </row>
    <row r="211">
      <c r="A211" s="120">
        <v>2013.0</v>
      </c>
      <c r="B211" s="121">
        <v>12.0</v>
      </c>
      <c r="C211" s="122" t="s">
        <v>28</v>
      </c>
      <c r="D211" s="44"/>
      <c r="E211" s="123">
        <v>71794.85</v>
      </c>
      <c r="F211" s="123">
        <v>-215000.0</v>
      </c>
      <c r="G211" s="123"/>
      <c r="H211" s="123">
        <v>-20612.87</v>
      </c>
      <c r="I211" s="44"/>
      <c r="J211" s="123">
        <v>22193.38</v>
      </c>
      <c r="K211" s="44"/>
      <c r="L211" s="123">
        <v>285572.96</v>
      </c>
      <c r="M211" s="44"/>
      <c r="N211" s="44"/>
      <c r="O211" s="123">
        <v>3512660.0</v>
      </c>
      <c r="P211" s="52">
        <f t="shared" si="23"/>
        <v>3512658.59</v>
      </c>
      <c r="Q211" s="124">
        <f t="shared" si="2"/>
        <v>1.41</v>
      </c>
      <c r="R211" s="52">
        <f t="array" ref="R211">IFERROR(INDEX('Fund YTD Target Values'!$1:$1000, MATCH($C211,'Fund YTD Target Values'!$A:$A,0), MATCH($A211,'Fund YTD Target Values'!$1:$1,0)),0)</f>
        <v>3562837.197</v>
      </c>
      <c r="S211" s="52">
        <f>IFERROR(__xludf.DUMMYFUNCTION("IFERROR(sum(FILTER('Fund Data'!$V:$V, 'Fund Data'!$C:$C = $C211, 'Fund Data'!$A:$A &lt; $A211)),0) + IFERROR(sum(FILTER('Fund Data'!$V:$V, 'Fund Data'!$C:$C = $C211, 'Fund Data'!$A:$A = $A211, 'Fund Data'!$B:$B &lt;= $B211)),0)"),2960091.2499999995)</f>
        <v>2960091.25</v>
      </c>
      <c r="T211" s="123">
        <v>3009816.0</v>
      </c>
      <c r="U211" s="44">
        <f t="shared" si="27"/>
        <v>-49724.75</v>
      </c>
      <c r="V211" s="44">
        <f t="shared" si="3"/>
        <v>0</v>
      </c>
      <c r="W211" s="123"/>
      <c r="X211" s="123"/>
      <c r="Y211" s="123">
        <v>0.0</v>
      </c>
      <c r="Z211" s="123">
        <v>0.0</v>
      </c>
      <c r="AA211" s="123">
        <v>0.0</v>
      </c>
      <c r="AB211" s="123"/>
      <c r="AC211" s="123">
        <v>0.0</v>
      </c>
      <c r="AD211" s="44">
        <f t="shared" si="7"/>
        <v>-215000</v>
      </c>
      <c r="AE211" s="123">
        <v>0.0</v>
      </c>
    </row>
    <row r="212">
      <c r="A212" s="120">
        <v>2012.0</v>
      </c>
      <c r="B212" s="121">
        <v>12.0</v>
      </c>
      <c r="C212" s="122" t="s">
        <v>28</v>
      </c>
      <c r="D212" s="44"/>
      <c r="E212" s="123">
        <v>69066.78</v>
      </c>
      <c r="F212" s="123">
        <v>-210000.0</v>
      </c>
      <c r="G212" s="123"/>
      <c r="H212" s="123">
        <v>-20239.97</v>
      </c>
      <c r="I212" s="44"/>
      <c r="J212" s="123">
        <v>11678.71</v>
      </c>
      <c r="K212" s="44"/>
      <c r="L212" s="123">
        <v>325658.15</v>
      </c>
      <c r="M212" s="44"/>
      <c r="N212" s="44"/>
      <c r="O212" s="123">
        <v>3368710.0</v>
      </c>
      <c r="P212" s="52">
        <f t="shared" si="23"/>
        <v>3368710.27</v>
      </c>
      <c r="Q212" s="124">
        <f t="shared" si="2"/>
        <v>-0.2699999996</v>
      </c>
      <c r="R212" s="52">
        <f t="array" ref="R212">IFERROR(INDEX('Fund YTD Target Values'!$1:$1000, MATCH($C212,'Fund YTD Target Values'!$A:$A,0), MATCH($A212,'Fund YTD Target Values'!$1:$1,0)),0)</f>
        <v>3511359.074</v>
      </c>
      <c r="S212" s="52">
        <f>IFERROR(__xludf.DUMMYFUNCTION("IFERROR(sum(FILTER('Fund Data'!$V:$V, 'Fund Data'!$C:$C = $C212, 'Fund Data'!$A:$A &lt; $A212)),0) + IFERROR(sum(FILTER('Fund Data'!$V:$V, 'Fund Data'!$C:$C = $C212, 'Fund Data'!$A:$A = $A212, 'Fund Data'!$B:$B &lt;= $B212)),0)"),2960091.2499999995)</f>
        <v>2960091.25</v>
      </c>
      <c r="T212" s="123">
        <v>3009816.0</v>
      </c>
      <c r="U212" s="44">
        <f t="shared" si="27"/>
        <v>-49724.75</v>
      </c>
      <c r="V212" s="44">
        <f t="shared" si="3"/>
        <v>0</v>
      </c>
      <c r="W212" s="123"/>
      <c r="X212" s="123"/>
      <c r="Y212" s="123">
        <v>0.0</v>
      </c>
      <c r="Z212" s="123">
        <v>0.0</v>
      </c>
      <c r="AA212" s="123">
        <v>0.0</v>
      </c>
      <c r="AB212" s="123"/>
      <c r="AC212" s="123">
        <v>0.0</v>
      </c>
      <c r="AD212" s="44">
        <f t="shared" si="7"/>
        <v>-210000</v>
      </c>
      <c r="AE212" s="123">
        <v>0.0</v>
      </c>
    </row>
    <row r="213">
      <c r="A213" s="120">
        <v>2011.0</v>
      </c>
      <c r="B213" s="121">
        <v>12.0</v>
      </c>
      <c r="C213" s="122" t="s">
        <v>28</v>
      </c>
      <c r="D213" s="44"/>
      <c r="E213" s="123">
        <v>60190.48</v>
      </c>
      <c r="F213" s="123">
        <v>-206000.0</v>
      </c>
      <c r="G213" s="123"/>
      <c r="H213" s="123">
        <v>-21349.77</v>
      </c>
      <c r="I213" s="44"/>
      <c r="J213" s="123">
        <v>8628.11</v>
      </c>
      <c r="K213" s="123">
        <v>-1597.12</v>
      </c>
      <c r="L213" s="123">
        <v>-225416.0</v>
      </c>
      <c r="M213" s="44"/>
      <c r="N213" s="44"/>
      <c r="O213" s="123">
        <v>3192546.0</v>
      </c>
      <c r="P213" s="52">
        <f t="shared" si="23"/>
        <v>3192546.6</v>
      </c>
      <c r="Q213" s="124">
        <f t="shared" si="2"/>
        <v>-0.6000000001</v>
      </c>
      <c r="R213" s="52">
        <f t="array" ref="R213">IFERROR(INDEX('Fund YTD Target Values'!$1:$1000, MATCH($C213,'Fund YTD Target Values'!$A:$A,0), MATCH($A213,'Fund YTD Target Values'!$1:$1,0)),0)</f>
        <v>3440040.406</v>
      </c>
      <c r="S213" s="52">
        <f>IFERROR(__xludf.DUMMYFUNCTION("IFERROR(sum(FILTER('Fund Data'!$V:$V, 'Fund Data'!$C:$C = $C213, 'Fund Data'!$A:$A &lt; $A213)),0) + IFERROR(sum(FILTER('Fund Data'!$V:$V, 'Fund Data'!$C:$C = $C213, 'Fund Data'!$A:$A = $A213, 'Fund Data'!$B:$B &lt;= $B213)),0)"),2960091.2499999995)</f>
        <v>2960091.25</v>
      </c>
      <c r="T213" s="123">
        <v>3009816.0</v>
      </c>
      <c r="U213" s="44">
        <f t="shared" si="27"/>
        <v>-49724.75</v>
      </c>
      <c r="V213" s="44">
        <f t="shared" si="3"/>
        <v>0</v>
      </c>
      <c r="W213" s="123"/>
      <c r="X213" s="123"/>
      <c r="Y213" s="123">
        <v>0.0</v>
      </c>
      <c r="Z213" s="123">
        <v>0.0</v>
      </c>
      <c r="AA213" s="123">
        <v>0.0</v>
      </c>
      <c r="AB213" s="123"/>
      <c r="AC213" s="123">
        <v>0.0</v>
      </c>
      <c r="AD213" s="44">
        <f t="shared" si="7"/>
        <v>-206000</v>
      </c>
      <c r="AE213" s="123">
        <v>0.0</v>
      </c>
    </row>
    <row r="214">
      <c r="A214" s="120">
        <v>2010.0</v>
      </c>
      <c r="B214" s="121">
        <v>12.0</v>
      </c>
      <c r="C214" s="122" t="s">
        <v>28</v>
      </c>
      <c r="D214" s="44"/>
      <c r="E214" s="123">
        <v>70309.36</v>
      </c>
      <c r="F214" s="123">
        <v>-150000.0</v>
      </c>
      <c r="G214" s="123"/>
      <c r="H214" s="123">
        <v>-19896.69</v>
      </c>
      <c r="I214" s="44"/>
      <c r="J214" s="123">
        <v>725.75</v>
      </c>
      <c r="K214" s="123">
        <v>-212.02</v>
      </c>
      <c r="L214" s="123">
        <v>385296.37</v>
      </c>
      <c r="M214" s="44"/>
      <c r="N214" s="44"/>
      <c r="O214" s="123">
        <v>3578091.0</v>
      </c>
      <c r="P214" s="52">
        <f t="shared" si="23"/>
        <v>3578090.9</v>
      </c>
      <c r="Q214" s="124">
        <f t="shared" si="2"/>
        <v>0.1000000001</v>
      </c>
      <c r="R214" s="52">
        <f t="array" ref="R214">IFERROR(INDEX('Fund YTD Target Values'!$1:$1000, MATCH($C214,'Fund YTD Target Values'!$A:$A,0), MATCH($A214,'Fund YTD Target Values'!$1:$1,0)),0)</f>
        <v>3334820.115</v>
      </c>
      <c r="S214" s="52">
        <f>IFERROR(__xludf.DUMMYFUNCTION("IFERROR(sum(FILTER('Fund Data'!$V:$V, 'Fund Data'!$C:$C = $C214, 'Fund Data'!$A:$A &lt; $A214)),0) + IFERROR(sum(FILTER('Fund Data'!$V:$V, 'Fund Data'!$C:$C = $C214, 'Fund Data'!$A:$A = $A214, 'Fund Data'!$B:$B &lt;= $B214)),0)"),2960091.2499999995)</f>
        <v>2960091.25</v>
      </c>
      <c r="T214" s="123">
        <v>3009816.0</v>
      </c>
      <c r="U214" s="44">
        <f t="shared" si="27"/>
        <v>-49724.75</v>
      </c>
      <c r="V214" s="44">
        <f t="shared" si="3"/>
        <v>0</v>
      </c>
      <c r="W214" s="123"/>
      <c r="X214" s="123"/>
      <c r="Y214" s="123">
        <v>0.0</v>
      </c>
      <c r="Z214" s="123">
        <v>0.0</v>
      </c>
      <c r="AA214" s="123">
        <v>0.0</v>
      </c>
      <c r="AB214" s="123"/>
      <c r="AC214" s="123">
        <v>0.0</v>
      </c>
      <c r="AD214" s="44">
        <f t="shared" si="7"/>
        <v>-150000</v>
      </c>
      <c r="AE214" s="123">
        <v>0.0</v>
      </c>
    </row>
    <row r="215">
      <c r="A215" s="120">
        <v>2009.0</v>
      </c>
      <c r="B215" s="121">
        <v>12.0</v>
      </c>
      <c r="C215" s="122" t="s">
        <v>28</v>
      </c>
      <c r="D215" s="44"/>
      <c r="E215" s="123">
        <v>87599.56</v>
      </c>
      <c r="F215" s="123">
        <v>-113000.0</v>
      </c>
      <c r="G215" s="123"/>
      <c r="H215" s="123">
        <v>-17686.71</v>
      </c>
      <c r="I215" s="44"/>
      <c r="J215" s="44"/>
      <c r="K215" s="123">
        <v>-11606.49</v>
      </c>
      <c r="L215" s="123">
        <v>530790.8</v>
      </c>
      <c r="M215" s="44"/>
      <c r="N215" s="44"/>
      <c r="O215" s="123">
        <v>3291868.0</v>
      </c>
      <c r="P215" s="52">
        <f t="shared" si="23"/>
        <v>3291868.13</v>
      </c>
      <c r="Q215" s="124">
        <f t="shared" si="2"/>
        <v>-0.1299999999</v>
      </c>
      <c r="R215" s="52">
        <f t="array" ref="R215">IFERROR(INDEX('Fund YTD Target Values'!$1:$1000, MATCH($C215,'Fund YTD Target Values'!$A:$A,0), MATCH($A215,'Fund YTD Target Values'!$1:$1,0)),0)</f>
        <v>3280872.095</v>
      </c>
      <c r="S215" s="52">
        <f>IFERROR(__xludf.DUMMYFUNCTION("IFERROR(sum(FILTER('Fund Data'!$V:$V, 'Fund Data'!$C:$C = $C215, 'Fund Data'!$A:$A &lt; $A215)),0) + IFERROR(sum(FILTER('Fund Data'!$V:$V, 'Fund Data'!$C:$C = $C215, 'Fund Data'!$A:$A = $A215, 'Fund Data'!$B:$B &lt;= $B215)),0)"),2960091.2499999995)</f>
        <v>2960091.25</v>
      </c>
      <c r="T215" s="123">
        <v>3009816.0</v>
      </c>
      <c r="U215" s="44">
        <f t="shared" si="27"/>
        <v>-49724.75</v>
      </c>
      <c r="V215" s="44">
        <f t="shared" si="3"/>
        <v>0</v>
      </c>
      <c r="W215" s="123"/>
      <c r="X215" s="123"/>
      <c r="Y215" s="123">
        <v>0.0</v>
      </c>
      <c r="Z215" s="123">
        <v>0.0</v>
      </c>
      <c r="AA215" s="123">
        <v>0.0</v>
      </c>
      <c r="AB215" s="123"/>
      <c r="AC215" s="123">
        <v>0.0</v>
      </c>
      <c r="AD215" s="44">
        <f t="shared" si="7"/>
        <v>-113000</v>
      </c>
      <c r="AE215" s="123">
        <v>0.0</v>
      </c>
    </row>
    <row r="216">
      <c r="A216" s="120">
        <v>2008.0</v>
      </c>
      <c r="B216" s="121">
        <v>12.0</v>
      </c>
      <c r="C216" s="122" t="s">
        <v>28</v>
      </c>
      <c r="D216" s="123">
        <v>303000.0</v>
      </c>
      <c r="E216" s="123">
        <v>81405.52</v>
      </c>
      <c r="F216" s="123">
        <v>-35000.0</v>
      </c>
      <c r="G216" s="123"/>
      <c r="H216" s="123">
        <v>-18380.36</v>
      </c>
      <c r="I216" s="44"/>
      <c r="J216" s="44"/>
      <c r="K216" s="44"/>
      <c r="L216" s="123">
        <v>-823176.67</v>
      </c>
      <c r="M216" s="44"/>
      <c r="N216" s="44"/>
      <c r="O216" s="123">
        <v>2815771.0</v>
      </c>
      <c r="P216" s="52">
        <f t="shared" si="23"/>
        <v>2815770.97</v>
      </c>
      <c r="Q216" s="124">
        <f t="shared" si="2"/>
        <v>0.03000000026</v>
      </c>
      <c r="R216" s="52">
        <f t="array" ref="R216">IFERROR(INDEX('Fund YTD Target Values'!$1:$1000, MATCH($C216,'Fund YTD Target Values'!$A:$A,0), MATCH($A216,'Fund YTD Target Values'!$1:$1,0)),0)</f>
        <v>3291992.445</v>
      </c>
      <c r="S216" s="52">
        <f>IFERROR(__xludf.DUMMYFUNCTION("IFERROR(sum(FILTER('Fund Data'!$V:$V, 'Fund Data'!$C:$C = $C216, 'Fund Data'!$A:$A &lt; $A216)),0) + IFERROR(sum(FILTER('Fund Data'!$V:$V, 'Fund Data'!$C:$C = $C216, 'Fund Data'!$A:$A = $A216, 'Fund Data'!$B:$B &lt;= $B216)),0)"),2960091.25)</f>
        <v>2960091.25</v>
      </c>
      <c r="T216" s="123">
        <v>3009816.0</v>
      </c>
      <c r="U216" s="44">
        <f t="shared" si="27"/>
        <v>-49724.75</v>
      </c>
      <c r="V216" s="44">
        <f t="shared" si="3"/>
        <v>303000</v>
      </c>
      <c r="W216" s="123"/>
      <c r="X216" s="123"/>
      <c r="Y216" s="123">
        <v>0.0</v>
      </c>
      <c r="Z216" s="123">
        <v>0.0</v>
      </c>
      <c r="AA216" s="123">
        <v>0.0</v>
      </c>
      <c r="AB216" s="123"/>
      <c r="AC216" s="123">
        <v>0.0</v>
      </c>
      <c r="AD216" s="44">
        <f t="shared" si="7"/>
        <v>-35000</v>
      </c>
      <c r="AE216" s="123">
        <v>0.0</v>
      </c>
    </row>
    <row r="217">
      <c r="A217" s="120">
        <v>2007.0</v>
      </c>
      <c r="B217" s="121">
        <v>12.0</v>
      </c>
      <c r="C217" s="122" t="s">
        <v>28</v>
      </c>
      <c r="D217" s="123">
        <v>451052.52</v>
      </c>
      <c r="E217" s="123">
        <v>48288.35</v>
      </c>
      <c r="F217" s="123">
        <v>-85000.0</v>
      </c>
      <c r="G217" s="44"/>
      <c r="H217" s="123">
        <v>-18281.67</v>
      </c>
      <c r="I217" s="44"/>
      <c r="J217" s="123">
        <v>6117.59</v>
      </c>
      <c r="K217" s="44"/>
      <c r="L217" s="123">
        <v>246991.26</v>
      </c>
      <c r="M217" s="123">
        <v>-657.0</v>
      </c>
      <c r="N217" s="44"/>
      <c r="O217" s="123">
        <v>3307923.0</v>
      </c>
      <c r="P217" s="52">
        <f t="shared" si="23"/>
        <v>3307922.48</v>
      </c>
      <c r="Q217" s="124">
        <f t="shared" si="2"/>
        <v>0.5200000005</v>
      </c>
      <c r="R217" s="52">
        <f t="array" ref="R217">IFERROR(INDEX('Fund YTD Target Values'!$1:$1000, MATCH($C217,'Fund YTD Target Values'!$A:$A,0), MATCH($A217,'Fund YTD Target Values'!$1:$1,0)),0)</f>
        <v>2878303.46</v>
      </c>
      <c r="S217" s="52">
        <f>IFERROR(__xludf.DUMMYFUNCTION("IFERROR(sum(FILTER('Fund Data'!$V:$V, 'Fund Data'!$C:$C = $C217, 'Fund Data'!$A:$A &lt; $A217)),0) + IFERROR(sum(FILTER('Fund Data'!$V:$V, 'Fund Data'!$C:$C = $C217, 'Fund Data'!$A:$A = $A217, 'Fund Data'!$B:$B &lt;= $B217)),0)"),2657091.25)</f>
        <v>2657091.25</v>
      </c>
      <c r="T217" s="123">
        <v>2709999.0</v>
      </c>
      <c r="U217" s="44">
        <f t="shared" si="27"/>
        <v>-52907.75</v>
      </c>
      <c r="V217" s="44">
        <f t="shared" si="3"/>
        <v>451052.52</v>
      </c>
      <c r="W217" s="123"/>
      <c r="X217" s="123"/>
      <c r="Y217" s="123">
        <v>0.0</v>
      </c>
      <c r="Z217" s="123">
        <v>0.0</v>
      </c>
      <c r="AA217" s="123">
        <v>0.0</v>
      </c>
      <c r="AB217" s="123"/>
      <c r="AC217" s="123">
        <v>0.0</v>
      </c>
      <c r="AD217" s="44">
        <f t="shared" si="7"/>
        <v>-85000</v>
      </c>
      <c r="AE217" s="123">
        <v>0.0</v>
      </c>
    </row>
    <row r="218">
      <c r="A218" s="120">
        <v>2006.0</v>
      </c>
      <c r="B218" s="121">
        <v>12.0</v>
      </c>
      <c r="C218" s="122" t="s">
        <v>28</v>
      </c>
      <c r="D218" s="123">
        <v>744697.59</v>
      </c>
      <c r="E218" s="123">
        <v>37353.92</v>
      </c>
      <c r="F218" s="123">
        <v>-95000.0</v>
      </c>
      <c r="G218" s="123"/>
      <c r="H218" s="123">
        <v>-14014.03</v>
      </c>
      <c r="I218" s="44"/>
      <c r="J218" s="44"/>
      <c r="K218" s="123">
        <v>-1263.47</v>
      </c>
      <c r="L218" s="123">
        <v>185486.64</v>
      </c>
      <c r="M218" s="123">
        <v>-4466.37</v>
      </c>
      <c r="N218" s="44"/>
      <c r="O218" s="123">
        <v>2659412.0</v>
      </c>
      <c r="P218" s="52">
        <f t="shared" si="23"/>
        <v>2659411.43</v>
      </c>
      <c r="Q218" s="124">
        <f t="shared" si="2"/>
        <v>0.5699999998</v>
      </c>
      <c r="R218" s="52">
        <f t="array" ref="R218">IFERROR(INDEX('Fund YTD Target Values'!$1:$1000, MATCH($C218,'Fund YTD Target Values'!$A:$A,0), MATCH($A218,'Fund YTD Target Values'!$1:$1,0)),0)</f>
        <v>2359937.207</v>
      </c>
      <c r="S218" s="52">
        <f>IFERROR(__xludf.DUMMYFUNCTION("IFERROR(sum(FILTER('Fund Data'!$V:$V, 'Fund Data'!$C:$C = $C218, 'Fund Data'!$A:$A &lt; $A218)),0) + IFERROR(sum(FILTER('Fund Data'!$V:$V, 'Fund Data'!$C:$C = $C218, 'Fund Data'!$A:$A = $A218, 'Fund Data'!$B:$B &lt;= $B218)),0)"),2206038.73)</f>
        <v>2206038.73</v>
      </c>
      <c r="T218" s="123">
        <v>2509906.0</v>
      </c>
      <c r="U218" s="44">
        <f t="shared" si="27"/>
        <v>-303867.27</v>
      </c>
      <c r="V218" s="44">
        <f t="shared" si="3"/>
        <v>744697.59</v>
      </c>
      <c r="W218" s="123"/>
      <c r="X218" s="123"/>
      <c r="Y218" s="123">
        <v>0.0</v>
      </c>
      <c r="Z218" s="123">
        <v>0.0</v>
      </c>
      <c r="AA218" s="123">
        <v>0.0</v>
      </c>
      <c r="AB218" s="123"/>
      <c r="AC218" s="123">
        <v>0.0</v>
      </c>
      <c r="AD218" s="44">
        <f t="shared" si="7"/>
        <v>-95000</v>
      </c>
      <c r="AE218" s="123">
        <v>0.0</v>
      </c>
    </row>
    <row r="219">
      <c r="A219" s="120">
        <v>2005.0</v>
      </c>
      <c r="B219" s="121">
        <v>12.0</v>
      </c>
      <c r="C219" s="122" t="s">
        <v>28</v>
      </c>
      <c r="D219" s="123"/>
      <c r="E219" s="123">
        <v>35602.04</v>
      </c>
      <c r="F219" s="123">
        <v>-6500.0</v>
      </c>
      <c r="G219" s="123"/>
      <c r="H219" s="123">
        <v>-8959.54</v>
      </c>
      <c r="I219" s="44"/>
      <c r="J219" s="123">
        <v>255775.37</v>
      </c>
      <c r="K219" s="123">
        <v>-4096.91</v>
      </c>
      <c r="L219" s="123">
        <v>-180098.36</v>
      </c>
      <c r="M219" s="123">
        <v>5047.99</v>
      </c>
      <c r="N219" s="44"/>
      <c r="O219" s="123">
        <v>1806618.0</v>
      </c>
      <c r="P219" s="52">
        <f t="shared" si="23"/>
        <v>1806617.15</v>
      </c>
      <c r="Q219" s="124">
        <f t="shared" si="2"/>
        <v>0.8499999999</v>
      </c>
      <c r="R219" s="52">
        <f t="array" ref="R219">IFERROR(INDEX('Fund YTD Target Values'!$1:$1000, MATCH($C219,'Fund YTD Target Values'!$A:$A,0), MATCH($A219,'Fund YTD Target Values'!$1:$1,0)),0)</f>
        <v>1564620.694</v>
      </c>
      <c r="S219" s="52">
        <f>IFERROR(__xludf.DUMMYFUNCTION("IFERROR(sum(FILTER('Fund Data'!$V:$V, 'Fund Data'!$C:$C = $C219, 'Fund Data'!$A:$A &lt; $A219)),0) + IFERROR(sum(FILTER('Fund Data'!$V:$V, 'Fund Data'!$C:$C = $C219, 'Fund Data'!$A:$A = $A219, 'Fund Data'!$B:$B &lt;= $B219)),0)"),1461341.1400000001)</f>
        <v>1461341.14</v>
      </c>
      <c r="T219" s="123">
        <v>1511931.0</v>
      </c>
      <c r="U219" s="44">
        <f t="shared" si="27"/>
        <v>-50589.86</v>
      </c>
      <c r="V219" s="44">
        <f t="shared" si="3"/>
        <v>0</v>
      </c>
      <c r="W219" s="123"/>
      <c r="X219" s="123"/>
      <c r="Y219" s="123">
        <v>0.0</v>
      </c>
      <c r="Z219" s="123">
        <v>0.0</v>
      </c>
      <c r="AA219" s="123">
        <v>0.0</v>
      </c>
      <c r="AB219" s="123"/>
      <c r="AC219" s="123">
        <v>0.0</v>
      </c>
      <c r="AD219" s="44">
        <f t="shared" si="7"/>
        <v>-6500</v>
      </c>
      <c r="AE219" s="123">
        <v>0.0</v>
      </c>
    </row>
    <row r="220">
      <c r="A220" s="120">
        <v>2004.0</v>
      </c>
      <c r="B220" s="121">
        <v>12.0</v>
      </c>
      <c r="C220" s="122" t="s">
        <v>28</v>
      </c>
      <c r="D220" s="123">
        <v>509358.07</v>
      </c>
      <c r="E220" s="123">
        <v>37219.24</v>
      </c>
      <c r="F220" s="123">
        <v>-15000.0</v>
      </c>
      <c r="G220" s="123"/>
      <c r="H220" s="123">
        <v>-5420.19</v>
      </c>
      <c r="I220" s="123"/>
      <c r="J220" s="123">
        <v>48758.07</v>
      </c>
      <c r="K220" s="123">
        <v>-10089.0</v>
      </c>
      <c r="L220" s="123">
        <v>46454.65</v>
      </c>
      <c r="M220" s="123">
        <v>66.35</v>
      </c>
      <c r="N220" s="123">
        <v>18264.84</v>
      </c>
      <c r="O220" s="123">
        <v>1709847.0</v>
      </c>
      <c r="P220" s="52">
        <f t="shared" si="23"/>
        <v>1709846.56</v>
      </c>
      <c r="Q220" s="124">
        <f t="shared" si="2"/>
        <v>0.4399999999</v>
      </c>
      <c r="R220" s="52">
        <f t="array" ref="R220">IFERROR(INDEX('Fund YTD Target Values'!$1:$1000, MATCH($C220,'Fund YTD Target Values'!$A:$A,0), MATCH($A220,'Fund YTD Target Values'!$1:$1,0)),0)</f>
        <v>1513314.239</v>
      </c>
      <c r="S220" s="52">
        <f>IFERROR(__xludf.DUMMYFUNCTION("IFERROR(sum(FILTER('Fund Data'!$V:$V, 'Fund Data'!$C:$C = $C220, 'Fund Data'!$A:$A &lt; $A220)),0) + IFERROR(sum(FILTER('Fund Data'!$V:$V, 'Fund Data'!$C:$C = $C220, 'Fund Data'!$A:$A = $A220, 'Fund Data'!$B:$B &lt;= $B220)),0)"),1461341.1400000001)</f>
        <v>1461341.14</v>
      </c>
      <c r="T220" s="123">
        <v>1511930.0</v>
      </c>
      <c r="U220" s="44">
        <f t="shared" si="27"/>
        <v>-50588.86</v>
      </c>
      <c r="V220" s="44">
        <f t="shared" si="3"/>
        <v>509358.07</v>
      </c>
      <c r="W220" s="123"/>
      <c r="X220" s="123"/>
      <c r="Y220" s="123">
        <v>0.0</v>
      </c>
      <c r="Z220" s="123">
        <v>0.0</v>
      </c>
      <c r="AA220" s="123">
        <v>0.0</v>
      </c>
      <c r="AB220" s="123"/>
      <c r="AC220" s="123">
        <v>0.0</v>
      </c>
      <c r="AD220" s="44">
        <f t="shared" si="7"/>
        <v>-15000</v>
      </c>
      <c r="AE220" s="123">
        <v>0.0</v>
      </c>
    </row>
    <row r="221">
      <c r="A221" s="120">
        <v>2003.0</v>
      </c>
      <c r="B221" s="121">
        <v>12.0</v>
      </c>
      <c r="C221" s="122" t="s">
        <v>28</v>
      </c>
      <c r="D221" s="123">
        <v>296089.0</v>
      </c>
      <c r="E221" s="123">
        <v>20216.16</v>
      </c>
      <c r="F221" s="44"/>
      <c r="G221" s="123"/>
      <c r="H221" s="123">
        <v>-2777.73</v>
      </c>
      <c r="I221" s="123"/>
      <c r="J221" s="44"/>
      <c r="K221" s="123">
        <v>-4831.87</v>
      </c>
      <c r="L221" s="123">
        <v>163616.0</v>
      </c>
      <c r="M221" s="123">
        <v>-13.58</v>
      </c>
      <c r="N221" s="123">
        <v>9075.04</v>
      </c>
      <c r="O221" s="123">
        <v>1080235.0</v>
      </c>
      <c r="P221" s="52">
        <f t="shared" si="23"/>
        <v>1080234.53</v>
      </c>
      <c r="Q221" s="124">
        <f t="shared" si="2"/>
        <v>0.47</v>
      </c>
      <c r="R221" s="52">
        <f t="array" ref="R221">IFERROR(INDEX('Fund YTD Target Values'!$1:$1000, MATCH($C221,'Fund YTD Target Values'!$A:$A,0), MATCH($A221,'Fund YTD Target Values'!$1:$1,0)),0)</f>
        <v>977791.8105</v>
      </c>
      <c r="S221" s="52">
        <f>IFERROR(__xludf.DUMMYFUNCTION("IFERROR(sum(FILTER('Fund Data'!$V:$V, 'Fund Data'!$C:$C = $C221, 'Fund Data'!$A:$A &lt; $A221)),0) + IFERROR(sum(FILTER('Fund Data'!$V:$V, 'Fund Data'!$C:$C = $C221, 'Fund Data'!$A:$A = $A221, 'Fund Data'!$B:$B &lt;= $B221)),0)"),951983.0700000001)</f>
        <v>951983.07</v>
      </c>
      <c r="T221" s="123">
        <v>1002236.0</v>
      </c>
      <c r="U221" s="44">
        <f t="shared" si="27"/>
        <v>-50252.93</v>
      </c>
      <c r="V221" s="44">
        <f t="shared" si="3"/>
        <v>296089</v>
      </c>
      <c r="W221" s="123"/>
      <c r="X221" s="123"/>
      <c r="Y221" s="123">
        <v>0.0</v>
      </c>
      <c r="Z221" s="123">
        <v>0.0</v>
      </c>
      <c r="AA221" s="123">
        <v>0.0</v>
      </c>
      <c r="AB221" s="123"/>
      <c r="AC221" s="123">
        <v>0.0</v>
      </c>
      <c r="AD221" s="44">
        <f t="shared" si="7"/>
        <v>0</v>
      </c>
      <c r="AE221" s="123">
        <v>0.0</v>
      </c>
    </row>
    <row r="222">
      <c r="A222" s="120">
        <v>2002.0</v>
      </c>
      <c r="B222" s="121">
        <v>12.0</v>
      </c>
      <c r="C222" s="122" t="s">
        <v>28</v>
      </c>
      <c r="D222" s="123">
        <v>300046.84</v>
      </c>
      <c r="E222" s="123">
        <v>11360.12</v>
      </c>
      <c r="F222" s="44"/>
      <c r="G222" s="123"/>
      <c r="H222" s="123">
        <v>-1448.37</v>
      </c>
      <c r="I222" s="123"/>
      <c r="J222" s="123">
        <v>839.42</v>
      </c>
      <c r="K222" s="123">
        <v>-49182.38</v>
      </c>
      <c r="L222" s="123">
        <v>-10278.9</v>
      </c>
      <c r="M222" s="123">
        <v>-141.21</v>
      </c>
      <c r="N222" s="123">
        <v>4576.66</v>
      </c>
      <c r="O222" s="123">
        <v>598862.0</v>
      </c>
      <c r="P222" s="52">
        <f t="shared" si="23"/>
        <v>598861.51</v>
      </c>
      <c r="Q222" s="124">
        <f t="shared" si="2"/>
        <v>0.49</v>
      </c>
      <c r="R222" s="52">
        <f t="array" ref="R222">IFERROR(INDEX('Fund YTD Target Values'!$1:$1000, MATCH($C222,'Fund YTD Target Values'!$A:$A,0), MATCH($A222,'Fund YTD Target Values'!$1:$1,0)),0)</f>
        <v>666556.8463</v>
      </c>
      <c r="S222" s="52">
        <f>IFERROR(__xludf.DUMMYFUNCTION("IFERROR(sum(FILTER('Fund Data'!$V:$V, 'Fund Data'!$C:$C = $C222, 'Fund Data'!$A:$A &lt; $A222)),0) + IFERROR(sum(FILTER('Fund Data'!$V:$V, 'Fund Data'!$C:$C = $C222, 'Fund Data'!$A:$A = $A222, 'Fund Data'!$B:$B &lt;= $B222)),0)"),655894.0700000001)</f>
        <v>655894.07</v>
      </c>
      <c r="T222" s="123">
        <v>705924.0</v>
      </c>
      <c r="U222" s="44">
        <f t="shared" si="27"/>
        <v>-50029.93</v>
      </c>
      <c r="V222" s="44">
        <f t="shared" si="3"/>
        <v>300046.84</v>
      </c>
      <c r="W222" s="123"/>
      <c r="X222" s="123"/>
      <c r="Y222" s="123">
        <v>0.0</v>
      </c>
      <c r="Z222" s="123">
        <v>0.0</v>
      </c>
      <c r="AA222" s="123">
        <v>0.0</v>
      </c>
      <c r="AB222" s="123"/>
      <c r="AC222" s="123">
        <v>0.0</v>
      </c>
      <c r="AD222" s="44">
        <f t="shared" si="7"/>
        <v>0</v>
      </c>
      <c r="AE222" s="123">
        <v>0.0</v>
      </c>
    </row>
    <row r="223">
      <c r="A223" s="120">
        <v>2001.0</v>
      </c>
      <c r="B223" s="121">
        <v>12.0</v>
      </c>
      <c r="C223" s="122" t="s">
        <v>28</v>
      </c>
      <c r="D223" s="123">
        <v>181319.5</v>
      </c>
      <c r="E223" s="123">
        <v>5091.74</v>
      </c>
      <c r="F223" s="44"/>
      <c r="G223" s="123"/>
      <c r="H223" s="123">
        <v>-607.22</v>
      </c>
      <c r="I223" s="123"/>
      <c r="J223" s="123">
        <v>17.36</v>
      </c>
      <c r="K223" s="123">
        <v>-12487.58</v>
      </c>
      <c r="L223" s="123">
        <v>1821.18</v>
      </c>
      <c r="M223" s="123">
        <v>-193.29</v>
      </c>
      <c r="N223" s="123">
        <v>590.98</v>
      </c>
      <c r="O223" s="123">
        <v>343090.0</v>
      </c>
      <c r="P223" s="52">
        <f t="shared" si="23"/>
        <v>343089.33</v>
      </c>
      <c r="Q223" s="124">
        <f t="shared" si="2"/>
        <v>0.67</v>
      </c>
      <c r="R223" s="52">
        <f t="array" ref="R223">IFERROR(INDEX('Fund YTD Target Values'!$1:$1000, MATCH($C223,'Fund YTD Target Values'!$A:$A,0), MATCH($A223,'Fund YTD Target Values'!$1:$1,0)),0)</f>
        <v>360789.3576</v>
      </c>
      <c r="S223" s="52">
        <f>IFERROR(__xludf.DUMMYFUNCTION("IFERROR(sum(FILTER('Fund Data'!$V:$V, 'Fund Data'!$C:$C = $C223, 'Fund Data'!$A:$A &lt; $A223)),0) + IFERROR(sum(FILTER('Fund Data'!$V:$V, 'Fund Data'!$C:$C = $C223, 'Fund Data'!$A:$A = $A223, 'Fund Data'!$B:$B &lt;= $B223)),0)"),355847.23)</f>
        <v>355847.23</v>
      </c>
      <c r="T223" s="123">
        <v>355847.0</v>
      </c>
      <c r="U223" s="44">
        <f t="shared" si="27"/>
        <v>0.23</v>
      </c>
      <c r="V223" s="44">
        <f t="shared" si="3"/>
        <v>181319.5</v>
      </c>
      <c r="W223" s="123"/>
      <c r="X223" s="123"/>
      <c r="Y223" s="123">
        <v>0.0</v>
      </c>
      <c r="Z223" s="123">
        <v>0.0</v>
      </c>
      <c r="AA223" s="123">
        <v>0.0</v>
      </c>
      <c r="AB223" s="123"/>
      <c r="AC223" s="123">
        <v>0.0</v>
      </c>
      <c r="AD223" s="44">
        <f t="shared" si="7"/>
        <v>0</v>
      </c>
      <c r="AE223" s="123">
        <v>0.0</v>
      </c>
    </row>
    <row r="224">
      <c r="A224" s="120">
        <v>2000.0</v>
      </c>
      <c r="B224" s="121">
        <v>12.0</v>
      </c>
      <c r="C224" s="122" t="s">
        <v>28</v>
      </c>
      <c r="D224" s="123">
        <v>174527.73</v>
      </c>
      <c r="E224" s="123">
        <v>1512.21</v>
      </c>
      <c r="F224" s="44"/>
      <c r="G224" s="123"/>
      <c r="H224" s="123">
        <v>-126.33</v>
      </c>
      <c r="I224" s="123"/>
      <c r="J224" s="44"/>
      <c r="K224" s="123">
        <v>-172.93</v>
      </c>
      <c r="L224" s="123">
        <v>-23065.18</v>
      </c>
      <c r="M224" s="123">
        <v>356.74</v>
      </c>
      <c r="N224" s="123">
        <v>14504.42</v>
      </c>
      <c r="O224" s="123">
        <v>167537.0</v>
      </c>
      <c r="P224" s="52">
        <f t="shared" si="23"/>
        <v>167536.66</v>
      </c>
      <c r="Q224" s="124">
        <f t="shared" si="2"/>
        <v>0.34</v>
      </c>
      <c r="R224" s="52">
        <f t="array" ref="R224">IFERROR(INDEX('Fund YTD Target Values'!$1:$1000, MATCH($C224,'Fund YTD Target Values'!$A:$A,0), MATCH($A224,'Fund YTD Target Values'!$1:$1,0)),0)</f>
        <v>174527.73</v>
      </c>
      <c r="S224" s="52">
        <f>IFERROR(__xludf.DUMMYFUNCTION("IFERROR(sum(FILTER('Fund Data'!$V:$V, 'Fund Data'!$C:$C = $C224, 'Fund Data'!$A:$A &lt; $A224)),0) + IFERROR(sum(FILTER('Fund Data'!$V:$V, 'Fund Data'!$C:$C = $C224, 'Fund Data'!$A:$A = $A224, 'Fund Data'!$B:$B &lt;= $B224)),0)"),174527.73)</f>
        <v>174527.73</v>
      </c>
      <c r="T224" s="123">
        <v>174528.0</v>
      </c>
      <c r="U224" s="44">
        <f t="shared" si="27"/>
        <v>-0.27</v>
      </c>
      <c r="V224" s="44">
        <f t="shared" si="3"/>
        <v>174527.73</v>
      </c>
      <c r="W224" s="123"/>
      <c r="X224" s="123"/>
      <c r="Y224" s="123">
        <v>0.0</v>
      </c>
      <c r="Z224" s="123">
        <v>0.0</v>
      </c>
      <c r="AA224" s="123">
        <v>0.0</v>
      </c>
      <c r="AB224" s="123"/>
      <c r="AC224" s="123">
        <v>0.0</v>
      </c>
      <c r="AD224" s="44">
        <f t="shared" si="7"/>
        <v>0</v>
      </c>
      <c r="AE224" s="123">
        <v>0.0</v>
      </c>
    </row>
    <row r="225">
      <c r="A225" s="120">
        <v>2019.0</v>
      </c>
      <c r="B225" s="121">
        <v>6.0</v>
      </c>
      <c r="C225" s="122" t="s">
        <v>66</v>
      </c>
      <c r="D225" s="44"/>
      <c r="E225" s="123">
        <v>4429.59</v>
      </c>
      <c r="F225" s="123">
        <v>-15000.0</v>
      </c>
      <c r="G225" s="44"/>
      <c r="H225" s="123">
        <v>-995.11</v>
      </c>
      <c r="I225" s="44"/>
      <c r="J225" s="123">
        <v>4007.36</v>
      </c>
      <c r="K225" s="44"/>
      <c r="L225" s="123">
        <v>30881.9</v>
      </c>
      <c r="M225" s="44"/>
      <c r="N225" s="44"/>
      <c r="O225" s="123">
        <v>358114.7</v>
      </c>
      <c r="P225" s="52">
        <f t="shared" si="23"/>
        <v>358115.12</v>
      </c>
      <c r="Q225" s="124">
        <f t="shared" si="2"/>
        <v>-0.42</v>
      </c>
      <c r="R225" s="52">
        <f t="array" ref="R225">IFERROR(INDEX('Fund YTD Target Values'!$1:$1000, MATCH($C225,'Fund YTD Target Values'!$A:$A,0), MATCH($A225,'Fund YTD Target Values'!$1:$1,0)),0)</f>
        <v>464509.6573</v>
      </c>
      <c r="S225" s="52">
        <f>IFERROR(__xludf.DUMMYFUNCTION("IFERROR(sum(FILTER('Fund Data'!$V:$V, 'Fund Data'!$C:$C = $C225, 'Fund Data'!$A:$A &lt; $A225)),0) + IFERROR(sum(FILTER('Fund Data'!$V:$V, 'Fund Data'!$C:$C = $C225, 'Fund Data'!$A:$A = $A225, 'Fund Data'!$B:$B &lt;= $B225)),0)"),366400.0)</f>
        <v>366400</v>
      </c>
      <c r="T225" s="123">
        <v>366400.0</v>
      </c>
      <c r="U225" s="44">
        <f t="shared" si="27"/>
        <v>0</v>
      </c>
      <c r="V225" s="44">
        <f t="shared" si="3"/>
        <v>0</v>
      </c>
      <c r="W225" s="52">
        <f>IFERROR(__xludf.DUMMYFUNCTION("iFERROR((FILTER('Fund Data'!$Y:$Y, 'Fund Data'!$C:$C = $C225, 'Fund Data'!$A:$A = $A225 - 1, 'Fund Data'!$B:$B = 12) + FILTER('Fund Data'!$AA:$AA, 'Fund Data'!$C:$C = $C225, 'Fund Data'!$A:$A = $A225 - 1, 'Fund Data'!$B:$B = 12)) * (1 + AVERAGE(FILTER('In"&amp;"flation Data'!$C:$C,'Inflation Data'!$A:$A = ($A225 - 2)))) * 'Parameters and Distribution Sum'!$A$4,0)"),12659.715432364716)</f>
        <v>12659.71543</v>
      </c>
      <c r="X225" s="52">
        <f>IFERROR(__xludf.DUMMYFUNCTION("IFERROR((IFERROR(FILTER('Fund Data'!$P:$P,'Fund Data'!$C:$C = $C225,'Fund Data'!$A:$A = ($A225 - 2), 'Fund Data'!$B:$B = 12),0) - SUM(FILTER('Fund Data'!$V:$V, 'Fund Data'!$C:$C = $C225, 'Fund Data'!$A:$A = ($A225 - 2), 'Fund Data'!$B:$B &gt; 3)))  * 'Parame"&amp;"ters and Distribution Sum'!$B$4 * (1 - 'Parameters and Distribution Sum'!$A$4),0)"),5312.35341)</f>
        <v>5312.35341</v>
      </c>
      <c r="Y225" s="52">
        <f t="shared" ref="Y225:Y230" si="28">sum($W225:$X225)</f>
        <v>17972.06884</v>
      </c>
      <c r="Z225" s="52">
        <f>IFERROR(__xludf.DUMMYFUNCTION("((IFERROR((SUM(FILTER('Fund Data'!$V:$V, 'Fund Data'!$C:$C = $C225, 'Fund Data'!$A:$A = $A225 - 1, 'Fund Data'!$B:$B &gt;= 4, 'Fund Data'!$B:$B &lt;= ($B225 + 5))) / 12) * ($B225 - 3) * 'Parameters and Distribution Sum'!$B$4, 0) + IF($B225 &gt;= 9, IFERROR(SUM(FIL"&amp;"TER('Fund Data'!$V:$V, 'Fund Data'!$C:$C = $C225, 'Fund Data'!$A:$A = $A225, 'Fund Data'!$B:$B &lt;= 3)) * 'Parameters and Distribution Sum'!$B$4, 0),0)))"),0.0)</f>
        <v>0</v>
      </c>
      <c r="AA225" s="44">
        <f>IFERROR(__xludf.DUMMYFUNCTION("IFERROR(((IFERROR(SUM(FILTER('Fund Data'!$V:$V, 'Fund Data'!$C:$C = $C225, 'Fund Data'!$A:$A = $A225 - 2, 'Fund Data'!$B:$B &gt;= 4)) * 'Parameters and Distribution Sum'!$B$4,0) + IFERROR(SUM(FILTER('Fund Data'!$V:$V, 'Fund Data'!$C:$C = $C225, 'Fund Data'!$"&amp;"A:$A = $A225 - 1, 'Fund Data'!$B:$B &lt;= 3)) * 'Parameters and Distribution Sum'!$B$4,0))),0)"),0.0)</f>
        <v>0</v>
      </c>
      <c r="AB225" s="44">
        <f t="shared" ref="AB225:AB231" si="29">IFERROR(__xludf.DUMMYFUNCTION("IFERROR(FILTER($AE:$AE,$C:$C = $C225,$A:$A = $A225 - 1,$B:$B = 12),0)"),0.0)</f>
        <v>0</v>
      </c>
      <c r="AC225" s="44">
        <f t="shared" ref="AC225:AC231" si="30">sum($Y225:$AB225)</f>
        <v>17972.06884</v>
      </c>
      <c r="AD225" s="44">
        <f t="shared" si="7"/>
        <v>2972.068842</v>
      </c>
      <c r="AE225" s="44"/>
    </row>
    <row r="226">
      <c r="A226" s="120">
        <v>2019.0</v>
      </c>
      <c r="B226" s="121">
        <v>5.0</v>
      </c>
      <c r="C226" s="122" t="s">
        <v>66</v>
      </c>
      <c r="D226" s="44"/>
      <c r="E226" s="123">
        <v>4057.38</v>
      </c>
      <c r="F226" s="123">
        <v>-15000.0</v>
      </c>
      <c r="G226" s="44"/>
      <c r="H226" s="123">
        <v>-832.56</v>
      </c>
      <c r="I226" s="44"/>
      <c r="J226" s="123">
        <v>4007.36</v>
      </c>
      <c r="K226" s="44"/>
      <c r="L226" s="123">
        <v>17223.51</v>
      </c>
      <c r="M226" s="44"/>
      <c r="N226" s="44"/>
      <c r="O226" s="123">
        <v>344246.65</v>
      </c>
      <c r="P226" s="52">
        <f t="shared" si="23"/>
        <v>344247.07</v>
      </c>
      <c r="Q226" s="124">
        <f t="shared" si="2"/>
        <v>-0.42</v>
      </c>
      <c r="R226" s="52">
        <f t="array" ref="R226">IFERROR(INDEX('Fund YTD Target Values'!$1:$1000, MATCH($C226,'Fund YTD Target Values'!$A:$A,0), MATCH($A226,'Fund YTD Target Values'!$1:$1,0)),0)</f>
        <v>464509.6573</v>
      </c>
      <c r="S226" s="52">
        <f>IFERROR(__xludf.DUMMYFUNCTION("IFERROR(sum(FILTER('Fund Data'!$V:$V, 'Fund Data'!$C:$C = $C226, 'Fund Data'!$A:$A &lt; $A226)),0) + IFERROR(sum(FILTER('Fund Data'!$V:$V, 'Fund Data'!$C:$C = $C226, 'Fund Data'!$A:$A = $A226, 'Fund Data'!$B:$B &lt;= $B226)),0)"),366400.0)</f>
        <v>366400</v>
      </c>
      <c r="T226" s="123">
        <v>366400.0</v>
      </c>
      <c r="U226" s="44">
        <f t="shared" si="27"/>
        <v>0</v>
      </c>
      <c r="V226" s="44">
        <f t="shared" si="3"/>
        <v>0</v>
      </c>
      <c r="W226" s="52">
        <f>IFERROR(__xludf.DUMMYFUNCTION("iFERROR((FILTER('Fund Data'!$Y:$Y, 'Fund Data'!$C:$C = $C226, 'Fund Data'!$A:$A = $A226 - 1, 'Fund Data'!$B:$B = 12) + FILTER('Fund Data'!$AA:$AA, 'Fund Data'!$C:$C = $C226, 'Fund Data'!$A:$A = $A226 - 1, 'Fund Data'!$B:$B = 12)) * (1 + AVERAGE(FILTER('In"&amp;"flation Data'!$C:$C,'Inflation Data'!$A:$A = ($A226 - 2)))) * 'Parameters and Distribution Sum'!$A$4,0)"),12659.715432364716)</f>
        <v>12659.71543</v>
      </c>
      <c r="X226" s="52">
        <f>IFERROR(__xludf.DUMMYFUNCTION("IFERROR((IFERROR(FILTER('Fund Data'!$P:$P,'Fund Data'!$C:$C = $C226,'Fund Data'!$A:$A = ($A226 - 2), 'Fund Data'!$B:$B = 12),0) - SUM(FILTER('Fund Data'!$V:$V, 'Fund Data'!$C:$C = $C226, 'Fund Data'!$A:$A = ($A226 - 2), 'Fund Data'!$B:$B &gt; 3)))  * 'Parame"&amp;"ters and Distribution Sum'!$B$4 * (1 - 'Parameters and Distribution Sum'!$A$4),0)"),5312.35341)</f>
        <v>5312.35341</v>
      </c>
      <c r="Y226" s="52">
        <f t="shared" si="28"/>
        <v>17972.06884</v>
      </c>
      <c r="Z226" s="52">
        <f>IFERROR(__xludf.DUMMYFUNCTION("((IFERROR((SUM(FILTER('Fund Data'!$V:$V, 'Fund Data'!$C:$C = $C226, 'Fund Data'!$A:$A = $A226 - 1, 'Fund Data'!$B:$B &gt;= 4, 'Fund Data'!$B:$B &lt;= ($B226 + 5))) / 12) * ($B226 - 3) * 'Parameters and Distribution Sum'!$B$4, 0) + IF($B226 &gt;= 9, IFERROR(SUM(FIL"&amp;"TER('Fund Data'!$V:$V, 'Fund Data'!$C:$C = $C226, 'Fund Data'!$A:$A = $A226, 'Fund Data'!$B:$B &lt;= 3)) * 'Parameters and Distribution Sum'!$B$4, 0),0)))"),0.0)</f>
        <v>0</v>
      </c>
      <c r="AA226" s="44">
        <f>IFERROR(__xludf.DUMMYFUNCTION("IFERROR(((IFERROR(SUM(FILTER('Fund Data'!$V:$V, 'Fund Data'!$C:$C = $C226, 'Fund Data'!$A:$A = $A226 - 2, 'Fund Data'!$B:$B &gt;= 4)) * 'Parameters and Distribution Sum'!$B$4,0) + IFERROR(SUM(FILTER('Fund Data'!$V:$V, 'Fund Data'!$C:$C = $C226, 'Fund Data'!$"&amp;"A:$A = $A226 - 1, 'Fund Data'!$B:$B &lt;= 3)) * 'Parameters and Distribution Sum'!$B$4,0))),0)"),0.0)</f>
        <v>0</v>
      </c>
      <c r="AB226" s="44">
        <f t="shared" si="29"/>
        <v>0</v>
      </c>
      <c r="AC226" s="44">
        <f t="shared" si="30"/>
        <v>17972.06884</v>
      </c>
      <c r="AD226" s="44">
        <f t="shared" si="7"/>
        <v>2972.068842</v>
      </c>
      <c r="AE226" s="44"/>
    </row>
    <row r="227">
      <c r="A227" s="120">
        <v>2019.0</v>
      </c>
      <c r="B227" s="121">
        <v>4.0</v>
      </c>
      <c r="C227" s="122" t="s">
        <v>66</v>
      </c>
      <c r="D227" s="44"/>
      <c r="E227" s="123">
        <v>3753.45</v>
      </c>
      <c r="F227" s="123">
        <v>-15000.0</v>
      </c>
      <c r="G227" s="44"/>
      <c r="H227" s="123">
        <v>-665.5</v>
      </c>
      <c r="I227" s="44"/>
      <c r="J227" s="123">
        <v>4007.36</v>
      </c>
      <c r="K227" s="44"/>
      <c r="L227" s="123">
        <v>31022.93</v>
      </c>
      <c r="M227" s="44"/>
      <c r="N227" s="44"/>
      <c r="O227" s="123">
        <v>357909.0</v>
      </c>
      <c r="P227" s="52">
        <f t="shared" si="23"/>
        <v>357909.62</v>
      </c>
      <c r="Q227" s="124">
        <f t="shared" si="2"/>
        <v>-0.62</v>
      </c>
      <c r="R227" s="52">
        <f t="array" ref="R227">IFERROR(INDEX('Fund YTD Target Values'!$1:$1000, MATCH($C227,'Fund YTD Target Values'!$A:$A,0), MATCH($A227,'Fund YTD Target Values'!$1:$1,0)),0)</f>
        <v>464509.6573</v>
      </c>
      <c r="S227" s="52">
        <f>IFERROR(__xludf.DUMMYFUNCTION("IFERROR(sum(FILTER('Fund Data'!$V:$V, 'Fund Data'!$C:$C = $C227, 'Fund Data'!$A:$A &lt; $A227)),0) + IFERROR(sum(FILTER('Fund Data'!$V:$V, 'Fund Data'!$C:$C = $C227, 'Fund Data'!$A:$A = $A227, 'Fund Data'!$B:$B &lt;= $B227)),0)"),366400.0)</f>
        <v>366400</v>
      </c>
      <c r="T227" s="123">
        <v>366400.0</v>
      </c>
      <c r="U227" s="44">
        <f t="shared" si="27"/>
        <v>0</v>
      </c>
      <c r="V227" s="44">
        <f t="shared" si="3"/>
        <v>0</v>
      </c>
      <c r="W227" s="52">
        <f>IFERROR(__xludf.DUMMYFUNCTION("iFERROR((FILTER('Fund Data'!$Y:$Y, 'Fund Data'!$C:$C = $C227, 'Fund Data'!$A:$A = $A227 - 1, 'Fund Data'!$B:$B = 12) + FILTER('Fund Data'!$AA:$AA, 'Fund Data'!$C:$C = $C227, 'Fund Data'!$A:$A = $A227 - 1, 'Fund Data'!$B:$B = 12)) * (1 + AVERAGE(FILTER('In"&amp;"flation Data'!$C:$C,'Inflation Data'!$A:$A = ($A227 - 2)))) * 'Parameters and Distribution Sum'!$A$4,0)"),12659.715432364716)</f>
        <v>12659.71543</v>
      </c>
      <c r="X227" s="52">
        <f>IFERROR(__xludf.DUMMYFUNCTION("IFERROR((IFERROR(FILTER('Fund Data'!$P:$P,'Fund Data'!$C:$C = $C227,'Fund Data'!$A:$A = ($A227 - 2), 'Fund Data'!$B:$B = 12),0) - SUM(FILTER('Fund Data'!$V:$V, 'Fund Data'!$C:$C = $C227, 'Fund Data'!$A:$A = ($A227 - 2), 'Fund Data'!$B:$B &gt; 3)))  * 'Parame"&amp;"ters and Distribution Sum'!$B$4 * (1 - 'Parameters and Distribution Sum'!$A$4),0)"),5312.35341)</f>
        <v>5312.35341</v>
      </c>
      <c r="Y227" s="52">
        <f t="shared" si="28"/>
        <v>17972.06884</v>
      </c>
      <c r="Z227" s="52">
        <f>IFERROR(__xludf.DUMMYFUNCTION("((IFERROR((SUM(FILTER('Fund Data'!$V:$V, 'Fund Data'!$C:$C = $C227, 'Fund Data'!$A:$A = $A227 - 1, 'Fund Data'!$B:$B &gt;= 4, 'Fund Data'!$B:$B &lt;= ($B227 + 5))) / 12) * ($B227 - 3) * 'Parameters and Distribution Sum'!$B$4, 0) + IF($B227 &gt;= 9, IFERROR(SUM(FIL"&amp;"TER('Fund Data'!$V:$V, 'Fund Data'!$C:$C = $C227, 'Fund Data'!$A:$A = $A227, 'Fund Data'!$B:$B &lt;= 3)) * 'Parameters and Distribution Sum'!$B$4, 0),0)))"),0.0)</f>
        <v>0</v>
      </c>
      <c r="AA227" s="44">
        <f>IFERROR(__xludf.DUMMYFUNCTION("IFERROR(((IFERROR(SUM(FILTER('Fund Data'!$V:$V, 'Fund Data'!$C:$C = $C227, 'Fund Data'!$A:$A = $A227 - 2, 'Fund Data'!$B:$B &gt;= 4)) * 'Parameters and Distribution Sum'!$B$4,0) + IFERROR(SUM(FILTER('Fund Data'!$V:$V, 'Fund Data'!$C:$C = $C227, 'Fund Data'!$"&amp;"A:$A = $A227 - 1, 'Fund Data'!$B:$B &lt;= 3)) * 'Parameters and Distribution Sum'!$B$4,0))),0)"),0.0)</f>
        <v>0</v>
      </c>
      <c r="AB227" s="44">
        <f t="shared" si="29"/>
        <v>0</v>
      </c>
      <c r="AC227" s="44">
        <f t="shared" si="30"/>
        <v>17972.06884</v>
      </c>
      <c r="AD227" s="44">
        <f t="shared" si="7"/>
        <v>2972.068842</v>
      </c>
      <c r="AE227" s="44"/>
    </row>
    <row r="228">
      <c r="A228" s="120">
        <v>2019.0</v>
      </c>
      <c r="B228" s="121">
        <v>3.0</v>
      </c>
      <c r="C228" s="122" t="s">
        <v>66</v>
      </c>
      <c r="D228" s="44"/>
      <c r="E228" s="123">
        <v>2841.3</v>
      </c>
      <c r="F228" s="44"/>
      <c r="G228" s="44"/>
      <c r="H228" s="123">
        <v>-494.78</v>
      </c>
      <c r="I228" s="44"/>
      <c r="J228" s="44"/>
      <c r="K228" s="44"/>
      <c r="L228" s="123">
        <v>27990.73</v>
      </c>
      <c r="M228" s="44"/>
      <c r="N228" s="44"/>
      <c r="O228" s="123">
        <v>365128.0</v>
      </c>
      <c r="P228" s="52">
        <f t="shared" si="23"/>
        <v>365128.63</v>
      </c>
      <c r="Q228" s="124">
        <f t="shared" si="2"/>
        <v>-0.63</v>
      </c>
      <c r="R228" s="52">
        <f t="array" ref="R228">IFERROR(INDEX('Fund YTD Target Values'!$1:$1000, MATCH($C228,'Fund YTD Target Values'!$A:$A,0), MATCH($A228,'Fund YTD Target Values'!$1:$1,0)),0)</f>
        <v>464509.6573</v>
      </c>
      <c r="S228" s="52">
        <f>IFERROR(__xludf.DUMMYFUNCTION("IFERROR(sum(FILTER('Fund Data'!$V:$V, 'Fund Data'!$C:$C = $C228, 'Fund Data'!$A:$A &lt; $A228)),0) + IFERROR(sum(FILTER('Fund Data'!$V:$V, 'Fund Data'!$C:$C = $C228, 'Fund Data'!$A:$A = $A228, 'Fund Data'!$B:$B &lt;= $B228)),0)"),366400.0)</f>
        <v>366400</v>
      </c>
      <c r="T228" s="123">
        <v>366400.0</v>
      </c>
      <c r="U228" s="44">
        <f t="shared" si="27"/>
        <v>0</v>
      </c>
      <c r="V228" s="44">
        <f t="shared" si="3"/>
        <v>0</v>
      </c>
      <c r="W228" s="52">
        <f>IFERROR(__xludf.DUMMYFUNCTION("iFERROR((FILTER('Fund Data'!$Y:$Y, 'Fund Data'!$C:$C = $C228, 'Fund Data'!$A:$A = $A228 - 1, 'Fund Data'!$B:$B = 12) + FILTER('Fund Data'!$AA:$AA, 'Fund Data'!$C:$C = $C228, 'Fund Data'!$A:$A = $A228 - 1, 'Fund Data'!$B:$B = 12)) * (1 + AVERAGE(FILTER('In"&amp;"flation Data'!$C:$C,'Inflation Data'!$A:$A = ($A228 - 2)))) * 'Parameters and Distribution Sum'!$A$4,0)"),12659.715432364716)</f>
        <v>12659.71543</v>
      </c>
      <c r="X228" s="52">
        <f>IFERROR(__xludf.DUMMYFUNCTION("IFERROR((IFERROR(FILTER('Fund Data'!$P:$P,'Fund Data'!$C:$C = $C228,'Fund Data'!$A:$A = ($A228 - 2), 'Fund Data'!$B:$B = 12),0) - SUM(FILTER('Fund Data'!$V:$V, 'Fund Data'!$C:$C = $C228, 'Fund Data'!$A:$A = ($A228 - 2), 'Fund Data'!$B:$B &gt; 3)))  * 'Parame"&amp;"ters and Distribution Sum'!$B$4 * (1 - 'Parameters and Distribution Sum'!$A$4),0)"),5312.35341)</f>
        <v>5312.35341</v>
      </c>
      <c r="Y228" s="52">
        <f t="shared" si="28"/>
        <v>17972.06884</v>
      </c>
      <c r="Z228" s="52">
        <f>IFERROR(__xludf.DUMMYFUNCTION("((IFERROR((SUM(FILTER('Fund Data'!$V:$V, 'Fund Data'!$C:$C = $C228, 'Fund Data'!$A:$A = $A228 - 1, 'Fund Data'!$B:$B &gt;= 4, 'Fund Data'!$B:$B &lt;= ($B228 + 5))) / 12) * ($B228 - 3) * 'Parameters and Distribution Sum'!$B$4, 0) + IF($B228 &gt;= 9, IFERROR(SUM(FIL"&amp;"TER('Fund Data'!$V:$V, 'Fund Data'!$C:$C = $C228, 'Fund Data'!$A:$A = $A228, 'Fund Data'!$B:$B &lt;= 3)) * 'Parameters and Distribution Sum'!$B$4, 0),0)))"),0.0)</f>
        <v>0</v>
      </c>
      <c r="AA228" s="44">
        <f>IFERROR(__xludf.DUMMYFUNCTION("IFERROR(((IFERROR(SUM(FILTER('Fund Data'!$V:$V, 'Fund Data'!$C:$C = $C228, 'Fund Data'!$A:$A = $A228 - 2, 'Fund Data'!$B:$B &gt;= 4)) * 'Parameters and Distribution Sum'!$B$4,0) + IFERROR(SUM(FILTER('Fund Data'!$V:$V, 'Fund Data'!$C:$C = $C228, 'Fund Data'!$"&amp;"A:$A = $A228 - 1, 'Fund Data'!$B:$B &lt;= 3)) * 'Parameters and Distribution Sum'!$B$4,0))),0)"),0.0)</f>
        <v>0</v>
      </c>
      <c r="AB228" s="44">
        <f t="shared" si="29"/>
        <v>0</v>
      </c>
      <c r="AC228" s="44">
        <f t="shared" si="30"/>
        <v>17972.06884</v>
      </c>
      <c r="AD228" s="44">
        <f t="shared" si="7"/>
        <v>17972.06884</v>
      </c>
      <c r="AE228" s="44"/>
    </row>
    <row r="229">
      <c r="A229" s="120">
        <v>2019.0</v>
      </c>
      <c r="B229" s="121">
        <v>2.0</v>
      </c>
      <c r="C229" s="122" t="s">
        <v>66</v>
      </c>
      <c r="D229" s="44"/>
      <c r="E229" s="123">
        <v>2402.95</v>
      </c>
      <c r="F229" s="44"/>
      <c r="G229" s="44"/>
      <c r="H229" s="123">
        <v>-325.14</v>
      </c>
      <c r="I229" s="44"/>
      <c r="J229" s="44"/>
      <c r="K229" s="44"/>
      <c r="L229" s="123">
        <v>25911.13</v>
      </c>
      <c r="M229" s="44"/>
      <c r="N229" s="44"/>
      <c r="O229" s="123">
        <v>362780.0</v>
      </c>
      <c r="P229" s="52">
        <f t="shared" si="23"/>
        <v>362780.32</v>
      </c>
      <c r="Q229" s="124">
        <f t="shared" si="2"/>
        <v>-0.32</v>
      </c>
      <c r="R229" s="52">
        <f t="array" ref="R229">IFERROR(INDEX('Fund YTD Target Values'!$1:$1000, MATCH($C229,'Fund YTD Target Values'!$A:$A,0), MATCH($A229,'Fund YTD Target Values'!$1:$1,0)),0)</f>
        <v>464509.6573</v>
      </c>
      <c r="S229" s="52">
        <f>IFERROR(__xludf.DUMMYFUNCTION("IFERROR(sum(FILTER('Fund Data'!$V:$V, 'Fund Data'!$C:$C = $C229, 'Fund Data'!$A:$A &lt; $A229)),0) + IFERROR(sum(FILTER('Fund Data'!$V:$V, 'Fund Data'!$C:$C = $C229, 'Fund Data'!$A:$A = $A229, 'Fund Data'!$B:$B &lt;= $B229)),0)"),366400.0)</f>
        <v>366400</v>
      </c>
      <c r="T229" s="123">
        <v>366400.0</v>
      </c>
      <c r="U229" s="44">
        <f t="shared" si="27"/>
        <v>0</v>
      </c>
      <c r="V229" s="44">
        <f t="shared" si="3"/>
        <v>0</v>
      </c>
      <c r="W229" s="52">
        <f>IFERROR(__xludf.DUMMYFUNCTION("iFERROR((FILTER('Fund Data'!$Y:$Y, 'Fund Data'!$C:$C = $C229, 'Fund Data'!$A:$A = $A229 - 1, 'Fund Data'!$B:$B = 12) + FILTER('Fund Data'!$AA:$AA, 'Fund Data'!$C:$C = $C229, 'Fund Data'!$A:$A = $A229 - 1, 'Fund Data'!$B:$B = 12)) * (1 + AVERAGE(FILTER('In"&amp;"flation Data'!$C:$C,'Inflation Data'!$A:$A = ($A229 - 2)))) * 'Parameters and Distribution Sum'!$A$4,0)"),12659.715432364716)</f>
        <v>12659.71543</v>
      </c>
      <c r="X229" s="52">
        <f>IFERROR(__xludf.DUMMYFUNCTION("IFERROR((IFERROR(FILTER('Fund Data'!$P:$P,'Fund Data'!$C:$C = $C229,'Fund Data'!$A:$A = ($A229 - 2), 'Fund Data'!$B:$B = 12),0) - SUM(FILTER('Fund Data'!$V:$V, 'Fund Data'!$C:$C = $C229, 'Fund Data'!$A:$A = ($A229 - 2), 'Fund Data'!$B:$B &gt; 3)))  * 'Parame"&amp;"ters and Distribution Sum'!$B$4 * (1 - 'Parameters and Distribution Sum'!$A$4),0)"),5312.35341)</f>
        <v>5312.35341</v>
      </c>
      <c r="Y229" s="52">
        <f t="shared" si="28"/>
        <v>17972.06884</v>
      </c>
      <c r="Z229" s="52">
        <f>IFERROR(__xludf.DUMMYFUNCTION("((IFERROR((SUM(FILTER('Fund Data'!$V:$V, 'Fund Data'!$C:$C = $C229, 'Fund Data'!$A:$A = $A229 - 1, 'Fund Data'!$B:$B &gt;= 4, 'Fund Data'!$B:$B &lt;= ($B229 + 5))) / 12) * ($B229 - 3) * 'Parameters and Distribution Sum'!$B$4, 0) + IF($B229 &gt;= 9, IFERROR(SUM(FIL"&amp;"TER('Fund Data'!$V:$V, 'Fund Data'!$C:$C = $C229, 'Fund Data'!$A:$A = $A229, 'Fund Data'!$B:$B &lt;= 3)) * 'Parameters and Distribution Sum'!$B$4, 0),0)))"),0.0)</f>
        <v>0</v>
      </c>
      <c r="AA229" s="44">
        <f>IFERROR(__xludf.DUMMYFUNCTION("IFERROR(((IFERROR(SUM(FILTER('Fund Data'!$V:$V, 'Fund Data'!$C:$C = $C229, 'Fund Data'!$A:$A = $A229 - 2, 'Fund Data'!$B:$B &gt;= 4)) * 'Parameters and Distribution Sum'!$B$4,0) + IFERROR(SUM(FILTER('Fund Data'!$V:$V, 'Fund Data'!$C:$C = $C229, 'Fund Data'!$"&amp;"A:$A = $A229 - 1, 'Fund Data'!$B:$B &lt;= 3)) * 'Parameters and Distribution Sum'!$B$4,0))),0)"),0.0)</f>
        <v>0</v>
      </c>
      <c r="AB229" s="44">
        <f t="shared" si="29"/>
        <v>0</v>
      </c>
      <c r="AC229" s="44">
        <f t="shared" si="30"/>
        <v>17972.06884</v>
      </c>
      <c r="AD229" s="44">
        <f t="shared" si="7"/>
        <v>17972.06884</v>
      </c>
      <c r="AE229" s="44"/>
    </row>
    <row r="230">
      <c r="A230" s="120">
        <v>2019.0</v>
      </c>
      <c r="B230" s="121">
        <v>1.0</v>
      </c>
      <c r="C230" s="122" t="s">
        <v>66</v>
      </c>
      <c r="D230" s="44"/>
      <c r="E230" s="123">
        <v>2223.93</v>
      </c>
      <c r="F230" s="44"/>
      <c r="G230" s="44"/>
      <c r="H230" s="123">
        <v>-157.96</v>
      </c>
      <c r="I230" s="44"/>
      <c r="J230" s="44"/>
      <c r="K230" s="44"/>
      <c r="L230" s="123">
        <v>20044.46</v>
      </c>
      <c r="M230" s="44"/>
      <c r="N230" s="44"/>
      <c r="O230" s="123">
        <v>356901.0</v>
      </c>
      <c r="P230" s="52">
        <f t="shared" si="23"/>
        <v>356901.81</v>
      </c>
      <c r="Q230" s="124">
        <f t="shared" si="2"/>
        <v>-0.81</v>
      </c>
      <c r="R230" s="52">
        <f t="array" ref="R230">IFERROR(INDEX('Fund YTD Target Values'!$1:$1000, MATCH($C230,'Fund YTD Target Values'!$A:$A,0), MATCH($A230,'Fund YTD Target Values'!$1:$1,0)),0)</f>
        <v>464509.6573</v>
      </c>
      <c r="S230" s="52">
        <f>IFERROR(__xludf.DUMMYFUNCTION("IFERROR(sum(FILTER('Fund Data'!$V:$V, 'Fund Data'!$C:$C = $C230, 'Fund Data'!$A:$A &lt; $A230)),0) + IFERROR(sum(FILTER('Fund Data'!$V:$V, 'Fund Data'!$C:$C = $C230, 'Fund Data'!$A:$A = $A230, 'Fund Data'!$B:$B &lt;= $B230)),0)"),366400.0)</f>
        <v>366400</v>
      </c>
      <c r="T230" s="123">
        <v>366400.0</v>
      </c>
      <c r="U230" s="44">
        <f t="shared" si="27"/>
        <v>0</v>
      </c>
      <c r="V230" s="44">
        <f t="shared" si="3"/>
        <v>0</v>
      </c>
      <c r="W230" s="52">
        <f>IFERROR(__xludf.DUMMYFUNCTION("iFERROR((FILTER('Fund Data'!$Y:$Y, 'Fund Data'!$C:$C = $C230, 'Fund Data'!$A:$A = $A230 - 1, 'Fund Data'!$B:$B = 12) + FILTER('Fund Data'!$AA:$AA, 'Fund Data'!$C:$C = $C230, 'Fund Data'!$A:$A = $A230 - 1, 'Fund Data'!$B:$B = 12)) * (1 + AVERAGE(FILTER('In"&amp;"flation Data'!$C:$C,'Inflation Data'!$A:$A = ($A230 - 2)))) * 'Parameters and Distribution Sum'!$A$4,0)"),12659.715432364716)</f>
        <v>12659.71543</v>
      </c>
      <c r="X230" s="52">
        <f>IFERROR(__xludf.DUMMYFUNCTION("IFERROR((IFERROR(FILTER('Fund Data'!$P:$P,'Fund Data'!$C:$C = $C230,'Fund Data'!$A:$A = ($A230 - 2), 'Fund Data'!$B:$B = 12),0) - SUM(FILTER('Fund Data'!$V:$V, 'Fund Data'!$C:$C = $C230, 'Fund Data'!$A:$A = ($A230 - 2), 'Fund Data'!$B:$B &gt; 3)))  * 'Parame"&amp;"ters and Distribution Sum'!$B$4 * (1 - 'Parameters and Distribution Sum'!$A$4),0)"),5312.35341)</f>
        <v>5312.35341</v>
      </c>
      <c r="Y230" s="52">
        <f t="shared" si="28"/>
        <v>17972.06884</v>
      </c>
      <c r="Z230" s="52">
        <f>IFERROR(__xludf.DUMMYFUNCTION("((IFERROR((SUM(FILTER('Fund Data'!$V:$V, 'Fund Data'!$C:$C = $C230, 'Fund Data'!$A:$A = $A230 - 1, 'Fund Data'!$B:$B &gt;= 4, 'Fund Data'!$B:$B &lt;= ($B230 + 5))) / 12) * ($B230 - 3) * 'Parameters and Distribution Sum'!$B$4, 0) + IF($B230 &gt;= 9, IFERROR(SUM(FIL"&amp;"TER('Fund Data'!$V:$V, 'Fund Data'!$C:$C = $C230, 'Fund Data'!$A:$A = $A230, 'Fund Data'!$B:$B &lt;= 3)) * 'Parameters and Distribution Sum'!$B$4, 0),0)))"),0.0)</f>
        <v>0</v>
      </c>
      <c r="AA230" s="44">
        <f>IFERROR(__xludf.DUMMYFUNCTION("IFERROR(((IFERROR(SUM(FILTER('Fund Data'!$V:$V, 'Fund Data'!$C:$C = $C230, 'Fund Data'!$A:$A = $A230 - 2, 'Fund Data'!$B:$B &gt;= 4)) * 'Parameters and Distribution Sum'!$B$4,0) + IFERROR(SUM(FILTER('Fund Data'!$V:$V, 'Fund Data'!$C:$C = $C230, 'Fund Data'!$"&amp;"A:$A = $A230 - 1, 'Fund Data'!$B:$B &lt;= 3)) * 'Parameters and Distribution Sum'!$B$4,0))),0)"),0.0)</f>
        <v>0</v>
      </c>
      <c r="AB230" s="44">
        <f t="shared" si="29"/>
        <v>0</v>
      </c>
      <c r="AC230" s="44">
        <f t="shared" si="30"/>
        <v>17972.06884</v>
      </c>
      <c r="AD230" s="44">
        <f t="shared" si="7"/>
        <v>17972.06884</v>
      </c>
      <c r="AE230" s="44"/>
    </row>
    <row r="231">
      <c r="A231" s="120">
        <v>2018.0</v>
      </c>
      <c r="B231" s="121">
        <v>12.0</v>
      </c>
      <c r="C231" s="122" t="s">
        <v>66</v>
      </c>
      <c r="D231" s="44"/>
      <c r="E231" s="123">
        <v>8259.62</v>
      </c>
      <c r="F231" s="123">
        <v>-30750.0</v>
      </c>
      <c r="G231" s="44"/>
      <c r="H231" s="123">
        <v>-2269.99</v>
      </c>
      <c r="I231" s="44"/>
      <c r="J231" s="123">
        <v>8384.92</v>
      </c>
      <c r="K231" s="44"/>
      <c r="L231" s="123">
        <v>-42340.83</v>
      </c>
      <c r="M231" s="44"/>
      <c r="N231" s="44"/>
      <c r="O231" s="123">
        <v>334791.0</v>
      </c>
      <c r="P231" s="52">
        <f t="shared" si="23"/>
        <v>334791.38</v>
      </c>
      <c r="Q231" s="124">
        <f t="shared" si="2"/>
        <v>-0.38</v>
      </c>
      <c r="R231" s="52">
        <f t="array" ref="R231">IFERROR(INDEX('Fund YTD Target Values'!$1:$1000, MATCH($C231,'Fund YTD Target Values'!$A:$A,0), MATCH($A231,'Fund YTD Target Values'!$1:$1,0)),0)</f>
        <v>456546.9656</v>
      </c>
      <c r="S231" s="52">
        <f>IFERROR(__xludf.DUMMYFUNCTION("IFERROR(sum(FILTER('Fund Data'!$V:$V, 'Fund Data'!$C:$C = $C231, 'Fund Data'!$A:$A &lt; $A231)),0) + IFERROR(sum(FILTER('Fund Data'!$V:$V, 'Fund Data'!$C:$C = $C231, 'Fund Data'!$A:$A = $A231, 'Fund Data'!$B:$B &lt;= $B231)),0)"),366400.0)</f>
        <v>366400</v>
      </c>
      <c r="T231" s="123">
        <v>366400.0</v>
      </c>
      <c r="U231" s="44">
        <f t="shared" si="27"/>
        <v>0</v>
      </c>
      <c r="V231" s="44">
        <f t="shared" si="3"/>
        <v>0</v>
      </c>
      <c r="W231" s="52"/>
      <c r="X231" s="52"/>
      <c r="Y231" s="52">
        <v>17707.8447</v>
      </c>
      <c r="Z231" s="123">
        <v>0.0</v>
      </c>
      <c r="AA231" s="123">
        <v>0.0</v>
      </c>
      <c r="AB231" s="44">
        <f t="shared" si="29"/>
        <v>0</v>
      </c>
      <c r="AC231" s="44">
        <f t="shared" si="30"/>
        <v>17707.8447</v>
      </c>
      <c r="AD231" s="44">
        <f t="shared" si="7"/>
        <v>-13042.1553</v>
      </c>
      <c r="AE231" s="123">
        <v>0.0</v>
      </c>
    </row>
    <row r="232">
      <c r="A232" s="120">
        <v>2018.0</v>
      </c>
      <c r="B232" s="121">
        <v>11.0</v>
      </c>
      <c r="C232" s="122" t="s">
        <v>66</v>
      </c>
      <c r="D232" s="44"/>
      <c r="E232" s="123">
        <v>7788.22</v>
      </c>
      <c r="F232" s="123">
        <v>-30750.0</v>
      </c>
      <c r="G232" s="44"/>
      <c r="H232" s="123">
        <v>-2103.78</v>
      </c>
      <c r="I232" s="44"/>
      <c r="J232" s="123">
        <v>8384.92</v>
      </c>
      <c r="K232" s="44"/>
      <c r="L232" s="123">
        <v>-22507.98</v>
      </c>
      <c r="M232" s="44"/>
      <c r="N232" s="44"/>
      <c r="O232" s="123">
        <v>354319.0</v>
      </c>
      <c r="P232" s="52">
        <f t="shared" si="23"/>
        <v>354319.04</v>
      </c>
      <c r="Q232" s="124">
        <f t="shared" si="2"/>
        <v>-0.04000000004</v>
      </c>
      <c r="R232" s="52">
        <f t="array" ref="R232">IFERROR(INDEX('Fund YTD Target Values'!$1:$1000, MATCH($C232,'Fund YTD Target Values'!$A:$A,0), MATCH($A232,'Fund YTD Target Values'!$1:$1,0)),0)</f>
        <v>456546.9656</v>
      </c>
      <c r="S232" s="52">
        <f>IFERROR(__xludf.DUMMYFUNCTION("IFERROR(sum(FILTER('Fund Data'!$V:$V, 'Fund Data'!$C:$C = $C232, 'Fund Data'!$A:$A &lt; $A232)),0) + IFERROR(sum(FILTER('Fund Data'!$V:$V, 'Fund Data'!$C:$C = $C232, 'Fund Data'!$A:$A = $A232, 'Fund Data'!$B:$B &lt;= $B232)),0)"),366400.0)</f>
        <v>366400</v>
      </c>
      <c r="T232" s="123">
        <v>366400.0</v>
      </c>
      <c r="U232" s="44">
        <f t="shared" si="27"/>
        <v>0</v>
      </c>
      <c r="V232" s="44">
        <f t="shared" si="3"/>
        <v>0</v>
      </c>
      <c r="W232" s="123"/>
      <c r="X232" s="123"/>
      <c r="Y232" s="123">
        <v>0.0</v>
      </c>
      <c r="Z232" s="123">
        <v>0.0</v>
      </c>
      <c r="AA232" s="123">
        <v>0.0</v>
      </c>
      <c r="AB232" s="123"/>
      <c r="AC232" s="123">
        <v>0.0</v>
      </c>
      <c r="AD232" s="44">
        <f t="shared" si="7"/>
        <v>-30750</v>
      </c>
      <c r="AE232" s="123">
        <v>0.0</v>
      </c>
    </row>
    <row r="233">
      <c r="A233" s="120">
        <v>2018.0</v>
      </c>
      <c r="B233" s="121">
        <v>10.0</v>
      </c>
      <c r="C233" s="135" t="s">
        <v>66</v>
      </c>
      <c r="D233" s="138"/>
      <c r="E233" s="137">
        <v>7470.07</v>
      </c>
      <c r="F233" s="136">
        <v>-27000.0</v>
      </c>
      <c r="G233" s="138"/>
      <c r="H233" s="137">
        <v>-1762.97</v>
      </c>
      <c r="I233" s="138"/>
      <c r="J233" s="136">
        <v>7488.53</v>
      </c>
      <c r="K233" s="138"/>
      <c r="L233" s="136">
        <v>-24693.89</v>
      </c>
      <c r="M233" s="44"/>
      <c r="N233" s="44"/>
      <c r="O233" s="136">
        <v>355009.0</v>
      </c>
      <c r="P233" s="52">
        <f t="shared" si="23"/>
        <v>355009.4</v>
      </c>
      <c r="Q233" s="124">
        <f t="shared" si="2"/>
        <v>-0.4</v>
      </c>
      <c r="R233" s="52">
        <f t="array" ref="R233">IFERROR(INDEX('Fund YTD Target Values'!$1:$1000, MATCH($C233,'Fund YTD Target Values'!$A:$A,0), MATCH($A233,'Fund YTD Target Values'!$1:$1,0)),0)</f>
        <v>456546.9656</v>
      </c>
      <c r="S233" s="52">
        <f>IFERROR(__xludf.DUMMYFUNCTION("IFERROR(sum(FILTER('Fund Data'!$V:$V, 'Fund Data'!$C:$C = $C233, 'Fund Data'!$A:$A &lt; $A233)),0) + IFERROR(sum(FILTER('Fund Data'!$V:$V, 'Fund Data'!$C:$C = $C233, 'Fund Data'!$A:$A = $A233, 'Fund Data'!$B:$B &lt;= $B233)),0)"),366400.0)</f>
        <v>366400</v>
      </c>
      <c r="T233" s="123">
        <v>366400.0</v>
      </c>
      <c r="U233" s="44">
        <f t="shared" si="27"/>
        <v>0</v>
      </c>
      <c r="V233" s="44">
        <f t="shared" si="3"/>
        <v>0</v>
      </c>
      <c r="W233" s="123"/>
      <c r="X233" s="123"/>
      <c r="Y233" s="123">
        <v>0.0</v>
      </c>
      <c r="Z233" s="123">
        <v>0.0</v>
      </c>
      <c r="AA233" s="123">
        <v>0.0</v>
      </c>
      <c r="AB233" s="123"/>
      <c r="AC233" s="123">
        <v>0.0</v>
      </c>
      <c r="AD233" s="44">
        <f t="shared" si="7"/>
        <v>-27000</v>
      </c>
      <c r="AE233" s="123">
        <v>0.0</v>
      </c>
    </row>
    <row r="234">
      <c r="A234" s="120">
        <v>2018.0</v>
      </c>
      <c r="B234" s="121">
        <v>9.0</v>
      </c>
      <c r="C234" s="122" t="s">
        <v>66</v>
      </c>
      <c r="D234" s="44"/>
      <c r="E234" s="123">
        <v>6402.36</v>
      </c>
      <c r="F234" s="123">
        <v>-27000.0</v>
      </c>
      <c r="G234" s="44"/>
      <c r="H234" s="123">
        <v>-1762.97</v>
      </c>
      <c r="I234" s="44"/>
      <c r="J234" s="123">
        <v>7488.53</v>
      </c>
      <c r="K234" s="44"/>
      <c r="L234" s="123">
        <v>-5648.43</v>
      </c>
      <c r="M234" s="44"/>
      <c r="N234" s="44"/>
      <c r="O234" s="123">
        <v>372987.0</v>
      </c>
      <c r="P234" s="52">
        <f t="shared" si="23"/>
        <v>372987.15</v>
      </c>
      <c r="Q234" s="124">
        <f t="shared" si="2"/>
        <v>-0.15</v>
      </c>
      <c r="R234" s="52">
        <f t="array" ref="R234">IFERROR(INDEX('Fund YTD Target Values'!$1:$1000, MATCH($C234,'Fund YTD Target Values'!$A:$A,0), MATCH($A234,'Fund YTD Target Values'!$1:$1,0)),0)</f>
        <v>456546.9656</v>
      </c>
      <c r="S234" s="52">
        <f>IFERROR(__xludf.DUMMYFUNCTION("IFERROR(sum(FILTER('Fund Data'!$V:$V, 'Fund Data'!$C:$C = $C234, 'Fund Data'!$A:$A &lt; $A234)),0) + IFERROR(sum(FILTER('Fund Data'!$V:$V, 'Fund Data'!$C:$C = $C234, 'Fund Data'!$A:$A = $A234, 'Fund Data'!$B:$B &lt;= $B234)),0)"),366400.0)</f>
        <v>366400</v>
      </c>
      <c r="T234" s="123">
        <v>366400.0</v>
      </c>
      <c r="U234" s="44">
        <f t="shared" si="27"/>
        <v>0</v>
      </c>
      <c r="V234" s="44">
        <f t="shared" si="3"/>
        <v>0</v>
      </c>
      <c r="W234" s="123"/>
      <c r="X234" s="123"/>
      <c r="Y234" s="123">
        <v>0.0</v>
      </c>
      <c r="Z234" s="123">
        <v>0.0</v>
      </c>
      <c r="AA234" s="123">
        <v>0.0</v>
      </c>
      <c r="AB234" s="123"/>
      <c r="AC234" s="123">
        <v>0.0</v>
      </c>
      <c r="AD234" s="44">
        <f t="shared" si="7"/>
        <v>-27000</v>
      </c>
      <c r="AE234" s="123">
        <v>0.0</v>
      </c>
    </row>
    <row r="235">
      <c r="A235" s="120">
        <v>2018.0</v>
      </c>
      <c r="B235" s="121">
        <v>8.0</v>
      </c>
      <c r="C235" s="122" t="s">
        <v>66</v>
      </c>
      <c r="D235" s="44"/>
      <c r="E235" s="123">
        <v>6076.1</v>
      </c>
      <c r="F235" s="123">
        <v>-19600.0</v>
      </c>
      <c r="G235" s="44"/>
      <c r="H235" s="123">
        <v>-1572.12</v>
      </c>
      <c r="I235" s="44"/>
      <c r="J235" s="123">
        <v>5006.39</v>
      </c>
      <c r="K235" s="44"/>
      <c r="L235" s="123">
        <v>-1766.55</v>
      </c>
      <c r="M235" s="44"/>
      <c r="N235" s="44"/>
      <c r="O235" s="123">
        <v>381651.0</v>
      </c>
      <c r="P235" s="52">
        <f t="shared" si="23"/>
        <v>381651.48</v>
      </c>
      <c r="Q235" s="124">
        <f t="shared" si="2"/>
        <v>-0.48</v>
      </c>
      <c r="R235" s="52">
        <f t="array" ref="R235">IFERROR(INDEX('Fund YTD Target Values'!$1:$1000, MATCH($C235,'Fund YTD Target Values'!$A:$A,0), MATCH($A235,'Fund YTD Target Values'!$1:$1,0)),0)</f>
        <v>456546.9656</v>
      </c>
      <c r="S235" s="52">
        <f>IFERROR(__xludf.DUMMYFUNCTION("IFERROR(sum(FILTER('Fund Data'!$V:$V, 'Fund Data'!$C:$C = $C235, 'Fund Data'!$A:$A &lt; $A235)),0) + IFERROR(sum(FILTER('Fund Data'!$V:$V, 'Fund Data'!$C:$C = $C235, 'Fund Data'!$A:$A = $A235, 'Fund Data'!$B:$B &lt;= $B235)),0)"),366400.0)</f>
        <v>366400</v>
      </c>
      <c r="T235" s="123">
        <v>366400.0</v>
      </c>
      <c r="U235" s="44">
        <f t="shared" si="27"/>
        <v>0</v>
      </c>
      <c r="V235" s="44">
        <f t="shared" si="3"/>
        <v>0</v>
      </c>
      <c r="W235" s="123"/>
      <c r="X235" s="123"/>
      <c r="Y235" s="123">
        <v>0.0</v>
      </c>
      <c r="Z235" s="123">
        <v>0.0</v>
      </c>
      <c r="AA235" s="123">
        <v>0.0</v>
      </c>
      <c r="AB235" s="123"/>
      <c r="AC235" s="123">
        <v>0.0</v>
      </c>
      <c r="AD235" s="44">
        <f t="shared" si="7"/>
        <v>-19600</v>
      </c>
      <c r="AE235" s="123">
        <v>0.0</v>
      </c>
    </row>
    <row r="236">
      <c r="A236" s="120">
        <v>2018.0</v>
      </c>
      <c r="B236" s="121">
        <v>7.0</v>
      </c>
      <c r="C236" s="122" t="s">
        <v>66</v>
      </c>
      <c r="D236" s="44"/>
      <c r="E236" s="123">
        <v>5758.36</v>
      </c>
      <c r="F236" s="123">
        <v>-14600.0</v>
      </c>
      <c r="G236" s="44"/>
      <c r="H236" s="123">
        <v>-1379.44</v>
      </c>
      <c r="I236" s="44"/>
      <c r="J236" s="123">
        <v>3417.03</v>
      </c>
      <c r="K236" s="44"/>
      <c r="L236" s="123">
        <v>-1346.24</v>
      </c>
      <c r="M236" s="44"/>
      <c r="N236" s="44"/>
      <c r="O236" s="123">
        <v>385357.0</v>
      </c>
      <c r="P236" s="52">
        <f t="shared" si="23"/>
        <v>385357.37</v>
      </c>
      <c r="Q236" s="124">
        <f t="shared" si="2"/>
        <v>-0.3700000001</v>
      </c>
      <c r="R236" s="52">
        <f t="array" ref="R236">IFERROR(INDEX('Fund YTD Target Values'!$1:$1000, MATCH($C236,'Fund YTD Target Values'!$A:$A,0), MATCH($A236,'Fund YTD Target Values'!$1:$1,0)),0)</f>
        <v>456546.9656</v>
      </c>
      <c r="S236" s="52">
        <f>IFERROR(__xludf.DUMMYFUNCTION("IFERROR(sum(FILTER('Fund Data'!$V:$V, 'Fund Data'!$C:$C = $C236, 'Fund Data'!$A:$A &lt; $A236)),0) + IFERROR(sum(FILTER('Fund Data'!$V:$V, 'Fund Data'!$C:$C = $C236, 'Fund Data'!$A:$A = $A236, 'Fund Data'!$B:$B &lt;= $B236)),0)"),366400.0)</f>
        <v>366400</v>
      </c>
      <c r="T236" s="123">
        <v>366400.0</v>
      </c>
      <c r="U236" s="44">
        <f t="shared" si="27"/>
        <v>0</v>
      </c>
      <c r="V236" s="44">
        <f t="shared" si="3"/>
        <v>0</v>
      </c>
      <c r="W236" s="123"/>
      <c r="X236" s="123"/>
      <c r="Y236" s="123">
        <v>0.0</v>
      </c>
      <c r="Z236" s="123">
        <v>0.0</v>
      </c>
      <c r="AA236" s="123">
        <v>0.0</v>
      </c>
      <c r="AB236" s="123"/>
      <c r="AC236" s="123">
        <v>0.0</v>
      </c>
      <c r="AD236" s="44">
        <f t="shared" si="7"/>
        <v>-14600</v>
      </c>
      <c r="AE236" s="123">
        <v>0.0</v>
      </c>
    </row>
    <row r="237">
      <c r="A237" s="120">
        <v>2018.0</v>
      </c>
      <c r="B237" s="121">
        <v>6.0</v>
      </c>
      <c r="C237" s="122" t="s">
        <v>66</v>
      </c>
      <c r="D237" s="44"/>
      <c r="E237" s="123">
        <v>4894.98</v>
      </c>
      <c r="F237" s="123">
        <v>-13800.0</v>
      </c>
      <c r="G237" s="44"/>
      <c r="H237" s="123">
        <v>-1189.83</v>
      </c>
      <c r="I237" s="44"/>
      <c r="J237" s="123">
        <v>3417.03</v>
      </c>
      <c r="K237" s="44"/>
      <c r="L237" s="123">
        <v>-7622.54</v>
      </c>
      <c r="M237" s="44"/>
      <c r="N237" s="44"/>
      <c r="O237" s="123">
        <v>379207.0</v>
      </c>
      <c r="P237" s="52">
        <f t="shared" si="23"/>
        <v>379207.3</v>
      </c>
      <c r="Q237" s="124">
        <f t="shared" si="2"/>
        <v>-0.3</v>
      </c>
      <c r="R237" s="52">
        <f t="array" ref="R237">IFERROR(INDEX('Fund YTD Target Values'!$1:$1000, MATCH($C237,'Fund YTD Target Values'!$A:$A,0), MATCH($A237,'Fund YTD Target Values'!$1:$1,0)),0)</f>
        <v>456546.9656</v>
      </c>
      <c r="S237" s="52">
        <f>IFERROR(__xludf.DUMMYFUNCTION("IFERROR(sum(FILTER('Fund Data'!$V:$V, 'Fund Data'!$C:$C = $C237, 'Fund Data'!$A:$A &lt; $A237)),0) + IFERROR(sum(FILTER('Fund Data'!$V:$V, 'Fund Data'!$C:$C = $C237, 'Fund Data'!$A:$A = $A237, 'Fund Data'!$B:$B &lt;= $B237)),0)"),366400.0)</f>
        <v>366400</v>
      </c>
      <c r="T237" s="123">
        <v>366400.0</v>
      </c>
      <c r="U237" s="44">
        <f t="shared" si="27"/>
        <v>0</v>
      </c>
      <c r="V237" s="44">
        <f t="shared" si="3"/>
        <v>0</v>
      </c>
      <c r="W237" s="123"/>
      <c r="X237" s="123"/>
      <c r="Y237" s="123">
        <v>0.0</v>
      </c>
      <c r="Z237" s="123">
        <v>0.0</v>
      </c>
      <c r="AA237" s="123">
        <v>0.0</v>
      </c>
      <c r="AB237" s="123"/>
      <c r="AC237" s="123">
        <v>0.0</v>
      </c>
      <c r="AD237" s="44">
        <f t="shared" si="7"/>
        <v>-13800</v>
      </c>
      <c r="AE237" s="123">
        <v>0.0</v>
      </c>
    </row>
    <row r="238">
      <c r="A238" s="120">
        <v>2018.0</v>
      </c>
      <c r="B238" s="121">
        <v>5.0</v>
      </c>
      <c r="C238" s="122" t="s">
        <v>66</v>
      </c>
      <c r="D238" s="44"/>
      <c r="E238" s="123">
        <v>4332.93</v>
      </c>
      <c r="F238" s="44"/>
      <c r="G238" s="44"/>
      <c r="H238" s="123">
        <v>-992.12</v>
      </c>
      <c r="I238" s="44"/>
      <c r="J238" s="44"/>
      <c r="K238" s="44"/>
      <c r="L238" s="123">
        <v>-1423.44</v>
      </c>
      <c r="M238" s="44"/>
      <c r="N238" s="44"/>
      <c r="O238" s="123">
        <v>395425.0</v>
      </c>
      <c r="P238" s="52">
        <f t="shared" si="23"/>
        <v>395425.03</v>
      </c>
      <c r="Q238" s="124">
        <f t="shared" si="2"/>
        <v>-0.03000000003</v>
      </c>
      <c r="R238" s="52">
        <f t="array" ref="R238">IFERROR(INDEX('Fund YTD Target Values'!$1:$1000, MATCH($C238,'Fund YTD Target Values'!$A:$A,0), MATCH($A238,'Fund YTD Target Values'!$1:$1,0)),0)</f>
        <v>456546.9656</v>
      </c>
      <c r="S238" s="52">
        <f>IFERROR(__xludf.DUMMYFUNCTION("IFERROR(sum(FILTER('Fund Data'!$V:$V, 'Fund Data'!$C:$C = $C238, 'Fund Data'!$A:$A &lt; $A238)),0) + IFERROR(sum(FILTER('Fund Data'!$V:$V, 'Fund Data'!$C:$C = $C238, 'Fund Data'!$A:$A = $A238, 'Fund Data'!$B:$B &lt;= $B238)),0)"),366400.0)</f>
        <v>366400</v>
      </c>
      <c r="T238" s="123">
        <v>366400.0</v>
      </c>
      <c r="U238" s="44">
        <f t="shared" si="27"/>
        <v>0</v>
      </c>
      <c r="V238" s="44">
        <f t="shared" si="3"/>
        <v>0</v>
      </c>
      <c r="W238" s="123"/>
      <c r="X238" s="123"/>
      <c r="Y238" s="123">
        <v>0.0</v>
      </c>
      <c r="Z238" s="123">
        <v>0.0</v>
      </c>
      <c r="AA238" s="123">
        <v>0.0</v>
      </c>
      <c r="AB238" s="123"/>
      <c r="AC238" s="123">
        <v>0.0</v>
      </c>
      <c r="AD238" s="44">
        <f t="shared" si="7"/>
        <v>0</v>
      </c>
      <c r="AE238" s="123">
        <v>0.0</v>
      </c>
    </row>
    <row r="239">
      <c r="A239" s="120">
        <v>2018.0</v>
      </c>
      <c r="B239" s="121">
        <v>4.0</v>
      </c>
      <c r="C239" s="122" t="s">
        <v>66</v>
      </c>
      <c r="D239" s="44"/>
      <c r="E239" s="123">
        <v>4021.79</v>
      </c>
      <c r="F239" s="44"/>
      <c r="G239" s="44"/>
      <c r="H239" s="123">
        <v>-794.88</v>
      </c>
      <c r="I239" s="44"/>
      <c r="J239" s="44"/>
      <c r="K239" s="44"/>
      <c r="L239" s="123">
        <v>-2252.05</v>
      </c>
      <c r="M239" s="44"/>
      <c r="N239" s="44"/>
      <c r="O239" s="123">
        <v>394482.0</v>
      </c>
      <c r="P239" s="52">
        <f t="shared" si="23"/>
        <v>394482.52</v>
      </c>
      <c r="Q239" s="124">
        <f t="shared" si="2"/>
        <v>-0.52</v>
      </c>
      <c r="R239" s="52">
        <f t="array" ref="R239">IFERROR(INDEX('Fund YTD Target Values'!$1:$1000, MATCH($C239,'Fund YTD Target Values'!$A:$A,0), MATCH($A239,'Fund YTD Target Values'!$1:$1,0)),0)</f>
        <v>456546.9656</v>
      </c>
      <c r="S239" s="52">
        <f>IFERROR(__xludf.DUMMYFUNCTION("IFERROR(sum(FILTER('Fund Data'!$V:$V, 'Fund Data'!$C:$C = $C239, 'Fund Data'!$A:$A &lt; $A239)),0) + IFERROR(sum(FILTER('Fund Data'!$V:$V, 'Fund Data'!$C:$C = $C239, 'Fund Data'!$A:$A = $A239, 'Fund Data'!$B:$B &lt;= $B239)),0)"),366400.0)</f>
        <v>366400</v>
      </c>
      <c r="T239" s="123">
        <v>366400.0</v>
      </c>
      <c r="U239" s="44">
        <f t="shared" si="27"/>
        <v>0</v>
      </c>
      <c r="V239" s="44">
        <f t="shared" si="3"/>
        <v>0</v>
      </c>
      <c r="W239" s="123"/>
      <c r="X239" s="123"/>
      <c r="Y239" s="123">
        <v>0.0</v>
      </c>
      <c r="Z239" s="123">
        <v>0.0</v>
      </c>
      <c r="AA239" s="123">
        <v>0.0</v>
      </c>
      <c r="AB239" s="123"/>
      <c r="AC239" s="123">
        <v>0.0</v>
      </c>
      <c r="AD239" s="44">
        <f t="shared" si="7"/>
        <v>0</v>
      </c>
      <c r="AE239" s="123">
        <v>0.0</v>
      </c>
    </row>
    <row r="240">
      <c r="A240" s="120">
        <v>2018.0</v>
      </c>
      <c r="B240" s="121">
        <v>3.0</v>
      </c>
      <c r="C240" s="122" t="s">
        <v>66</v>
      </c>
      <c r="D240" s="44"/>
      <c r="E240" s="123">
        <v>3072.5</v>
      </c>
      <c r="F240" s="44"/>
      <c r="G240" s="44"/>
      <c r="H240" s="123">
        <v>-598.18</v>
      </c>
      <c r="I240" s="44"/>
      <c r="J240" s="44"/>
      <c r="K240" s="44"/>
      <c r="L240" s="123">
        <v>-2574.14</v>
      </c>
      <c r="M240" s="44"/>
      <c r="N240" s="44"/>
      <c r="O240" s="123">
        <v>393407.0</v>
      </c>
      <c r="P240" s="52">
        <f t="shared" si="23"/>
        <v>393407.84</v>
      </c>
      <c r="Q240" s="124">
        <f t="shared" si="2"/>
        <v>-0.84</v>
      </c>
      <c r="R240" s="52">
        <f t="array" ref="R240">IFERROR(INDEX('Fund YTD Target Values'!$1:$1000, MATCH($C240,'Fund YTD Target Values'!$A:$A,0), MATCH($A240,'Fund YTD Target Values'!$1:$1,0)),0)</f>
        <v>456546.9656</v>
      </c>
      <c r="S240" s="52">
        <f>IFERROR(__xludf.DUMMYFUNCTION("IFERROR(sum(FILTER('Fund Data'!$V:$V, 'Fund Data'!$C:$C = $C240, 'Fund Data'!$A:$A &lt; $A240)),0) + IFERROR(sum(FILTER('Fund Data'!$V:$V, 'Fund Data'!$C:$C = $C240, 'Fund Data'!$A:$A = $A240, 'Fund Data'!$B:$B &lt;= $B240)),0)"),366400.0)</f>
        <v>366400</v>
      </c>
      <c r="T240" s="123">
        <v>366400.0</v>
      </c>
      <c r="U240" s="44">
        <f t="shared" si="27"/>
        <v>0</v>
      </c>
      <c r="V240" s="44">
        <f t="shared" si="3"/>
        <v>0</v>
      </c>
      <c r="W240" s="123"/>
      <c r="X240" s="123"/>
      <c r="Y240" s="123">
        <v>0.0</v>
      </c>
      <c r="Z240" s="123">
        <v>0.0</v>
      </c>
      <c r="AA240" s="123">
        <v>0.0</v>
      </c>
      <c r="AB240" s="123"/>
      <c r="AC240" s="123">
        <v>0.0</v>
      </c>
      <c r="AD240" s="44">
        <f t="shared" si="7"/>
        <v>0</v>
      </c>
      <c r="AE240" s="123">
        <v>0.0</v>
      </c>
    </row>
    <row r="241">
      <c r="A241" s="120">
        <v>2018.0</v>
      </c>
      <c r="B241" s="121">
        <v>2.0</v>
      </c>
      <c r="C241" s="122" t="s">
        <v>66</v>
      </c>
      <c r="D241" s="44"/>
      <c r="E241" s="123">
        <v>2726.26</v>
      </c>
      <c r="F241" s="44"/>
      <c r="G241" s="44"/>
      <c r="H241" s="123">
        <v>-976.66</v>
      </c>
      <c r="I241" s="44"/>
      <c r="J241" s="44"/>
      <c r="K241" s="44"/>
      <c r="L241" s="123">
        <v>168.84</v>
      </c>
      <c r="M241" s="44"/>
      <c r="N241" s="44"/>
      <c r="O241" s="123">
        <v>395426.0</v>
      </c>
      <c r="P241" s="52">
        <f t="shared" si="23"/>
        <v>395426.1</v>
      </c>
      <c r="Q241" s="124">
        <f t="shared" si="2"/>
        <v>-0.1</v>
      </c>
      <c r="R241" s="52">
        <f t="array" ref="R241">IFERROR(INDEX('Fund YTD Target Values'!$1:$1000, MATCH($C241,'Fund YTD Target Values'!$A:$A,0), MATCH($A241,'Fund YTD Target Values'!$1:$1,0)),0)</f>
        <v>456546.9656</v>
      </c>
      <c r="S241" s="52">
        <f>IFERROR(__xludf.DUMMYFUNCTION("IFERROR(sum(FILTER('Fund Data'!$V:$V, 'Fund Data'!$C:$C = $C241, 'Fund Data'!$A:$A &lt; $A241)),0) + IFERROR(sum(FILTER('Fund Data'!$V:$V, 'Fund Data'!$C:$C = $C241, 'Fund Data'!$A:$A = $A241, 'Fund Data'!$B:$B &lt;= $B241)),0)"),366400.0)</f>
        <v>366400</v>
      </c>
      <c r="T241" s="123">
        <v>366400.0</v>
      </c>
      <c r="U241" s="44">
        <f t="shared" si="27"/>
        <v>0</v>
      </c>
      <c r="V241" s="44">
        <f t="shared" si="3"/>
        <v>0</v>
      </c>
      <c r="W241" s="123"/>
      <c r="X241" s="123"/>
      <c r="Y241" s="123">
        <v>0.0</v>
      </c>
      <c r="Z241" s="123">
        <v>0.0</v>
      </c>
      <c r="AA241" s="123">
        <v>0.0</v>
      </c>
      <c r="AB241" s="123"/>
      <c r="AC241" s="123">
        <v>0.0</v>
      </c>
      <c r="AD241" s="44">
        <f t="shared" si="7"/>
        <v>0</v>
      </c>
      <c r="AE241" s="123">
        <v>0.0</v>
      </c>
    </row>
    <row r="242">
      <c r="A242" s="120">
        <v>2018.0</v>
      </c>
      <c r="B242" s="121">
        <v>1.0</v>
      </c>
      <c r="C242" s="122" t="s">
        <v>66</v>
      </c>
      <c r="D242" s="44"/>
      <c r="E242" s="123">
        <v>2433.75</v>
      </c>
      <c r="F242" s="44"/>
      <c r="G242" s="44"/>
      <c r="H242" s="123">
        <v>-772.94</v>
      </c>
      <c r="I242" s="44"/>
      <c r="J242" s="44"/>
      <c r="K242" s="44"/>
      <c r="L242" s="123">
        <v>12283.66</v>
      </c>
      <c r="M242" s="44"/>
      <c r="N242" s="44"/>
      <c r="O242" s="123">
        <v>407452.0</v>
      </c>
      <c r="P242" s="52">
        <f t="shared" si="23"/>
        <v>407452.13</v>
      </c>
      <c r="Q242" s="124">
        <f t="shared" si="2"/>
        <v>-0.13</v>
      </c>
      <c r="R242" s="52">
        <f t="array" ref="R242">IFERROR(INDEX('Fund YTD Target Values'!$1:$1000, MATCH($C242,'Fund YTD Target Values'!$A:$A,0), MATCH($A242,'Fund YTD Target Values'!$1:$1,0)),0)</f>
        <v>456546.9656</v>
      </c>
      <c r="S242" s="52">
        <f>IFERROR(__xludf.DUMMYFUNCTION("IFERROR(sum(FILTER('Fund Data'!$V:$V, 'Fund Data'!$C:$C = $C242, 'Fund Data'!$A:$A &lt; $A242)),0) + IFERROR(sum(FILTER('Fund Data'!$V:$V, 'Fund Data'!$C:$C = $C242, 'Fund Data'!$A:$A = $A242, 'Fund Data'!$B:$B &lt;= $B242)),0)"),366400.0)</f>
        <v>366400</v>
      </c>
      <c r="T242" s="123">
        <v>366400.0</v>
      </c>
      <c r="U242" s="44">
        <f t="shared" si="27"/>
        <v>0</v>
      </c>
      <c r="V242" s="44">
        <f t="shared" si="3"/>
        <v>0</v>
      </c>
      <c r="W242" s="123"/>
      <c r="X242" s="123"/>
      <c r="Y242" s="123">
        <v>0.0</v>
      </c>
      <c r="Z242" s="123">
        <v>0.0</v>
      </c>
      <c r="AA242" s="123">
        <v>0.0</v>
      </c>
      <c r="AB242" s="123"/>
      <c r="AC242" s="123">
        <v>0.0</v>
      </c>
      <c r="AD242" s="44">
        <f t="shared" si="7"/>
        <v>0</v>
      </c>
      <c r="AE242" s="123">
        <v>0.0</v>
      </c>
    </row>
    <row r="243">
      <c r="A243" s="120">
        <v>2017.0</v>
      </c>
      <c r="B243" s="121">
        <v>12.0</v>
      </c>
      <c r="C243" s="122" t="s">
        <v>66</v>
      </c>
      <c r="D243" s="44"/>
      <c r="E243" s="123">
        <v>8919.8</v>
      </c>
      <c r="F243" s="123">
        <v>-45000.0</v>
      </c>
      <c r="G243" s="123"/>
      <c r="H243" s="123">
        <v>-2429.84</v>
      </c>
      <c r="I243" s="44"/>
      <c r="J243" s="123">
        <v>12460.14</v>
      </c>
      <c r="K243" s="44"/>
      <c r="L243" s="123">
        <v>37677.01</v>
      </c>
      <c r="M243" s="44"/>
      <c r="N243" s="44"/>
      <c r="O243" s="123">
        <v>393507.0</v>
      </c>
      <c r="P243" s="52">
        <f t="shared" si="23"/>
        <v>393507.66</v>
      </c>
      <c r="Q243" s="124">
        <f t="shared" si="2"/>
        <v>-0.66</v>
      </c>
      <c r="R243" s="52">
        <f t="array" ref="R243">IFERROR(INDEX('Fund YTD Target Values'!$1:$1000, MATCH($C243,'Fund YTD Target Values'!$A:$A,0), MATCH($A243,'Fund YTD Target Values'!$1:$1,0)),0)</f>
        <v>445660.8761</v>
      </c>
      <c r="S243" s="52">
        <f>IFERROR(__xludf.DUMMYFUNCTION("IFERROR(sum(FILTER('Fund Data'!$V:$V, 'Fund Data'!$C:$C = $C243, 'Fund Data'!$A:$A &lt; $A243)),0) + IFERROR(sum(FILTER('Fund Data'!$V:$V, 'Fund Data'!$C:$C = $C243, 'Fund Data'!$A:$A = $A243, 'Fund Data'!$B:$B &lt;= $B243)),0)"),366400.0)</f>
        <v>366400</v>
      </c>
      <c r="T243" s="123">
        <v>366400.0</v>
      </c>
      <c r="U243" s="44">
        <f t="shared" si="27"/>
        <v>0</v>
      </c>
      <c r="V243" s="44">
        <f t="shared" si="3"/>
        <v>0</v>
      </c>
      <c r="W243" s="123"/>
      <c r="X243" s="123"/>
      <c r="Y243" s="123">
        <v>0.0</v>
      </c>
      <c r="Z243" s="123">
        <v>0.0</v>
      </c>
      <c r="AA243" s="123">
        <v>0.0</v>
      </c>
      <c r="AB243" s="123"/>
      <c r="AC243" s="123">
        <v>0.0</v>
      </c>
      <c r="AD243" s="44">
        <f t="shared" si="7"/>
        <v>-45000</v>
      </c>
      <c r="AE243" s="123">
        <v>0.0</v>
      </c>
    </row>
    <row r="244">
      <c r="A244" s="120">
        <v>2017.0</v>
      </c>
      <c r="B244" s="121">
        <v>11.0</v>
      </c>
      <c r="C244" s="122" t="s">
        <v>66</v>
      </c>
      <c r="D244" s="44"/>
      <c r="E244" s="123">
        <v>8364.18</v>
      </c>
      <c r="F244" s="123">
        <v>-45000.0</v>
      </c>
      <c r="G244" s="44"/>
      <c r="H244" s="123">
        <v>-2234.17</v>
      </c>
      <c r="I244" s="44"/>
      <c r="J244" s="123">
        <v>12460.14</v>
      </c>
      <c r="K244" s="44"/>
      <c r="L244" s="123">
        <v>35786.02</v>
      </c>
      <c r="M244" s="44"/>
      <c r="N244" s="44"/>
      <c r="O244" s="123">
        <v>391256.0</v>
      </c>
      <c r="P244" s="52">
        <f t="shared" si="23"/>
        <v>391256.72</v>
      </c>
      <c r="Q244" s="124">
        <f t="shared" si="2"/>
        <v>-0.72</v>
      </c>
      <c r="R244" s="52">
        <f t="array" ref="R244">IFERROR(INDEX('Fund YTD Target Values'!$1:$1000, MATCH($C244,'Fund YTD Target Values'!$A:$A,0), MATCH($A244,'Fund YTD Target Values'!$1:$1,0)),0)</f>
        <v>445660.8761</v>
      </c>
      <c r="S244" s="52">
        <f>IFERROR(__xludf.DUMMYFUNCTION("IFERROR(sum(FILTER('Fund Data'!$V:$V, 'Fund Data'!$C:$C = $C244, 'Fund Data'!$A:$A &lt; $A244)),0) + IFERROR(sum(FILTER('Fund Data'!$V:$V, 'Fund Data'!$C:$C = $C244, 'Fund Data'!$A:$A = $A244, 'Fund Data'!$B:$B &lt;= $B244)),0)"),366400.0)</f>
        <v>366400</v>
      </c>
      <c r="T244" s="123">
        <v>366400.0</v>
      </c>
      <c r="U244" s="44">
        <f t="shared" si="27"/>
        <v>0</v>
      </c>
      <c r="V244" s="44">
        <f t="shared" si="3"/>
        <v>0</v>
      </c>
      <c r="W244" s="123"/>
      <c r="X244" s="123"/>
      <c r="Y244" s="123">
        <v>0.0</v>
      </c>
      <c r="Z244" s="123">
        <v>0.0</v>
      </c>
      <c r="AA244" s="123">
        <v>0.0</v>
      </c>
      <c r="AB244" s="123"/>
      <c r="AC244" s="123">
        <v>0.0</v>
      </c>
      <c r="AD244" s="44">
        <f t="shared" si="7"/>
        <v>-45000</v>
      </c>
      <c r="AE244" s="123">
        <v>0.0</v>
      </c>
    </row>
    <row r="245">
      <c r="A245" s="120">
        <v>2017.0</v>
      </c>
      <c r="B245" s="121">
        <v>10.0</v>
      </c>
      <c r="C245" s="122" t="s">
        <v>66</v>
      </c>
      <c r="D245" s="44"/>
      <c r="E245" s="123">
        <v>8081.6</v>
      </c>
      <c r="F245" s="123">
        <v>-15700.0</v>
      </c>
      <c r="G245" s="44"/>
      <c r="H245" s="123">
        <v>-2025.98</v>
      </c>
      <c r="I245" s="44"/>
      <c r="J245" s="123">
        <v>2909.31</v>
      </c>
      <c r="K245" s="44"/>
      <c r="L245" s="123">
        <v>41064.34</v>
      </c>
      <c r="M245" s="44"/>
      <c r="N245" s="44"/>
      <c r="O245" s="123">
        <v>416209.0</v>
      </c>
      <c r="P245" s="52">
        <f t="shared" si="23"/>
        <v>416209.82</v>
      </c>
      <c r="Q245" s="124">
        <f t="shared" si="2"/>
        <v>-0.82</v>
      </c>
      <c r="R245" s="52">
        <f t="array" ref="R245">IFERROR(INDEX('Fund YTD Target Values'!$1:$1000, MATCH($C245,'Fund YTD Target Values'!$A:$A,0), MATCH($A245,'Fund YTD Target Values'!$1:$1,0)),0)</f>
        <v>445660.8761</v>
      </c>
      <c r="S245" s="52">
        <f>IFERROR(__xludf.DUMMYFUNCTION("IFERROR(sum(FILTER('Fund Data'!$V:$V, 'Fund Data'!$C:$C = $C245, 'Fund Data'!$A:$A &lt; $A245)),0) + IFERROR(sum(FILTER('Fund Data'!$V:$V, 'Fund Data'!$C:$C = $C245, 'Fund Data'!$A:$A = $A245, 'Fund Data'!$B:$B &lt;= $B245)),0)"),366400.0)</f>
        <v>366400</v>
      </c>
      <c r="T245" s="123">
        <v>366400.0</v>
      </c>
      <c r="U245" s="44">
        <f t="shared" si="27"/>
        <v>0</v>
      </c>
      <c r="V245" s="44">
        <f t="shared" si="3"/>
        <v>0</v>
      </c>
      <c r="W245" s="123"/>
      <c r="X245" s="123"/>
      <c r="Y245" s="123">
        <v>0.0</v>
      </c>
      <c r="Z245" s="123">
        <v>0.0</v>
      </c>
      <c r="AA245" s="123">
        <v>0.0</v>
      </c>
      <c r="AB245" s="123"/>
      <c r="AC245" s="123">
        <v>0.0</v>
      </c>
      <c r="AD245" s="44">
        <f t="shared" si="7"/>
        <v>-15700</v>
      </c>
      <c r="AE245" s="123">
        <v>0.0</v>
      </c>
    </row>
    <row r="246">
      <c r="A246" s="120">
        <v>2017.0</v>
      </c>
      <c r="B246" s="121">
        <v>9.0</v>
      </c>
      <c r="C246" s="122" t="s">
        <v>66</v>
      </c>
      <c r="D246" s="44"/>
      <c r="E246" s="123">
        <v>7207.46</v>
      </c>
      <c r="F246" s="123">
        <v>-5700.0</v>
      </c>
      <c r="G246" s="44"/>
      <c r="H246" s="123">
        <v>-1815.93</v>
      </c>
      <c r="I246" s="44"/>
      <c r="J246" s="44"/>
      <c r="K246" s="44"/>
      <c r="L246" s="123">
        <v>38527.18</v>
      </c>
      <c r="M246" s="44"/>
      <c r="N246" s="44"/>
      <c r="O246" s="123">
        <v>420099.0</v>
      </c>
      <c r="P246" s="52">
        <f t="shared" si="23"/>
        <v>420099.26</v>
      </c>
      <c r="Q246" s="124">
        <f t="shared" si="2"/>
        <v>-0.26</v>
      </c>
      <c r="R246" s="52">
        <f t="array" ref="R246">IFERROR(INDEX('Fund YTD Target Values'!$1:$1000, MATCH($C246,'Fund YTD Target Values'!$A:$A,0), MATCH($A246,'Fund YTD Target Values'!$1:$1,0)),0)</f>
        <v>445660.8761</v>
      </c>
      <c r="S246" s="52">
        <f>IFERROR(__xludf.DUMMYFUNCTION("IFERROR(sum(FILTER('Fund Data'!$V:$V, 'Fund Data'!$C:$C = $C246, 'Fund Data'!$A:$A &lt; $A246)),0) + IFERROR(sum(FILTER('Fund Data'!$V:$V, 'Fund Data'!$C:$C = $C246, 'Fund Data'!$A:$A = $A246, 'Fund Data'!$B:$B &lt;= $B246)),0)"),366400.0)</f>
        <v>366400</v>
      </c>
      <c r="T246" s="123">
        <v>366400.0</v>
      </c>
      <c r="U246" s="44">
        <f t="shared" si="27"/>
        <v>0</v>
      </c>
      <c r="V246" s="44">
        <f t="shared" si="3"/>
        <v>0</v>
      </c>
      <c r="W246" s="123"/>
      <c r="X246" s="123"/>
      <c r="Y246" s="123">
        <v>0.0</v>
      </c>
      <c r="Z246" s="123">
        <v>0.0</v>
      </c>
      <c r="AA246" s="123">
        <v>0.0</v>
      </c>
      <c r="AB246" s="123"/>
      <c r="AC246" s="123">
        <v>0.0</v>
      </c>
      <c r="AD246" s="44">
        <f t="shared" si="7"/>
        <v>-5700</v>
      </c>
      <c r="AE246" s="123">
        <v>0.0</v>
      </c>
    </row>
    <row r="247">
      <c r="A247" s="120">
        <v>2017.0</v>
      </c>
      <c r="B247" s="121">
        <v>8.0</v>
      </c>
      <c r="C247" s="122" t="s">
        <v>66</v>
      </c>
      <c r="D247" s="44"/>
      <c r="E247" s="123">
        <v>6684.33</v>
      </c>
      <c r="F247" s="123">
        <v>-5700.0</v>
      </c>
      <c r="G247" s="44"/>
      <c r="H247" s="123">
        <v>-1608.1</v>
      </c>
      <c r="I247" s="44"/>
      <c r="J247" s="44"/>
      <c r="K247" s="44"/>
      <c r="L247" s="123">
        <v>34408.74</v>
      </c>
      <c r="M247" s="44"/>
      <c r="N247" s="44"/>
      <c r="O247" s="123">
        <v>415665.0</v>
      </c>
      <c r="P247" s="52">
        <f t="shared" si="23"/>
        <v>415665.52</v>
      </c>
      <c r="Q247" s="124">
        <f t="shared" si="2"/>
        <v>-0.52</v>
      </c>
      <c r="R247" s="52">
        <f t="array" ref="R247">IFERROR(INDEX('Fund YTD Target Values'!$1:$1000, MATCH($C247,'Fund YTD Target Values'!$A:$A,0), MATCH($A247,'Fund YTD Target Values'!$1:$1,0)),0)</f>
        <v>445660.8761</v>
      </c>
      <c r="S247" s="52">
        <f>IFERROR(__xludf.DUMMYFUNCTION("IFERROR(sum(FILTER('Fund Data'!$V:$V, 'Fund Data'!$C:$C = $C247, 'Fund Data'!$A:$A &lt; $A247)),0) + IFERROR(sum(FILTER('Fund Data'!$V:$V, 'Fund Data'!$C:$C = $C247, 'Fund Data'!$A:$A = $A247, 'Fund Data'!$B:$B &lt;= $B247)),0)"),366400.0)</f>
        <v>366400</v>
      </c>
      <c r="T247" s="123">
        <v>366400.0</v>
      </c>
      <c r="U247" s="44">
        <f t="shared" si="27"/>
        <v>0</v>
      </c>
      <c r="V247" s="44">
        <f t="shared" si="3"/>
        <v>0</v>
      </c>
      <c r="W247" s="123"/>
      <c r="X247" s="123"/>
      <c r="Y247" s="123">
        <v>0.0</v>
      </c>
      <c r="Z247" s="123">
        <v>0.0</v>
      </c>
      <c r="AA247" s="123">
        <v>0.0</v>
      </c>
      <c r="AB247" s="123"/>
      <c r="AC247" s="123">
        <v>0.0</v>
      </c>
      <c r="AD247" s="44">
        <f t="shared" si="7"/>
        <v>-5700</v>
      </c>
      <c r="AE247" s="123">
        <v>0.0</v>
      </c>
    </row>
    <row r="248">
      <c r="A248" s="120">
        <v>2017.0</v>
      </c>
      <c r="B248" s="121">
        <v>7.0</v>
      </c>
      <c r="C248" s="122" t="s">
        <v>66</v>
      </c>
      <c r="D248" s="44"/>
      <c r="E248" s="123">
        <v>6397.18</v>
      </c>
      <c r="F248" s="44"/>
      <c r="G248" s="44"/>
      <c r="H248" s="123">
        <v>-1398.0</v>
      </c>
      <c r="I248" s="44"/>
      <c r="J248" s="44"/>
      <c r="K248" s="44"/>
      <c r="L248" s="123">
        <v>33324.2</v>
      </c>
      <c r="M248" s="44"/>
      <c r="N248" s="44"/>
      <c r="O248" s="123">
        <v>420204.0</v>
      </c>
      <c r="P248" s="52">
        <f t="shared" si="23"/>
        <v>420203.93</v>
      </c>
      <c r="Q248" s="124">
        <f t="shared" si="2"/>
        <v>0.07000000001</v>
      </c>
      <c r="R248" s="52">
        <f t="array" ref="R248">IFERROR(INDEX('Fund YTD Target Values'!$1:$1000, MATCH($C248,'Fund YTD Target Values'!$A:$A,0), MATCH($A248,'Fund YTD Target Values'!$1:$1,0)),0)</f>
        <v>445660.8761</v>
      </c>
      <c r="S248" s="52">
        <f>IFERROR(__xludf.DUMMYFUNCTION("IFERROR(sum(FILTER('Fund Data'!$V:$V, 'Fund Data'!$C:$C = $C248, 'Fund Data'!$A:$A &lt; $A248)),0) + IFERROR(sum(FILTER('Fund Data'!$V:$V, 'Fund Data'!$C:$C = $C248, 'Fund Data'!$A:$A = $A248, 'Fund Data'!$B:$B &lt;= $B248)),0)"),366400.0)</f>
        <v>366400</v>
      </c>
      <c r="T248" s="123">
        <v>366400.0</v>
      </c>
      <c r="U248" s="44">
        <f t="shared" si="27"/>
        <v>0</v>
      </c>
      <c r="V248" s="44">
        <f t="shared" si="3"/>
        <v>0</v>
      </c>
      <c r="W248" s="123"/>
      <c r="X248" s="123"/>
      <c r="Y248" s="123">
        <v>0.0</v>
      </c>
      <c r="Z248" s="123">
        <v>0.0</v>
      </c>
      <c r="AA248" s="123">
        <v>0.0</v>
      </c>
      <c r="AB248" s="123"/>
      <c r="AC248" s="123">
        <v>0.0</v>
      </c>
      <c r="AD248" s="44">
        <f t="shared" si="7"/>
        <v>0</v>
      </c>
      <c r="AE248" s="123">
        <v>0.0</v>
      </c>
    </row>
    <row r="249">
      <c r="A249" s="120">
        <v>2017.0</v>
      </c>
      <c r="B249" s="121">
        <v>6.0</v>
      </c>
      <c r="C249" s="122" t="s">
        <v>66</v>
      </c>
      <c r="D249" s="44"/>
      <c r="E249" s="123">
        <v>5089.48</v>
      </c>
      <c r="F249" s="44"/>
      <c r="G249" s="44"/>
      <c r="H249" s="123">
        <v>-1192.74</v>
      </c>
      <c r="I249" s="44"/>
      <c r="J249" s="44"/>
      <c r="K249" s="44"/>
      <c r="L249" s="123">
        <v>24747.7</v>
      </c>
      <c r="M249" s="44"/>
      <c r="N249" s="44"/>
      <c r="O249" s="123">
        <v>410525.0</v>
      </c>
      <c r="P249" s="52">
        <f t="shared" si="23"/>
        <v>410524.99</v>
      </c>
      <c r="Q249" s="124">
        <f t="shared" si="2"/>
        <v>0.01000000001</v>
      </c>
      <c r="R249" s="52">
        <f t="array" ref="R249">IFERROR(INDEX('Fund YTD Target Values'!$1:$1000, MATCH($C249,'Fund YTD Target Values'!$A:$A,0), MATCH($A249,'Fund YTD Target Values'!$1:$1,0)),0)</f>
        <v>445660.8761</v>
      </c>
      <c r="S249" s="52">
        <f>IFERROR(__xludf.DUMMYFUNCTION("IFERROR(sum(FILTER('Fund Data'!$V:$V, 'Fund Data'!$C:$C = $C249, 'Fund Data'!$A:$A &lt; $A249)),0) + IFERROR(sum(FILTER('Fund Data'!$V:$V, 'Fund Data'!$C:$C = $C249, 'Fund Data'!$A:$A = $A249, 'Fund Data'!$B:$B &lt;= $B249)),0)"),366400.0)</f>
        <v>366400</v>
      </c>
      <c r="T249" s="123">
        <v>366400.0</v>
      </c>
      <c r="U249" s="44">
        <f t="shared" si="27"/>
        <v>0</v>
      </c>
      <c r="V249" s="44">
        <f t="shared" si="3"/>
        <v>0</v>
      </c>
      <c r="W249" s="123"/>
      <c r="X249" s="123"/>
      <c r="Y249" s="123">
        <v>0.0</v>
      </c>
      <c r="Z249" s="123">
        <v>0.0</v>
      </c>
      <c r="AA249" s="123">
        <v>0.0</v>
      </c>
      <c r="AB249" s="123"/>
      <c r="AC249" s="123">
        <v>0.0</v>
      </c>
      <c r="AD249" s="44">
        <f t="shared" si="7"/>
        <v>0</v>
      </c>
      <c r="AE249" s="123">
        <v>0.0</v>
      </c>
    </row>
    <row r="250">
      <c r="A250" s="168">
        <v>2017.0</v>
      </c>
      <c r="B250" s="169">
        <v>5.0</v>
      </c>
      <c r="C250" s="122" t="s">
        <v>66</v>
      </c>
      <c r="D250" s="44"/>
      <c r="E250" s="123">
        <v>4816.33</v>
      </c>
      <c r="F250" s="44"/>
      <c r="G250" s="44"/>
      <c r="H250" s="123">
        <v>-987.95</v>
      </c>
      <c r="I250" s="44"/>
      <c r="J250" s="44"/>
      <c r="K250" s="44"/>
      <c r="L250" s="123">
        <v>23865.79</v>
      </c>
      <c r="M250" s="44"/>
      <c r="N250" s="44"/>
      <c r="O250" s="123">
        <v>409574.0</v>
      </c>
      <c r="P250" s="52">
        <f t="shared" si="23"/>
        <v>409574.72</v>
      </c>
      <c r="Q250" s="124">
        <f t="shared" si="2"/>
        <v>-0.72</v>
      </c>
      <c r="R250" s="52">
        <f t="array" ref="R250">IFERROR(INDEX('Fund YTD Target Values'!$1:$1000, MATCH($C250,'Fund YTD Target Values'!$A:$A,0), MATCH($A250,'Fund YTD Target Values'!$1:$1,0)),0)</f>
        <v>445660.8761</v>
      </c>
      <c r="S250" s="52">
        <f>IFERROR(__xludf.DUMMYFUNCTION("IFERROR(sum(FILTER('Fund Data'!$V:$V, 'Fund Data'!$C:$C = $C250, 'Fund Data'!$A:$A &lt; $A250)),0) + IFERROR(sum(FILTER('Fund Data'!$V:$V, 'Fund Data'!$C:$C = $C250, 'Fund Data'!$A:$A = $A250, 'Fund Data'!$B:$B &lt;= $B250)),0)"),366400.0)</f>
        <v>366400</v>
      </c>
      <c r="T250" s="123">
        <v>366400.0</v>
      </c>
      <c r="U250" s="44">
        <f t="shared" si="27"/>
        <v>0</v>
      </c>
      <c r="V250" s="44">
        <f t="shared" si="3"/>
        <v>0</v>
      </c>
      <c r="W250" s="123"/>
      <c r="X250" s="123"/>
      <c r="Y250" s="123">
        <v>0.0</v>
      </c>
      <c r="Z250" s="123">
        <v>0.0</v>
      </c>
      <c r="AA250" s="123">
        <v>0.0</v>
      </c>
      <c r="AB250" s="123"/>
      <c r="AC250" s="123">
        <v>0.0</v>
      </c>
      <c r="AD250" s="44">
        <f t="shared" si="7"/>
        <v>0</v>
      </c>
      <c r="AE250" s="123">
        <v>0.0</v>
      </c>
    </row>
    <row r="251">
      <c r="A251" s="120">
        <v>2017.0</v>
      </c>
      <c r="B251" s="121">
        <v>4.0</v>
      </c>
      <c r="C251" s="122" t="s">
        <v>66</v>
      </c>
      <c r="D251" s="44"/>
      <c r="E251" s="123">
        <v>4553.27</v>
      </c>
      <c r="F251" s="44"/>
      <c r="G251" s="44"/>
      <c r="H251" s="123">
        <v>-785.48</v>
      </c>
      <c r="I251" s="44"/>
      <c r="J251" s="44"/>
      <c r="K251" s="44"/>
      <c r="L251" s="123">
        <v>19293.56</v>
      </c>
      <c r="M251" s="44"/>
      <c r="N251" s="44"/>
      <c r="O251" s="123">
        <v>404941.0</v>
      </c>
      <c r="P251" s="52">
        <f t="shared" si="23"/>
        <v>404941.9</v>
      </c>
      <c r="Q251" s="124">
        <f t="shared" si="2"/>
        <v>-0.9</v>
      </c>
      <c r="R251" s="52">
        <f t="array" ref="R251">IFERROR(INDEX('Fund YTD Target Values'!$1:$1000, MATCH($C251,'Fund YTD Target Values'!$A:$A,0), MATCH($A251,'Fund YTD Target Values'!$1:$1,0)),0)</f>
        <v>445660.8761</v>
      </c>
      <c r="S251" s="52">
        <f>IFERROR(__xludf.DUMMYFUNCTION("IFERROR(sum(FILTER('Fund Data'!$V:$V, 'Fund Data'!$C:$C = $C251, 'Fund Data'!$A:$A &lt; $A251)),0) + IFERROR(sum(FILTER('Fund Data'!$V:$V, 'Fund Data'!$C:$C = $C251, 'Fund Data'!$A:$A = $A251, 'Fund Data'!$B:$B &lt;= $B251)),0)"),366400.0)</f>
        <v>366400</v>
      </c>
      <c r="T251" s="123">
        <v>366400.0</v>
      </c>
      <c r="U251" s="44">
        <f t="shared" si="27"/>
        <v>0</v>
      </c>
      <c r="V251" s="44">
        <f t="shared" si="3"/>
        <v>0</v>
      </c>
      <c r="W251" s="123"/>
      <c r="X251" s="123"/>
      <c r="Y251" s="123">
        <v>0.0</v>
      </c>
      <c r="Z251" s="123">
        <v>0.0</v>
      </c>
      <c r="AA251" s="123">
        <v>0.0</v>
      </c>
      <c r="AB251" s="123"/>
      <c r="AC251" s="123">
        <v>0.0</v>
      </c>
      <c r="AD251" s="44">
        <f t="shared" si="7"/>
        <v>0</v>
      </c>
      <c r="AE251" s="123">
        <v>0.0</v>
      </c>
    </row>
    <row r="252">
      <c r="A252" s="120">
        <v>2017.0</v>
      </c>
      <c r="B252" s="121">
        <v>3.0</v>
      </c>
      <c r="C252" s="122" t="s">
        <v>66</v>
      </c>
      <c r="D252" s="44"/>
      <c r="E252" s="123">
        <v>3445.47</v>
      </c>
      <c r="F252" s="44"/>
      <c r="G252" s="44"/>
      <c r="H252" s="123">
        <v>-585.49</v>
      </c>
      <c r="I252" s="44"/>
      <c r="J252" s="44"/>
      <c r="K252" s="44"/>
      <c r="L252" s="123">
        <v>15235.06</v>
      </c>
      <c r="M252" s="44"/>
      <c r="N252" s="44"/>
      <c r="O252" s="123">
        <v>399975.0</v>
      </c>
      <c r="P252" s="52">
        <f t="shared" si="23"/>
        <v>399975.59</v>
      </c>
      <c r="Q252" s="124">
        <f t="shared" si="2"/>
        <v>-0.59</v>
      </c>
      <c r="R252" s="52">
        <f t="array" ref="R252">IFERROR(INDEX('Fund YTD Target Values'!$1:$1000, MATCH($C252,'Fund YTD Target Values'!$A:$A,0), MATCH($A252,'Fund YTD Target Values'!$1:$1,0)),0)</f>
        <v>445660.8761</v>
      </c>
      <c r="S252" s="52">
        <f>IFERROR(__xludf.DUMMYFUNCTION("IFERROR(sum(FILTER('Fund Data'!$V:$V, 'Fund Data'!$C:$C = $C252, 'Fund Data'!$A:$A &lt; $A252)),0) + IFERROR(sum(FILTER('Fund Data'!$V:$V, 'Fund Data'!$C:$C = $C252, 'Fund Data'!$A:$A = $A252, 'Fund Data'!$B:$B &lt;= $B252)),0)"),366400.0)</f>
        <v>366400</v>
      </c>
      <c r="T252" s="123">
        <v>366400.0</v>
      </c>
      <c r="U252" s="44">
        <f t="shared" si="27"/>
        <v>0</v>
      </c>
      <c r="V252" s="44">
        <f t="shared" si="3"/>
        <v>0</v>
      </c>
      <c r="W252" s="123"/>
      <c r="X252" s="123"/>
      <c r="Y252" s="123">
        <v>0.0</v>
      </c>
      <c r="Z252" s="123">
        <v>0.0</v>
      </c>
      <c r="AA252" s="123">
        <v>0.0</v>
      </c>
      <c r="AB252" s="123"/>
      <c r="AC252" s="123">
        <v>0.0</v>
      </c>
      <c r="AD252" s="44">
        <f t="shared" si="7"/>
        <v>0</v>
      </c>
      <c r="AE252" s="123">
        <v>0.0</v>
      </c>
    </row>
    <row r="253">
      <c r="A253" s="168">
        <v>2017.0</v>
      </c>
      <c r="B253" s="169">
        <v>2.0</v>
      </c>
      <c r="C253" s="122" t="s">
        <v>66</v>
      </c>
      <c r="D253" s="44"/>
      <c r="E253" s="123">
        <v>3178.4</v>
      </c>
      <c r="F253" s="44"/>
      <c r="G253" s="44"/>
      <c r="H253" s="123">
        <v>-386.25</v>
      </c>
      <c r="I253" s="44"/>
      <c r="J253" s="44"/>
      <c r="K253" s="44"/>
      <c r="L253" s="123">
        <v>13808.02</v>
      </c>
      <c r="M253" s="44"/>
      <c r="N253" s="44"/>
      <c r="O253" s="123">
        <v>398480.0</v>
      </c>
      <c r="P253" s="52">
        <f t="shared" si="23"/>
        <v>398480.72</v>
      </c>
      <c r="Q253" s="124">
        <f t="shared" si="2"/>
        <v>-0.72</v>
      </c>
      <c r="R253" s="52">
        <f t="array" ref="R253">IFERROR(INDEX('Fund YTD Target Values'!$1:$1000, MATCH($C253,'Fund YTD Target Values'!$A:$A,0), MATCH($A253,'Fund YTD Target Values'!$1:$1,0)),0)</f>
        <v>445660.8761</v>
      </c>
      <c r="S253" s="52">
        <f>IFERROR(__xludf.DUMMYFUNCTION("IFERROR(sum(FILTER('Fund Data'!$V:$V, 'Fund Data'!$C:$C = $C253, 'Fund Data'!$A:$A &lt; $A253)),0) + IFERROR(sum(FILTER('Fund Data'!$V:$V, 'Fund Data'!$C:$C = $C253, 'Fund Data'!$A:$A = $A253, 'Fund Data'!$B:$B &lt;= $B253)),0)"),366400.0)</f>
        <v>366400</v>
      </c>
      <c r="T253" s="123">
        <v>366400.0</v>
      </c>
      <c r="U253" s="44">
        <f t="shared" si="27"/>
        <v>0</v>
      </c>
      <c r="V253" s="44">
        <f t="shared" si="3"/>
        <v>0</v>
      </c>
      <c r="W253" s="123"/>
      <c r="X253" s="123"/>
      <c r="Y253" s="123">
        <v>0.0</v>
      </c>
      <c r="Z253" s="123">
        <v>0.0</v>
      </c>
      <c r="AA253" s="123">
        <v>0.0</v>
      </c>
      <c r="AB253" s="123"/>
      <c r="AC253" s="123">
        <v>0.0</v>
      </c>
      <c r="AD253" s="44">
        <f t="shared" si="7"/>
        <v>0</v>
      </c>
      <c r="AE253" s="123">
        <v>0.0</v>
      </c>
    </row>
    <row r="254">
      <c r="A254" s="168">
        <v>2017.0</v>
      </c>
      <c r="B254" s="169">
        <v>1.0</v>
      </c>
      <c r="C254" s="122" t="s">
        <v>66</v>
      </c>
      <c r="D254" s="44"/>
      <c r="E254" s="123">
        <v>2902.86</v>
      </c>
      <c r="F254" s="44"/>
      <c r="G254" s="44"/>
      <c r="H254" s="123">
        <v>-190.94</v>
      </c>
      <c r="I254" s="44"/>
      <c r="J254" s="44"/>
      <c r="K254" s="44"/>
      <c r="L254" s="123">
        <v>6036.37</v>
      </c>
      <c r="M254" s="44"/>
      <c r="N254" s="44"/>
      <c r="O254" s="123">
        <v>390628.0</v>
      </c>
      <c r="P254" s="52">
        <f t="shared" si="23"/>
        <v>390628.84</v>
      </c>
      <c r="Q254" s="124">
        <f t="shared" si="2"/>
        <v>-0.84</v>
      </c>
      <c r="R254" s="52">
        <f t="array" ref="R254">IFERROR(INDEX('Fund YTD Target Values'!$1:$1000, MATCH($C254,'Fund YTD Target Values'!$A:$A,0), MATCH($A254,'Fund YTD Target Values'!$1:$1,0)),0)</f>
        <v>445660.8761</v>
      </c>
      <c r="S254" s="52">
        <f>IFERROR(__xludf.DUMMYFUNCTION("IFERROR(sum(FILTER('Fund Data'!$V:$V, 'Fund Data'!$C:$C = $C254, 'Fund Data'!$A:$A &lt; $A254)),0) + IFERROR(sum(FILTER('Fund Data'!$V:$V, 'Fund Data'!$C:$C = $C254, 'Fund Data'!$A:$A = $A254, 'Fund Data'!$B:$B &lt;= $B254)),0)"),366400.0)</f>
        <v>366400</v>
      </c>
      <c r="T254" s="123">
        <v>366400.0</v>
      </c>
      <c r="U254" s="44">
        <f t="shared" si="27"/>
        <v>0</v>
      </c>
      <c r="V254" s="44">
        <f t="shared" si="3"/>
        <v>0</v>
      </c>
      <c r="W254" s="123"/>
      <c r="X254" s="123"/>
      <c r="Y254" s="123">
        <v>0.0</v>
      </c>
      <c r="Z254" s="123">
        <v>0.0</v>
      </c>
      <c r="AA254" s="123">
        <v>0.0</v>
      </c>
      <c r="AB254" s="123"/>
      <c r="AC254" s="123">
        <v>0.0</v>
      </c>
      <c r="AD254" s="44">
        <f t="shared" si="7"/>
        <v>0</v>
      </c>
      <c r="AE254" s="123">
        <v>0.0</v>
      </c>
    </row>
    <row r="255">
      <c r="A255" s="120">
        <v>2016.0</v>
      </c>
      <c r="B255" s="121">
        <v>12.0</v>
      </c>
      <c r="C255" s="122" t="s">
        <v>66</v>
      </c>
      <c r="D255" s="44"/>
      <c r="E255" s="123">
        <v>8365.4</v>
      </c>
      <c r="F255" s="123">
        <v>-19000.0</v>
      </c>
      <c r="G255" s="123"/>
      <c r="H255" s="123">
        <v>-2292.15</v>
      </c>
      <c r="I255" s="44"/>
      <c r="J255" s="123">
        <v>3107.25</v>
      </c>
      <c r="K255" s="44"/>
      <c r="L255" s="123">
        <v>13851.6</v>
      </c>
      <c r="M255" s="44"/>
      <c r="N255" s="44"/>
      <c r="O255" s="123">
        <v>381880.0</v>
      </c>
      <c r="P255" s="52">
        <f t="shared" si="23"/>
        <v>381880.55</v>
      </c>
      <c r="Q255" s="124">
        <f t="shared" si="2"/>
        <v>-0.55</v>
      </c>
      <c r="R255" s="52">
        <f t="array" ref="R255">IFERROR(INDEX('Fund YTD Target Values'!$1:$1000, MATCH($C255,'Fund YTD Target Values'!$A:$A,0), MATCH($A255,'Fund YTD Target Values'!$1:$1,0)),0)</f>
        <v>436359.3746</v>
      </c>
      <c r="S255" s="52">
        <f>IFERROR(__xludf.DUMMYFUNCTION("IFERROR(sum(FILTER('Fund Data'!$V:$V, 'Fund Data'!$C:$C = $C255, 'Fund Data'!$A:$A &lt; $A255)),0) + IFERROR(sum(FILTER('Fund Data'!$V:$V, 'Fund Data'!$C:$C = $C255, 'Fund Data'!$A:$A = $A255, 'Fund Data'!$B:$B &lt;= $B255)),0)"),366400.0)</f>
        <v>366400</v>
      </c>
      <c r="T255" s="123">
        <v>366400.0</v>
      </c>
      <c r="U255" s="44">
        <f t="shared" si="27"/>
        <v>0</v>
      </c>
      <c r="V255" s="44">
        <f t="shared" si="3"/>
        <v>0</v>
      </c>
      <c r="W255" s="123"/>
      <c r="X255" s="123"/>
      <c r="Y255" s="123">
        <v>0.0</v>
      </c>
      <c r="Z255" s="123">
        <v>0.0</v>
      </c>
      <c r="AA255" s="123">
        <v>0.0</v>
      </c>
      <c r="AB255" s="123"/>
      <c r="AC255" s="123">
        <v>0.0</v>
      </c>
      <c r="AD255" s="44">
        <f t="shared" si="7"/>
        <v>-19000</v>
      </c>
      <c r="AE255" s="123">
        <v>0.0</v>
      </c>
    </row>
    <row r="256">
      <c r="A256" s="120">
        <v>2015.0</v>
      </c>
      <c r="B256" s="121">
        <v>12.0</v>
      </c>
      <c r="C256" s="122" t="s">
        <v>66</v>
      </c>
      <c r="D256" s="44"/>
      <c r="E256" s="123">
        <v>9953.33</v>
      </c>
      <c r="F256" s="123">
        <v>-45000.0</v>
      </c>
      <c r="G256" s="123"/>
      <c r="H256" s="123">
        <v>-2524.1</v>
      </c>
      <c r="I256" s="44"/>
      <c r="J256" s="123">
        <v>8090.54</v>
      </c>
      <c r="K256" s="44"/>
      <c r="L256" s="123">
        <v>-25798.78</v>
      </c>
      <c r="M256" s="44"/>
      <c r="N256" s="44"/>
      <c r="O256" s="123">
        <v>377848.0</v>
      </c>
      <c r="P256" s="52">
        <f t="shared" si="23"/>
        <v>377848.45</v>
      </c>
      <c r="Q256" s="124">
        <f t="shared" si="2"/>
        <v>-0.45</v>
      </c>
      <c r="R256" s="52">
        <f t="array" ref="R256">IFERROR(INDEX('Fund YTD Target Values'!$1:$1000, MATCH($C256,'Fund YTD Target Values'!$A:$A,0), MATCH($A256,'Fund YTD Target Values'!$1:$1,0)),0)</f>
        <v>430921.8142</v>
      </c>
      <c r="S256" s="52">
        <f>IFERROR(__xludf.DUMMYFUNCTION("IFERROR(sum(FILTER('Fund Data'!$V:$V, 'Fund Data'!$C:$C = $C256, 'Fund Data'!$A:$A &lt; $A256)),0) + IFERROR(sum(FILTER('Fund Data'!$V:$V, 'Fund Data'!$C:$C = $C256, 'Fund Data'!$A:$A = $A256, 'Fund Data'!$B:$B &lt;= $B256)),0)"),366400.0)</f>
        <v>366400</v>
      </c>
      <c r="T256" s="123">
        <v>366400.0</v>
      </c>
      <c r="U256" s="44">
        <f t="shared" si="27"/>
        <v>0</v>
      </c>
      <c r="V256" s="44">
        <f t="shared" si="3"/>
        <v>0</v>
      </c>
      <c r="W256" s="123"/>
      <c r="X256" s="123"/>
      <c r="Y256" s="123">
        <v>0.0</v>
      </c>
      <c r="Z256" s="123">
        <v>0.0</v>
      </c>
      <c r="AA256" s="123">
        <v>0.0</v>
      </c>
      <c r="AB256" s="123"/>
      <c r="AC256" s="123">
        <v>0.0</v>
      </c>
      <c r="AD256" s="44">
        <f t="shared" si="7"/>
        <v>-45000</v>
      </c>
      <c r="AE256" s="123">
        <v>0.0</v>
      </c>
    </row>
    <row r="257">
      <c r="A257" s="120">
        <v>2014.0</v>
      </c>
      <c r="B257" s="121">
        <v>12.0</v>
      </c>
      <c r="C257" s="122" t="s">
        <v>66</v>
      </c>
      <c r="D257" s="44"/>
      <c r="E257" s="123">
        <v>8449.39</v>
      </c>
      <c r="F257" s="123">
        <v>-22500.0</v>
      </c>
      <c r="G257" s="123"/>
      <c r="H257" s="123">
        <v>-2723.23</v>
      </c>
      <c r="I257" s="44"/>
      <c r="J257" s="123">
        <v>2893.58</v>
      </c>
      <c r="K257" s="44"/>
      <c r="L257" s="123">
        <v>-589.92</v>
      </c>
      <c r="M257" s="44"/>
      <c r="N257" s="44"/>
      <c r="O257" s="123">
        <v>433127.0</v>
      </c>
      <c r="P257" s="52">
        <f t="shared" si="23"/>
        <v>433127.46</v>
      </c>
      <c r="Q257" s="124">
        <f t="shared" si="2"/>
        <v>-0.46</v>
      </c>
      <c r="R257" s="52">
        <f t="array" ref="R257">IFERROR(INDEX('Fund YTD Target Values'!$1:$1000, MATCH($C257,'Fund YTD Target Values'!$A:$A,0), MATCH($A257,'Fund YTD Target Values'!$1:$1,0)),0)</f>
        <v>430410.0585</v>
      </c>
      <c r="S257" s="52">
        <f>IFERROR(__xludf.DUMMYFUNCTION("IFERROR(sum(FILTER('Fund Data'!$V:$V, 'Fund Data'!$C:$C = $C257, 'Fund Data'!$A:$A &lt; $A257)),0) + IFERROR(sum(FILTER('Fund Data'!$V:$V, 'Fund Data'!$C:$C = $C257, 'Fund Data'!$A:$A = $A257, 'Fund Data'!$B:$B &lt;= $B257)),0)"),366400.0)</f>
        <v>366400</v>
      </c>
      <c r="T257" s="123">
        <v>366400.0</v>
      </c>
      <c r="U257" s="44">
        <f t="shared" si="27"/>
        <v>0</v>
      </c>
      <c r="V257" s="44">
        <f t="shared" si="3"/>
        <v>0</v>
      </c>
      <c r="W257" s="123"/>
      <c r="X257" s="123"/>
      <c r="Y257" s="123">
        <v>0.0</v>
      </c>
      <c r="Z257" s="123">
        <v>0.0</v>
      </c>
      <c r="AA257" s="123">
        <v>0.0</v>
      </c>
      <c r="AB257" s="123"/>
      <c r="AC257" s="123">
        <v>0.0</v>
      </c>
      <c r="AD257" s="44">
        <f t="shared" si="7"/>
        <v>-22500</v>
      </c>
      <c r="AE257" s="123">
        <v>0.0</v>
      </c>
    </row>
    <row r="258">
      <c r="A258" s="120">
        <v>2013.0</v>
      </c>
      <c r="B258" s="121">
        <v>12.0</v>
      </c>
      <c r="C258" s="122" t="s">
        <v>66</v>
      </c>
      <c r="D258" s="44"/>
      <c r="E258" s="123">
        <v>8955.48</v>
      </c>
      <c r="F258" s="123">
        <v>-17500.0</v>
      </c>
      <c r="G258" s="123"/>
      <c r="H258" s="123">
        <v>-2606.29</v>
      </c>
      <c r="I258" s="44"/>
      <c r="J258" s="123">
        <v>3645.79</v>
      </c>
      <c r="K258" s="44"/>
      <c r="L258" s="123">
        <v>34288.85</v>
      </c>
      <c r="M258" s="44"/>
      <c r="N258" s="44"/>
      <c r="O258" s="123">
        <v>447597.0</v>
      </c>
      <c r="P258" s="52">
        <f t="shared" si="23"/>
        <v>447597.64</v>
      </c>
      <c r="Q258" s="124">
        <f t="shared" si="2"/>
        <v>-0.64</v>
      </c>
      <c r="R258" s="52">
        <f t="array" ref="R258">IFERROR(INDEX('Fund YTD Target Values'!$1:$1000, MATCH($C258,'Fund YTD Target Values'!$A:$A,0), MATCH($A258,'Fund YTD Target Values'!$1:$1,0)),0)</f>
        <v>423540.6326</v>
      </c>
      <c r="S258" s="52">
        <f>IFERROR(__xludf.DUMMYFUNCTION("IFERROR(sum(FILTER('Fund Data'!$V:$V, 'Fund Data'!$C:$C = $C258, 'Fund Data'!$A:$A &lt; $A258)),0) + IFERROR(sum(FILTER('Fund Data'!$V:$V, 'Fund Data'!$C:$C = $C258, 'Fund Data'!$A:$A = $A258, 'Fund Data'!$B:$B &lt;= $B258)),0)"),366400.0)</f>
        <v>366400</v>
      </c>
      <c r="T258" s="123">
        <v>366400.0</v>
      </c>
      <c r="U258" s="44">
        <f t="shared" si="27"/>
        <v>0</v>
      </c>
      <c r="V258" s="44">
        <f t="shared" si="3"/>
        <v>0</v>
      </c>
      <c r="W258" s="123"/>
      <c r="X258" s="123"/>
      <c r="Y258" s="123">
        <v>0.0</v>
      </c>
      <c r="Z258" s="123">
        <v>0.0</v>
      </c>
      <c r="AA258" s="123">
        <v>0.0</v>
      </c>
      <c r="AB258" s="123"/>
      <c r="AC258" s="123">
        <v>0.0</v>
      </c>
      <c r="AD258" s="44">
        <f t="shared" si="7"/>
        <v>-17500</v>
      </c>
      <c r="AE258" s="123">
        <v>0.0</v>
      </c>
    </row>
    <row r="259">
      <c r="A259" s="120">
        <v>2012.0</v>
      </c>
      <c r="B259" s="121">
        <v>12.0</v>
      </c>
      <c r="C259" s="122" t="s">
        <v>66</v>
      </c>
      <c r="D259" s="44"/>
      <c r="E259" s="123">
        <v>8560.25</v>
      </c>
      <c r="F259" s="123">
        <v>-25000.0</v>
      </c>
      <c r="G259" s="123"/>
      <c r="H259" s="123">
        <v>-2529.31</v>
      </c>
      <c r="I259" s="44"/>
      <c r="J259" s="123">
        <v>3236.81</v>
      </c>
      <c r="K259" s="44"/>
      <c r="L259" s="123">
        <v>38525.81</v>
      </c>
      <c r="M259" s="44"/>
      <c r="N259" s="44"/>
      <c r="O259" s="123">
        <v>420814.0</v>
      </c>
      <c r="P259" s="52">
        <f t="shared" si="23"/>
        <v>420813.81</v>
      </c>
      <c r="Q259" s="124">
        <f t="shared" si="2"/>
        <v>0.19</v>
      </c>
      <c r="R259" s="52">
        <f t="array" ref="R259">IFERROR(INDEX('Fund YTD Target Values'!$1:$1000, MATCH($C259,'Fund YTD Target Values'!$A:$A,0), MATCH($A259,'Fund YTD Target Values'!$1:$1,0)),0)</f>
        <v>417421.05</v>
      </c>
      <c r="S259" s="52">
        <f>IFERROR(__xludf.DUMMYFUNCTION("IFERROR(sum(FILTER('Fund Data'!$V:$V, 'Fund Data'!$C:$C = $C259, 'Fund Data'!$A:$A &lt; $A259)),0) + IFERROR(sum(FILTER('Fund Data'!$V:$V, 'Fund Data'!$C:$C = $C259, 'Fund Data'!$A:$A = $A259, 'Fund Data'!$B:$B &lt;= $B259)),0)"),366400.0)</f>
        <v>366400</v>
      </c>
      <c r="T259" s="123">
        <v>366400.0</v>
      </c>
      <c r="U259" s="44">
        <f t="shared" si="27"/>
        <v>0</v>
      </c>
      <c r="V259" s="44">
        <f t="shared" si="3"/>
        <v>0</v>
      </c>
      <c r="W259" s="123"/>
      <c r="X259" s="123"/>
      <c r="Y259" s="123">
        <v>0.0</v>
      </c>
      <c r="Z259" s="123">
        <v>0.0</v>
      </c>
      <c r="AA259" s="123">
        <v>0.0</v>
      </c>
      <c r="AB259" s="123"/>
      <c r="AC259" s="123">
        <v>0.0</v>
      </c>
      <c r="AD259" s="44">
        <f t="shared" si="7"/>
        <v>-25000</v>
      </c>
      <c r="AE259" s="123">
        <v>0.0</v>
      </c>
    </row>
    <row r="260">
      <c r="A260" s="120">
        <v>2011.0</v>
      </c>
      <c r="B260" s="121">
        <v>12.0</v>
      </c>
      <c r="C260" s="122" t="s">
        <v>66</v>
      </c>
      <c r="D260" s="44"/>
      <c r="E260" s="123">
        <v>7307.1</v>
      </c>
      <c r="F260" s="123">
        <v>-13000.0</v>
      </c>
      <c r="G260" s="123"/>
      <c r="H260" s="123">
        <v>-2602.2</v>
      </c>
      <c r="I260" s="44"/>
      <c r="J260" s="123">
        <v>1333.03</v>
      </c>
      <c r="K260" s="44"/>
      <c r="L260" s="123">
        <v>-28296.87</v>
      </c>
      <c r="M260" s="44"/>
      <c r="N260" s="44"/>
      <c r="O260" s="123">
        <v>398020.0</v>
      </c>
      <c r="P260" s="52">
        <f t="shared" si="23"/>
        <v>398020.25</v>
      </c>
      <c r="Q260" s="124">
        <f t="shared" si="2"/>
        <v>-0.25</v>
      </c>
      <c r="R260" s="52">
        <f t="array" ref="R260">IFERROR(INDEX('Fund YTD Target Values'!$1:$1000, MATCH($C260,'Fund YTD Target Values'!$A:$A,0), MATCH($A260,'Fund YTD Target Values'!$1:$1,0)),0)</f>
        <v>408942.876</v>
      </c>
      <c r="S260" s="52">
        <f>IFERROR(__xludf.DUMMYFUNCTION("IFERROR(sum(FILTER('Fund Data'!$V:$V, 'Fund Data'!$C:$C = $C260, 'Fund Data'!$A:$A &lt; $A260)),0) + IFERROR(sum(FILTER('Fund Data'!$V:$V, 'Fund Data'!$C:$C = $C260, 'Fund Data'!$A:$A = $A260, 'Fund Data'!$B:$B &lt;= $B260)),0)"),366400.0)</f>
        <v>366400</v>
      </c>
      <c r="T260" s="123">
        <v>366400.0</v>
      </c>
      <c r="U260" s="44">
        <f t="shared" si="27"/>
        <v>0</v>
      </c>
      <c r="V260" s="44">
        <f t="shared" si="3"/>
        <v>0</v>
      </c>
      <c r="W260" s="123"/>
      <c r="X260" s="123"/>
      <c r="Y260" s="123">
        <v>0.0</v>
      </c>
      <c r="Z260" s="123">
        <v>0.0</v>
      </c>
      <c r="AA260" s="123">
        <v>0.0</v>
      </c>
      <c r="AB260" s="123"/>
      <c r="AC260" s="123">
        <v>0.0</v>
      </c>
      <c r="AD260" s="44">
        <f t="shared" si="7"/>
        <v>-13000</v>
      </c>
      <c r="AE260" s="123">
        <v>0.0</v>
      </c>
    </row>
    <row r="261">
      <c r="A261" s="120">
        <v>2010.0</v>
      </c>
      <c r="B261" s="121">
        <v>12.0</v>
      </c>
      <c r="C261" s="122" t="s">
        <v>66</v>
      </c>
      <c r="D261" s="44"/>
      <c r="E261" s="123">
        <v>8382.13</v>
      </c>
      <c r="F261" s="123">
        <v>-15000.0</v>
      </c>
      <c r="G261" s="123"/>
      <c r="H261" s="123">
        <v>-2375.14</v>
      </c>
      <c r="I261" s="44"/>
      <c r="J261" s="123">
        <v>928.72</v>
      </c>
      <c r="K261" s="44"/>
      <c r="L261" s="123">
        <v>45146.17</v>
      </c>
      <c r="M261" s="44"/>
      <c r="N261" s="44"/>
      <c r="O261" s="123">
        <v>433279.0</v>
      </c>
      <c r="P261" s="52">
        <f t="shared" si="23"/>
        <v>433279.19</v>
      </c>
      <c r="Q261" s="124">
        <f t="shared" si="2"/>
        <v>-0.19</v>
      </c>
      <c r="R261" s="52">
        <f t="array" ref="R261">IFERROR(INDEX('Fund YTD Target Values'!$1:$1000, MATCH($C261,'Fund YTD Target Values'!$A:$A,0), MATCH($A261,'Fund YTD Target Values'!$1:$1,0)),0)</f>
        <v>396434.5669</v>
      </c>
      <c r="S261" s="52">
        <f>IFERROR(__xludf.DUMMYFUNCTION("IFERROR(sum(FILTER('Fund Data'!$V:$V, 'Fund Data'!$C:$C = $C261, 'Fund Data'!$A:$A &lt; $A261)),0) + IFERROR(sum(FILTER('Fund Data'!$V:$V, 'Fund Data'!$C:$C = $C261, 'Fund Data'!$A:$A = $A261, 'Fund Data'!$B:$B &lt;= $B261)),0)"),366400.0)</f>
        <v>366400</v>
      </c>
      <c r="T261" s="123">
        <v>366400.0</v>
      </c>
      <c r="U261" s="44">
        <f t="shared" si="27"/>
        <v>0</v>
      </c>
      <c r="V261" s="44">
        <f t="shared" si="3"/>
        <v>0</v>
      </c>
      <c r="W261" s="123"/>
      <c r="X261" s="123"/>
      <c r="Y261" s="123">
        <v>0.0</v>
      </c>
      <c r="Z261" s="123">
        <v>0.0</v>
      </c>
      <c r="AA261" s="123">
        <v>0.0</v>
      </c>
      <c r="AB261" s="123"/>
      <c r="AC261" s="123">
        <v>0.0</v>
      </c>
      <c r="AD261" s="44">
        <f t="shared" si="7"/>
        <v>-15000</v>
      </c>
      <c r="AE261" s="123">
        <v>0.0</v>
      </c>
    </row>
    <row r="262">
      <c r="A262" s="120">
        <v>2009.0</v>
      </c>
      <c r="B262" s="121">
        <v>12.0</v>
      </c>
      <c r="C262" s="122" t="s">
        <v>66</v>
      </c>
      <c r="D262" s="44"/>
      <c r="E262" s="123">
        <v>10476.18</v>
      </c>
      <c r="F262" s="123">
        <v>-11000.0</v>
      </c>
      <c r="G262" s="123"/>
      <c r="H262" s="123">
        <v>-2125.22</v>
      </c>
      <c r="I262" s="44"/>
      <c r="J262" s="123">
        <v>180.9</v>
      </c>
      <c r="K262" s="44"/>
      <c r="L262" s="123">
        <v>62166.97</v>
      </c>
      <c r="M262" s="44"/>
      <c r="N262" s="44"/>
      <c r="O262" s="123">
        <v>396197.0</v>
      </c>
      <c r="P262" s="52">
        <f t="shared" si="23"/>
        <v>396197.31</v>
      </c>
      <c r="Q262" s="124">
        <f t="shared" si="2"/>
        <v>-0.31</v>
      </c>
      <c r="R262" s="52">
        <f t="array" ref="R262">IFERROR(INDEX('Fund YTD Target Values'!$1:$1000, MATCH($C262,'Fund YTD Target Values'!$A:$A,0), MATCH($A262,'Fund YTD Target Values'!$1:$1,0)),0)</f>
        <v>390021.3694</v>
      </c>
      <c r="S262" s="52">
        <f>IFERROR(__xludf.DUMMYFUNCTION("IFERROR(sum(FILTER('Fund Data'!$V:$V, 'Fund Data'!$C:$C = $C262, 'Fund Data'!$A:$A &lt; $A262)),0) + IFERROR(sum(FILTER('Fund Data'!$V:$V, 'Fund Data'!$C:$C = $C262, 'Fund Data'!$A:$A = $A262, 'Fund Data'!$B:$B &lt;= $B262)),0)"),366400.0)</f>
        <v>366400</v>
      </c>
      <c r="T262" s="123">
        <v>366400.0</v>
      </c>
      <c r="U262" s="44">
        <f t="shared" si="27"/>
        <v>0</v>
      </c>
      <c r="V262" s="44">
        <f t="shared" si="3"/>
        <v>0</v>
      </c>
      <c r="W262" s="123"/>
      <c r="X262" s="123"/>
      <c r="Y262" s="123">
        <v>0.0</v>
      </c>
      <c r="Z262" s="123">
        <v>0.0</v>
      </c>
      <c r="AA262" s="123">
        <v>0.0</v>
      </c>
      <c r="AB262" s="123"/>
      <c r="AC262" s="123">
        <v>0.0</v>
      </c>
      <c r="AD262" s="44">
        <f t="shared" si="7"/>
        <v>-11000</v>
      </c>
      <c r="AE262" s="123">
        <v>0.0</v>
      </c>
    </row>
    <row r="263">
      <c r="A263" s="120">
        <v>2008.0</v>
      </c>
      <c r="B263" s="121">
        <v>12.0</v>
      </c>
      <c r="C263" s="122" t="s">
        <v>66</v>
      </c>
      <c r="D263" s="44"/>
      <c r="E263" s="123">
        <v>10676.06</v>
      </c>
      <c r="F263" s="44"/>
      <c r="G263" s="123"/>
      <c r="H263" s="123">
        <v>-2405.49</v>
      </c>
      <c r="I263" s="44"/>
      <c r="J263" s="44"/>
      <c r="K263" s="44"/>
      <c r="L263" s="123">
        <v>-110463.81</v>
      </c>
      <c r="M263" s="44"/>
      <c r="N263" s="44"/>
      <c r="O263" s="123">
        <v>336498.0</v>
      </c>
      <c r="P263" s="52">
        <f t="shared" si="23"/>
        <v>336498.48</v>
      </c>
      <c r="Q263" s="124">
        <f t="shared" si="2"/>
        <v>-0.48</v>
      </c>
      <c r="R263" s="52">
        <f t="array" ref="R263">IFERROR(INDEX('Fund YTD Target Values'!$1:$1000, MATCH($C263,'Fund YTD Target Values'!$A:$A,0), MATCH($A263,'Fund YTD Target Values'!$1:$1,0)),0)</f>
        <v>391343.3272</v>
      </c>
      <c r="S263" s="52">
        <f>IFERROR(__xludf.DUMMYFUNCTION("IFERROR(sum(FILTER('Fund Data'!$V:$V, 'Fund Data'!$C:$C = $C263, 'Fund Data'!$A:$A &lt; $A263)),0) + IFERROR(sum(FILTER('Fund Data'!$V:$V, 'Fund Data'!$C:$C = $C263, 'Fund Data'!$A:$A = $A263, 'Fund Data'!$B:$B &lt;= $B263)),0)"),366400.0)</f>
        <v>366400</v>
      </c>
      <c r="T263" s="123">
        <v>366400.0</v>
      </c>
      <c r="U263" s="44">
        <f t="shared" si="27"/>
        <v>0</v>
      </c>
      <c r="V263" s="44">
        <f t="shared" si="3"/>
        <v>0</v>
      </c>
      <c r="W263" s="123"/>
      <c r="X263" s="123"/>
      <c r="Y263" s="123">
        <v>0.0</v>
      </c>
      <c r="Z263" s="123">
        <v>0.0</v>
      </c>
      <c r="AA263" s="123">
        <v>0.0</v>
      </c>
      <c r="AB263" s="123"/>
      <c r="AC263" s="123">
        <v>0.0</v>
      </c>
      <c r="AD263" s="44">
        <f t="shared" si="7"/>
        <v>0</v>
      </c>
      <c r="AE263" s="123">
        <v>0.0</v>
      </c>
    </row>
    <row r="264">
      <c r="A264" s="120">
        <v>2007.0</v>
      </c>
      <c r="B264" s="121">
        <v>12.0</v>
      </c>
      <c r="C264" s="122" t="s">
        <v>66</v>
      </c>
      <c r="D264" s="44"/>
      <c r="E264" s="123">
        <v>6644.64</v>
      </c>
      <c r="F264" s="44"/>
      <c r="G264" s="123"/>
      <c r="H264" s="123">
        <v>-2469.9</v>
      </c>
      <c r="I264" s="44"/>
      <c r="J264" s="44"/>
      <c r="K264" s="44"/>
      <c r="L264" s="123">
        <v>35247.68</v>
      </c>
      <c r="M264" s="123">
        <v>0.0</v>
      </c>
      <c r="N264" s="44"/>
      <c r="O264" s="123">
        <v>438691.0</v>
      </c>
      <c r="P264" s="52">
        <f t="shared" si="23"/>
        <v>438691.72</v>
      </c>
      <c r="Q264" s="124">
        <f t="shared" si="2"/>
        <v>-0.72</v>
      </c>
      <c r="R264" s="52">
        <f t="array" ref="R264">IFERROR(INDEX('Fund YTD Target Values'!$1:$1000, MATCH($C264,'Fund YTD Target Values'!$A:$A,0), MATCH($A264,'Fund YTD Target Values'!$1:$1,0)),0)</f>
        <v>376851.0204</v>
      </c>
      <c r="S264" s="52">
        <f>IFERROR(__xludf.DUMMYFUNCTION("IFERROR(sum(FILTER('Fund Data'!$V:$V, 'Fund Data'!$C:$C = $C264, 'Fund Data'!$A:$A &lt; $A264)),0) + IFERROR(sum(FILTER('Fund Data'!$V:$V, 'Fund Data'!$C:$C = $C264, 'Fund Data'!$A:$A = $A264, 'Fund Data'!$B:$B &lt;= $B264)),0)"),366400.0)</f>
        <v>366400</v>
      </c>
      <c r="T264" s="123">
        <v>366400.0</v>
      </c>
      <c r="U264" s="44">
        <f t="shared" si="27"/>
        <v>0</v>
      </c>
      <c r="V264" s="44">
        <f t="shared" si="3"/>
        <v>0</v>
      </c>
      <c r="W264" s="123"/>
      <c r="X264" s="123"/>
      <c r="Y264" s="123">
        <v>0.0</v>
      </c>
      <c r="Z264" s="123">
        <v>0.0</v>
      </c>
      <c r="AA264" s="123">
        <v>0.0</v>
      </c>
      <c r="AB264" s="123"/>
      <c r="AC264" s="123">
        <v>0.0</v>
      </c>
      <c r="AD264" s="44">
        <f t="shared" si="7"/>
        <v>0</v>
      </c>
      <c r="AE264" s="123">
        <v>0.0</v>
      </c>
    </row>
    <row r="265">
      <c r="A265" s="120">
        <v>2006.0</v>
      </c>
      <c r="B265" s="121">
        <v>12.0</v>
      </c>
      <c r="C265" s="122" t="s">
        <v>66</v>
      </c>
      <c r="D265" s="123">
        <v>366400.0</v>
      </c>
      <c r="E265" s="123">
        <v>284.93</v>
      </c>
      <c r="F265" s="44"/>
      <c r="G265" s="123"/>
      <c r="H265" s="123">
        <v>0.0</v>
      </c>
      <c r="I265" s="44"/>
      <c r="J265" s="44"/>
      <c r="K265" s="44"/>
      <c r="L265" s="123">
        <v>32583.95</v>
      </c>
      <c r="M265" s="123">
        <v>0.42</v>
      </c>
      <c r="N265" s="44"/>
      <c r="O265" s="123">
        <v>399269.0</v>
      </c>
      <c r="P265" s="52">
        <f t="shared" si="23"/>
        <v>399269.3</v>
      </c>
      <c r="Q265" s="124">
        <f t="shared" si="2"/>
        <v>-0.3</v>
      </c>
      <c r="R265" s="52">
        <f t="array" ref="R265">IFERROR(INDEX('Fund YTD Target Values'!$1:$1000, MATCH($C265,'Fund YTD Target Values'!$A:$A,0), MATCH($A265,'Fund YTD Target Values'!$1:$1,0)),0)</f>
        <v>366400</v>
      </c>
      <c r="S265" s="52">
        <f>IFERROR(__xludf.DUMMYFUNCTION("IFERROR(sum(FILTER('Fund Data'!$V:$V, 'Fund Data'!$C:$C = $C265, 'Fund Data'!$A:$A &lt; $A265)),0) + IFERROR(sum(FILTER('Fund Data'!$V:$V, 'Fund Data'!$C:$C = $C265, 'Fund Data'!$A:$A = $A265, 'Fund Data'!$B:$B &lt;= $B265)),0)"),366400.0)</f>
        <v>366400</v>
      </c>
      <c r="T265" s="123">
        <v>366400.0</v>
      </c>
      <c r="U265" s="44">
        <f t="shared" si="27"/>
        <v>0</v>
      </c>
      <c r="V265" s="44">
        <f t="shared" si="3"/>
        <v>366400</v>
      </c>
      <c r="W265" s="123"/>
      <c r="X265" s="123"/>
      <c r="Y265" s="123">
        <v>0.0</v>
      </c>
      <c r="Z265" s="123">
        <v>0.0</v>
      </c>
      <c r="AA265" s="123">
        <v>0.0</v>
      </c>
      <c r="AB265" s="123"/>
      <c r="AC265" s="123">
        <v>0.0</v>
      </c>
      <c r="AD265" s="44">
        <f t="shared" si="7"/>
        <v>0</v>
      </c>
      <c r="AE265" s="123">
        <v>0.0</v>
      </c>
    </row>
    <row r="266">
      <c r="A266" s="120">
        <v>2019.0</v>
      </c>
      <c r="B266" s="121">
        <v>6.0</v>
      </c>
      <c r="C266" s="122" t="s">
        <v>48</v>
      </c>
      <c r="D266" s="44"/>
      <c r="E266" s="123">
        <v>9601.54</v>
      </c>
      <c r="F266" s="123">
        <v>-37000.0</v>
      </c>
      <c r="G266" s="44"/>
      <c r="H266" s="123">
        <v>-2165.06</v>
      </c>
      <c r="I266" s="44"/>
      <c r="J266" s="123">
        <v>6859.8</v>
      </c>
      <c r="K266" s="44"/>
      <c r="L266" s="123">
        <v>68422.31</v>
      </c>
      <c r="M266" s="44"/>
      <c r="N266" s="44"/>
      <c r="O266" s="123">
        <v>768732.7</v>
      </c>
      <c r="P266" s="52">
        <f t="shared" si="23"/>
        <v>768732.7</v>
      </c>
      <c r="Q266" s="124">
        <f t="shared" si="2"/>
        <v>-0.0000000001164153218</v>
      </c>
      <c r="R266" s="52">
        <f t="array" ref="R266">IFERROR(INDEX('Fund YTD Target Values'!$1:$1000, MATCH($C266,'Fund YTD Target Values'!$A:$A,0), MATCH($A266,'Fund YTD Target Values'!$1:$1,0)),0)</f>
        <v>860369.9495</v>
      </c>
      <c r="S266" s="52">
        <f>IFERROR(__xludf.DUMMYFUNCTION("IFERROR(sum(FILTER('Fund Data'!$V:$V, 'Fund Data'!$C:$C = $C266, 'Fund Data'!$A:$A &lt; $A266)),0) + IFERROR(sum(FILTER('Fund Data'!$V:$V, 'Fund Data'!$C:$C = $C266, 'Fund Data'!$A:$A = $A266, 'Fund Data'!$B:$B &lt;= $B266)),0)"),758137.86)</f>
        <v>758137.86</v>
      </c>
      <c r="T266" s="44"/>
      <c r="U266" s="44"/>
      <c r="V266" s="44">
        <f t="shared" si="3"/>
        <v>0</v>
      </c>
      <c r="W266" s="52">
        <f>IFERROR(__xludf.DUMMYFUNCTION("iFERROR((FILTER('Fund Data'!$Y:$Y, 'Fund Data'!$C:$C = $C266, 'Fund Data'!$A:$A = $A266 - 1, 'Fund Data'!$B:$B = 12) + FILTER('Fund Data'!$AA:$AA, 'Fund Data'!$C:$C = $C266, 'Fund Data'!$A:$A = $A266 - 1, 'Fund Data'!$B:$B = 12)) * (1 + AVERAGE(FILTER('In"&amp;"flation Data'!$C:$C,'Inflation Data'!$A:$A = ($A266 - 2)))) * 'Parameters and Distribution Sum'!$A$4,0)"),26487.702642294462)</f>
        <v>26487.70264</v>
      </c>
      <c r="X266" s="52">
        <f>IFERROR(__xludf.DUMMYFUNCTION("IFERROR((IFERROR(FILTER('Fund Data'!$P:$P,'Fund Data'!$C:$C = $C266,'Fund Data'!$A:$A = ($A266 - 2), 'Fund Data'!$B:$B = 12),0) - SUM(FILTER('Fund Data'!$V:$V, 'Fund Data'!$C:$C = $C266, 'Fund Data'!$A:$A = ($A266 - 2), 'Fund Data'!$B:$B &gt; 3)))  * 'Parame"&amp;"ters and Distribution Sum'!$B$4 * (1 - 'Parameters and Distribution Sum'!$A$4),0)"),11114.944740000003)</f>
        <v>11114.94474</v>
      </c>
      <c r="Y266" s="52">
        <f t="shared" ref="Y266:Y271" si="31">sum($W266:$X266)</f>
        <v>37602.64738</v>
      </c>
      <c r="Z266" s="52">
        <f>IFERROR(__xludf.DUMMYFUNCTION("((IFERROR((SUM(FILTER('Fund Data'!$V:$V, 'Fund Data'!$C:$C = $C266, 'Fund Data'!$A:$A = $A266 - 1, 'Fund Data'!$B:$B &gt;= 4, 'Fund Data'!$B:$B &lt;= ($B266 + 5))) / 12) * ($B266 - 3) * 'Parameters and Distribution Sum'!$B$4, 0) + IF($B266 &gt;= 9, IFERROR(SUM(FIL"&amp;"TER('Fund Data'!$V:$V, 'Fund Data'!$C:$C = $C266, 'Fund Data'!$A:$A = $A266, 'Fund Data'!$B:$B &lt;= 3)) * 'Parameters and Distribution Sum'!$B$4, 0),0)))"),0.0)</f>
        <v>0</v>
      </c>
      <c r="AA266" s="44">
        <f>IFERROR(__xludf.DUMMYFUNCTION("IFERROR(((IFERROR(SUM(FILTER('Fund Data'!$V:$V, 'Fund Data'!$C:$C = $C266, 'Fund Data'!$A:$A = $A266 - 2, 'Fund Data'!$B:$B &gt;= 4)) * 'Parameters and Distribution Sum'!$B$4,0) + IFERROR(SUM(FILTER('Fund Data'!$V:$V, 'Fund Data'!$C:$C = $C266, 'Fund Data'!$"&amp;"A:$A = $A266 - 1, 'Fund Data'!$B:$B &lt;= 3)) * 'Parameters and Distribution Sum'!$B$4,0))),0)"),0.0)</f>
        <v>0</v>
      </c>
      <c r="AB266" s="44">
        <f t="shared" ref="AB266:AB272" si="32">IFERROR(__xludf.DUMMYFUNCTION("IFERROR(FILTER($AE:$AE,$C:$C = $C266,$A:$A = $A266 - 1,$B:$B = 12),0)"),0.0)</f>
        <v>0</v>
      </c>
      <c r="AC266" s="44">
        <f t="shared" ref="AC266:AC272" si="33">sum($Y266:$AB266)</f>
        <v>37602.64738</v>
      </c>
      <c r="AD266" s="44">
        <f t="shared" si="7"/>
        <v>602.6473823</v>
      </c>
      <c r="AE266" s="44"/>
    </row>
    <row r="267">
      <c r="A267" s="120">
        <v>2019.0</v>
      </c>
      <c r="B267" s="121">
        <v>5.0</v>
      </c>
      <c r="C267" s="122" t="s">
        <v>48</v>
      </c>
      <c r="D267" s="44"/>
      <c r="E267" s="123">
        <v>8773.89</v>
      </c>
      <c r="F267" s="123">
        <v>-10000.0</v>
      </c>
      <c r="G267" s="44"/>
      <c r="H267" s="123">
        <v>-1803.71</v>
      </c>
      <c r="I267" s="44"/>
      <c r="J267" s="123">
        <v>602.44</v>
      </c>
      <c r="K267" s="44"/>
      <c r="L267" s="123">
        <v>44671.05</v>
      </c>
      <c r="M267" s="44"/>
      <c r="N267" s="44"/>
      <c r="O267" s="123">
        <v>765257.78</v>
      </c>
      <c r="P267" s="52">
        <f t="shared" si="23"/>
        <v>765257.78</v>
      </c>
      <c r="Q267" s="124">
        <f t="shared" si="2"/>
        <v>-0.0000000001164153218</v>
      </c>
      <c r="R267" s="52">
        <f t="array" ref="R267">IFERROR(INDEX('Fund YTD Target Values'!$1:$1000, MATCH($C267,'Fund YTD Target Values'!$A:$A,0), MATCH($A267,'Fund YTD Target Values'!$1:$1,0)),0)</f>
        <v>860369.9495</v>
      </c>
      <c r="S267" s="52">
        <f>IFERROR(__xludf.DUMMYFUNCTION("IFERROR(sum(FILTER('Fund Data'!$V:$V, 'Fund Data'!$C:$C = $C267, 'Fund Data'!$A:$A &lt; $A267)),0) + IFERROR(sum(FILTER('Fund Data'!$V:$V, 'Fund Data'!$C:$C = $C267, 'Fund Data'!$A:$A = $A267, 'Fund Data'!$B:$B &lt;= $B267)),0)"),758137.86)</f>
        <v>758137.86</v>
      </c>
      <c r="T267" s="44"/>
      <c r="U267" s="44"/>
      <c r="V267" s="44">
        <f t="shared" si="3"/>
        <v>0</v>
      </c>
      <c r="W267" s="52">
        <f>IFERROR(__xludf.DUMMYFUNCTION("iFERROR((FILTER('Fund Data'!$Y:$Y, 'Fund Data'!$C:$C = $C267, 'Fund Data'!$A:$A = $A267 - 1, 'Fund Data'!$B:$B = 12) + FILTER('Fund Data'!$AA:$AA, 'Fund Data'!$C:$C = $C267, 'Fund Data'!$A:$A = $A267 - 1, 'Fund Data'!$B:$B = 12)) * (1 + AVERAGE(FILTER('In"&amp;"flation Data'!$C:$C,'Inflation Data'!$A:$A = ($A267 - 2)))) * 'Parameters and Distribution Sum'!$A$4,0)"),26487.702642294462)</f>
        <v>26487.70264</v>
      </c>
      <c r="X267" s="52">
        <f>IFERROR(__xludf.DUMMYFUNCTION("IFERROR((IFERROR(FILTER('Fund Data'!$P:$P,'Fund Data'!$C:$C = $C267,'Fund Data'!$A:$A = ($A267 - 2), 'Fund Data'!$B:$B = 12),0) - SUM(FILTER('Fund Data'!$V:$V, 'Fund Data'!$C:$C = $C267, 'Fund Data'!$A:$A = ($A267 - 2), 'Fund Data'!$B:$B &gt; 3)))  * 'Parame"&amp;"ters and Distribution Sum'!$B$4 * (1 - 'Parameters and Distribution Sum'!$A$4),0)"),11114.944740000003)</f>
        <v>11114.94474</v>
      </c>
      <c r="Y267" s="52">
        <f t="shared" si="31"/>
        <v>37602.64738</v>
      </c>
      <c r="Z267" s="52">
        <f>IFERROR(__xludf.DUMMYFUNCTION("((IFERROR((SUM(FILTER('Fund Data'!$V:$V, 'Fund Data'!$C:$C = $C267, 'Fund Data'!$A:$A = $A267 - 1, 'Fund Data'!$B:$B &gt;= 4, 'Fund Data'!$B:$B &lt;= ($B267 + 5))) / 12) * ($B267 - 3) * 'Parameters and Distribution Sum'!$B$4, 0) + IF($B267 &gt;= 9, IFERROR(SUM(FIL"&amp;"TER('Fund Data'!$V:$V, 'Fund Data'!$C:$C = $C267, 'Fund Data'!$A:$A = $A267, 'Fund Data'!$B:$B &lt;= 3)) * 'Parameters and Distribution Sum'!$B$4, 0),0)))"),0.0)</f>
        <v>0</v>
      </c>
      <c r="AA267" s="44">
        <f>IFERROR(__xludf.DUMMYFUNCTION("IFERROR(((IFERROR(SUM(FILTER('Fund Data'!$V:$V, 'Fund Data'!$C:$C = $C267, 'Fund Data'!$A:$A = $A267 - 2, 'Fund Data'!$B:$B &gt;= 4)) * 'Parameters and Distribution Sum'!$B$4,0) + IFERROR(SUM(FILTER('Fund Data'!$V:$V, 'Fund Data'!$C:$C = $C267, 'Fund Data'!$"&amp;"A:$A = $A267 - 1, 'Fund Data'!$B:$B &lt;= 3)) * 'Parameters and Distribution Sum'!$B$4,0))),0)"),0.0)</f>
        <v>0</v>
      </c>
      <c r="AB267" s="44">
        <f t="shared" si="32"/>
        <v>0</v>
      </c>
      <c r="AC267" s="44">
        <f t="shared" si="33"/>
        <v>37602.64738</v>
      </c>
      <c r="AD267" s="44">
        <f t="shared" si="7"/>
        <v>27602.64738</v>
      </c>
      <c r="AE267" s="44"/>
    </row>
    <row r="268">
      <c r="A268" s="120">
        <v>2019.0</v>
      </c>
      <c r="B268" s="121">
        <v>4.0</v>
      </c>
      <c r="C268" s="122" t="s">
        <v>48</v>
      </c>
      <c r="D268" s="44"/>
      <c r="E268" s="123">
        <v>8100.88</v>
      </c>
      <c r="F268" s="123">
        <v>-10000.0</v>
      </c>
      <c r="G268" s="44"/>
      <c r="H268" s="123">
        <v>-1432.33</v>
      </c>
      <c r="I268" s="44"/>
      <c r="J268" s="123">
        <v>602.44</v>
      </c>
      <c r="K268" s="44"/>
      <c r="L268" s="123">
        <v>75335.98</v>
      </c>
      <c r="M268" s="44"/>
      <c r="N268" s="44"/>
      <c r="O268" s="123">
        <v>795621.0</v>
      </c>
      <c r="P268" s="52">
        <f t="shared" si="23"/>
        <v>795621.08</v>
      </c>
      <c r="Q268" s="124">
        <f t="shared" si="2"/>
        <v>-0.08000000007</v>
      </c>
      <c r="R268" s="52">
        <f t="array" ref="R268">IFERROR(INDEX('Fund YTD Target Values'!$1:$1000, MATCH($C268,'Fund YTD Target Values'!$A:$A,0), MATCH($A268,'Fund YTD Target Values'!$1:$1,0)),0)</f>
        <v>860369.9495</v>
      </c>
      <c r="S268" s="52">
        <f>IFERROR(__xludf.DUMMYFUNCTION("IFERROR(sum(FILTER('Fund Data'!$V:$V, 'Fund Data'!$C:$C = $C268, 'Fund Data'!$A:$A &lt; $A268)),0) + IFERROR(sum(FILTER('Fund Data'!$V:$V, 'Fund Data'!$C:$C = $C268, 'Fund Data'!$A:$A = $A268, 'Fund Data'!$B:$B &lt;= $B268)),0)"),758137.86)</f>
        <v>758137.86</v>
      </c>
      <c r="T268" s="44"/>
      <c r="U268" s="44"/>
      <c r="V268" s="44">
        <f t="shared" si="3"/>
        <v>0</v>
      </c>
      <c r="W268" s="52">
        <f>IFERROR(__xludf.DUMMYFUNCTION("iFERROR((FILTER('Fund Data'!$Y:$Y, 'Fund Data'!$C:$C = $C268, 'Fund Data'!$A:$A = $A268 - 1, 'Fund Data'!$B:$B = 12) + FILTER('Fund Data'!$AA:$AA, 'Fund Data'!$C:$C = $C268, 'Fund Data'!$A:$A = $A268 - 1, 'Fund Data'!$B:$B = 12)) * (1 + AVERAGE(FILTER('In"&amp;"flation Data'!$C:$C,'Inflation Data'!$A:$A = ($A268 - 2)))) * 'Parameters and Distribution Sum'!$A$4,0)"),26487.702642294462)</f>
        <v>26487.70264</v>
      </c>
      <c r="X268" s="52">
        <f>IFERROR(__xludf.DUMMYFUNCTION("IFERROR((IFERROR(FILTER('Fund Data'!$P:$P,'Fund Data'!$C:$C = $C268,'Fund Data'!$A:$A = ($A268 - 2), 'Fund Data'!$B:$B = 12),0) - SUM(FILTER('Fund Data'!$V:$V, 'Fund Data'!$C:$C = $C268, 'Fund Data'!$A:$A = ($A268 - 2), 'Fund Data'!$B:$B &gt; 3)))  * 'Parame"&amp;"ters and Distribution Sum'!$B$4 * (1 - 'Parameters and Distribution Sum'!$A$4),0)"),11114.944740000003)</f>
        <v>11114.94474</v>
      </c>
      <c r="Y268" s="52">
        <f t="shared" si="31"/>
        <v>37602.64738</v>
      </c>
      <c r="Z268" s="52">
        <f>IFERROR(__xludf.DUMMYFUNCTION("((IFERROR((SUM(FILTER('Fund Data'!$V:$V, 'Fund Data'!$C:$C = $C268, 'Fund Data'!$A:$A = $A268 - 1, 'Fund Data'!$B:$B &gt;= 4, 'Fund Data'!$B:$B &lt;= ($B268 + 5))) / 12) * ($B268 - 3) * 'Parameters and Distribution Sum'!$B$4, 0) + IF($B268 &gt;= 9, IFERROR(SUM(FIL"&amp;"TER('Fund Data'!$V:$V, 'Fund Data'!$C:$C = $C268, 'Fund Data'!$A:$A = $A268, 'Fund Data'!$B:$B &lt;= 3)) * 'Parameters and Distribution Sum'!$B$4, 0),0)))"),0.0)</f>
        <v>0</v>
      </c>
      <c r="AA268" s="44">
        <f>IFERROR(__xludf.DUMMYFUNCTION("IFERROR(((IFERROR(SUM(FILTER('Fund Data'!$V:$V, 'Fund Data'!$C:$C = $C268, 'Fund Data'!$A:$A = $A268 - 2, 'Fund Data'!$B:$B &gt;= 4)) * 'Parameters and Distribution Sum'!$B$4,0) + IFERROR(SUM(FILTER('Fund Data'!$V:$V, 'Fund Data'!$C:$C = $C268, 'Fund Data'!$"&amp;"A:$A = $A268 - 1, 'Fund Data'!$B:$B &lt;= 3)) * 'Parameters and Distribution Sum'!$B$4,0))),0)"),0.0)</f>
        <v>0</v>
      </c>
      <c r="AB268" s="44">
        <f t="shared" si="32"/>
        <v>0</v>
      </c>
      <c r="AC268" s="44">
        <f t="shared" si="33"/>
        <v>37602.64738</v>
      </c>
      <c r="AD268" s="44">
        <f t="shared" si="7"/>
        <v>27602.64738</v>
      </c>
      <c r="AE268" s="44"/>
    </row>
    <row r="269">
      <c r="A269" s="120">
        <v>2019.0</v>
      </c>
      <c r="B269" s="121">
        <v>3.0</v>
      </c>
      <c r="C269" s="122" t="s">
        <v>48</v>
      </c>
      <c r="D269" s="44"/>
      <c r="E269" s="123">
        <v>6130.59</v>
      </c>
      <c r="F269" s="123">
        <v>-10000.0</v>
      </c>
      <c r="G269" s="44"/>
      <c r="H269" s="123">
        <v>-1068.39</v>
      </c>
      <c r="I269" s="44"/>
      <c r="J269" s="123">
        <v>602.44</v>
      </c>
      <c r="K269" s="44"/>
      <c r="L269" s="123">
        <v>59692.74</v>
      </c>
      <c r="M269" s="44"/>
      <c r="N269" s="44"/>
      <c r="O269" s="123">
        <v>778371.0</v>
      </c>
      <c r="P269" s="52">
        <f t="shared" si="23"/>
        <v>778371.49</v>
      </c>
      <c r="Q269" s="124">
        <f t="shared" si="2"/>
        <v>-0.4900000001</v>
      </c>
      <c r="R269" s="52">
        <f t="array" ref="R269">IFERROR(INDEX('Fund YTD Target Values'!$1:$1000, MATCH($C269,'Fund YTD Target Values'!$A:$A,0), MATCH($A269,'Fund YTD Target Values'!$1:$1,0)),0)</f>
        <v>860369.9495</v>
      </c>
      <c r="S269" s="52">
        <f>IFERROR(__xludf.DUMMYFUNCTION("IFERROR(sum(FILTER('Fund Data'!$V:$V, 'Fund Data'!$C:$C = $C269, 'Fund Data'!$A:$A &lt; $A269)),0) + IFERROR(sum(FILTER('Fund Data'!$V:$V, 'Fund Data'!$C:$C = $C269, 'Fund Data'!$A:$A = $A269, 'Fund Data'!$B:$B &lt;= $B269)),0)"),758137.86)</f>
        <v>758137.86</v>
      </c>
      <c r="T269" s="123"/>
      <c r="U269" s="44"/>
      <c r="V269" s="44">
        <f t="shared" si="3"/>
        <v>0</v>
      </c>
      <c r="W269" s="52">
        <f>IFERROR(__xludf.DUMMYFUNCTION("iFERROR((FILTER('Fund Data'!$Y:$Y, 'Fund Data'!$C:$C = $C269, 'Fund Data'!$A:$A = $A269 - 1, 'Fund Data'!$B:$B = 12) + FILTER('Fund Data'!$AA:$AA, 'Fund Data'!$C:$C = $C269, 'Fund Data'!$A:$A = $A269 - 1, 'Fund Data'!$B:$B = 12)) * (1 + AVERAGE(FILTER('In"&amp;"flation Data'!$C:$C,'Inflation Data'!$A:$A = ($A269 - 2)))) * 'Parameters and Distribution Sum'!$A$4,0)"),26487.702642294462)</f>
        <v>26487.70264</v>
      </c>
      <c r="X269" s="52">
        <f>IFERROR(__xludf.DUMMYFUNCTION("IFERROR((IFERROR(FILTER('Fund Data'!$P:$P,'Fund Data'!$C:$C = $C269,'Fund Data'!$A:$A = ($A269 - 2), 'Fund Data'!$B:$B = 12),0) - SUM(FILTER('Fund Data'!$V:$V, 'Fund Data'!$C:$C = $C269, 'Fund Data'!$A:$A = ($A269 - 2), 'Fund Data'!$B:$B &gt; 3)))  * 'Parame"&amp;"ters and Distribution Sum'!$B$4 * (1 - 'Parameters and Distribution Sum'!$A$4),0)"),11114.944740000003)</f>
        <v>11114.94474</v>
      </c>
      <c r="Y269" s="52">
        <f t="shared" si="31"/>
        <v>37602.64738</v>
      </c>
      <c r="Z269" s="52">
        <f>IFERROR(__xludf.DUMMYFUNCTION("((IFERROR((SUM(FILTER('Fund Data'!$V:$V, 'Fund Data'!$C:$C = $C269, 'Fund Data'!$A:$A = $A269 - 1, 'Fund Data'!$B:$B &gt;= 4, 'Fund Data'!$B:$B &lt;= ($B269 + 5))) / 12) * ($B269 - 3) * 'Parameters and Distribution Sum'!$B$4, 0) + IF($B269 &gt;= 9, IFERROR(SUM(FIL"&amp;"TER('Fund Data'!$V:$V, 'Fund Data'!$C:$C = $C269, 'Fund Data'!$A:$A = $A269, 'Fund Data'!$B:$B &lt;= 3)) * 'Parameters and Distribution Sum'!$B$4, 0),0)))"),0.0)</f>
        <v>0</v>
      </c>
      <c r="AA269" s="44">
        <f>IFERROR(__xludf.DUMMYFUNCTION("IFERROR(((IFERROR(SUM(FILTER('Fund Data'!$V:$V, 'Fund Data'!$C:$C = $C269, 'Fund Data'!$A:$A = $A269 - 2, 'Fund Data'!$B:$B &gt;= 4)) * 'Parameters and Distribution Sum'!$B$4,0) + IFERROR(SUM(FILTER('Fund Data'!$V:$V, 'Fund Data'!$C:$C = $C269, 'Fund Data'!$"&amp;"A:$A = $A269 - 1, 'Fund Data'!$B:$B &lt;= 3)) * 'Parameters and Distribution Sum'!$B$4,0))),0)"),0.0)</f>
        <v>0</v>
      </c>
      <c r="AB269" s="44">
        <f t="shared" si="32"/>
        <v>0</v>
      </c>
      <c r="AC269" s="44">
        <f t="shared" si="33"/>
        <v>37602.64738</v>
      </c>
      <c r="AD269" s="44">
        <f t="shared" si="7"/>
        <v>27602.64738</v>
      </c>
      <c r="AE269" s="44"/>
    </row>
    <row r="270">
      <c r="A270" s="120">
        <v>2019.0</v>
      </c>
      <c r="B270" s="121">
        <v>2.0</v>
      </c>
      <c r="C270" s="122" t="s">
        <v>48</v>
      </c>
      <c r="D270" s="44"/>
      <c r="E270" s="123">
        <v>5183.09</v>
      </c>
      <c r="F270" s="44"/>
      <c r="G270" s="44"/>
      <c r="H270" s="123">
        <v>-702.13</v>
      </c>
      <c r="I270" s="44"/>
      <c r="J270" s="44"/>
      <c r="K270" s="44"/>
      <c r="L270" s="123">
        <v>55813.45</v>
      </c>
      <c r="M270" s="44"/>
      <c r="N270" s="44"/>
      <c r="O270" s="123">
        <v>783309.0</v>
      </c>
      <c r="P270" s="52">
        <f t="shared" si="23"/>
        <v>783308.52</v>
      </c>
      <c r="Q270" s="124">
        <f t="shared" si="2"/>
        <v>0.4799999999</v>
      </c>
      <c r="R270" s="52">
        <f t="array" ref="R270">IFERROR(INDEX('Fund YTD Target Values'!$1:$1000, MATCH($C270,'Fund YTD Target Values'!$A:$A,0), MATCH($A270,'Fund YTD Target Values'!$1:$1,0)),0)</f>
        <v>860369.9495</v>
      </c>
      <c r="S270" s="52">
        <f>IFERROR(__xludf.DUMMYFUNCTION("IFERROR(sum(FILTER('Fund Data'!$V:$V, 'Fund Data'!$C:$C = $C270, 'Fund Data'!$A:$A &lt; $A270)),0) + IFERROR(sum(FILTER('Fund Data'!$V:$V, 'Fund Data'!$C:$C = $C270, 'Fund Data'!$A:$A = $A270, 'Fund Data'!$B:$B &lt;= $B270)),0)"),758137.86)</f>
        <v>758137.86</v>
      </c>
      <c r="T270" s="44"/>
      <c r="U270" s="44"/>
      <c r="V270" s="44">
        <f t="shared" si="3"/>
        <v>0</v>
      </c>
      <c r="W270" s="52">
        <f>IFERROR(__xludf.DUMMYFUNCTION("iFERROR((FILTER('Fund Data'!$Y:$Y, 'Fund Data'!$C:$C = $C270, 'Fund Data'!$A:$A = $A270 - 1, 'Fund Data'!$B:$B = 12) + FILTER('Fund Data'!$AA:$AA, 'Fund Data'!$C:$C = $C270, 'Fund Data'!$A:$A = $A270 - 1, 'Fund Data'!$B:$B = 12)) * (1 + AVERAGE(FILTER('In"&amp;"flation Data'!$C:$C,'Inflation Data'!$A:$A = ($A270 - 2)))) * 'Parameters and Distribution Sum'!$A$4,0)"),26487.702642294462)</f>
        <v>26487.70264</v>
      </c>
      <c r="X270" s="52">
        <f>IFERROR(__xludf.DUMMYFUNCTION("IFERROR((IFERROR(FILTER('Fund Data'!$P:$P,'Fund Data'!$C:$C = $C270,'Fund Data'!$A:$A = ($A270 - 2), 'Fund Data'!$B:$B = 12),0) - SUM(FILTER('Fund Data'!$V:$V, 'Fund Data'!$C:$C = $C270, 'Fund Data'!$A:$A = ($A270 - 2), 'Fund Data'!$B:$B &gt; 3)))  * 'Parame"&amp;"ters and Distribution Sum'!$B$4 * (1 - 'Parameters and Distribution Sum'!$A$4),0)"),11114.944740000003)</f>
        <v>11114.94474</v>
      </c>
      <c r="Y270" s="52">
        <f t="shared" si="31"/>
        <v>37602.64738</v>
      </c>
      <c r="Z270" s="52">
        <f>IFERROR(__xludf.DUMMYFUNCTION("((IFERROR((SUM(FILTER('Fund Data'!$V:$V, 'Fund Data'!$C:$C = $C270, 'Fund Data'!$A:$A = $A270 - 1, 'Fund Data'!$B:$B &gt;= 4, 'Fund Data'!$B:$B &lt;= ($B270 + 5))) / 12) * ($B270 - 3) * 'Parameters and Distribution Sum'!$B$4, 0) + IF($B270 &gt;= 9, IFERROR(SUM(FIL"&amp;"TER('Fund Data'!$V:$V, 'Fund Data'!$C:$C = $C270, 'Fund Data'!$A:$A = $A270, 'Fund Data'!$B:$B &lt;= 3)) * 'Parameters and Distribution Sum'!$B$4, 0),0)))"),0.0)</f>
        <v>0</v>
      </c>
      <c r="AA270" s="44">
        <f>IFERROR(__xludf.DUMMYFUNCTION("IFERROR(((IFERROR(SUM(FILTER('Fund Data'!$V:$V, 'Fund Data'!$C:$C = $C270, 'Fund Data'!$A:$A = $A270 - 2, 'Fund Data'!$B:$B &gt;= 4)) * 'Parameters and Distribution Sum'!$B$4,0) + IFERROR(SUM(FILTER('Fund Data'!$V:$V, 'Fund Data'!$C:$C = $C270, 'Fund Data'!$"&amp;"A:$A = $A270 - 1, 'Fund Data'!$B:$B &lt;= 3)) * 'Parameters and Distribution Sum'!$B$4,0))),0)"),0.0)</f>
        <v>0</v>
      </c>
      <c r="AB270" s="44">
        <f t="shared" si="32"/>
        <v>0</v>
      </c>
      <c r="AC270" s="44">
        <f t="shared" si="33"/>
        <v>37602.64738</v>
      </c>
      <c r="AD270" s="44">
        <f t="shared" si="7"/>
        <v>37602.64738</v>
      </c>
      <c r="AE270" s="44"/>
    </row>
    <row r="271">
      <c r="A271" s="120">
        <v>2019.0</v>
      </c>
      <c r="B271" s="121">
        <v>1.0</v>
      </c>
      <c r="C271" s="122" t="s">
        <v>48</v>
      </c>
      <c r="D271" s="44"/>
      <c r="E271" s="123">
        <v>4793.87</v>
      </c>
      <c r="F271" s="44"/>
      <c r="G271" s="44"/>
      <c r="H271" s="123">
        <v>-341.13</v>
      </c>
      <c r="I271" s="44"/>
      <c r="J271" s="44"/>
      <c r="K271" s="44"/>
      <c r="L271" s="123">
        <v>43176.45</v>
      </c>
      <c r="M271" s="44"/>
      <c r="N271" s="44"/>
      <c r="O271" s="123">
        <v>770643.0</v>
      </c>
      <c r="P271" s="52">
        <f t="shared" si="23"/>
        <v>770643.3</v>
      </c>
      <c r="Q271" s="124">
        <f t="shared" si="2"/>
        <v>-0.3</v>
      </c>
      <c r="R271" s="52">
        <f t="array" ref="R271">IFERROR(INDEX('Fund YTD Target Values'!$1:$1000, MATCH($C271,'Fund YTD Target Values'!$A:$A,0), MATCH($A271,'Fund YTD Target Values'!$1:$1,0)),0)</f>
        <v>860369.9495</v>
      </c>
      <c r="S271" s="52">
        <f>IFERROR(__xludf.DUMMYFUNCTION("IFERROR(sum(FILTER('Fund Data'!$V:$V, 'Fund Data'!$C:$C = $C271, 'Fund Data'!$A:$A &lt; $A271)),0) + IFERROR(sum(FILTER('Fund Data'!$V:$V, 'Fund Data'!$C:$C = $C271, 'Fund Data'!$A:$A = $A271, 'Fund Data'!$B:$B &lt;= $B271)),0)"),758137.86)</f>
        <v>758137.86</v>
      </c>
      <c r="T271" s="44"/>
      <c r="U271" s="44"/>
      <c r="V271" s="44">
        <f t="shared" si="3"/>
        <v>0</v>
      </c>
      <c r="W271" s="52">
        <f>IFERROR(__xludf.DUMMYFUNCTION("iFERROR((FILTER('Fund Data'!$Y:$Y, 'Fund Data'!$C:$C = $C271, 'Fund Data'!$A:$A = $A271 - 1, 'Fund Data'!$B:$B = 12) + FILTER('Fund Data'!$AA:$AA, 'Fund Data'!$C:$C = $C271, 'Fund Data'!$A:$A = $A271 - 1, 'Fund Data'!$B:$B = 12)) * (1 + AVERAGE(FILTER('In"&amp;"flation Data'!$C:$C,'Inflation Data'!$A:$A = ($A271 - 2)))) * 'Parameters and Distribution Sum'!$A$4,0)"),26487.702642294462)</f>
        <v>26487.70264</v>
      </c>
      <c r="X271" s="52">
        <f>IFERROR(__xludf.DUMMYFUNCTION("IFERROR((IFERROR(FILTER('Fund Data'!$P:$P,'Fund Data'!$C:$C = $C271,'Fund Data'!$A:$A = ($A271 - 2), 'Fund Data'!$B:$B = 12),0) - SUM(FILTER('Fund Data'!$V:$V, 'Fund Data'!$C:$C = $C271, 'Fund Data'!$A:$A = ($A271 - 2), 'Fund Data'!$B:$B &gt; 3)))  * 'Parame"&amp;"ters and Distribution Sum'!$B$4 * (1 - 'Parameters and Distribution Sum'!$A$4),0)"),11114.944740000003)</f>
        <v>11114.94474</v>
      </c>
      <c r="Y271" s="52">
        <f t="shared" si="31"/>
        <v>37602.64738</v>
      </c>
      <c r="Z271" s="52">
        <f>IFERROR(__xludf.DUMMYFUNCTION("((IFERROR((SUM(FILTER('Fund Data'!$V:$V, 'Fund Data'!$C:$C = $C271, 'Fund Data'!$A:$A = $A271 - 1, 'Fund Data'!$B:$B &gt;= 4, 'Fund Data'!$B:$B &lt;= ($B271 + 5))) / 12) * ($B271 - 3) * 'Parameters and Distribution Sum'!$B$4, 0) + IF($B271 &gt;= 9, IFERROR(SUM(FIL"&amp;"TER('Fund Data'!$V:$V, 'Fund Data'!$C:$C = $C271, 'Fund Data'!$A:$A = $A271, 'Fund Data'!$B:$B &lt;= 3)) * 'Parameters and Distribution Sum'!$B$4, 0),0)))"),0.0)</f>
        <v>0</v>
      </c>
      <c r="AA271" s="44">
        <f>IFERROR(__xludf.DUMMYFUNCTION("IFERROR(((IFERROR(SUM(FILTER('Fund Data'!$V:$V, 'Fund Data'!$C:$C = $C271, 'Fund Data'!$A:$A = $A271 - 2, 'Fund Data'!$B:$B &gt;= 4)) * 'Parameters and Distribution Sum'!$B$4,0) + IFERROR(SUM(FILTER('Fund Data'!$V:$V, 'Fund Data'!$C:$C = $C271, 'Fund Data'!$"&amp;"A:$A = $A271 - 1, 'Fund Data'!$B:$B &lt;= 3)) * 'Parameters and Distribution Sum'!$B$4,0))),0)"),0.0)</f>
        <v>0</v>
      </c>
      <c r="AB271" s="44">
        <f t="shared" si="32"/>
        <v>0</v>
      </c>
      <c r="AC271" s="44">
        <f t="shared" si="33"/>
        <v>37602.64738</v>
      </c>
      <c r="AD271" s="44">
        <f t="shared" si="7"/>
        <v>37602.64738</v>
      </c>
      <c r="AE271" s="44"/>
    </row>
    <row r="272">
      <c r="A272" s="120">
        <v>2018.0</v>
      </c>
      <c r="B272" s="121">
        <v>12.0</v>
      </c>
      <c r="C272" s="122" t="s">
        <v>48</v>
      </c>
      <c r="D272" s="44"/>
      <c r="E272" s="123">
        <v>17414.67</v>
      </c>
      <c r="F272" s="123">
        <v>-40000.0</v>
      </c>
      <c r="G272" s="44"/>
      <c r="H272" s="123">
        <v>-4790.15</v>
      </c>
      <c r="I272" s="44"/>
      <c r="J272" s="123">
        <v>7738.91</v>
      </c>
      <c r="K272" s="44"/>
      <c r="L272" s="123">
        <v>-80678.56</v>
      </c>
      <c r="M272" s="44"/>
      <c r="N272" s="44"/>
      <c r="O272" s="123">
        <v>723014.0</v>
      </c>
      <c r="P272" s="52">
        <f t="shared" si="23"/>
        <v>723014.11</v>
      </c>
      <c r="Q272" s="124">
        <f t="shared" si="2"/>
        <v>-0.1100000001</v>
      </c>
      <c r="R272" s="52">
        <f t="array" ref="R272">IFERROR(INDEX('Fund YTD Target Values'!$1:$1000, MATCH($C272,'Fund YTD Target Values'!$A:$A,0), MATCH($A272,'Fund YTD Target Values'!$1:$1,0)),0)</f>
        <v>845621.3635</v>
      </c>
      <c r="S272" s="52">
        <f>IFERROR(__xludf.DUMMYFUNCTION("IFERROR(sum(FILTER('Fund Data'!$V:$V, 'Fund Data'!$C:$C = $C272, 'Fund Data'!$A:$A &lt; $A272)),0) + IFERROR(sum(FILTER('Fund Data'!$V:$V, 'Fund Data'!$C:$C = $C272, 'Fund Data'!$A:$A = $A272, 'Fund Data'!$B:$B &lt;= $B272)),0)"),758137.86)</f>
        <v>758137.86</v>
      </c>
      <c r="T272" s="123">
        <v>742866.0</v>
      </c>
      <c r="U272" s="44">
        <f t="shared" ref="U272:U350" si="34">S272-T272</f>
        <v>15271.86</v>
      </c>
      <c r="V272" s="44">
        <f t="shared" si="3"/>
        <v>0</v>
      </c>
      <c r="W272" s="52"/>
      <c r="X272" s="52"/>
      <c r="Y272" s="52">
        <v>37049.8158</v>
      </c>
      <c r="Z272" s="123">
        <v>0.0</v>
      </c>
      <c r="AA272" s="123">
        <v>0.0</v>
      </c>
      <c r="AB272" s="44">
        <f t="shared" si="32"/>
        <v>0</v>
      </c>
      <c r="AC272" s="44">
        <f t="shared" si="33"/>
        <v>37049.8158</v>
      </c>
      <c r="AD272" s="44">
        <f t="shared" si="7"/>
        <v>-2950.1842</v>
      </c>
      <c r="AE272" s="123">
        <v>0.0</v>
      </c>
    </row>
    <row r="273">
      <c r="A273" s="120">
        <v>2018.0</v>
      </c>
      <c r="B273" s="121">
        <v>11.0</v>
      </c>
      <c r="C273" s="122" t="s">
        <v>48</v>
      </c>
      <c r="D273" s="44"/>
      <c r="E273" s="123">
        <v>16395.81</v>
      </c>
      <c r="F273" s="123">
        <v>-40000.0</v>
      </c>
      <c r="G273" s="44"/>
      <c r="H273" s="123">
        <v>-4431.25</v>
      </c>
      <c r="I273" s="44"/>
      <c r="J273" s="123">
        <v>7738.91</v>
      </c>
      <c r="K273" s="44"/>
      <c r="L273" s="123">
        <v>-37957.93</v>
      </c>
      <c r="M273" s="44"/>
      <c r="N273" s="44"/>
      <c r="O273" s="123">
        <v>765075.0</v>
      </c>
      <c r="P273" s="52">
        <f t="shared" si="23"/>
        <v>765074.78</v>
      </c>
      <c r="Q273" s="124">
        <f t="shared" si="2"/>
        <v>0.2199999999</v>
      </c>
      <c r="R273" s="52">
        <f t="array" ref="R273">IFERROR(INDEX('Fund YTD Target Values'!$1:$1000, MATCH($C273,'Fund YTD Target Values'!$A:$A,0), MATCH($A273,'Fund YTD Target Values'!$1:$1,0)),0)</f>
        <v>845621.3635</v>
      </c>
      <c r="S273" s="52">
        <f>IFERROR(__xludf.DUMMYFUNCTION("IFERROR(sum(FILTER('Fund Data'!$V:$V, 'Fund Data'!$C:$C = $C273, 'Fund Data'!$A:$A &lt; $A273)),0) + IFERROR(sum(FILTER('Fund Data'!$V:$V, 'Fund Data'!$C:$C = $C273, 'Fund Data'!$A:$A = $A273, 'Fund Data'!$B:$B &lt;= $B273)),0)"),758137.86)</f>
        <v>758137.86</v>
      </c>
      <c r="T273" s="123">
        <v>742866.0</v>
      </c>
      <c r="U273" s="44">
        <f t="shared" si="34"/>
        <v>15271.86</v>
      </c>
      <c r="V273" s="44">
        <f t="shared" si="3"/>
        <v>0</v>
      </c>
      <c r="W273" s="123"/>
      <c r="X273" s="123"/>
      <c r="Y273" s="123">
        <v>0.0</v>
      </c>
      <c r="Z273" s="123">
        <v>0.0</v>
      </c>
      <c r="AA273" s="123">
        <v>0.0</v>
      </c>
      <c r="AB273" s="123"/>
      <c r="AC273" s="123">
        <v>0.0</v>
      </c>
      <c r="AD273" s="44">
        <f t="shared" si="7"/>
        <v>-40000</v>
      </c>
      <c r="AE273" s="123">
        <v>0.0</v>
      </c>
    </row>
    <row r="274">
      <c r="A274" s="120">
        <v>2018.0</v>
      </c>
      <c r="B274" s="121">
        <v>10.0</v>
      </c>
      <c r="C274" s="135" t="s">
        <v>48</v>
      </c>
      <c r="D274" s="138"/>
      <c r="E274" s="137">
        <v>15716.04</v>
      </c>
      <c r="F274" s="136">
        <v>-40000.0</v>
      </c>
      <c r="G274" s="138"/>
      <c r="H274" s="137">
        <v>-3703.04</v>
      </c>
      <c r="I274" s="138"/>
      <c r="J274" s="136">
        <v>7738.91</v>
      </c>
      <c r="K274" s="138"/>
      <c r="L274" s="136">
        <v>-44559.35</v>
      </c>
      <c r="M274" s="44"/>
      <c r="N274" s="44"/>
      <c r="O274" s="136">
        <v>758522.0</v>
      </c>
      <c r="P274" s="52">
        <f t="shared" si="23"/>
        <v>758521.8</v>
      </c>
      <c r="Q274" s="124">
        <f t="shared" si="2"/>
        <v>0.2</v>
      </c>
      <c r="R274" s="52">
        <f t="array" ref="R274">IFERROR(INDEX('Fund YTD Target Values'!$1:$1000, MATCH($C274,'Fund YTD Target Values'!$A:$A,0), MATCH($A274,'Fund YTD Target Values'!$1:$1,0)),0)</f>
        <v>845621.3635</v>
      </c>
      <c r="S274" s="52">
        <f>IFERROR(__xludf.DUMMYFUNCTION("IFERROR(sum(FILTER('Fund Data'!$V:$V, 'Fund Data'!$C:$C = $C274, 'Fund Data'!$A:$A &lt; $A274)),0) + IFERROR(sum(FILTER('Fund Data'!$V:$V, 'Fund Data'!$C:$C = $C274, 'Fund Data'!$A:$A = $A274, 'Fund Data'!$B:$B &lt;= $B274)),0)"),758137.86)</f>
        <v>758137.86</v>
      </c>
      <c r="T274" s="123">
        <v>742866.0</v>
      </c>
      <c r="U274" s="44">
        <f t="shared" si="34"/>
        <v>15271.86</v>
      </c>
      <c r="V274" s="44">
        <f t="shared" si="3"/>
        <v>0</v>
      </c>
      <c r="W274" s="123"/>
      <c r="X274" s="123"/>
      <c r="Y274" s="123">
        <v>0.0</v>
      </c>
      <c r="Z274" s="123">
        <v>0.0</v>
      </c>
      <c r="AA274" s="123">
        <v>0.0</v>
      </c>
      <c r="AB274" s="123"/>
      <c r="AC274" s="123">
        <v>0.0</v>
      </c>
      <c r="AD274" s="44">
        <f t="shared" si="7"/>
        <v>-40000</v>
      </c>
      <c r="AE274" s="123">
        <v>0.0</v>
      </c>
    </row>
    <row r="275">
      <c r="A275" s="120">
        <v>2018.0</v>
      </c>
      <c r="B275" s="121">
        <v>9.0</v>
      </c>
      <c r="C275" s="122" t="s">
        <v>48</v>
      </c>
      <c r="D275" s="44"/>
      <c r="E275" s="123">
        <v>13434.96</v>
      </c>
      <c r="F275" s="123">
        <v>-40000.0</v>
      </c>
      <c r="G275" s="44"/>
      <c r="H275" s="123">
        <v>-3703.04</v>
      </c>
      <c r="I275" s="44"/>
      <c r="J275" s="123">
        <v>7738.91</v>
      </c>
      <c r="K275" s="44"/>
      <c r="L275" s="123">
        <v>-3866.3</v>
      </c>
      <c r="M275" s="44"/>
      <c r="N275" s="44"/>
      <c r="O275" s="123">
        <v>796934.0</v>
      </c>
      <c r="P275" s="52">
        <f t="shared" si="23"/>
        <v>796933.77</v>
      </c>
      <c r="Q275" s="124">
        <f t="shared" si="2"/>
        <v>0.2299999999</v>
      </c>
      <c r="R275" s="52">
        <f t="array" ref="R275">IFERROR(INDEX('Fund YTD Target Values'!$1:$1000, MATCH($C275,'Fund YTD Target Values'!$A:$A,0), MATCH($A275,'Fund YTD Target Values'!$1:$1,0)),0)</f>
        <v>845621.3635</v>
      </c>
      <c r="S275" s="52">
        <f>IFERROR(__xludf.DUMMYFUNCTION("IFERROR(sum(FILTER('Fund Data'!$V:$V, 'Fund Data'!$C:$C = $C275, 'Fund Data'!$A:$A &lt; $A275)),0) + IFERROR(sum(FILTER('Fund Data'!$V:$V, 'Fund Data'!$C:$C = $C275, 'Fund Data'!$A:$A = $A275, 'Fund Data'!$B:$B &lt;= $B275)),0)"),758137.86)</f>
        <v>758137.86</v>
      </c>
      <c r="T275" s="123">
        <v>742866.0</v>
      </c>
      <c r="U275" s="44">
        <f t="shared" si="34"/>
        <v>15271.86</v>
      </c>
      <c r="V275" s="44">
        <f t="shared" si="3"/>
        <v>0</v>
      </c>
      <c r="W275" s="123"/>
      <c r="X275" s="123"/>
      <c r="Y275" s="123">
        <v>0.0</v>
      </c>
      <c r="Z275" s="123">
        <v>0.0</v>
      </c>
      <c r="AA275" s="123">
        <v>0.0</v>
      </c>
      <c r="AB275" s="123"/>
      <c r="AC275" s="123">
        <v>0.0</v>
      </c>
      <c r="AD275" s="44">
        <f t="shared" si="7"/>
        <v>-40000</v>
      </c>
      <c r="AE275" s="123">
        <v>0.0</v>
      </c>
    </row>
    <row r="276">
      <c r="A276" s="120">
        <v>2018.0</v>
      </c>
      <c r="B276" s="121">
        <v>8.0</v>
      </c>
      <c r="C276" s="122" t="s">
        <v>48</v>
      </c>
      <c r="D276" s="44"/>
      <c r="E276" s="123">
        <v>12742.0</v>
      </c>
      <c r="F276" s="123">
        <v>-28800.0</v>
      </c>
      <c r="G276" s="44"/>
      <c r="H276" s="123">
        <v>-3297.59</v>
      </c>
      <c r="I276" s="44"/>
      <c r="J276" s="123">
        <v>4850.15</v>
      </c>
      <c r="K276" s="44"/>
      <c r="L276" s="123">
        <v>1988.55</v>
      </c>
      <c r="M276" s="44"/>
      <c r="N276" s="44"/>
      <c r="O276" s="123">
        <v>810812.0</v>
      </c>
      <c r="P276" s="52">
        <f t="shared" si="23"/>
        <v>810812.35</v>
      </c>
      <c r="Q276" s="124">
        <f t="shared" si="2"/>
        <v>-0.3500000001</v>
      </c>
      <c r="R276" s="52">
        <f t="array" ref="R276">IFERROR(INDEX('Fund YTD Target Values'!$1:$1000, MATCH($C276,'Fund YTD Target Values'!$A:$A,0), MATCH($A276,'Fund YTD Target Values'!$1:$1,0)),0)</f>
        <v>845621.3635</v>
      </c>
      <c r="S276" s="52">
        <f>IFERROR(__xludf.DUMMYFUNCTION("IFERROR(sum(FILTER('Fund Data'!$V:$V, 'Fund Data'!$C:$C = $C276, 'Fund Data'!$A:$A &lt; $A276)),0) + IFERROR(sum(FILTER('Fund Data'!$V:$V, 'Fund Data'!$C:$C = $C276, 'Fund Data'!$A:$A = $A276, 'Fund Data'!$B:$B &lt;= $B276)),0)"),758137.86)</f>
        <v>758137.86</v>
      </c>
      <c r="T276" s="123">
        <v>742866.0</v>
      </c>
      <c r="U276" s="44">
        <f t="shared" si="34"/>
        <v>15271.86</v>
      </c>
      <c r="V276" s="44">
        <f t="shared" si="3"/>
        <v>0</v>
      </c>
      <c r="W276" s="123"/>
      <c r="X276" s="123"/>
      <c r="Y276" s="123">
        <v>0.0</v>
      </c>
      <c r="Z276" s="123">
        <v>0.0</v>
      </c>
      <c r="AA276" s="123">
        <v>0.0</v>
      </c>
      <c r="AB276" s="123"/>
      <c r="AC276" s="123">
        <v>0.0</v>
      </c>
      <c r="AD276" s="44">
        <f t="shared" si="7"/>
        <v>-28800</v>
      </c>
      <c r="AE276" s="123">
        <v>0.0</v>
      </c>
    </row>
    <row r="277">
      <c r="A277" s="120">
        <v>2018.0</v>
      </c>
      <c r="B277" s="121">
        <v>7.0</v>
      </c>
      <c r="C277" s="122" t="s">
        <v>48</v>
      </c>
      <c r="D277" s="44"/>
      <c r="E277" s="123">
        <v>12067.44</v>
      </c>
      <c r="F277" s="123">
        <v>-18800.0</v>
      </c>
      <c r="G277" s="44"/>
      <c r="H277" s="123">
        <v>-2888.56</v>
      </c>
      <c r="I277" s="44"/>
      <c r="J277" s="123">
        <v>2394.84</v>
      </c>
      <c r="K277" s="44"/>
      <c r="L277" s="123">
        <v>1952.6</v>
      </c>
      <c r="M277" s="44"/>
      <c r="N277" s="44"/>
      <c r="O277" s="123">
        <v>818056.0</v>
      </c>
      <c r="P277" s="52">
        <f t="shared" si="23"/>
        <v>818055.56</v>
      </c>
      <c r="Q277" s="124">
        <f t="shared" si="2"/>
        <v>0.4399999999</v>
      </c>
      <c r="R277" s="52">
        <f t="array" ref="R277">IFERROR(INDEX('Fund YTD Target Values'!$1:$1000, MATCH($C277,'Fund YTD Target Values'!$A:$A,0), MATCH($A277,'Fund YTD Target Values'!$1:$1,0)),0)</f>
        <v>845621.3635</v>
      </c>
      <c r="S277" s="52">
        <f>IFERROR(__xludf.DUMMYFUNCTION("IFERROR(sum(FILTER('Fund Data'!$V:$V, 'Fund Data'!$C:$C = $C277, 'Fund Data'!$A:$A &lt; $A277)),0) + IFERROR(sum(FILTER('Fund Data'!$V:$V, 'Fund Data'!$C:$C = $C277, 'Fund Data'!$A:$A = $A277, 'Fund Data'!$B:$B &lt;= $B277)),0)"),758137.86)</f>
        <v>758137.86</v>
      </c>
      <c r="T277" s="123">
        <v>742866.0</v>
      </c>
      <c r="U277" s="44">
        <f t="shared" si="34"/>
        <v>15271.86</v>
      </c>
      <c r="V277" s="44">
        <f t="shared" si="3"/>
        <v>0</v>
      </c>
      <c r="W277" s="123"/>
      <c r="X277" s="123"/>
      <c r="Y277" s="123">
        <v>0.0</v>
      </c>
      <c r="Z277" s="123">
        <v>0.0</v>
      </c>
      <c r="AA277" s="123">
        <v>0.0</v>
      </c>
      <c r="AB277" s="123"/>
      <c r="AC277" s="123">
        <v>0.0</v>
      </c>
      <c r="AD277" s="44">
        <f t="shared" si="7"/>
        <v>-18800</v>
      </c>
      <c r="AE277" s="123">
        <v>0.0</v>
      </c>
    </row>
    <row r="278">
      <c r="A278" s="120">
        <v>2018.0</v>
      </c>
      <c r="B278" s="121">
        <v>6.0</v>
      </c>
      <c r="C278" s="122" t="s">
        <v>48</v>
      </c>
      <c r="D278" s="44"/>
      <c r="E278" s="123">
        <v>10238.53</v>
      </c>
      <c r="F278" s="123">
        <v>-17000.0</v>
      </c>
      <c r="G278" s="44"/>
      <c r="H278" s="123">
        <v>-2486.01</v>
      </c>
      <c r="I278" s="44"/>
      <c r="J278" s="123">
        <v>2394.84</v>
      </c>
      <c r="K278" s="44"/>
      <c r="L278" s="123">
        <v>-11372.82</v>
      </c>
      <c r="M278" s="44"/>
      <c r="N278" s="44"/>
      <c r="O278" s="123">
        <v>805104.0</v>
      </c>
      <c r="P278" s="52">
        <f t="shared" si="23"/>
        <v>805103.78</v>
      </c>
      <c r="Q278" s="124">
        <f t="shared" si="2"/>
        <v>0.2199999999</v>
      </c>
      <c r="R278" s="52">
        <f t="array" ref="R278">IFERROR(INDEX('Fund YTD Target Values'!$1:$1000, MATCH($C278,'Fund YTD Target Values'!$A:$A,0), MATCH($A278,'Fund YTD Target Values'!$1:$1,0)),0)</f>
        <v>845621.3635</v>
      </c>
      <c r="S278" s="52">
        <f>IFERROR(__xludf.DUMMYFUNCTION("IFERROR(sum(FILTER('Fund Data'!$V:$V, 'Fund Data'!$C:$C = $C278, 'Fund Data'!$A:$A &lt; $A278)),0) + IFERROR(sum(FILTER('Fund Data'!$V:$V, 'Fund Data'!$C:$C = $C278, 'Fund Data'!$A:$A = $A278, 'Fund Data'!$B:$B &lt;= $B278)),0)"),758137.86)</f>
        <v>758137.86</v>
      </c>
      <c r="T278" s="123">
        <v>742866.0</v>
      </c>
      <c r="U278" s="44">
        <f t="shared" si="34"/>
        <v>15271.86</v>
      </c>
      <c r="V278" s="44">
        <f t="shared" si="3"/>
        <v>0</v>
      </c>
      <c r="W278" s="123"/>
      <c r="X278" s="123"/>
      <c r="Y278" s="123">
        <v>0.0</v>
      </c>
      <c r="Z278" s="123">
        <v>0.0</v>
      </c>
      <c r="AA278" s="123">
        <v>0.0</v>
      </c>
      <c r="AB278" s="123"/>
      <c r="AC278" s="123">
        <v>0.0</v>
      </c>
      <c r="AD278" s="44">
        <f t="shared" si="7"/>
        <v>-17000</v>
      </c>
      <c r="AE278" s="123">
        <v>0.0</v>
      </c>
    </row>
    <row r="279">
      <c r="A279" s="120">
        <v>2018.0</v>
      </c>
      <c r="B279" s="121">
        <v>5.0</v>
      </c>
      <c r="C279" s="122" t="s">
        <v>48</v>
      </c>
      <c r="D279" s="44"/>
      <c r="E279" s="123">
        <v>9065.72</v>
      </c>
      <c r="F279" s="123">
        <v>-7000.0</v>
      </c>
      <c r="G279" s="44"/>
      <c r="H279" s="123">
        <v>-2075.84</v>
      </c>
      <c r="I279" s="44"/>
      <c r="J279" s="44"/>
      <c r="K279" s="44"/>
      <c r="L279" s="123">
        <v>-2978.24</v>
      </c>
      <c r="M279" s="44"/>
      <c r="N279" s="44"/>
      <c r="O279" s="123">
        <v>820341.0</v>
      </c>
      <c r="P279" s="52">
        <f t="shared" si="23"/>
        <v>820340.88</v>
      </c>
      <c r="Q279" s="124">
        <f t="shared" si="2"/>
        <v>0.1199999999</v>
      </c>
      <c r="R279" s="52">
        <f t="array" ref="R279">IFERROR(INDEX('Fund YTD Target Values'!$1:$1000, MATCH($C279,'Fund YTD Target Values'!$A:$A,0), MATCH($A279,'Fund YTD Target Values'!$1:$1,0)),0)</f>
        <v>845621.3635</v>
      </c>
      <c r="S279" s="52">
        <f>IFERROR(__xludf.DUMMYFUNCTION("IFERROR(sum(FILTER('Fund Data'!$V:$V, 'Fund Data'!$C:$C = $C279, 'Fund Data'!$A:$A &lt; $A279)),0) + IFERROR(sum(FILTER('Fund Data'!$V:$V, 'Fund Data'!$C:$C = $C279, 'Fund Data'!$A:$A = $A279, 'Fund Data'!$B:$B &lt;= $B279)),0)"),758137.86)</f>
        <v>758137.86</v>
      </c>
      <c r="T279" s="123">
        <v>742866.0</v>
      </c>
      <c r="U279" s="44">
        <f t="shared" si="34"/>
        <v>15271.86</v>
      </c>
      <c r="V279" s="44">
        <f t="shared" si="3"/>
        <v>0</v>
      </c>
      <c r="W279" s="123"/>
      <c r="X279" s="123"/>
      <c r="Y279" s="123">
        <v>0.0</v>
      </c>
      <c r="Z279" s="123">
        <v>0.0</v>
      </c>
      <c r="AA279" s="123">
        <v>0.0</v>
      </c>
      <c r="AB279" s="123"/>
      <c r="AC279" s="123">
        <v>0.0</v>
      </c>
      <c r="AD279" s="44">
        <f t="shared" si="7"/>
        <v>-7000</v>
      </c>
      <c r="AE279" s="123">
        <v>0.0</v>
      </c>
    </row>
    <row r="280">
      <c r="A280" s="120">
        <v>2018.0</v>
      </c>
      <c r="B280" s="121">
        <v>4.0</v>
      </c>
      <c r="C280" s="122" t="s">
        <v>48</v>
      </c>
      <c r="D280" s="44"/>
      <c r="E280" s="123">
        <v>8414.73</v>
      </c>
      <c r="F280" s="44"/>
      <c r="G280" s="44"/>
      <c r="H280" s="123">
        <v>-1663.15</v>
      </c>
      <c r="I280" s="44"/>
      <c r="J280" s="44"/>
      <c r="K280" s="44"/>
      <c r="L280" s="123">
        <v>-4711.93</v>
      </c>
      <c r="M280" s="44"/>
      <c r="N280" s="44"/>
      <c r="O280" s="123">
        <v>825369.0</v>
      </c>
      <c r="P280" s="52">
        <f t="shared" si="23"/>
        <v>825368.89</v>
      </c>
      <c r="Q280" s="124">
        <f t="shared" si="2"/>
        <v>0.1099999999</v>
      </c>
      <c r="R280" s="52">
        <f t="array" ref="R280">IFERROR(INDEX('Fund YTD Target Values'!$1:$1000, MATCH($C280,'Fund YTD Target Values'!$A:$A,0), MATCH($A280,'Fund YTD Target Values'!$1:$1,0)),0)</f>
        <v>845621.3635</v>
      </c>
      <c r="S280" s="52">
        <f>IFERROR(__xludf.DUMMYFUNCTION("IFERROR(sum(FILTER('Fund Data'!$V:$V, 'Fund Data'!$C:$C = $C280, 'Fund Data'!$A:$A &lt; $A280)),0) + IFERROR(sum(FILTER('Fund Data'!$V:$V, 'Fund Data'!$C:$C = $C280, 'Fund Data'!$A:$A = $A280, 'Fund Data'!$B:$B &lt;= $B280)),0)"),758137.86)</f>
        <v>758137.86</v>
      </c>
      <c r="T280" s="123">
        <v>742866.0</v>
      </c>
      <c r="U280" s="44">
        <f t="shared" si="34"/>
        <v>15271.86</v>
      </c>
      <c r="V280" s="44">
        <f t="shared" si="3"/>
        <v>0</v>
      </c>
      <c r="W280" s="123"/>
      <c r="X280" s="123"/>
      <c r="Y280" s="123">
        <v>0.0</v>
      </c>
      <c r="Z280" s="123">
        <v>0.0</v>
      </c>
      <c r="AA280" s="123">
        <v>0.0</v>
      </c>
      <c r="AB280" s="123"/>
      <c r="AC280" s="123">
        <v>0.0</v>
      </c>
      <c r="AD280" s="44">
        <f t="shared" si="7"/>
        <v>0</v>
      </c>
      <c r="AE280" s="123">
        <v>0.0</v>
      </c>
    </row>
    <row r="281">
      <c r="A281" s="120">
        <v>2018.0</v>
      </c>
      <c r="B281" s="121">
        <v>3.0</v>
      </c>
      <c r="C281" s="122" t="s">
        <v>48</v>
      </c>
      <c r="D281" s="44"/>
      <c r="E281" s="123">
        <v>6428.55</v>
      </c>
      <c r="F281" s="44"/>
      <c r="G281" s="44"/>
      <c r="H281" s="123">
        <v>-1251.59</v>
      </c>
      <c r="I281" s="44"/>
      <c r="J281" s="44"/>
      <c r="K281" s="44"/>
      <c r="L281" s="123">
        <v>-5385.84</v>
      </c>
      <c r="M281" s="44"/>
      <c r="N281" s="44"/>
      <c r="O281" s="123">
        <v>823120.0</v>
      </c>
      <c r="P281" s="52">
        <f t="shared" si="23"/>
        <v>823120.36</v>
      </c>
      <c r="Q281" s="124">
        <f t="shared" si="2"/>
        <v>-0.3600000001</v>
      </c>
      <c r="R281" s="52">
        <f t="array" ref="R281">IFERROR(INDEX('Fund YTD Target Values'!$1:$1000, MATCH($C281,'Fund YTD Target Values'!$A:$A,0), MATCH($A281,'Fund YTD Target Values'!$1:$1,0)),0)</f>
        <v>845621.3635</v>
      </c>
      <c r="S281" s="52">
        <f>IFERROR(__xludf.DUMMYFUNCTION("IFERROR(sum(FILTER('Fund Data'!$V:$V, 'Fund Data'!$C:$C = $C281, 'Fund Data'!$A:$A &lt; $A281)),0) + IFERROR(sum(FILTER('Fund Data'!$V:$V, 'Fund Data'!$C:$C = $C281, 'Fund Data'!$A:$A = $A281, 'Fund Data'!$B:$B &lt;= $B281)),0)"),758137.86)</f>
        <v>758137.86</v>
      </c>
      <c r="T281" s="123">
        <v>742866.0</v>
      </c>
      <c r="U281" s="44">
        <f t="shared" si="34"/>
        <v>15271.86</v>
      </c>
      <c r="V281" s="44">
        <f t="shared" si="3"/>
        <v>0</v>
      </c>
      <c r="W281" s="123"/>
      <c r="X281" s="123"/>
      <c r="Y281" s="123">
        <v>0.0</v>
      </c>
      <c r="Z281" s="123">
        <v>0.0</v>
      </c>
      <c r="AA281" s="123">
        <v>0.0</v>
      </c>
      <c r="AB281" s="123"/>
      <c r="AC281" s="123">
        <v>0.0</v>
      </c>
      <c r="AD281" s="44">
        <f t="shared" si="7"/>
        <v>0</v>
      </c>
      <c r="AE281" s="123">
        <v>0.0</v>
      </c>
    </row>
    <row r="282">
      <c r="A282" s="120">
        <v>2018.0</v>
      </c>
      <c r="B282" s="121">
        <v>2.0</v>
      </c>
      <c r="C282" s="122" t="s">
        <v>48</v>
      </c>
      <c r="D282" s="44"/>
      <c r="E282" s="123">
        <v>5704.13</v>
      </c>
      <c r="F282" s="44"/>
      <c r="G282" s="44"/>
      <c r="H282" s="123">
        <v>-2043.45</v>
      </c>
      <c r="I282" s="44"/>
      <c r="J282" s="44"/>
      <c r="K282" s="44"/>
      <c r="L282" s="123">
        <v>353.26</v>
      </c>
      <c r="M282" s="44"/>
      <c r="N282" s="44"/>
      <c r="O282" s="123">
        <v>827343.0</v>
      </c>
      <c r="P282" s="52">
        <f t="shared" si="23"/>
        <v>827343.18</v>
      </c>
      <c r="Q282" s="124">
        <f t="shared" si="2"/>
        <v>-0.1800000001</v>
      </c>
      <c r="R282" s="52">
        <f t="array" ref="R282">IFERROR(INDEX('Fund YTD Target Values'!$1:$1000, MATCH($C282,'Fund YTD Target Values'!$A:$A,0), MATCH($A282,'Fund YTD Target Values'!$1:$1,0)),0)</f>
        <v>845621.3635</v>
      </c>
      <c r="S282" s="52">
        <f>IFERROR(__xludf.DUMMYFUNCTION("IFERROR(sum(FILTER('Fund Data'!$V:$V, 'Fund Data'!$C:$C = $C282, 'Fund Data'!$A:$A &lt; $A282)),0) + IFERROR(sum(FILTER('Fund Data'!$V:$V, 'Fund Data'!$C:$C = $C282, 'Fund Data'!$A:$A = $A282, 'Fund Data'!$B:$B &lt;= $B282)),0)"),758137.86)</f>
        <v>758137.86</v>
      </c>
      <c r="T282" s="123">
        <v>742866.0</v>
      </c>
      <c r="U282" s="44">
        <f t="shared" si="34"/>
        <v>15271.86</v>
      </c>
      <c r="V282" s="44">
        <f t="shared" si="3"/>
        <v>0</v>
      </c>
      <c r="W282" s="123"/>
      <c r="X282" s="123"/>
      <c r="Y282" s="123">
        <v>0.0</v>
      </c>
      <c r="Z282" s="123">
        <v>0.0</v>
      </c>
      <c r="AA282" s="123">
        <v>0.0</v>
      </c>
      <c r="AB282" s="123"/>
      <c r="AC282" s="123">
        <v>0.0</v>
      </c>
      <c r="AD282" s="44">
        <f t="shared" si="7"/>
        <v>0</v>
      </c>
      <c r="AE282" s="123">
        <v>0.0</v>
      </c>
    </row>
    <row r="283">
      <c r="A283" s="120">
        <v>2018.0</v>
      </c>
      <c r="B283" s="121">
        <v>1.0</v>
      </c>
      <c r="C283" s="122" t="s">
        <v>48</v>
      </c>
      <c r="D283" s="44"/>
      <c r="E283" s="123">
        <v>5092.1</v>
      </c>
      <c r="F283" s="44"/>
      <c r="G283" s="44"/>
      <c r="H283" s="123">
        <v>-1617.2</v>
      </c>
      <c r="I283" s="44"/>
      <c r="J283" s="44"/>
      <c r="K283" s="44"/>
      <c r="L283" s="123">
        <v>25700.94</v>
      </c>
      <c r="M283" s="44"/>
      <c r="N283" s="44"/>
      <c r="O283" s="123">
        <v>852505.0</v>
      </c>
      <c r="P283" s="52">
        <f t="shared" si="23"/>
        <v>852505.08</v>
      </c>
      <c r="Q283" s="124">
        <f t="shared" si="2"/>
        <v>-0.08000000007</v>
      </c>
      <c r="R283" s="52">
        <f t="array" ref="R283">IFERROR(INDEX('Fund YTD Target Values'!$1:$1000, MATCH($C283,'Fund YTD Target Values'!$A:$A,0), MATCH($A283,'Fund YTD Target Values'!$1:$1,0)),0)</f>
        <v>845621.3635</v>
      </c>
      <c r="S283" s="52">
        <f>IFERROR(__xludf.DUMMYFUNCTION("IFERROR(sum(FILTER('Fund Data'!$V:$V, 'Fund Data'!$C:$C = $C283, 'Fund Data'!$A:$A &lt; $A283)),0) + IFERROR(sum(FILTER('Fund Data'!$V:$V, 'Fund Data'!$C:$C = $C283, 'Fund Data'!$A:$A = $A283, 'Fund Data'!$B:$B &lt;= $B283)),0)"),758137.86)</f>
        <v>758137.86</v>
      </c>
      <c r="T283" s="123">
        <v>742866.0</v>
      </c>
      <c r="U283" s="44">
        <f t="shared" si="34"/>
        <v>15271.86</v>
      </c>
      <c r="V283" s="44">
        <f t="shared" si="3"/>
        <v>0</v>
      </c>
      <c r="W283" s="123"/>
      <c r="X283" s="123"/>
      <c r="Y283" s="123">
        <v>0.0</v>
      </c>
      <c r="Z283" s="123">
        <v>0.0</v>
      </c>
      <c r="AA283" s="123">
        <v>0.0</v>
      </c>
      <c r="AB283" s="123"/>
      <c r="AC283" s="123">
        <v>0.0</v>
      </c>
      <c r="AD283" s="44">
        <f t="shared" si="7"/>
        <v>0</v>
      </c>
      <c r="AE283" s="123">
        <v>0.0</v>
      </c>
    </row>
    <row r="284">
      <c r="A284" s="120">
        <v>2017.0</v>
      </c>
      <c r="B284" s="121">
        <v>12.0</v>
      </c>
      <c r="C284" s="122" t="s">
        <v>48</v>
      </c>
      <c r="D284" s="44"/>
      <c r="E284" s="123">
        <v>18361.11</v>
      </c>
      <c r="F284" s="123">
        <v>-80000.0</v>
      </c>
      <c r="G284" s="123"/>
      <c r="H284" s="123">
        <v>-4984.31</v>
      </c>
      <c r="I284" s="44"/>
      <c r="J284" s="123">
        <v>16532.69</v>
      </c>
      <c r="K284" s="44"/>
      <c r="L284" s="123">
        <v>87048.74</v>
      </c>
      <c r="M284" s="44"/>
      <c r="N284" s="44"/>
      <c r="O284" s="123">
        <v>823329.0</v>
      </c>
      <c r="P284" s="52">
        <f t="shared" si="23"/>
        <v>823329.24</v>
      </c>
      <c r="Q284" s="124">
        <f t="shared" si="2"/>
        <v>-0.2400000001</v>
      </c>
      <c r="R284" s="52">
        <f t="array" ref="R284">IFERROR(INDEX('Fund YTD Target Values'!$1:$1000, MATCH($C284,'Fund YTD Target Values'!$A:$A,0), MATCH($A284,'Fund YTD Target Values'!$1:$1,0)),0)</f>
        <v>825458.0276</v>
      </c>
      <c r="S284" s="52">
        <f>IFERROR(__xludf.DUMMYFUNCTION("IFERROR(sum(FILTER('Fund Data'!$V:$V, 'Fund Data'!$C:$C = $C284, 'Fund Data'!$A:$A &lt; $A284)),0) + IFERROR(sum(FILTER('Fund Data'!$V:$V, 'Fund Data'!$C:$C = $C284, 'Fund Data'!$A:$A = $A284, 'Fund Data'!$B:$B &lt;= $B284)),0)"),758137.86)</f>
        <v>758137.86</v>
      </c>
      <c r="T284" s="123">
        <v>742866.0</v>
      </c>
      <c r="U284" s="44">
        <f t="shared" si="34"/>
        <v>15271.86</v>
      </c>
      <c r="V284" s="44">
        <f t="shared" si="3"/>
        <v>0</v>
      </c>
      <c r="W284" s="123"/>
      <c r="X284" s="123"/>
      <c r="Y284" s="123">
        <v>0.0</v>
      </c>
      <c r="Z284" s="123">
        <v>0.0</v>
      </c>
      <c r="AA284" s="123">
        <v>0.0</v>
      </c>
      <c r="AB284" s="123"/>
      <c r="AC284" s="123">
        <v>0.0</v>
      </c>
      <c r="AD284" s="44">
        <f t="shared" si="7"/>
        <v>-80000</v>
      </c>
      <c r="AE284" s="123">
        <v>0.0</v>
      </c>
    </row>
    <row r="285">
      <c r="A285" s="120">
        <v>2017.0</v>
      </c>
      <c r="B285" s="121">
        <v>11.0</v>
      </c>
      <c r="C285" s="122" t="s">
        <v>48</v>
      </c>
      <c r="D285" s="44"/>
      <c r="E285" s="123">
        <v>17203.09</v>
      </c>
      <c r="F285" s="123">
        <v>-80000.0</v>
      </c>
      <c r="G285" s="44"/>
      <c r="H285" s="123">
        <v>-4574.91</v>
      </c>
      <c r="I285" s="44"/>
      <c r="J285" s="123">
        <v>16532.69</v>
      </c>
      <c r="K285" s="44"/>
      <c r="L285" s="123">
        <v>83092.24</v>
      </c>
      <c r="M285" s="44"/>
      <c r="N285" s="44"/>
      <c r="O285" s="123">
        <v>818624.0</v>
      </c>
      <c r="P285" s="52">
        <f t="shared" si="23"/>
        <v>818624.12</v>
      </c>
      <c r="Q285" s="124">
        <f t="shared" si="2"/>
        <v>-0.1200000001</v>
      </c>
      <c r="R285" s="52">
        <f t="array" ref="R285">IFERROR(INDEX('Fund YTD Target Values'!$1:$1000, MATCH($C285,'Fund YTD Target Values'!$A:$A,0), MATCH($A285,'Fund YTD Target Values'!$1:$1,0)),0)</f>
        <v>825458.0276</v>
      </c>
      <c r="S285" s="52">
        <f>IFERROR(__xludf.DUMMYFUNCTION("IFERROR(sum(FILTER('Fund Data'!$V:$V, 'Fund Data'!$C:$C = $C285, 'Fund Data'!$A:$A &lt; $A285)),0) + IFERROR(sum(FILTER('Fund Data'!$V:$V, 'Fund Data'!$C:$C = $C285, 'Fund Data'!$A:$A = $A285, 'Fund Data'!$B:$B &lt;= $B285)),0)"),758137.86)</f>
        <v>758137.86</v>
      </c>
      <c r="T285" s="123">
        <v>742866.0</v>
      </c>
      <c r="U285" s="44">
        <f t="shared" si="34"/>
        <v>15271.86</v>
      </c>
      <c r="V285" s="44">
        <f t="shared" si="3"/>
        <v>0</v>
      </c>
      <c r="W285" s="123"/>
      <c r="X285" s="123"/>
      <c r="Y285" s="123">
        <v>0.0</v>
      </c>
      <c r="Z285" s="123">
        <v>0.0</v>
      </c>
      <c r="AA285" s="123">
        <v>0.0</v>
      </c>
      <c r="AB285" s="123"/>
      <c r="AC285" s="123">
        <v>0.0</v>
      </c>
      <c r="AD285" s="44">
        <f t="shared" si="7"/>
        <v>-80000</v>
      </c>
      <c r="AE285" s="123">
        <v>0.0</v>
      </c>
    </row>
    <row r="286">
      <c r="A286" s="120">
        <v>2017.0</v>
      </c>
      <c r="B286" s="121">
        <v>10.0</v>
      </c>
      <c r="C286" s="122" t="s">
        <v>48</v>
      </c>
      <c r="D286" s="44"/>
      <c r="E286" s="123">
        <v>16632.47</v>
      </c>
      <c r="F286" s="123">
        <v>-53000.0</v>
      </c>
      <c r="G286" s="44"/>
      <c r="H286" s="123">
        <v>-4156.54</v>
      </c>
      <c r="I286" s="44"/>
      <c r="J286" s="123">
        <v>9864.44</v>
      </c>
      <c r="K286" s="44"/>
      <c r="L286" s="123">
        <v>80704.31</v>
      </c>
      <c r="M286" s="44"/>
      <c r="N286" s="44"/>
      <c r="O286" s="123">
        <v>836416.0</v>
      </c>
      <c r="P286" s="52">
        <f t="shared" si="23"/>
        <v>836415.69</v>
      </c>
      <c r="Q286" s="124">
        <f t="shared" si="2"/>
        <v>0.3099999998</v>
      </c>
      <c r="R286" s="52">
        <f t="array" ref="R286">IFERROR(INDEX('Fund YTD Target Values'!$1:$1000, MATCH($C286,'Fund YTD Target Values'!$A:$A,0), MATCH($A286,'Fund YTD Target Values'!$1:$1,0)),0)</f>
        <v>825458.0276</v>
      </c>
      <c r="S286" s="52">
        <f>IFERROR(__xludf.DUMMYFUNCTION("IFERROR(sum(FILTER('Fund Data'!$V:$V, 'Fund Data'!$C:$C = $C286, 'Fund Data'!$A:$A &lt; $A286)),0) + IFERROR(sum(FILTER('Fund Data'!$V:$V, 'Fund Data'!$C:$C = $C286, 'Fund Data'!$A:$A = $A286, 'Fund Data'!$B:$B &lt;= $B286)),0)"),758137.86)</f>
        <v>758137.86</v>
      </c>
      <c r="T286" s="123">
        <v>742866.0</v>
      </c>
      <c r="U286" s="44">
        <f t="shared" si="34"/>
        <v>15271.86</v>
      </c>
      <c r="V286" s="44">
        <f t="shared" si="3"/>
        <v>0</v>
      </c>
      <c r="W286" s="123"/>
      <c r="X286" s="123"/>
      <c r="Y286" s="123">
        <v>0.0</v>
      </c>
      <c r="Z286" s="123">
        <v>0.0</v>
      </c>
      <c r="AA286" s="123">
        <v>0.0</v>
      </c>
      <c r="AB286" s="123"/>
      <c r="AC286" s="123">
        <v>0.0</v>
      </c>
      <c r="AD286" s="44">
        <f t="shared" si="7"/>
        <v>-53000</v>
      </c>
      <c r="AE286" s="123">
        <v>0.0</v>
      </c>
    </row>
    <row r="287">
      <c r="A287" s="120">
        <v>2017.0</v>
      </c>
      <c r="B287" s="121">
        <v>9.0</v>
      </c>
      <c r="C287" s="122" t="s">
        <v>48</v>
      </c>
      <c r="D287" s="44"/>
      <c r="E287" s="123">
        <v>14833.25</v>
      </c>
      <c r="F287" s="123">
        <v>-13000.0</v>
      </c>
      <c r="G287" s="44"/>
      <c r="H287" s="123">
        <v>-3724.62</v>
      </c>
      <c r="I287" s="44"/>
      <c r="J287" s="123">
        <v>257.53</v>
      </c>
      <c r="K287" s="44"/>
      <c r="L287" s="123">
        <v>79106.13</v>
      </c>
      <c r="M287" s="44"/>
      <c r="N287" s="44"/>
      <c r="O287" s="123">
        <v>863843.0</v>
      </c>
      <c r="P287" s="52">
        <f t="shared" si="23"/>
        <v>863843.3</v>
      </c>
      <c r="Q287" s="124">
        <f t="shared" si="2"/>
        <v>-0.3000000002</v>
      </c>
      <c r="R287" s="52">
        <f t="array" ref="R287">IFERROR(INDEX('Fund YTD Target Values'!$1:$1000, MATCH($C287,'Fund YTD Target Values'!$A:$A,0), MATCH($A287,'Fund YTD Target Values'!$1:$1,0)),0)</f>
        <v>825458.0276</v>
      </c>
      <c r="S287" s="52">
        <f>IFERROR(__xludf.DUMMYFUNCTION("IFERROR(sum(FILTER('Fund Data'!$V:$V, 'Fund Data'!$C:$C = $C287, 'Fund Data'!$A:$A &lt; $A287)),0) + IFERROR(sum(FILTER('Fund Data'!$V:$V, 'Fund Data'!$C:$C = $C287, 'Fund Data'!$A:$A = $A287, 'Fund Data'!$B:$B &lt;= $B287)),0)"),758137.86)</f>
        <v>758137.86</v>
      </c>
      <c r="T287" s="123">
        <v>742866.0</v>
      </c>
      <c r="U287" s="44">
        <f t="shared" si="34"/>
        <v>15271.86</v>
      </c>
      <c r="V287" s="44">
        <f t="shared" si="3"/>
        <v>0</v>
      </c>
      <c r="W287" s="123"/>
      <c r="X287" s="123"/>
      <c r="Y287" s="123">
        <v>0.0</v>
      </c>
      <c r="Z287" s="123">
        <v>0.0</v>
      </c>
      <c r="AA287" s="123">
        <v>0.0</v>
      </c>
      <c r="AB287" s="123"/>
      <c r="AC287" s="123">
        <v>0.0</v>
      </c>
      <c r="AD287" s="44">
        <f t="shared" si="7"/>
        <v>-13000</v>
      </c>
      <c r="AE287" s="123">
        <v>0.0</v>
      </c>
    </row>
    <row r="288">
      <c r="A288" s="120">
        <v>2017.0</v>
      </c>
      <c r="B288" s="121">
        <v>8.0</v>
      </c>
      <c r="C288" s="122" t="s">
        <v>48</v>
      </c>
      <c r="D288" s="44"/>
      <c r="E288" s="123">
        <v>13756.63</v>
      </c>
      <c r="F288" s="123">
        <v>-12000.0</v>
      </c>
      <c r="G288" s="44"/>
      <c r="H288" s="123">
        <v>-3296.76</v>
      </c>
      <c r="I288" s="44"/>
      <c r="J288" s="123">
        <v>257.53</v>
      </c>
      <c r="K288" s="44"/>
      <c r="L288" s="123">
        <v>70629.84</v>
      </c>
      <c r="M288" s="44"/>
      <c r="N288" s="44"/>
      <c r="O288" s="123">
        <v>855718.0</v>
      </c>
      <c r="P288" s="52">
        <f t="shared" si="23"/>
        <v>855718.25</v>
      </c>
      <c r="Q288" s="124">
        <f t="shared" si="2"/>
        <v>-0.2500000001</v>
      </c>
      <c r="R288" s="52">
        <f t="array" ref="R288">IFERROR(INDEX('Fund YTD Target Values'!$1:$1000, MATCH($C288,'Fund YTD Target Values'!$A:$A,0), MATCH($A288,'Fund YTD Target Values'!$1:$1,0)),0)</f>
        <v>825458.0276</v>
      </c>
      <c r="S288" s="52">
        <f>IFERROR(__xludf.DUMMYFUNCTION("IFERROR(sum(FILTER('Fund Data'!$V:$V, 'Fund Data'!$C:$C = $C288, 'Fund Data'!$A:$A &lt; $A288)),0) + IFERROR(sum(FILTER('Fund Data'!$V:$V, 'Fund Data'!$C:$C = $C288, 'Fund Data'!$A:$A = $A288, 'Fund Data'!$B:$B &lt;= $B288)),0)"),758137.86)</f>
        <v>758137.86</v>
      </c>
      <c r="T288" s="123">
        <v>742866.0</v>
      </c>
      <c r="U288" s="44">
        <f t="shared" si="34"/>
        <v>15271.86</v>
      </c>
      <c r="V288" s="44">
        <f t="shared" si="3"/>
        <v>0</v>
      </c>
      <c r="W288" s="123"/>
      <c r="X288" s="123"/>
      <c r="Y288" s="123">
        <v>0.0</v>
      </c>
      <c r="Z288" s="123">
        <v>0.0</v>
      </c>
      <c r="AA288" s="123">
        <v>0.0</v>
      </c>
      <c r="AB288" s="123"/>
      <c r="AC288" s="123">
        <v>0.0</v>
      </c>
      <c r="AD288" s="44">
        <f t="shared" si="7"/>
        <v>-12000</v>
      </c>
      <c r="AE288" s="123">
        <v>0.0</v>
      </c>
    </row>
    <row r="289">
      <c r="A289" s="120">
        <v>2017.0</v>
      </c>
      <c r="B289" s="121">
        <v>7.0</v>
      </c>
      <c r="C289" s="122" t="s">
        <v>48</v>
      </c>
      <c r="D289" s="44"/>
      <c r="E289" s="123">
        <v>13172.5</v>
      </c>
      <c r="F289" s="123">
        <v>-10000.0</v>
      </c>
      <c r="G289" s="44"/>
      <c r="H289" s="123">
        <v>-2869.1</v>
      </c>
      <c r="I289" s="44"/>
      <c r="J289" s="123">
        <v>257.53</v>
      </c>
      <c r="K289" s="44"/>
      <c r="L289" s="123">
        <v>68397.69</v>
      </c>
      <c r="M289" s="44"/>
      <c r="N289" s="44"/>
      <c r="O289" s="123">
        <v>855330.0</v>
      </c>
      <c r="P289" s="52">
        <f t="shared" si="23"/>
        <v>855329.63</v>
      </c>
      <c r="Q289" s="124">
        <f t="shared" si="2"/>
        <v>0.3699999999</v>
      </c>
      <c r="R289" s="52">
        <f t="array" ref="R289">IFERROR(INDEX('Fund YTD Target Values'!$1:$1000, MATCH($C289,'Fund YTD Target Values'!$A:$A,0), MATCH($A289,'Fund YTD Target Values'!$1:$1,0)),0)</f>
        <v>825458.0276</v>
      </c>
      <c r="S289" s="52">
        <f>IFERROR(__xludf.DUMMYFUNCTION("IFERROR(sum(FILTER('Fund Data'!$V:$V, 'Fund Data'!$C:$C = $C289, 'Fund Data'!$A:$A &lt; $A289)),0) + IFERROR(sum(FILTER('Fund Data'!$V:$V, 'Fund Data'!$C:$C = $C289, 'Fund Data'!$A:$A = $A289, 'Fund Data'!$B:$B &lt;= $B289)),0)"),758137.86)</f>
        <v>758137.86</v>
      </c>
      <c r="T289" s="123">
        <v>742866.0</v>
      </c>
      <c r="U289" s="44">
        <f t="shared" si="34"/>
        <v>15271.86</v>
      </c>
      <c r="V289" s="44">
        <f t="shared" si="3"/>
        <v>0</v>
      </c>
      <c r="W289" s="123"/>
      <c r="X289" s="123"/>
      <c r="Y289" s="123">
        <v>0.0</v>
      </c>
      <c r="Z289" s="123">
        <v>0.0</v>
      </c>
      <c r="AA289" s="123">
        <v>0.0</v>
      </c>
      <c r="AB289" s="123"/>
      <c r="AC289" s="123">
        <v>0.0</v>
      </c>
      <c r="AD289" s="44">
        <f t="shared" si="7"/>
        <v>-10000</v>
      </c>
      <c r="AE289" s="123">
        <v>0.0</v>
      </c>
    </row>
    <row r="290">
      <c r="A290" s="120">
        <v>2017.0</v>
      </c>
      <c r="B290" s="121">
        <v>6.0</v>
      </c>
      <c r="C290" s="122" t="s">
        <v>48</v>
      </c>
      <c r="D290" s="44"/>
      <c r="E290" s="123">
        <v>10486.85</v>
      </c>
      <c r="F290" s="123">
        <v>-10000.0</v>
      </c>
      <c r="G290" s="44"/>
      <c r="H290" s="123">
        <v>-2451.36</v>
      </c>
      <c r="I290" s="44"/>
      <c r="J290" s="123">
        <v>257.53</v>
      </c>
      <c r="K290" s="44"/>
      <c r="L290" s="123">
        <v>50746.1</v>
      </c>
      <c r="M290" s="44"/>
      <c r="N290" s="44"/>
      <c r="O290" s="123">
        <v>835410.0</v>
      </c>
      <c r="P290" s="52">
        <f t="shared" si="23"/>
        <v>835410.13</v>
      </c>
      <c r="Q290" s="124">
        <f t="shared" si="2"/>
        <v>-0.1300000001</v>
      </c>
      <c r="R290" s="52">
        <f t="array" ref="R290">IFERROR(INDEX('Fund YTD Target Values'!$1:$1000, MATCH($C290,'Fund YTD Target Values'!$A:$A,0), MATCH($A290,'Fund YTD Target Values'!$1:$1,0)),0)</f>
        <v>825458.0276</v>
      </c>
      <c r="S290" s="52">
        <f>IFERROR(__xludf.DUMMYFUNCTION("IFERROR(sum(FILTER('Fund Data'!$V:$V, 'Fund Data'!$C:$C = $C290, 'Fund Data'!$A:$A &lt; $A290)),0) + IFERROR(sum(FILTER('Fund Data'!$V:$V, 'Fund Data'!$C:$C = $C290, 'Fund Data'!$A:$A = $A290, 'Fund Data'!$B:$B &lt;= $B290)),0)"),758137.86)</f>
        <v>758137.86</v>
      </c>
      <c r="T290" s="123">
        <v>742866.0</v>
      </c>
      <c r="U290" s="44">
        <f t="shared" si="34"/>
        <v>15271.86</v>
      </c>
      <c r="V290" s="44">
        <f t="shared" si="3"/>
        <v>0</v>
      </c>
      <c r="W290" s="123"/>
      <c r="X290" s="123"/>
      <c r="Y290" s="123">
        <v>0.0</v>
      </c>
      <c r="Z290" s="123">
        <v>0.0</v>
      </c>
      <c r="AA290" s="123">
        <v>0.0</v>
      </c>
      <c r="AB290" s="123"/>
      <c r="AC290" s="123">
        <v>0.0</v>
      </c>
      <c r="AD290" s="44">
        <f t="shared" si="7"/>
        <v>-10000</v>
      </c>
      <c r="AE290" s="123">
        <v>0.0</v>
      </c>
    </row>
    <row r="291">
      <c r="A291" s="120">
        <v>2017.0</v>
      </c>
      <c r="B291" s="121">
        <v>5.0</v>
      </c>
      <c r="C291" s="122" t="s">
        <v>48</v>
      </c>
      <c r="D291" s="44"/>
      <c r="E291" s="123">
        <v>9926.31</v>
      </c>
      <c r="F291" s="123">
        <v>-10000.0</v>
      </c>
      <c r="G291" s="44"/>
      <c r="H291" s="123">
        <v>-2034.46</v>
      </c>
      <c r="I291" s="44"/>
      <c r="J291" s="123">
        <v>257.53</v>
      </c>
      <c r="K291" s="44"/>
      <c r="L291" s="123">
        <v>48931.01</v>
      </c>
      <c r="M291" s="44"/>
      <c r="N291" s="44"/>
      <c r="O291" s="123">
        <v>833451.0</v>
      </c>
      <c r="P291" s="52">
        <f t="shared" si="23"/>
        <v>833451.4</v>
      </c>
      <c r="Q291" s="124">
        <f t="shared" si="2"/>
        <v>-0.4000000001</v>
      </c>
      <c r="R291" s="52">
        <f t="array" ref="R291">IFERROR(INDEX('Fund YTD Target Values'!$1:$1000, MATCH($C291,'Fund YTD Target Values'!$A:$A,0), MATCH($A291,'Fund YTD Target Values'!$1:$1,0)),0)</f>
        <v>825458.0276</v>
      </c>
      <c r="S291" s="52">
        <f>IFERROR(__xludf.DUMMYFUNCTION("IFERROR(sum(FILTER('Fund Data'!$V:$V, 'Fund Data'!$C:$C = $C291, 'Fund Data'!$A:$A &lt; $A291)),0) + IFERROR(sum(FILTER('Fund Data'!$V:$V, 'Fund Data'!$C:$C = $C291, 'Fund Data'!$A:$A = $A291, 'Fund Data'!$B:$B &lt;= $B291)),0)"),758137.86)</f>
        <v>758137.86</v>
      </c>
      <c r="T291" s="123">
        <v>742866.0</v>
      </c>
      <c r="U291" s="44">
        <f t="shared" si="34"/>
        <v>15271.86</v>
      </c>
      <c r="V291" s="44">
        <f t="shared" si="3"/>
        <v>0</v>
      </c>
      <c r="W291" s="123"/>
      <c r="X291" s="123"/>
      <c r="Y291" s="123">
        <v>0.0</v>
      </c>
      <c r="Z291" s="123">
        <v>0.0</v>
      </c>
      <c r="AA291" s="123">
        <v>0.0</v>
      </c>
      <c r="AB291" s="123"/>
      <c r="AC291" s="123">
        <v>0.0</v>
      </c>
      <c r="AD291" s="44">
        <f t="shared" si="7"/>
        <v>-10000</v>
      </c>
      <c r="AE291" s="123">
        <v>0.0</v>
      </c>
    </row>
    <row r="292">
      <c r="A292" s="120">
        <v>2017.0</v>
      </c>
      <c r="B292" s="121">
        <v>4.0</v>
      </c>
      <c r="C292" s="122" t="s">
        <v>48</v>
      </c>
      <c r="D292" s="44"/>
      <c r="E292" s="123">
        <v>9384.45</v>
      </c>
      <c r="F292" s="44"/>
      <c r="G292" s="44"/>
      <c r="H292" s="123">
        <v>-1617.51</v>
      </c>
      <c r="I292" s="44"/>
      <c r="J292" s="44"/>
      <c r="K292" s="44"/>
      <c r="L292" s="123">
        <v>39766.86</v>
      </c>
      <c r="M292" s="44"/>
      <c r="N292" s="44"/>
      <c r="O292" s="123">
        <v>833905.0</v>
      </c>
      <c r="P292" s="52">
        <f t="shared" si="23"/>
        <v>833904.81</v>
      </c>
      <c r="Q292" s="124">
        <f t="shared" si="2"/>
        <v>0.1899999998</v>
      </c>
      <c r="R292" s="52">
        <f t="array" ref="R292">IFERROR(INDEX('Fund YTD Target Values'!$1:$1000, MATCH($C292,'Fund YTD Target Values'!$A:$A,0), MATCH($A292,'Fund YTD Target Values'!$1:$1,0)),0)</f>
        <v>825458.0276</v>
      </c>
      <c r="S292" s="52">
        <f>IFERROR(__xludf.DUMMYFUNCTION("IFERROR(sum(FILTER('Fund Data'!$V:$V, 'Fund Data'!$C:$C = $C292, 'Fund Data'!$A:$A &lt; $A292)),0) + IFERROR(sum(FILTER('Fund Data'!$V:$V, 'Fund Data'!$C:$C = $C292, 'Fund Data'!$A:$A = $A292, 'Fund Data'!$B:$B &lt;= $B292)),0)"),758137.86)</f>
        <v>758137.86</v>
      </c>
      <c r="T292" s="123">
        <v>742866.0</v>
      </c>
      <c r="U292" s="44">
        <f t="shared" si="34"/>
        <v>15271.86</v>
      </c>
      <c r="V292" s="44">
        <f t="shared" si="3"/>
        <v>0</v>
      </c>
      <c r="W292" s="123"/>
      <c r="X292" s="123"/>
      <c r="Y292" s="123">
        <v>0.0</v>
      </c>
      <c r="Z292" s="123">
        <v>0.0</v>
      </c>
      <c r="AA292" s="123">
        <v>0.0</v>
      </c>
      <c r="AB292" s="123"/>
      <c r="AC292" s="123">
        <v>0.0</v>
      </c>
      <c r="AD292" s="44">
        <f t="shared" si="7"/>
        <v>0</v>
      </c>
      <c r="AE292" s="123">
        <v>0.0</v>
      </c>
    </row>
    <row r="293">
      <c r="A293" s="120">
        <v>2017.0</v>
      </c>
      <c r="B293" s="121">
        <v>3.0</v>
      </c>
      <c r="C293" s="122" t="s">
        <v>48</v>
      </c>
      <c r="D293" s="44"/>
      <c r="E293" s="123">
        <v>7102.05</v>
      </c>
      <c r="F293" s="44"/>
      <c r="G293" s="44"/>
      <c r="H293" s="123">
        <v>-1205.68</v>
      </c>
      <c r="I293" s="44"/>
      <c r="J293" s="44"/>
      <c r="K293" s="44"/>
      <c r="L293" s="123">
        <v>31401.7</v>
      </c>
      <c r="M293" s="44"/>
      <c r="N293" s="44"/>
      <c r="O293" s="123">
        <v>823669.0</v>
      </c>
      <c r="P293" s="52">
        <f t="shared" si="23"/>
        <v>823669.08</v>
      </c>
      <c r="Q293" s="124">
        <f t="shared" si="2"/>
        <v>-0.08000000007</v>
      </c>
      <c r="R293" s="52">
        <f t="array" ref="R293">IFERROR(INDEX('Fund YTD Target Values'!$1:$1000, MATCH($C293,'Fund YTD Target Values'!$A:$A,0), MATCH($A293,'Fund YTD Target Values'!$1:$1,0)),0)</f>
        <v>825458.0276</v>
      </c>
      <c r="S293" s="52">
        <f>IFERROR(__xludf.DUMMYFUNCTION("IFERROR(sum(FILTER('Fund Data'!$V:$V, 'Fund Data'!$C:$C = $C293, 'Fund Data'!$A:$A &lt; $A293)),0) + IFERROR(sum(FILTER('Fund Data'!$V:$V, 'Fund Data'!$C:$C = $C293, 'Fund Data'!$A:$A = $A293, 'Fund Data'!$B:$B &lt;= $B293)),0)"),758137.86)</f>
        <v>758137.86</v>
      </c>
      <c r="T293" s="123">
        <v>742866.0</v>
      </c>
      <c r="U293" s="44">
        <f t="shared" si="34"/>
        <v>15271.86</v>
      </c>
      <c r="V293" s="44">
        <f t="shared" si="3"/>
        <v>0</v>
      </c>
      <c r="W293" s="123"/>
      <c r="X293" s="123"/>
      <c r="Y293" s="123">
        <v>0.0</v>
      </c>
      <c r="Z293" s="123">
        <v>0.0</v>
      </c>
      <c r="AA293" s="123">
        <v>0.0</v>
      </c>
      <c r="AB293" s="123"/>
      <c r="AC293" s="123">
        <v>0.0</v>
      </c>
      <c r="AD293" s="44">
        <f t="shared" si="7"/>
        <v>0</v>
      </c>
      <c r="AE293" s="123">
        <v>0.0</v>
      </c>
    </row>
    <row r="294">
      <c r="A294" s="120">
        <v>2017.0</v>
      </c>
      <c r="B294" s="121">
        <v>2.0</v>
      </c>
      <c r="C294" s="122" t="s">
        <v>48</v>
      </c>
      <c r="D294" s="44"/>
      <c r="E294" s="123">
        <v>6551.22</v>
      </c>
      <c r="F294" s="44"/>
      <c r="G294" s="44"/>
      <c r="H294" s="123">
        <v>-795.39</v>
      </c>
      <c r="I294" s="44"/>
      <c r="J294" s="44"/>
      <c r="K294" s="44"/>
      <c r="L294" s="123">
        <v>28460.37</v>
      </c>
      <c r="M294" s="44"/>
      <c r="N294" s="44"/>
      <c r="O294" s="123">
        <v>820587.21</v>
      </c>
      <c r="P294" s="52">
        <f t="shared" si="23"/>
        <v>820587.21</v>
      </c>
      <c r="Q294" s="124">
        <f t="shared" si="2"/>
        <v>-0.0000000001164153218</v>
      </c>
      <c r="R294" s="52">
        <f t="array" ref="R294">IFERROR(INDEX('Fund YTD Target Values'!$1:$1000, MATCH($C294,'Fund YTD Target Values'!$A:$A,0), MATCH($A294,'Fund YTD Target Values'!$1:$1,0)),0)</f>
        <v>825458.0276</v>
      </c>
      <c r="S294" s="52">
        <f>IFERROR(__xludf.DUMMYFUNCTION("IFERROR(sum(FILTER('Fund Data'!$V:$V, 'Fund Data'!$C:$C = $C294, 'Fund Data'!$A:$A &lt; $A294)),0) + IFERROR(sum(FILTER('Fund Data'!$V:$V, 'Fund Data'!$C:$C = $C294, 'Fund Data'!$A:$A = $A294, 'Fund Data'!$B:$B &lt;= $B294)),0)"),758137.86)</f>
        <v>758137.86</v>
      </c>
      <c r="T294" s="123">
        <v>742866.0</v>
      </c>
      <c r="U294" s="44">
        <f t="shared" si="34"/>
        <v>15271.86</v>
      </c>
      <c r="V294" s="44">
        <f t="shared" si="3"/>
        <v>0</v>
      </c>
      <c r="W294" s="123"/>
      <c r="X294" s="123"/>
      <c r="Y294" s="123">
        <v>0.0</v>
      </c>
      <c r="Z294" s="123">
        <v>0.0</v>
      </c>
      <c r="AA294" s="123">
        <v>0.0</v>
      </c>
      <c r="AB294" s="123"/>
      <c r="AC294" s="123">
        <v>0.0</v>
      </c>
      <c r="AD294" s="44">
        <f t="shared" si="7"/>
        <v>0</v>
      </c>
      <c r="AE294" s="123">
        <v>0.0</v>
      </c>
    </row>
    <row r="295">
      <c r="A295" s="120">
        <v>2017.0</v>
      </c>
      <c r="B295" s="121">
        <v>1.0</v>
      </c>
      <c r="C295" s="122" t="s">
        <v>48</v>
      </c>
      <c r="D295" s="44"/>
      <c r="E295" s="123">
        <v>5983.47</v>
      </c>
      <c r="F295" s="44"/>
      <c r="G295" s="44"/>
      <c r="H295" s="123">
        <v>-393.19</v>
      </c>
      <c r="I295" s="44"/>
      <c r="J295" s="44"/>
      <c r="K295" s="44"/>
      <c r="L295" s="123">
        <v>12441.85</v>
      </c>
      <c r="M295" s="44"/>
      <c r="N295" s="44"/>
      <c r="O295" s="123">
        <v>804403.0</v>
      </c>
      <c r="P295" s="52">
        <f t="shared" si="23"/>
        <v>804403.14</v>
      </c>
      <c r="Q295" s="124">
        <f t="shared" si="2"/>
        <v>-0.1400000001</v>
      </c>
      <c r="R295" s="52">
        <f t="array" ref="R295">IFERROR(INDEX('Fund YTD Target Values'!$1:$1000, MATCH($C295,'Fund YTD Target Values'!$A:$A,0), MATCH($A295,'Fund YTD Target Values'!$1:$1,0)),0)</f>
        <v>825458.0276</v>
      </c>
      <c r="S295" s="52">
        <f>IFERROR(__xludf.DUMMYFUNCTION("IFERROR(sum(FILTER('Fund Data'!$V:$V, 'Fund Data'!$C:$C = $C295, 'Fund Data'!$A:$A &lt; $A295)),0) + IFERROR(sum(FILTER('Fund Data'!$V:$V, 'Fund Data'!$C:$C = $C295, 'Fund Data'!$A:$A = $A295, 'Fund Data'!$B:$B &lt;= $B295)),0)"),758137.86)</f>
        <v>758137.86</v>
      </c>
      <c r="T295" s="123">
        <v>742866.0</v>
      </c>
      <c r="U295" s="44">
        <f t="shared" si="34"/>
        <v>15271.86</v>
      </c>
      <c r="V295" s="44">
        <f t="shared" si="3"/>
        <v>0</v>
      </c>
      <c r="W295" s="123"/>
      <c r="X295" s="123"/>
      <c r="Y295" s="123">
        <v>0.0</v>
      </c>
      <c r="Z295" s="123">
        <v>0.0</v>
      </c>
      <c r="AA295" s="123">
        <v>0.0</v>
      </c>
      <c r="AB295" s="123"/>
      <c r="AC295" s="123">
        <v>0.0</v>
      </c>
      <c r="AD295" s="44">
        <f t="shared" si="7"/>
        <v>0</v>
      </c>
      <c r="AE295" s="123">
        <v>0.0</v>
      </c>
    </row>
    <row r="296">
      <c r="A296" s="120">
        <v>2016.0</v>
      </c>
      <c r="B296" s="121">
        <v>12.0</v>
      </c>
      <c r="C296" s="122" t="s">
        <v>48</v>
      </c>
      <c r="D296" s="44"/>
      <c r="E296" s="123">
        <v>17732.46</v>
      </c>
      <c r="F296" s="123">
        <v>-65200.0</v>
      </c>
      <c r="G296" s="123"/>
      <c r="H296" s="123">
        <v>-4854.04</v>
      </c>
      <c r="I296" s="44"/>
      <c r="J296" s="123">
        <v>8092.46</v>
      </c>
      <c r="K296" s="44"/>
      <c r="L296" s="123">
        <v>27742.01</v>
      </c>
      <c r="M296" s="44"/>
      <c r="N296" s="44"/>
      <c r="O296" s="123">
        <v>786371.0</v>
      </c>
      <c r="P296" s="52">
        <f t="shared" si="23"/>
        <v>786371.01</v>
      </c>
      <c r="Q296" s="124">
        <f t="shared" si="2"/>
        <v>-0.01000000013</v>
      </c>
      <c r="R296" s="52">
        <f t="array" ref="R296">IFERROR(INDEX('Fund YTD Target Values'!$1:$1000, MATCH($C296,'Fund YTD Target Values'!$A:$A,0), MATCH($A296,'Fund YTD Target Values'!$1:$1,0)),0)</f>
        <v>808229.683</v>
      </c>
      <c r="S296" s="52">
        <f>IFERROR(__xludf.DUMMYFUNCTION("IFERROR(sum(FILTER('Fund Data'!$V:$V, 'Fund Data'!$C:$C = $C296, 'Fund Data'!$A:$A &lt; $A296)),0) + IFERROR(sum(FILTER('Fund Data'!$V:$V, 'Fund Data'!$C:$C = $C296, 'Fund Data'!$A:$A = $A296, 'Fund Data'!$B:$B &lt;= $B296)),0)"),758137.86)</f>
        <v>758137.86</v>
      </c>
      <c r="T296" s="123">
        <v>742866.0</v>
      </c>
      <c r="U296" s="44">
        <f t="shared" si="34"/>
        <v>15271.86</v>
      </c>
      <c r="V296" s="44">
        <f t="shared" si="3"/>
        <v>0</v>
      </c>
      <c r="W296" s="123"/>
      <c r="X296" s="123"/>
      <c r="Y296" s="123">
        <v>0.0</v>
      </c>
      <c r="Z296" s="123">
        <v>0.0</v>
      </c>
      <c r="AA296" s="123">
        <v>0.0</v>
      </c>
      <c r="AB296" s="123"/>
      <c r="AC296" s="123">
        <v>0.0</v>
      </c>
      <c r="AD296" s="44">
        <f t="shared" si="7"/>
        <v>-65200</v>
      </c>
      <c r="AE296" s="123">
        <v>0.0</v>
      </c>
    </row>
    <row r="297">
      <c r="A297" s="120">
        <v>2015.0</v>
      </c>
      <c r="B297" s="121">
        <v>12.0</v>
      </c>
      <c r="C297" s="122" t="s">
        <v>48</v>
      </c>
      <c r="D297" s="44"/>
      <c r="E297" s="123">
        <v>21073.03</v>
      </c>
      <c r="F297" s="123">
        <v>-90000.0</v>
      </c>
      <c r="G297" s="123"/>
      <c r="H297" s="123">
        <v>-5338.48</v>
      </c>
      <c r="I297" s="44"/>
      <c r="J297" s="123">
        <v>9183.39</v>
      </c>
      <c r="K297" s="44"/>
      <c r="L297" s="123">
        <v>-46974.81</v>
      </c>
      <c r="M297" s="44"/>
      <c r="N297" s="44"/>
      <c r="O297" s="123">
        <v>802858.0</v>
      </c>
      <c r="P297" s="52">
        <f t="shared" si="23"/>
        <v>802858.12</v>
      </c>
      <c r="Q297" s="124">
        <f t="shared" si="2"/>
        <v>-0.1200000001</v>
      </c>
      <c r="R297" s="52">
        <f t="array" ref="R297">IFERROR(INDEX('Fund YTD Target Values'!$1:$1000, MATCH($C297,'Fund YTD Target Values'!$A:$A,0), MATCH($A297,'Fund YTD Target Values'!$1:$1,0)),0)</f>
        <v>798158.1733</v>
      </c>
      <c r="S297" s="52">
        <f>IFERROR(__xludf.DUMMYFUNCTION("IFERROR(sum(FILTER('Fund Data'!$V:$V, 'Fund Data'!$C:$C = $C297, 'Fund Data'!$A:$A &lt; $A297)),0) + IFERROR(sum(FILTER('Fund Data'!$V:$V, 'Fund Data'!$C:$C = $C297, 'Fund Data'!$A:$A = $A297, 'Fund Data'!$B:$B &lt;= $B297)),0)"),758137.86)</f>
        <v>758137.86</v>
      </c>
      <c r="T297" s="123">
        <v>742866.0</v>
      </c>
      <c r="U297" s="44">
        <f t="shared" si="34"/>
        <v>15271.86</v>
      </c>
      <c r="V297" s="44">
        <f t="shared" si="3"/>
        <v>0</v>
      </c>
      <c r="W297" s="123"/>
      <c r="X297" s="123"/>
      <c r="Y297" s="123">
        <v>0.0</v>
      </c>
      <c r="Z297" s="123">
        <v>0.0</v>
      </c>
      <c r="AA297" s="123">
        <v>0.0</v>
      </c>
      <c r="AB297" s="123"/>
      <c r="AC297" s="123">
        <v>0.0</v>
      </c>
      <c r="AD297" s="44">
        <f t="shared" si="7"/>
        <v>-90000</v>
      </c>
      <c r="AE297" s="123">
        <v>0.0</v>
      </c>
    </row>
    <row r="298">
      <c r="A298" s="120">
        <v>2014.0</v>
      </c>
      <c r="B298" s="121">
        <v>12.0</v>
      </c>
      <c r="C298" s="122" t="s">
        <v>48</v>
      </c>
      <c r="D298" s="44"/>
      <c r="E298" s="123">
        <v>17474.35</v>
      </c>
      <c r="F298" s="123">
        <v>-20000.0</v>
      </c>
      <c r="G298" s="123"/>
      <c r="H298" s="123">
        <v>-5607.24</v>
      </c>
      <c r="I298" s="44"/>
      <c r="J298" s="123">
        <v>450.12</v>
      </c>
      <c r="K298" s="44"/>
      <c r="L298" s="123">
        <v>3480.24</v>
      </c>
      <c r="M298" s="44"/>
      <c r="N298" s="44"/>
      <c r="O298" s="123">
        <v>914915.0</v>
      </c>
      <c r="P298" s="52">
        <f t="shared" si="23"/>
        <v>914914.99</v>
      </c>
      <c r="Q298" s="124">
        <f t="shared" si="2"/>
        <v>0.009999999893</v>
      </c>
      <c r="R298" s="52">
        <f t="array" ref="R298">IFERROR(INDEX('Fund YTD Target Values'!$1:$1000, MATCH($C298,'Fund YTD Target Values'!$A:$A,0), MATCH($A298,'Fund YTD Target Values'!$1:$1,0)),0)</f>
        <v>797210.2938</v>
      </c>
      <c r="S298" s="52">
        <f>IFERROR(__xludf.DUMMYFUNCTION("IFERROR(sum(FILTER('Fund Data'!$V:$V, 'Fund Data'!$C:$C = $C298, 'Fund Data'!$A:$A &lt; $A298)),0) + IFERROR(sum(FILTER('Fund Data'!$V:$V, 'Fund Data'!$C:$C = $C298, 'Fund Data'!$A:$A = $A298, 'Fund Data'!$B:$B &lt;= $B298)),0)"),758137.86)</f>
        <v>758137.86</v>
      </c>
      <c r="T298" s="123">
        <v>742866.0</v>
      </c>
      <c r="U298" s="44">
        <f t="shared" si="34"/>
        <v>15271.86</v>
      </c>
      <c r="V298" s="44">
        <f t="shared" si="3"/>
        <v>0</v>
      </c>
      <c r="W298" s="123"/>
      <c r="X298" s="123"/>
      <c r="Y298" s="123">
        <v>0.0</v>
      </c>
      <c r="Z298" s="123">
        <v>0.0</v>
      </c>
      <c r="AA298" s="123">
        <v>0.0</v>
      </c>
      <c r="AB298" s="123"/>
      <c r="AC298" s="123">
        <v>0.0</v>
      </c>
      <c r="AD298" s="44">
        <f t="shared" si="7"/>
        <v>-20000</v>
      </c>
      <c r="AE298" s="123">
        <v>0.0</v>
      </c>
    </row>
    <row r="299">
      <c r="A299" s="120">
        <v>2013.0</v>
      </c>
      <c r="B299" s="121">
        <v>12.0</v>
      </c>
      <c r="C299" s="122" t="s">
        <v>48</v>
      </c>
      <c r="D299" s="123">
        <v>20000.0</v>
      </c>
      <c r="E299" s="123">
        <v>18126.44</v>
      </c>
      <c r="F299" s="123">
        <v>-26000.0</v>
      </c>
      <c r="G299" s="123"/>
      <c r="H299" s="123">
        <f>-5238.4-1500</f>
        <v>-6738.4</v>
      </c>
      <c r="I299" s="44"/>
      <c r="J299" s="123">
        <v>1807.08</v>
      </c>
      <c r="K299" s="44"/>
      <c r="L299" s="123">
        <v>75866.11</v>
      </c>
      <c r="M299" s="44"/>
      <c r="N299" s="44"/>
      <c r="O299" s="123">
        <v>919118.0</v>
      </c>
      <c r="P299" s="52">
        <f t="shared" si="23"/>
        <v>919117.52</v>
      </c>
      <c r="Q299" s="124">
        <f t="shared" si="2"/>
        <v>0.48</v>
      </c>
      <c r="R299" s="52">
        <f t="array" ref="R299">IFERROR(INDEX('Fund YTD Target Values'!$1:$1000, MATCH($C299,'Fund YTD Target Values'!$A:$A,0), MATCH($A299,'Fund YTD Target Values'!$1:$1,0)),0)</f>
        <v>784486.6668</v>
      </c>
      <c r="S299" s="52">
        <f>IFERROR(__xludf.DUMMYFUNCTION("IFERROR(sum(FILTER('Fund Data'!$V:$V, 'Fund Data'!$C:$C = $C299, 'Fund Data'!$A:$A &lt; $A299)),0) + IFERROR(sum(FILTER('Fund Data'!$V:$V, 'Fund Data'!$C:$C = $C299, 'Fund Data'!$A:$A = $A299, 'Fund Data'!$B:$B &lt;= $B299)),0)"),758137.86)</f>
        <v>758137.86</v>
      </c>
      <c r="T299" s="123">
        <v>742866.0</v>
      </c>
      <c r="U299" s="44">
        <f t="shared" si="34"/>
        <v>15271.86</v>
      </c>
      <c r="V299" s="44">
        <f t="shared" si="3"/>
        <v>20000</v>
      </c>
      <c r="W299" s="123"/>
      <c r="X299" s="123"/>
      <c r="Y299" s="123">
        <v>0.0</v>
      </c>
      <c r="Z299" s="123">
        <v>0.0</v>
      </c>
      <c r="AA299" s="123">
        <v>0.0</v>
      </c>
      <c r="AB299" s="123"/>
      <c r="AC299" s="123">
        <v>0.0</v>
      </c>
      <c r="AD299" s="44">
        <f t="shared" si="7"/>
        <v>-26000</v>
      </c>
      <c r="AE299" s="123">
        <v>0.0</v>
      </c>
    </row>
    <row r="300">
      <c r="A300" s="120">
        <v>2012.0</v>
      </c>
      <c r="B300" s="121">
        <v>12.0</v>
      </c>
      <c r="C300" s="122" t="s">
        <v>48</v>
      </c>
      <c r="D300" s="44"/>
      <c r="E300" s="123">
        <v>13004.17</v>
      </c>
      <c r="F300" s="44"/>
      <c r="G300" s="123"/>
      <c r="H300" s="123">
        <f>-4804.83-3888.75</f>
        <v>-8693.58</v>
      </c>
      <c r="I300" s="44"/>
      <c r="J300" s="44"/>
      <c r="K300" s="44"/>
      <c r="L300" s="123">
        <v>68502.61</v>
      </c>
      <c r="M300" s="44"/>
      <c r="N300" s="44"/>
      <c r="O300" s="123">
        <v>836056.0</v>
      </c>
      <c r="P300" s="52">
        <f t="shared" si="23"/>
        <v>836056.29</v>
      </c>
      <c r="Q300" s="124">
        <f t="shared" si="2"/>
        <v>-0.29</v>
      </c>
      <c r="R300" s="52">
        <f t="array" ref="R300">IFERROR(INDEX('Fund YTD Target Values'!$1:$1000, MATCH($C300,'Fund YTD Target Values'!$A:$A,0), MATCH($A300,'Fund YTD Target Values'!$1:$1,0)),0)</f>
        <v>753440.8804</v>
      </c>
      <c r="S300" s="52">
        <f>IFERROR(__xludf.DUMMYFUNCTION("IFERROR(sum(FILTER('Fund Data'!$V:$V, 'Fund Data'!$C:$C = $C300, 'Fund Data'!$A:$A &lt; $A300)),0) + IFERROR(sum(FILTER('Fund Data'!$V:$V, 'Fund Data'!$C:$C = $C300, 'Fund Data'!$A:$A = $A300, 'Fund Data'!$B:$B &lt;= $B300)),0)"),738137.86)</f>
        <v>738137.86</v>
      </c>
      <c r="T300" s="123">
        <v>722866.0</v>
      </c>
      <c r="U300" s="44">
        <f t="shared" si="34"/>
        <v>15271.86</v>
      </c>
      <c r="V300" s="44">
        <f t="shared" si="3"/>
        <v>0</v>
      </c>
      <c r="W300" s="123"/>
      <c r="X300" s="123"/>
      <c r="Y300" s="123">
        <v>0.0</v>
      </c>
      <c r="Z300" s="123">
        <v>0.0</v>
      </c>
      <c r="AA300" s="123">
        <v>0.0</v>
      </c>
      <c r="AB300" s="123"/>
      <c r="AC300" s="123">
        <v>0.0</v>
      </c>
      <c r="AD300" s="44">
        <f t="shared" si="7"/>
        <v>0</v>
      </c>
      <c r="AE300" s="123">
        <v>0.0</v>
      </c>
    </row>
    <row r="301">
      <c r="A301" s="120">
        <v>2011.0</v>
      </c>
      <c r="B301" s="121">
        <v>12.0</v>
      </c>
      <c r="C301" s="122" t="s">
        <v>48</v>
      </c>
      <c r="D301" s="123">
        <v>738137.86</v>
      </c>
      <c r="E301" s="123">
        <v>2698.39</v>
      </c>
      <c r="F301" s="44"/>
      <c r="G301" s="123"/>
      <c r="H301" s="123">
        <f>-770.09-3180</f>
        <v>-3950.09</v>
      </c>
      <c r="I301" s="44"/>
      <c r="J301" s="123">
        <v>68049.79</v>
      </c>
      <c r="K301" s="123">
        <v>-26042.99</v>
      </c>
      <c r="L301" s="123">
        <v>-15649.87</v>
      </c>
      <c r="M301" s="44"/>
      <c r="N301" s="44"/>
      <c r="O301" s="123">
        <v>763243.0</v>
      </c>
      <c r="P301" s="52">
        <f t="shared" si="23"/>
        <v>763243.09</v>
      </c>
      <c r="Q301" s="124">
        <f t="shared" si="2"/>
        <v>-0.09000000008</v>
      </c>
      <c r="R301" s="52">
        <f t="array" ref="R301">IFERROR(INDEX('Fund YTD Target Values'!$1:$1000, MATCH($C301,'Fund YTD Target Values'!$A:$A,0), MATCH($A301,'Fund YTD Target Values'!$1:$1,0)),0)</f>
        <v>738137.86</v>
      </c>
      <c r="S301" s="52">
        <f>IFERROR(__xludf.DUMMYFUNCTION("IFERROR(sum(FILTER('Fund Data'!$V:$V, 'Fund Data'!$C:$C = $C301, 'Fund Data'!$A:$A &lt; $A301)),0) + IFERROR(sum(FILTER('Fund Data'!$V:$V, 'Fund Data'!$C:$C = $C301, 'Fund Data'!$A:$A = $A301, 'Fund Data'!$B:$B &lt;= $B301)),0)"),738137.86)</f>
        <v>738137.86</v>
      </c>
      <c r="T301" s="123">
        <v>722866.0</v>
      </c>
      <c r="U301" s="44">
        <f t="shared" si="34"/>
        <v>15271.86</v>
      </c>
      <c r="V301" s="44">
        <f t="shared" si="3"/>
        <v>738137.86</v>
      </c>
      <c r="W301" s="123"/>
      <c r="X301" s="123"/>
      <c r="Y301" s="123">
        <v>0.0</v>
      </c>
      <c r="Z301" s="123">
        <v>0.0</v>
      </c>
      <c r="AA301" s="123">
        <v>0.0</v>
      </c>
      <c r="AB301" s="123"/>
      <c r="AC301" s="123">
        <v>0.0</v>
      </c>
      <c r="AD301" s="44">
        <f t="shared" si="7"/>
        <v>0</v>
      </c>
      <c r="AE301" s="123">
        <v>0.0</v>
      </c>
    </row>
    <row r="302">
      <c r="A302" s="120">
        <v>2019.0</v>
      </c>
      <c r="B302" s="121">
        <v>6.0</v>
      </c>
      <c r="C302" s="122" t="s">
        <v>29</v>
      </c>
      <c r="D302" s="44"/>
      <c r="E302" s="123">
        <v>715.28</v>
      </c>
      <c r="F302" s="123">
        <v>-2600.0</v>
      </c>
      <c r="G302" s="44"/>
      <c r="H302" s="123">
        <v>-161.77</v>
      </c>
      <c r="I302" s="44"/>
      <c r="J302" s="123">
        <v>355.19</v>
      </c>
      <c r="K302" s="44"/>
      <c r="L302" s="123">
        <v>5170.36</v>
      </c>
      <c r="M302" s="44"/>
      <c r="N302" s="44"/>
      <c r="O302" s="123">
        <v>57206.42</v>
      </c>
      <c r="P302" s="52">
        <f t="shared" si="23"/>
        <v>57206.45</v>
      </c>
      <c r="Q302" s="124">
        <f t="shared" si="2"/>
        <v>-0.03</v>
      </c>
      <c r="R302" s="52">
        <f t="array" ref="R302">IFERROR(INDEX('Fund YTD Target Values'!$1:$1000, MATCH($C302,'Fund YTD Target Values'!$A:$A,0), MATCH($A302,'Fund YTD Target Values'!$1:$1,0)),0)</f>
        <v>78399.88274</v>
      </c>
      <c r="S302" s="52">
        <f>IFERROR(__xludf.DUMMYFUNCTION("IFERROR(sum(FILTER('Fund Data'!$V:$V, 'Fund Data'!$C:$C = $C302, 'Fund Data'!$A:$A &lt; $A302)),0) + IFERROR(sum(FILTER('Fund Data'!$V:$V, 'Fund Data'!$C:$C = $C302, 'Fund Data'!$A:$A = $A302, 'Fund Data'!$B:$B &lt;= $B302)),0)"),50000.0)</f>
        <v>50000</v>
      </c>
      <c r="T302" s="123">
        <v>50000.0</v>
      </c>
      <c r="U302" s="44">
        <f t="shared" si="34"/>
        <v>0</v>
      </c>
      <c r="V302" s="44">
        <f t="shared" si="3"/>
        <v>0</v>
      </c>
      <c r="W302" s="52">
        <f>IFERROR(__xludf.DUMMYFUNCTION("iFERROR((FILTER('Fund Data'!$Y:$Y, 'Fund Data'!$C:$C = $C302, 'Fund Data'!$A:$A = $A302 - 1, 'Fund Data'!$B:$B = 12) + FILTER('Fund Data'!$AA:$AA, 'Fund Data'!$C:$C = $C302, 'Fund Data'!$A:$A = $A302 - 1, 'Fund Data'!$B:$B = 12)) * (1 + AVERAGE(FILTER('In"&amp;"flation Data'!$C:$C,'Inflation Data'!$A:$A = ($A302 - 2)))) * 'Parameters and Distribution Sum'!$A$4,0)"),1871.1341826828661)</f>
        <v>1871.134183</v>
      </c>
      <c r="X302" s="52">
        <f>IFERROR(__xludf.DUMMYFUNCTION("IFERROR((IFERROR(FILTER('Fund Data'!$P:$P,'Fund Data'!$C:$C = $C302,'Fund Data'!$A:$A = ($A302 - 2), 'Fund Data'!$B:$B = 12),0) - SUM(FILTER('Fund Data'!$V:$V, 'Fund Data'!$C:$C = $C302, 'Fund Data'!$A:$A = ($A302 - 2), 'Fund Data'!$B:$B &gt; 3)))  * 'Parame"&amp;"ters and Distribution Sum'!$B$4 * (1 - 'Parameters and Distribution Sum'!$A$4),0)"),785.1776850000001)</f>
        <v>785.177685</v>
      </c>
      <c r="Y302" s="52">
        <f t="shared" ref="Y302:Y307" si="35">sum($W302:$X302)</f>
        <v>2656.311868</v>
      </c>
      <c r="Z302" s="52">
        <f>IFERROR(__xludf.DUMMYFUNCTION("((IFERROR((SUM(FILTER('Fund Data'!$V:$V, 'Fund Data'!$C:$C = $C302, 'Fund Data'!$A:$A = $A302 - 1, 'Fund Data'!$B:$B &gt;= 4, 'Fund Data'!$B:$B &lt;= ($B302 + 5))) / 12) * ($B302 - 3) * 'Parameters and Distribution Sum'!$B$4, 0) + IF($B302 &gt;= 9, IFERROR(SUM(FIL"&amp;"TER('Fund Data'!$V:$V, 'Fund Data'!$C:$C = $C302, 'Fund Data'!$A:$A = $A302, 'Fund Data'!$B:$B &lt;= 3)) * 'Parameters and Distribution Sum'!$B$4, 0),0)))"),0.0)</f>
        <v>0</v>
      </c>
      <c r="AA302" s="44">
        <f>IFERROR(__xludf.DUMMYFUNCTION("IFERROR(((IFERROR(SUM(FILTER('Fund Data'!$V:$V, 'Fund Data'!$C:$C = $C302, 'Fund Data'!$A:$A = $A302 - 2, 'Fund Data'!$B:$B &gt;= 4)) * 'Parameters and Distribution Sum'!$B$4,0) + IFERROR(SUM(FILTER('Fund Data'!$V:$V, 'Fund Data'!$C:$C = $C302, 'Fund Data'!$"&amp;"A:$A = $A302 - 1, 'Fund Data'!$B:$B &lt;= 3)) * 'Parameters and Distribution Sum'!$B$4,0))),0)"),0.0)</f>
        <v>0</v>
      </c>
      <c r="AB302" s="44">
        <f t="shared" ref="AB302:AB308" si="36">IFERROR(__xludf.DUMMYFUNCTION("IFERROR(FILTER($AE:$AE,$C:$C = $C302,$A:$A = $A302 - 1,$B:$B = 12),0)"),0.0)</f>
        <v>0</v>
      </c>
      <c r="AC302" s="44">
        <f t="shared" ref="AC302:AC308" si="37">sum($Y302:$AB302)</f>
        <v>2656.311868</v>
      </c>
      <c r="AD302" s="44">
        <f t="shared" si="7"/>
        <v>56.31186768</v>
      </c>
      <c r="AE302" s="44"/>
    </row>
    <row r="303">
      <c r="A303" s="120">
        <v>2019.0</v>
      </c>
      <c r="B303" s="121">
        <v>5.0</v>
      </c>
      <c r="C303" s="122" t="s">
        <v>29</v>
      </c>
      <c r="D303" s="44"/>
      <c r="E303" s="123">
        <v>651.87</v>
      </c>
      <c r="F303" s="44"/>
      <c r="G303" s="44"/>
      <c r="H303" s="123">
        <v>-134.6</v>
      </c>
      <c r="I303" s="44"/>
      <c r="J303" s="44"/>
      <c r="K303" s="44"/>
      <c r="L303" s="123">
        <v>3311.3</v>
      </c>
      <c r="M303" s="44"/>
      <c r="N303" s="44"/>
      <c r="O303" s="123">
        <v>57555.93</v>
      </c>
      <c r="P303" s="52">
        <f t="shared" si="23"/>
        <v>57555.96</v>
      </c>
      <c r="Q303" s="124">
        <f t="shared" si="2"/>
        <v>-0.03</v>
      </c>
      <c r="R303" s="52">
        <f t="array" ref="R303">IFERROR(INDEX('Fund YTD Target Values'!$1:$1000, MATCH($C303,'Fund YTD Target Values'!$A:$A,0), MATCH($A303,'Fund YTD Target Values'!$1:$1,0)),0)</f>
        <v>78399.88274</v>
      </c>
      <c r="S303" s="52">
        <f>IFERROR(__xludf.DUMMYFUNCTION("IFERROR(sum(FILTER('Fund Data'!$V:$V, 'Fund Data'!$C:$C = $C303, 'Fund Data'!$A:$A &lt; $A303)),0) + IFERROR(sum(FILTER('Fund Data'!$V:$V, 'Fund Data'!$C:$C = $C303, 'Fund Data'!$A:$A = $A303, 'Fund Data'!$B:$B &lt;= $B303)),0)"),50000.0)</f>
        <v>50000</v>
      </c>
      <c r="T303" s="123">
        <v>50000.0</v>
      </c>
      <c r="U303" s="44">
        <f t="shared" si="34"/>
        <v>0</v>
      </c>
      <c r="V303" s="44">
        <f t="shared" si="3"/>
        <v>0</v>
      </c>
      <c r="W303" s="52">
        <f>IFERROR(__xludf.DUMMYFUNCTION("iFERROR((FILTER('Fund Data'!$Y:$Y, 'Fund Data'!$C:$C = $C303, 'Fund Data'!$A:$A = $A303 - 1, 'Fund Data'!$B:$B = 12) + FILTER('Fund Data'!$AA:$AA, 'Fund Data'!$C:$C = $C303, 'Fund Data'!$A:$A = $A303 - 1, 'Fund Data'!$B:$B = 12)) * (1 + AVERAGE(FILTER('In"&amp;"flation Data'!$C:$C,'Inflation Data'!$A:$A = ($A303 - 2)))) * 'Parameters and Distribution Sum'!$A$4,0)"),1871.1341826828661)</f>
        <v>1871.134183</v>
      </c>
      <c r="X303" s="52">
        <f>IFERROR(__xludf.DUMMYFUNCTION("IFERROR((IFERROR(FILTER('Fund Data'!$P:$P,'Fund Data'!$C:$C = $C303,'Fund Data'!$A:$A = ($A303 - 2), 'Fund Data'!$B:$B = 12),0) - SUM(FILTER('Fund Data'!$V:$V, 'Fund Data'!$C:$C = $C303, 'Fund Data'!$A:$A = ($A303 - 2), 'Fund Data'!$B:$B &gt; 3)))  * 'Parame"&amp;"ters and Distribution Sum'!$B$4 * (1 - 'Parameters and Distribution Sum'!$A$4),0)"),785.1776850000001)</f>
        <v>785.177685</v>
      </c>
      <c r="Y303" s="52">
        <f t="shared" si="35"/>
        <v>2656.311868</v>
      </c>
      <c r="Z303" s="52">
        <f>IFERROR(__xludf.DUMMYFUNCTION("((IFERROR((SUM(FILTER('Fund Data'!$V:$V, 'Fund Data'!$C:$C = $C303, 'Fund Data'!$A:$A = $A303 - 1, 'Fund Data'!$B:$B &gt;= 4, 'Fund Data'!$B:$B &lt;= ($B303 + 5))) / 12) * ($B303 - 3) * 'Parameters and Distribution Sum'!$B$4, 0) + IF($B303 &gt;= 9, IFERROR(SUM(FIL"&amp;"TER('Fund Data'!$V:$V, 'Fund Data'!$C:$C = $C303, 'Fund Data'!$A:$A = $A303, 'Fund Data'!$B:$B &lt;= 3)) * 'Parameters and Distribution Sum'!$B$4, 0),0)))"),0.0)</f>
        <v>0</v>
      </c>
      <c r="AA303" s="44">
        <f>IFERROR(__xludf.DUMMYFUNCTION("IFERROR(((IFERROR(SUM(FILTER('Fund Data'!$V:$V, 'Fund Data'!$C:$C = $C303, 'Fund Data'!$A:$A = $A303 - 2, 'Fund Data'!$B:$B &gt;= 4)) * 'Parameters and Distribution Sum'!$B$4,0) + IFERROR(SUM(FILTER('Fund Data'!$V:$V, 'Fund Data'!$C:$C = $C303, 'Fund Data'!$"&amp;"A:$A = $A303 - 1, 'Fund Data'!$B:$B &lt;= 3)) * 'Parameters and Distribution Sum'!$B$4,0))),0)"),0.0)</f>
        <v>0</v>
      </c>
      <c r="AB303" s="44">
        <f t="shared" si="36"/>
        <v>0</v>
      </c>
      <c r="AC303" s="44">
        <f t="shared" si="37"/>
        <v>2656.311868</v>
      </c>
      <c r="AD303" s="44">
        <f t="shared" si="7"/>
        <v>2656.311868</v>
      </c>
      <c r="AE303" s="44"/>
    </row>
    <row r="304">
      <c r="A304" s="120">
        <v>2019.0</v>
      </c>
      <c r="B304" s="121">
        <v>4.0</v>
      </c>
      <c r="C304" s="122" t="s">
        <v>29</v>
      </c>
      <c r="D304" s="44"/>
      <c r="E304" s="123">
        <v>599.88</v>
      </c>
      <c r="F304" s="44"/>
      <c r="G304" s="44"/>
      <c r="H304" s="123">
        <v>-106.69</v>
      </c>
      <c r="I304" s="44"/>
      <c r="J304" s="44"/>
      <c r="K304" s="44"/>
      <c r="L304" s="123">
        <v>5563.46</v>
      </c>
      <c r="M304" s="44"/>
      <c r="N304" s="44"/>
      <c r="O304" s="123">
        <v>59784.0</v>
      </c>
      <c r="P304" s="52">
        <f t="shared" si="23"/>
        <v>59784.04</v>
      </c>
      <c r="Q304" s="124">
        <f t="shared" si="2"/>
        <v>-0.04</v>
      </c>
      <c r="R304" s="52">
        <f t="array" ref="R304">IFERROR(INDEX('Fund YTD Target Values'!$1:$1000, MATCH($C304,'Fund YTD Target Values'!$A:$A,0), MATCH($A304,'Fund YTD Target Values'!$1:$1,0)),0)</f>
        <v>78399.88274</v>
      </c>
      <c r="S304" s="52">
        <f>IFERROR(__xludf.DUMMYFUNCTION("IFERROR(sum(FILTER('Fund Data'!$V:$V, 'Fund Data'!$C:$C = $C304, 'Fund Data'!$A:$A &lt; $A304)),0) + IFERROR(sum(FILTER('Fund Data'!$V:$V, 'Fund Data'!$C:$C = $C304, 'Fund Data'!$A:$A = $A304, 'Fund Data'!$B:$B &lt;= $B304)),0)"),50000.0)</f>
        <v>50000</v>
      </c>
      <c r="T304" s="123">
        <v>50000.0</v>
      </c>
      <c r="U304" s="44">
        <f t="shared" si="34"/>
        <v>0</v>
      </c>
      <c r="V304" s="44">
        <f t="shared" si="3"/>
        <v>0</v>
      </c>
      <c r="W304" s="52">
        <f>IFERROR(__xludf.DUMMYFUNCTION("iFERROR((FILTER('Fund Data'!$Y:$Y, 'Fund Data'!$C:$C = $C304, 'Fund Data'!$A:$A = $A304 - 1, 'Fund Data'!$B:$B = 12) + FILTER('Fund Data'!$AA:$AA, 'Fund Data'!$C:$C = $C304, 'Fund Data'!$A:$A = $A304 - 1, 'Fund Data'!$B:$B = 12)) * (1 + AVERAGE(FILTER('In"&amp;"flation Data'!$C:$C,'Inflation Data'!$A:$A = ($A304 - 2)))) * 'Parameters and Distribution Sum'!$A$4,0)"),1871.1341826828661)</f>
        <v>1871.134183</v>
      </c>
      <c r="X304" s="52">
        <f>IFERROR(__xludf.DUMMYFUNCTION("IFERROR((IFERROR(FILTER('Fund Data'!$P:$P,'Fund Data'!$C:$C = $C304,'Fund Data'!$A:$A = ($A304 - 2), 'Fund Data'!$B:$B = 12),0) - SUM(FILTER('Fund Data'!$V:$V, 'Fund Data'!$C:$C = $C304, 'Fund Data'!$A:$A = ($A304 - 2), 'Fund Data'!$B:$B &gt; 3)))  * 'Parame"&amp;"ters and Distribution Sum'!$B$4 * (1 - 'Parameters and Distribution Sum'!$A$4),0)"),785.1776850000001)</f>
        <v>785.177685</v>
      </c>
      <c r="Y304" s="52">
        <f t="shared" si="35"/>
        <v>2656.311868</v>
      </c>
      <c r="Z304" s="52">
        <f>IFERROR(__xludf.DUMMYFUNCTION("((IFERROR((SUM(FILTER('Fund Data'!$V:$V, 'Fund Data'!$C:$C = $C304, 'Fund Data'!$A:$A = $A304 - 1, 'Fund Data'!$B:$B &gt;= 4, 'Fund Data'!$B:$B &lt;= ($B304 + 5))) / 12) * ($B304 - 3) * 'Parameters and Distribution Sum'!$B$4, 0) + IF($B304 &gt;= 9, IFERROR(SUM(FIL"&amp;"TER('Fund Data'!$V:$V, 'Fund Data'!$C:$C = $C304, 'Fund Data'!$A:$A = $A304, 'Fund Data'!$B:$B &lt;= 3)) * 'Parameters and Distribution Sum'!$B$4, 0),0)))"),0.0)</f>
        <v>0</v>
      </c>
      <c r="AA304" s="44">
        <f>IFERROR(__xludf.DUMMYFUNCTION("IFERROR(((IFERROR(SUM(FILTER('Fund Data'!$V:$V, 'Fund Data'!$C:$C = $C304, 'Fund Data'!$A:$A = $A304 - 2, 'Fund Data'!$B:$B &gt;= 4)) * 'Parameters and Distribution Sum'!$B$4,0) + IFERROR(SUM(FILTER('Fund Data'!$V:$V, 'Fund Data'!$C:$C = $C304, 'Fund Data'!$"&amp;"A:$A = $A304 - 1, 'Fund Data'!$B:$B &lt;= 3)) * 'Parameters and Distribution Sum'!$B$4,0))),0)"),0.0)</f>
        <v>0</v>
      </c>
      <c r="AB304" s="44">
        <f t="shared" si="36"/>
        <v>0</v>
      </c>
      <c r="AC304" s="44">
        <f t="shared" si="37"/>
        <v>2656.311868</v>
      </c>
      <c r="AD304" s="44">
        <f t="shared" si="7"/>
        <v>2656.311868</v>
      </c>
      <c r="AE304" s="44"/>
    </row>
    <row r="305">
      <c r="A305" s="120">
        <v>2019.0</v>
      </c>
      <c r="B305" s="121">
        <v>3.0</v>
      </c>
      <c r="C305" s="122" t="s">
        <v>29</v>
      </c>
      <c r="D305" s="44"/>
      <c r="E305" s="123">
        <v>453.25</v>
      </c>
      <c r="F305" s="44"/>
      <c r="G305" s="44"/>
      <c r="H305" s="123">
        <v>-79.33</v>
      </c>
      <c r="I305" s="44"/>
      <c r="J305" s="44"/>
      <c r="K305" s="44"/>
      <c r="L305" s="123">
        <v>4414.55</v>
      </c>
      <c r="M305" s="44"/>
      <c r="N305" s="44"/>
      <c r="O305" s="123">
        <v>58516.0</v>
      </c>
      <c r="P305" s="52">
        <f t="shared" si="23"/>
        <v>58515.86</v>
      </c>
      <c r="Q305" s="124">
        <f t="shared" si="2"/>
        <v>0.14</v>
      </c>
      <c r="R305" s="52">
        <f t="array" ref="R305">IFERROR(INDEX('Fund YTD Target Values'!$1:$1000, MATCH($C305,'Fund YTD Target Values'!$A:$A,0), MATCH($A305,'Fund YTD Target Values'!$1:$1,0)),0)</f>
        <v>78399.88274</v>
      </c>
      <c r="S305" s="52">
        <f>IFERROR(__xludf.DUMMYFUNCTION("IFERROR(sum(FILTER('Fund Data'!$V:$V, 'Fund Data'!$C:$C = $C305, 'Fund Data'!$A:$A &lt; $A305)),0) + IFERROR(sum(FILTER('Fund Data'!$V:$V, 'Fund Data'!$C:$C = $C305, 'Fund Data'!$A:$A = $A305, 'Fund Data'!$B:$B &lt;= $B305)),0)"),50000.0)</f>
        <v>50000</v>
      </c>
      <c r="T305" s="123">
        <v>50000.0</v>
      </c>
      <c r="U305" s="44">
        <f t="shared" si="34"/>
        <v>0</v>
      </c>
      <c r="V305" s="44">
        <f t="shared" si="3"/>
        <v>0</v>
      </c>
      <c r="W305" s="52">
        <f>IFERROR(__xludf.DUMMYFUNCTION("iFERROR((FILTER('Fund Data'!$Y:$Y, 'Fund Data'!$C:$C = $C305, 'Fund Data'!$A:$A = $A305 - 1, 'Fund Data'!$B:$B = 12) + FILTER('Fund Data'!$AA:$AA, 'Fund Data'!$C:$C = $C305, 'Fund Data'!$A:$A = $A305 - 1, 'Fund Data'!$B:$B = 12)) * (1 + AVERAGE(FILTER('In"&amp;"flation Data'!$C:$C,'Inflation Data'!$A:$A = ($A305 - 2)))) * 'Parameters and Distribution Sum'!$A$4,0)"),1871.1341826828661)</f>
        <v>1871.134183</v>
      </c>
      <c r="X305" s="52">
        <f>IFERROR(__xludf.DUMMYFUNCTION("IFERROR((IFERROR(FILTER('Fund Data'!$P:$P,'Fund Data'!$C:$C = $C305,'Fund Data'!$A:$A = ($A305 - 2), 'Fund Data'!$B:$B = 12),0) - SUM(FILTER('Fund Data'!$V:$V, 'Fund Data'!$C:$C = $C305, 'Fund Data'!$A:$A = ($A305 - 2), 'Fund Data'!$B:$B &gt; 3)))  * 'Parame"&amp;"ters and Distribution Sum'!$B$4 * (1 - 'Parameters and Distribution Sum'!$A$4),0)"),785.1776850000001)</f>
        <v>785.177685</v>
      </c>
      <c r="Y305" s="52">
        <f t="shared" si="35"/>
        <v>2656.311868</v>
      </c>
      <c r="Z305" s="52">
        <f>IFERROR(__xludf.DUMMYFUNCTION("((IFERROR((SUM(FILTER('Fund Data'!$V:$V, 'Fund Data'!$C:$C = $C305, 'Fund Data'!$A:$A = $A305 - 1, 'Fund Data'!$B:$B &gt;= 4, 'Fund Data'!$B:$B &lt;= ($B305 + 5))) / 12) * ($B305 - 3) * 'Parameters and Distribution Sum'!$B$4, 0) + IF($B305 &gt;= 9, IFERROR(SUM(FIL"&amp;"TER('Fund Data'!$V:$V, 'Fund Data'!$C:$C = $C305, 'Fund Data'!$A:$A = $A305, 'Fund Data'!$B:$B &lt;= 3)) * 'Parameters and Distribution Sum'!$B$4, 0),0)))"),0.0)</f>
        <v>0</v>
      </c>
      <c r="AA305" s="44">
        <f>IFERROR(__xludf.DUMMYFUNCTION("IFERROR(((IFERROR(SUM(FILTER('Fund Data'!$V:$V, 'Fund Data'!$C:$C = $C305, 'Fund Data'!$A:$A = $A305 - 2, 'Fund Data'!$B:$B &gt;= 4)) * 'Parameters and Distribution Sum'!$B$4,0) + IFERROR(SUM(FILTER('Fund Data'!$V:$V, 'Fund Data'!$C:$C = $C305, 'Fund Data'!$"&amp;"A:$A = $A305 - 1, 'Fund Data'!$B:$B &lt;= 3)) * 'Parameters and Distribution Sum'!$B$4,0))),0)"),0.0)</f>
        <v>0</v>
      </c>
      <c r="AB305" s="44">
        <f t="shared" si="36"/>
        <v>0</v>
      </c>
      <c r="AC305" s="44">
        <f t="shared" si="37"/>
        <v>2656.311868</v>
      </c>
      <c r="AD305" s="44">
        <f t="shared" si="7"/>
        <v>2656.311868</v>
      </c>
      <c r="AE305" s="44"/>
    </row>
    <row r="306">
      <c r="A306" s="120">
        <v>2019.0</v>
      </c>
      <c r="B306" s="121">
        <v>2.0</v>
      </c>
      <c r="C306" s="122" t="s">
        <v>29</v>
      </c>
      <c r="D306" s="44"/>
      <c r="E306" s="123">
        <v>382.48</v>
      </c>
      <c r="F306" s="44"/>
      <c r="G306" s="44"/>
      <c r="H306" s="123">
        <v>-52.15</v>
      </c>
      <c r="I306" s="44"/>
      <c r="J306" s="44"/>
      <c r="K306" s="44"/>
      <c r="L306" s="123">
        <v>4086.57</v>
      </c>
      <c r="M306" s="44"/>
      <c r="N306" s="44"/>
      <c r="O306" s="123">
        <v>58144.0</v>
      </c>
      <c r="P306" s="52">
        <f t="shared" si="23"/>
        <v>58144.29</v>
      </c>
      <c r="Q306" s="124">
        <f t="shared" si="2"/>
        <v>-0.29</v>
      </c>
      <c r="R306" s="52">
        <f t="array" ref="R306">IFERROR(INDEX('Fund YTD Target Values'!$1:$1000, MATCH($C306,'Fund YTD Target Values'!$A:$A,0), MATCH($A306,'Fund YTD Target Values'!$1:$1,0)),0)</f>
        <v>78399.88274</v>
      </c>
      <c r="S306" s="52">
        <f>IFERROR(__xludf.DUMMYFUNCTION("IFERROR(sum(FILTER('Fund Data'!$V:$V, 'Fund Data'!$C:$C = $C306, 'Fund Data'!$A:$A &lt; $A306)),0) + IFERROR(sum(FILTER('Fund Data'!$V:$V, 'Fund Data'!$C:$C = $C306, 'Fund Data'!$A:$A = $A306, 'Fund Data'!$B:$B &lt;= $B306)),0)"),50000.0)</f>
        <v>50000</v>
      </c>
      <c r="T306" s="123">
        <v>50000.0</v>
      </c>
      <c r="U306" s="44">
        <f t="shared" si="34"/>
        <v>0</v>
      </c>
      <c r="V306" s="44">
        <f t="shared" si="3"/>
        <v>0</v>
      </c>
      <c r="W306" s="52">
        <f>IFERROR(__xludf.DUMMYFUNCTION("iFERROR((FILTER('Fund Data'!$Y:$Y, 'Fund Data'!$C:$C = $C306, 'Fund Data'!$A:$A = $A306 - 1, 'Fund Data'!$B:$B = 12) + FILTER('Fund Data'!$AA:$AA, 'Fund Data'!$C:$C = $C306, 'Fund Data'!$A:$A = $A306 - 1, 'Fund Data'!$B:$B = 12)) * (1 + AVERAGE(FILTER('In"&amp;"flation Data'!$C:$C,'Inflation Data'!$A:$A = ($A306 - 2)))) * 'Parameters and Distribution Sum'!$A$4,0)"),1871.1341826828661)</f>
        <v>1871.134183</v>
      </c>
      <c r="X306" s="52">
        <f>IFERROR(__xludf.DUMMYFUNCTION("IFERROR((IFERROR(FILTER('Fund Data'!$P:$P,'Fund Data'!$C:$C = $C306,'Fund Data'!$A:$A = ($A306 - 2), 'Fund Data'!$B:$B = 12),0) - SUM(FILTER('Fund Data'!$V:$V, 'Fund Data'!$C:$C = $C306, 'Fund Data'!$A:$A = ($A306 - 2), 'Fund Data'!$B:$B &gt; 3)))  * 'Parame"&amp;"ters and Distribution Sum'!$B$4 * (1 - 'Parameters and Distribution Sum'!$A$4),0)"),785.1776850000001)</f>
        <v>785.177685</v>
      </c>
      <c r="Y306" s="52">
        <f t="shared" si="35"/>
        <v>2656.311868</v>
      </c>
      <c r="Z306" s="52">
        <f>IFERROR(__xludf.DUMMYFUNCTION("((IFERROR((SUM(FILTER('Fund Data'!$V:$V, 'Fund Data'!$C:$C = $C306, 'Fund Data'!$A:$A = $A306 - 1, 'Fund Data'!$B:$B &gt;= 4, 'Fund Data'!$B:$B &lt;= ($B306 + 5))) / 12) * ($B306 - 3) * 'Parameters and Distribution Sum'!$B$4, 0) + IF($B306 &gt;= 9, IFERROR(SUM(FIL"&amp;"TER('Fund Data'!$V:$V, 'Fund Data'!$C:$C = $C306, 'Fund Data'!$A:$A = $A306, 'Fund Data'!$B:$B &lt;= 3)) * 'Parameters and Distribution Sum'!$B$4, 0),0)))"),0.0)</f>
        <v>0</v>
      </c>
      <c r="AA306" s="44">
        <f>IFERROR(__xludf.DUMMYFUNCTION("IFERROR(((IFERROR(SUM(FILTER('Fund Data'!$V:$V, 'Fund Data'!$C:$C = $C306, 'Fund Data'!$A:$A = $A306 - 2, 'Fund Data'!$B:$B &gt;= 4)) * 'Parameters and Distribution Sum'!$B$4,0) + IFERROR(SUM(FILTER('Fund Data'!$V:$V, 'Fund Data'!$C:$C = $C306, 'Fund Data'!$"&amp;"A:$A = $A306 - 1, 'Fund Data'!$B:$B &lt;= 3)) * 'Parameters and Distribution Sum'!$B$4,0))),0)"),0.0)</f>
        <v>0</v>
      </c>
      <c r="AB306" s="44">
        <f t="shared" si="36"/>
        <v>0</v>
      </c>
      <c r="AC306" s="44">
        <f t="shared" si="37"/>
        <v>2656.311868</v>
      </c>
      <c r="AD306" s="44">
        <f t="shared" si="7"/>
        <v>2656.311868</v>
      </c>
      <c r="AE306" s="44"/>
    </row>
    <row r="307">
      <c r="A307" s="120">
        <v>2019.0</v>
      </c>
      <c r="B307" s="121">
        <v>1.0</v>
      </c>
      <c r="C307" s="122" t="s">
        <v>29</v>
      </c>
      <c r="D307" s="44"/>
      <c r="E307" s="123">
        <v>352.45</v>
      </c>
      <c r="F307" s="44"/>
      <c r="G307" s="44"/>
      <c r="H307" s="123">
        <v>-25.35</v>
      </c>
      <c r="I307" s="44"/>
      <c r="J307" s="44"/>
      <c r="K307" s="44"/>
      <c r="L307" s="123">
        <v>3161.31</v>
      </c>
      <c r="M307" s="44"/>
      <c r="N307" s="44"/>
      <c r="O307" s="123">
        <v>57216.0</v>
      </c>
      <c r="P307" s="52">
        <f t="shared" si="23"/>
        <v>57215.8</v>
      </c>
      <c r="Q307" s="124">
        <f t="shared" si="2"/>
        <v>0.2</v>
      </c>
      <c r="R307" s="52">
        <f t="array" ref="R307">IFERROR(INDEX('Fund YTD Target Values'!$1:$1000, MATCH($C307,'Fund YTD Target Values'!$A:$A,0), MATCH($A307,'Fund YTD Target Values'!$1:$1,0)),0)</f>
        <v>78399.88274</v>
      </c>
      <c r="S307" s="52">
        <f>IFERROR(__xludf.DUMMYFUNCTION("IFERROR(sum(FILTER('Fund Data'!$V:$V, 'Fund Data'!$C:$C = $C307, 'Fund Data'!$A:$A &lt; $A307)),0) + IFERROR(sum(FILTER('Fund Data'!$V:$V, 'Fund Data'!$C:$C = $C307, 'Fund Data'!$A:$A = $A307, 'Fund Data'!$B:$B &lt;= $B307)),0)"),50000.0)</f>
        <v>50000</v>
      </c>
      <c r="T307" s="123">
        <v>50000.0</v>
      </c>
      <c r="U307" s="44">
        <f t="shared" si="34"/>
        <v>0</v>
      </c>
      <c r="V307" s="44">
        <f t="shared" si="3"/>
        <v>0</v>
      </c>
      <c r="W307" s="52">
        <f>IFERROR(__xludf.DUMMYFUNCTION("iFERROR((FILTER('Fund Data'!$Y:$Y, 'Fund Data'!$C:$C = $C307, 'Fund Data'!$A:$A = $A307 - 1, 'Fund Data'!$B:$B = 12) + FILTER('Fund Data'!$AA:$AA, 'Fund Data'!$C:$C = $C307, 'Fund Data'!$A:$A = $A307 - 1, 'Fund Data'!$B:$B = 12)) * (1 + AVERAGE(FILTER('In"&amp;"flation Data'!$C:$C,'Inflation Data'!$A:$A = ($A307 - 2)))) * 'Parameters and Distribution Sum'!$A$4,0)"),1871.1341826828661)</f>
        <v>1871.134183</v>
      </c>
      <c r="X307" s="52">
        <f>IFERROR(__xludf.DUMMYFUNCTION("IFERROR((IFERROR(FILTER('Fund Data'!$P:$P,'Fund Data'!$C:$C = $C307,'Fund Data'!$A:$A = ($A307 - 2), 'Fund Data'!$B:$B = 12),0) - SUM(FILTER('Fund Data'!$V:$V, 'Fund Data'!$C:$C = $C307, 'Fund Data'!$A:$A = ($A307 - 2), 'Fund Data'!$B:$B &gt; 3)))  * 'Parame"&amp;"ters and Distribution Sum'!$B$4 * (1 - 'Parameters and Distribution Sum'!$A$4),0)"),785.1776850000001)</f>
        <v>785.177685</v>
      </c>
      <c r="Y307" s="52">
        <f t="shared" si="35"/>
        <v>2656.311868</v>
      </c>
      <c r="Z307" s="52">
        <f>IFERROR(__xludf.DUMMYFUNCTION("((IFERROR((SUM(FILTER('Fund Data'!$V:$V, 'Fund Data'!$C:$C = $C307, 'Fund Data'!$A:$A = $A307 - 1, 'Fund Data'!$B:$B &gt;= 4, 'Fund Data'!$B:$B &lt;= ($B307 + 5))) / 12) * ($B307 - 3) * 'Parameters and Distribution Sum'!$B$4, 0) + IF($B307 &gt;= 9, IFERROR(SUM(FIL"&amp;"TER('Fund Data'!$V:$V, 'Fund Data'!$C:$C = $C307, 'Fund Data'!$A:$A = $A307, 'Fund Data'!$B:$B &lt;= 3)) * 'Parameters and Distribution Sum'!$B$4, 0),0)))"),0.0)</f>
        <v>0</v>
      </c>
      <c r="AA307" s="44">
        <f>IFERROR(__xludf.DUMMYFUNCTION("IFERROR(((IFERROR(SUM(FILTER('Fund Data'!$V:$V, 'Fund Data'!$C:$C = $C307, 'Fund Data'!$A:$A = $A307 - 2, 'Fund Data'!$B:$B &gt;= 4)) * 'Parameters and Distribution Sum'!$B$4,0) + IFERROR(SUM(FILTER('Fund Data'!$V:$V, 'Fund Data'!$C:$C = $C307, 'Fund Data'!$"&amp;"A:$A = $A307 - 1, 'Fund Data'!$B:$B &lt;= 3)) * 'Parameters and Distribution Sum'!$B$4,0))),0)"),0.0)</f>
        <v>0</v>
      </c>
      <c r="AB307" s="44">
        <f t="shared" si="36"/>
        <v>0</v>
      </c>
      <c r="AC307" s="44">
        <f t="shared" si="37"/>
        <v>2656.311868</v>
      </c>
      <c r="AD307" s="44">
        <f t="shared" si="7"/>
        <v>2656.311868</v>
      </c>
      <c r="AE307" s="44"/>
    </row>
    <row r="308">
      <c r="A308" s="120">
        <v>2018.0</v>
      </c>
      <c r="B308" s="121">
        <v>12.0</v>
      </c>
      <c r="C308" s="122" t="s">
        <v>29</v>
      </c>
      <c r="D308" s="44"/>
      <c r="E308" s="123">
        <v>1249.95</v>
      </c>
      <c r="F308" s="44"/>
      <c r="G308" s="44"/>
      <c r="H308" s="123">
        <v>-344.82</v>
      </c>
      <c r="I308" s="44"/>
      <c r="J308" s="44"/>
      <c r="K308" s="44"/>
      <c r="L308" s="123">
        <v>-5339.05</v>
      </c>
      <c r="M308" s="44"/>
      <c r="N308" s="44"/>
      <c r="O308" s="123">
        <v>53727.0</v>
      </c>
      <c r="P308" s="52">
        <f t="shared" si="23"/>
        <v>53727.39</v>
      </c>
      <c r="Q308" s="124">
        <f t="shared" si="2"/>
        <v>-0.39</v>
      </c>
      <c r="R308" s="52">
        <f t="array" ref="R308">IFERROR(INDEX('Fund YTD Target Values'!$1:$1000, MATCH($C308,'Fund YTD Target Values'!$A:$A,0), MATCH($A308,'Fund YTD Target Values'!$1:$1,0)),0)</f>
        <v>77055.94062</v>
      </c>
      <c r="S308" s="52">
        <f>IFERROR(__xludf.DUMMYFUNCTION("IFERROR(sum(FILTER('Fund Data'!$V:$V, 'Fund Data'!$C:$C = $C308, 'Fund Data'!$A:$A &lt; $A308)),0) + IFERROR(sum(FILTER('Fund Data'!$V:$V, 'Fund Data'!$C:$C = $C308, 'Fund Data'!$A:$A = $A308, 'Fund Data'!$B:$B &lt;= $B308)),0)"),50000.0)</f>
        <v>50000</v>
      </c>
      <c r="T308" s="123">
        <v>50000.0</v>
      </c>
      <c r="U308" s="44">
        <f t="shared" si="34"/>
        <v>0</v>
      </c>
      <c r="V308" s="44">
        <f t="shared" si="3"/>
        <v>0</v>
      </c>
      <c r="W308" s="52"/>
      <c r="X308" s="52"/>
      <c r="Y308" s="52">
        <v>2617.2589499999967</v>
      </c>
      <c r="Z308" s="123">
        <v>0.0</v>
      </c>
      <c r="AA308" s="123">
        <v>0.0</v>
      </c>
      <c r="AB308" s="44">
        <f t="shared" si="36"/>
        <v>0</v>
      </c>
      <c r="AC308" s="44">
        <f t="shared" si="37"/>
        <v>2617.25895</v>
      </c>
      <c r="AD308" s="44">
        <f t="shared" si="7"/>
        <v>2617.25895</v>
      </c>
      <c r="AE308" s="123">
        <v>0.0</v>
      </c>
    </row>
    <row r="309">
      <c r="A309" s="120">
        <v>2018.0</v>
      </c>
      <c r="B309" s="121">
        <v>11.0</v>
      </c>
      <c r="C309" s="122" t="s">
        <v>29</v>
      </c>
      <c r="D309" s="44"/>
      <c r="E309" s="123">
        <v>1174.0</v>
      </c>
      <c r="F309" s="44"/>
      <c r="G309" s="44"/>
      <c r="H309" s="123">
        <v>-318.17</v>
      </c>
      <c r="I309" s="44"/>
      <c r="J309" s="44"/>
      <c r="K309" s="44"/>
      <c r="L309" s="123">
        <v>-2211.12</v>
      </c>
      <c r="M309" s="44"/>
      <c r="N309" s="44"/>
      <c r="O309" s="123">
        <v>56806.0</v>
      </c>
      <c r="P309" s="52">
        <f t="shared" si="23"/>
        <v>56806.02</v>
      </c>
      <c r="Q309" s="124">
        <f t="shared" si="2"/>
        <v>-0.02</v>
      </c>
      <c r="R309" s="52">
        <f t="array" ref="R309">IFERROR(INDEX('Fund YTD Target Values'!$1:$1000, MATCH($C309,'Fund YTD Target Values'!$A:$A,0), MATCH($A309,'Fund YTD Target Values'!$1:$1,0)),0)</f>
        <v>77055.94062</v>
      </c>
      <c r="S309" s="52">
        <f>IFERROR(__xludf.DUMMYFUNCTION("IFERROR(sum(FILTER('Fund Data'!$V:$V, 'Fund Data'!$C:$C = $C309, 'Fund Data'!$A:$A &lt; $A309)),0) + IFERROR(sum(FILTER('Fund Data'!$V:$V, 'Fund Data'!$C:$C = $C309, 'Fund Data'!$A:$A = $A309, 'Fund Data'!$B:$B &lt;= $B309)),0)"),50000.0)</f>
        <v>50000</v>
      </c>
      <c r="T309" s="123">
        <v>50000.0</v>
      </c>
      <c r="U309" s="44">
        <f t="shared" si="34"/>
        <v>0</v>
      </c>
      <c r="V309" s="44">
        <f t="shared" si="3"/>
        <v>0</v>
      </c>
      <c r="W309" s="123"/>
      <c r="X309" s="123"/>
      <c r="Y309" s="123">
        <v>0.0</v>
      </c>
      <c r="Z309" s="123">
        <v>0.0</v>
      </c>
      <c r="AA309" s="123">
        <v>0.0</v>
      </c>
      <c r="AB309" s="123"/>
      <c r="AC309" s="123">
        <v>0.0</v>
      </c>
      <c r="AD309" s="44">
        <f t="shared" si="7"/>
        <v>0</v>
      </c>
      <c r="AE309" s="123">
        <v>0.0</v>
      </c>
    </row>
    <row r="310">
      <c r="A310" s="120">
        <v>2018.0</v>
      </c>
      <c r="B310" s="121">
        <v>10.0</v>
      </c>
      <c r="C310" s="135" t="s">
        <v>29</v>
      </c>
      <c r="D310" s="138"/>
      <c r="E310" s="137">
        <v>1122.87</v>
      </c>
      <c r="F310" s="138"/>
      <c r="G310" s="138"/>
      <c r="H310" s="137">
        <v>-264.11</v>
      </c>
      <c r="I310" s="138"/>
      <c r="J310" s="138"/>
      <c r="K310" s="138"/>
      <c r="L310" s="136">
        <v>-2694.46</v>
      </c>
      <c r="M310" s="44"/>
      <c r="N310" s="44"/>
      <c r="O310" s="136">
        <v>56326.0</v>
      </c>
      <c r="P310" s="52">
        <f t="shared" si="23"/>
        <v>56325.61</v>
      </c>
      <c r="Q310" s="124">
        <f t="shared" si="2"/>
        <v>0.39</v>
      </c>
      <c r="R310" s="52">
        <f t="array" ref="R310">IFERROR(INDEX('Fund YTD Target Values'!$1:$1000, MATCH($C310,'Fund YTD Target Values'!$A:$A,0), MATCH($A310,'Fund YTD Target Values'!$1:$1,0)),0)</f>
        <v>77055.94062</v>
      </c>
      <c r="S310" s="52">
        <f>IFERROR(__xludf.DUMMYFUNCTION("IFERROR(sum(FILTER('Fund Data'!$V:$V, 'Fund Data'!$C:$C = $C310, 'Fund Data'!$A:$A &lt; $A310)),0) + IFERROR(sum(FILTER('Fund Data'!$V:$V, 'Fund Data'!$C:$C = $C310, 'Fund Data'!$A:$A = $A310, 'Fund Data'!$B:$B &lt;= $B310)),0)"),50000.0)</f>
        <v>50000</v>
      </c>
      <c r="T310" s="123">
        <v>50000.0</v>
      </c>
      <c r="U310" s="44">
        <f t="shared" si="34"/>
        <v>0</v>
      </c>
      <c r="V310" s="44">
        <f t="shared" si="3"/>
        <v>0</v>
      </c>
      <c r="W310" s="123"/>
      <c r="X310" s="123"/>
      <c r="Y310" s="123">
        <v>0.0</v>
      </c>
      <c r="Z310" s="123">
        <v>0.0</v>
      </c>
      <c r="AA310" s="123">
        <v>0.0</v>
      </c>
      <c r="AB310" s="123"/>
      <c r="AC310" s="123">
        <v>0.0</v>
      </c>
      <c r="AD310" s="44">
        <f t="shared" si="7"/>
        <v>0</v>
      </c>
      <c r="AE310" s="123">
        <v>0.0</v>
      </c>
    </row>
    <row r="311">
      <c r="A311" s="120">
        <v>2018.0</v>
      </c>
      <c r="B311" s="121">
        <v>9.0</v>
      </c>
      <c r="C311" s="122" t="s">
        <v>29</v>
      </c>
      <c r="D311" s="44"/>
      <c r="E311" s="123">
        <v>954.7</v>
      </c>
      <c r="F311" s="123"/>
      <c r="G311" s="44"/>
      <c r="H311" s="123">
        <v>-264.11</v>
      </c>
      <c r="I311" s="44"/>
      <c r="J311" s="123"/>
      <c r="K311" s="44"/>
      <c r="L311" s="123">
        <v>285.02</v>
      </c>
      <c r="M311" s="44"/>
      <c r="N311" s="44"/>
      <c r="O311" s="123">
        <v>59137.0</v>
      </c>
      <c r="P311" s="52">
        <f t="shared" si="23"/>
        <v>59136.92</v>
      </c>
      <c r="Q311" s="124">
        <f t="shared" si="2"/>
        <v>0.08</v>
      </c>
      <c r="R311" s="52">
        <f t="array" ref="R311">IFERROR(INDEX('Fund YTD Target Values'!$1:$1000, MATCH($C311,'Fund YTD Target Values'!$A:$A,0), MATCH($A311,'Fund YTD Target Values'!$1:$1,0)),0)</f>
        <v>77055.94062</v>
      </c>
      <c r="S311" s="52">
        <f>IFERROR(__xludf.DUMMYFUNCTION("IFERROR(sum(FILTER('Fund Data'!$V:$V, 'Fund Data'!$C:$C = $C311, 'Fund Data'!$A:$A &lt; $A311)),0) + IFERROR(sum(FILTER('Fund Data'!$V:$V, 'Fund Data'!$C:$C = $C311, 'Fund Data'!$A:$A = $A311, 'Fund Data'!$B:$B &lt;= $B311)),0)"),50000.0)</f>
        <v>50000</v>
      </c>
      <c r="T311" s="123">
        <v>50000.0</v>
      </c>
      <c r="U311" s="44">
        <f t="shared" si="34"/>
        <v>0</v>
      </c>
      <c r="V311" s="44">
        <f t="shared" si="3"/>
        <v>0</v>
      </c>
      <c r="W311" s="123"/>
      <c r="X311" s="123"/>
      <c r="Y311" s="123">
        <v>0.0</v>
      </c>
      <c r="Z311" s="123">
        <v>0.0</v>
      </c>
      <c r="AA311" s="123">
        <v>0.0</v>
      </c>
      <c r="AB311" s="123"/>
      <c r="AC311" s="123">
        <v>0.0</v>
      </c>
      <c r="AD311" s="44">
        <f t="shared" si="7"/>
        <v>0</v>
      </c>
      <c r="AE311" s="123">
        <v>0.0</v>
      </c>
    </row>
    <row r="312">
      <c r="A312" s="120">
        <v>2018.0</v>
      </c>
      <c r="B312" s="121">
        <v>8.0</v>
      </c>
      <c r="C312" s="122" t="s">
        <v>29</v>
      </c>
      <c r="D312" s="44"/>
      <c r="E312" s="123">
        <v>903.6</v>
      </c>
      <c r="F312" s="44"/>
      <c r="G312" s="44"/>
      <c r="H312" s="123">
        <v>-234.45</v>
      </c>
      <c r="I312" s="44"/>
      <c r="J312" s="44"/>
      <c r="K312" s="44"/>
      <c r="L312" s="123">
        <v>497.92</v>
      </c>
      <c r="M312" s="44"/>
      <c r="N312" s="44"/>
      <c r="O312" s="123">
        <v>59328.0</v>
      </c>
      <c r="P312" s="52">
        <f t="shared" si="23"/>
        <v>59328.38</v>
      </c>
      <c r="Q312" s="124">
        <f t="shared" si="2"/>
        <v>-0.38</v>
      </c>
      <c r="R312" s="52">
        <f t="array" ref="R312">IFERROR(INDEX('Fund YTD Target Values'!$1:$1000, MATCH($C312,'Fund YTD Target Values'!$A:$A,0), MATCH($A312,'Fund YTD Target Values'!$1:$1,0)),0)</f>
        <v>77055.94062</v>
      </c>
      <c r="S312" s="52">
        <f>IFERROR(__xludf.DUMMYFUNCTION("IFERROR(sum(FILTER('Fund Data'!$V:$V, 'Fund Data'!$C:$C = $C312, 'Fund Data'!$A:$A &lt; $A312)),0) + IFERROR(sum(FILTER('Fund Data'!$V:$V, 'Fund Data'!$C:$C = $C312, 'Fund Data'!$A:$A = $A312, 'Fund Data'!$B:$B &lt;= $B312)),0)"),50000.0)</f>
        <v>50000</v>
      </c>
      <c r="T312" s="123">
        <v>50000.0</v>
      </c>
      <c r="U312" s="44">
        <f t="shared" si="34"/>
        <v>0</v>
      </c>
      <c r="V312" s="44">
        <f t="shared" si="3"/>
        <v>0</v>
      </c>
      <c r="W312" s="123"/>
      <c r="X312" s="123"/>
      <c r="Y312" s="123">
        <v>0.0</v>
      </c>
      <c r="Z312" s="123">
        <v>0.0</v>
      </c>
      <c r="AA312" s="123">
        <v>0.0</v>
      </c>
      <c r="AB312" s="123"/>
      <c r="AC312" s="123">
        <v>0.0</v>
      </c>
      <c r="AD312" s="44">
        <f t="shared" si="7"/>
        <v>0</v>
      </c>
      <c r="AE312" s="123">
        <v>0.0</v>
      </c>
    </row>
    <row r="313">
      <c r="A313" s="120">
        <v>2018.0</v>
      </c>
      <c r="B313" s="121">
        <v>7.0</v>
      </c>
      <c r="C313" s="122" t="s">
        <v>29</v>
      </c>
      <c r="D313" s="44"/>
      <c r="E313" s="123">
        <v>854.49</v>
      </c>
      <c r="F313" s="44"/>
      <c r="G313" s="44"/>
      <c r="H313" s="123">
        <v>-204.89</v>
      </c>
      <c r="I313" s="44"/>
      <c r="J313" s="44"/>
      <c r="K313" s="44"/>
      <c r="L313" s="123">
        <v>307.65</v>
      </c>
      <c r="M313" s="44"/>
      <c r="N313" s="44"/>
      <c r="O313" s="123">
        <v>59119.0</v>
      </c>
      <c r="P313" s="52">
        <f t="shared" si="23"/>
        <v>59118.56</v>
      </c>
      <c r="Q313" s="124">
        <f t="shared" si="2"/>
        <v>0.44</v>
      </c>
      <c r="R313" s="52">
        <f t="array" ref="R313">IFERROR(INDEX('Fund YTD Target Values'!$1:$1000, MATCH($C313,'Fund YTD Target Values'!$A:$A,0), MATCH($A313,'Fund YTD Target Values'!$1:$1,0)),0)</f>
        <v>77055.94062</v>
      </c>
      <c r="S313" s="52">
        <f>IFERROR(__xludf.DUMMYFUNCTION("IFERROR(sum(FILTER('Fund Data'!$V:$V, 'Fund Data'!$C:$C = $C313, 'Fund Data'!$A:$A &lt; $A313)),0) + IFERROR(sum(FILTER('Fund Data'!$V:$V, 'Fund Data'!$C:$C = $C313, 'Fund Data'!$A:$A = $A313, 'Fund Data'!$B:$B &lt;= $B313)),0)"),50000.0)</f>
        <v>50000</v>
      </c>
      <c r="T313" s="123">
        <v>50000.0</v>
      </c>
      <c r="U313" s="44">
        <f t="shared" si="34"/>
        <v>0</v>
      </c>
      <c r="V313" s="44">
        <f t="shared" si="3"/>
        <v>0</v>
      </c>
      <c r="W313" s="123"/>
      <c r="X313" s="123"/>
      <c r="Y313" s="123">
        <v>0.0</v>
      </c>
      <c r="Z313" s="123">
        <v>0.0</v>
      </c>
      <c r="AA313" s="123">
        <v>0.0</v>
      </c>
      <c r="AB313" s="123"/>
      <c r="AC313" s="123">
        <v>0.0</v>
      </c>
      <c r="AD313" s="44">
        <f t="shared" si="7"/>
        <v>0</v>
      </c>
      <c r="AE313" s="123">
        <v>0.0</v>
      </c>
    </row>
    <row r="314">
      <c r="A314" s="120">
        <v>2018.0</v>
      </c>
      <c r="B314" s="121">
        <v>6.0</v>
      </c>
      <c r="C314" s="122" t="s">
        <v>29</v>
      </c>
      <c r="D314" s="44"/>
      <c r="E314" s="123">
        <v>723.2</v>
      </c>
      <c r="F314" s="44"/>
      <c r="G314" s="44"/>
      <c r="H314" s="123">
        <v>-175.86</v>
      </c>
      <c r="I314" s="44"/>
      <c r="J314" s="44"/>
      <c r="K314" s="44"/>
      <c r="L314" s="123">
        <v>-643.31</v>
      </c>
      <c r="M314" s="44"/>
      <c r="N314" s="44"/>
      <c r="O314" s="123">
        <v>58065.0</v>
      </c>
      <c r="P314" s="52">
        <f t="shared" si="23"/>
        <v>58065.34</v>
      </c>
      <c r="Q314" s="124">
        <f t="shared" si="2"/>
        <v>-0.34</v>
      </c>
      <c r="R314" s="52">
        <f t="array" ref="R314">IFERROR(INDEX('Fund YTD Target Values'!$1:$1000, MATCH($C314,'Fund YTD Target Values'!$A:$A,0), MATCH($A314,'Fund YTD Target Values'!$1:$1,0)),0)</f>
        <v>77055.94062</v>
      </c>
      <c r="S314" s="52">
        <f>IFERROR(__xludf.DUMMYFUNCTION("IFERROR(sum(FILTER('Fund Data'!$V:$V, 'Fund Data'!$C:$C = $C314, 'Fund Data'!$A:$A &lt; $A314)),0) + IFERROR(sum(FILTER('Fund Data'!$V:$V, 'Fund Data'!$C:$C = $C314, 'Fund Data'!$A:$A = $A314, 'Fund Data'!$B:$B &lt;= $B314)),0)"),50000.0)</f>
        <v>50000</v>
      </c>
      <c r="T314" s="123">
        <v>50000.0</v>
      </c>
      <c r="U314" s="44">
        <f t="shared" si="34"/>
        <v>0</v>
      </c>
      <c r="V314" s="44">
        <f t="shared" si="3"/>
        <v>0</v>
      </c>
      <c r="W314" s="123"/>
      <c r="X314" s="123"/>
      <c r="Y314" s="123">
        <v>0.0</v>
      </c>
      <c r="Z314" s="123">
        <v>0.0</v>
      </c>
      <c r="AA314" s="123">
        <v>0.0</v>
      </c>
      <c r="AB314" s="123"/>
      <c r="AC314" s="123">
        <v>0.0</v>
      </c>
      <c r="AD314" s="44">
        <f t="shared" si="7"/>
        <v>0</v>
      </c>
      <c r="AE314" s="123">
        <v>0.0</v>
      </c>
    </row>
    <row r="315">
      <c r="A315" s="120">
        <v>2018.0</v>
      </c>
      <c r="B315" s="121">
        <v>5.0</v>
      </c>
      <c r="C315" s="122" t="s">
        <v>29</v>
      </c>
      <c r="D315" s="44"/>
      <c r="E315" s="123">
        <v>640.14</v>
      </c>
      <c r="F315" s="44"/>
      <c r="G315" s="44"/>
      <c r="H315" s="123">
        <v>-146.64</v>
      </c>
      <c r="I315" s="44"/>
      <c r="J315" s="44"/>
      <c r="K315" s="44"/>
      <c r="L315" s="123">
        <v>-210.22</v>
      </c>
      <c r="M315" s="44"/>
      <c r="N315" s="44"/>
      <c r="O315" s="123">
        <v>58445.0</v>
      </c>
      <c r="P315" s="52">
        <f t="shared" si="23"/>
        <v>58444.59</v>
      </c>
      <c r="Q315" s="124">
        <f t="shared" si="2"/>
        <v>0.41</v>
      </c>
      <c r="R315" s="52">
        <f t="array" ref="R315">IFERROR(INDEX('Fund YTD Target Values'!$1:$1000, MATCH($C315,'Fund YTD Target Values'!$A:$A,0), MATCH($A315,'Fund YTD Target Values'!$1:$1,0)),0)</f>
        <v>77055.94062</v>
      </c>
      <c r="S315" s="52">
        <f>IFERROR(__xludf.DUMMYFUNCTION("IFERROR(sum(FILTER('Fund Data'!$V:$V, 'Fund Data'!$C:$C = $C315, 'Fund Data'!$A:$A &lt; $A315)),0) + IFERROR(sum(FILTER('Fund Data'!$V:$V, 'Fund Data'!$C:$C = $C315, 'Fund Data'!$A:$A = $A315, 'Fund Data'!$B:$B &lt;= $B315)),0)"),50000.0)</f>
        <v>50000</v>
      </c>
      <c r="T315" s="123">
        <v>50000.0</v>
      </c>
      <c r="U315" s="44">
        <f t="shared" si="34"/>
        <v>0</v>
      </c>
      <c r="V315" s="44">
        <f t="shared" si="3"/>
        <v>0</v>
      </c>
      <c r="W315" s="123"/>
      <c r="X315" s="123"/>
      <c r="Y315" s="123">
        <v>0.0</v>
      </c>
      <c r="Z315" s="123">
        <v>0.0</v>
      </c>
      <c r="AA315" s="123">
        <v>0.0</v>
      </c>
      <c r="AB315" s="123"/>
      <c r="AC315" s="123">
        <v>0.0</v>
      </c>
      <c r="AD315" s="44">
        <f t="shared" si="7"/>
        <v>0</v>
      </c>
      <c r="AE315" s="123">
        <v>0.0</v>
      </c>
    </row>
    <row r="316">
      <c r="A316" s="120">
        <v>2018.0</v>
      </c>
      <c r="B316" s="121">
        <v>4.0</v>
      </c>
      <c r="C316" s="122" t="s">
        <v>29</v>
      </c>
      <c r="D316" s="44"/>
      <c r="E316" s="123">
        <v>594.13</v>
      </c>
      <c r="F316" s="44"/>
      <c r="G316" s="44"/>
      <c r="H316" s="123">
        <v>-117.49</v>
      </c>
      <c r="I316" s="44"/>
      <c r="J316" s="44"/>
      <c r="K316" s="44"/>
      <c r="L316" s="123">
        <v>-332.59</v>
      </c>
      <c r="M316" s="44"/>
      <c r="N316" s="44"/>
      <c r="O316" s="123">
        <v>58305.0</v>
      </c>
      <c r="P316" s="52">
        <f t="shared" si="23"/>
        <v>58305.36</v>
      </c>
      <c r="Q316" s="124">
        <f t="shared" si="2"/>
        <v>-0.36</v>
      </c>
      <c r="R316" s="52">
        <f t="array" ref="R316">IFERROR(INDEX('Fund YTD Target Values'!$1:$1000, MATCH($C316,'Fund YTD Target Values'!$A:$A,0), MATCH($A316,'Fund YTD Target Values'!$1:$1,0)),0)</f>
        <v>77055.94062</v>
      </c>
      <c r="S316" s="52">
        <f>IFERROR(__xludf.DUMMYFUNCTION("IFERROR(sum(FILTER('Fund Data'!$V:$V, 'Fund Data'!$C:$C = $C316, 'Fund Data'!$A:$A &lt; $A316)),0) + IFERROR(sum(FILTER('Fund Data'!$V:$V, 'Fund Data'!$C:$C = $C316, 'Fund Data'!$A:$A = $A316, 'Fund Data'!$B:$B &lt;= $B316)),0)"),50000.0)</f>
        <v>50000</v>
      </c>
      <c r="T316" s="123">
        <v>50000.0</v>
      </c>
      <c r="U316" s="44">
        <f t="shared" si="34"/>
        <v>0</v>
      </c>
      <c r="V316" s="44">
        <f t="shared" si="3"/>
        <v>0</v>
      </c>
      <c r="W316" s="123"/>
      <c r="X316" s="123"/>
      <c r="Y316" s="123">
        <v>0.0</v>
      </c>
      <c r="Z316" s="123">
        <v>0.0</v>
      </c>
      <c r="AA316" s="123">
        <v>0.0</v>
      </c>
      <c r="AB316" s="123"/>
      <c r="AC316" s="123">
        <v>0.0</v>
      </c>
      <c r="AD316" s="44">
        <f t="shared" si="7"/>
        <v>0</v>
      </c>
      <c r="AE316" s="123">
        <v>0.0</v>
      </c>
    </row>
    <row r="317">
      <c r="A317" s="120">
        <v>2018.0</v>
      </c>
      <c r="B317" s="121">
        <v>3.0</v>
      </c>
      <c r="C317" s="122" t="s">
        <v>29</v>
      </c>
      <c r="D317" s="44"/>
      <c r="E317" s="123">
        <v>453.88</v>
      </c>
      <c r="F317" s="44"/>
      <c r="G317" s="44"/>
      <c r="H317" s="123">
        <v>-88.41</v>
      </c>
      <c r="I317" s="44"/>
      <c r="J317" s="44"/>
      <c r="K317" s="44"/>
      <c r="L317" s="123">
        <v>-380.16</v>
      </c>
      <c r="M317" s="44"/>
      <c r="N317" s="44"/>
      <c r="O317" s="123">
        <v>58147.0</v>
      </c>
      <c r="P317" s="52">
        <f t="shared" si="23"/>
        <v>58146.62</v>
      </c>
      <c r="Q317" s="124">
        <f t="shared" si="2"/>
        <v>0.38</v>
      </c>
      <c r="R317" s="52">
        <f t="array" ref="R317">IFERROR(INDEX('Fund YTD Target Values'!$1:$1000, MATCH($C317,'Fund YTD Target Values'!$A:$A,0), MATCH($A317,'Fund YTD Target Values'!$1:$1,0)),0)</f>
        <v>77055.94062</v>
      </c>
      <c r="S317" s="52">
        <f>IFERROR(__xludf.DUMMYFUNCTION("IFERROR(sum(FILTER('Fund Data'!$V:$V, 'Fund Data'!$C:$C = $C317, 'Fund Data'!$A:$A &lt; $A317)),0) + IFERROR(sum(FILTER('Fund Data'!$V:$V, 'Fund Data'!$C:$C = $C317, 'Fund Data'!$A:$A = $A317, 'Fund Data'!$B:$B &lt;= $B317)),0)"),50000.0)</f>
        <v>50000</v>
      </c>
      <c r="T317" s="123">
        <v>50000.0</v>
      </c>
      <c r="U317" s="44">
        <f t="shared" si="34"/>
        <v>0</v>
      </c>
      <c r="V317" s="44">
        <f t="shared" si="3"/>
        <v>0</v>
      </c>
      <c r="W317" s="123"/>
      <c r="X317" s="123"/>
      <c r="Y317" s="123">
        <v>0.0</v>
      </c>
      <c r="Z317" s="123">
        <v>0.0</v>
      </c>
      <c r="AA317" s="123">
        <v>0.0</v>
      </c>
      <c r="AB317" s="123"/>
      <c r="AC317" s="123">
        <v>0.0</v>
      </c>
      <c r="AD317" s="44">
        <f t="shared" si="7"/>
        <v>0</v>
      </c>
      <c r="AE317" s="123">
        <v>0.0</v>
      </c>
    </row>
    <row r="318">
      <c r="A318" s="120">
        <v>2018.0</v>
      </c>
      <c r="B318" s="121">
        <v>2.0</v>
      </c>
      <c r="C318" s="122" t="s">
        <v>29</v>
      </c>
      <c r="D318" s="44"/>
      <c r="E318" s="123">
        <v>402.7</v>
      </c>
      <c r="F318" s="44"/>
      <c r="G318" s="44"/>
      <c r="H318" s="123">
        <v>-144.28</v>
      </c>
      <c r="I318" s="44"/>
      <c r="J318" s="44"/>
      <c r="K318" s="44"/>
      <c r="L318" s="123">
        <v>24.93</v>
      </c>
      <c r="M318" s="44"/>
      <c r="N318" s="44"/>
      <c r="O318" s="123">
        <v>58445.0</v>
      </c>
      <c r="P318" s="52">
        <f t="shared" si="23"/>
        <v>58444.66</v>
      </c>
      <c r="Q318" s="124">
        <f t="shared" si="2"/>
        <v>0.34</v>
      </c>
      <c r="R318" s="52">
        <f t="array" ref="R318">IFERROR(INDEX('Fund YTD Target Values'!$1:$1000, MATCH($C318,'Fund YTD Target Values'!$A:$A,0), MATCH($A318,'Fund YTD Target Values'!$1:$1,0)),0)</f>
        <v>77055.94062</v>
      </c>
      <c r="S318" s="52">
        <f>IFERROR(__xludf.DUMMYFUNCTION("IFERROR(sum(FILTER('Fund Data'!$V:$V, 'Fund Data'!$C:$C = $C318, 'Fund Data'!$A:$A &lt; $A318)),0) + IFERROR(sum(FILTER('Fund Data'!$V:$V, 'Fund Data'!$C:$C = $C318, 'Fund Data'!$A:$A = $A318, 'Fund Data'!$B:$B &lt;= $B318)),0)"),50000.0)</f>
        <v>50000</v>
      </c>
      <c r="T318" s="123">
        <v>50000.0</v>
      </c>
      <c r="U318" s="44">
        <f t="shared" si="34"/>
        <v>0</v>
      </c>
      <c r="V318" s="44">
        <f t="shared" si="3"/>
        <v>0</v>
      </c>
      <c r="W318" s="123"/>
      <c r="X318" s="123"/>
      <c r="Y318" s="123">
        <v>0.0</v>
      </c>
      <c r="Z318" s="123">
        <v>0.0</v>
      </c>
      <c r="AA318" s="123">
        <v>0.0</v>
      </c>
      <c r="AB318" s="123"/>
      <c r="AC318" s="123">
        <v>0.0</v>
      </c>
      <c r="AD318" s="44">
        <f t="shared" si="7"/>
        <v>0</v>
      </c>
      <c r="AE318" s="123">
        <v>0.0</v>
      </c>
    </row>
    <row r="319">
      <c r="A319" s="120">
        <v>2018.0</v>
      </c>
      <c r="B319" s="121">
        <v>1.0</v>
      </c>
      <c r="C319" s="122" t="s">
        <v>29</v>
      </c>
      <c r="D319" s="44"/>
      <c r="E319" s="123">
        <v>359.46</v>
      </c>
      <c r="F319" s="44"/>
      <c r="G319" s="44"/>
      <c r="H319" s="123">
        <v>-114.17</v>
      </c>
      <c r="I319" s="44"/>
      <c r="J319" s="44"/>
      <c r="K319" s="44"/>
      <c r="L319" s="123">
        <v>1814.08</v>
      </c>
      <c r="M319" s="44"/>
      <c r="N319" s="44"/>
      <c r="O319" s="123">
        <v>60221.0</v>
      </c>
      <c r="P319" s="52">
        <f t="shared" si="23"/>
        <v>60220.68</v>
      </c>
      <c r="Q319" s="124">
        <f t="shared" si="2"/>
        <v>0.32</v>
      </c>
      <c r="R319" s="52">
        <f t="array" ref="R319">IFERROR(INDEX('Fund YTD Target Values'!$1:$1000, MATCH($C319,'Fund YTD Target Values'!$A:$A,0), MATCH($A319,'Fund YTD Target Values'!$1:$1,0)),0)</f>
        <v>77055.94062</v>
      </c>
      <c r="S319" s="52">
        <f>IFERROR(__xludf.DUMMYFUNCTION("IFERROR(sum(FILTER('Fund Data'!$V:$V, 'Fund Data'!$C:$C = $C319, 'Fund Data'!$A:$A &lt; $A319)),0) + IFERROR(sum(FILTER('Fund Data'!$V:$V, 'Fund Data'!$C:$C = $C319, 'Fund Data'!$A:$A = $A319, 'Fund Data'!$B:$B &lt;= $B319)),0)"),50000.0)</f>
        <v>50000</v>
      </c>
      <c r="T319" s="123">
        <v>50000.0</v>
      </c>
      <c r="U319" s="44">
        <f t="shared" si="34"/>
        <v>0</v>
      </c>
      <c r="V319" s="44">
        <f t="shared" si="3"/>
        <v>0</v>
      </c>
      <c r="W319" s="123"/>
      <c r="X319" s="123"/>
      <c r="Y319" s="123">
        <v>0.0</v>
      </c>
      <c r="Z319" s="123">
        <v>0.0</v>
      </c>
      <c r="AA319" s="123">
        <v>0.0</v>
      </c>
      <c r="AB319" s="123"/>
      <c r="AC319" s="123">
        <v>0.0</v>
      </c>
      <c r="AD319" s="44">
        <f t="shared" si="7"/>
        <v>0</v>
      </c>
      <c r="AE319" s="123">
        <v>0.0</v>
      </c>
    </row>
    <row r="320">
      <c r="A320" s="120">
        <v>2017.0</v>
      </c>
      <c r="B320" s="121">
        <v>12.0</v>
      </c>
      <c r="C320" s="122" t="s">
        <v>29</v>
      </c>
      <c r="D320" s="44"/>
      <c r="E320" s="123">
        <v>1246.81</v>
      </c>
      <c r="F320" s="123">
        <v>-3000.0</v>
      </c>
      <c r="G320" s="123"/>
      <c r="H320" s="123">
        <v>-340.57</v>
      </c>
      <c r="I320" s="44"/>
      <c r="J320" s="123">
        <v>657.05</v>
      </c>
      <c r="K320" s="44"/>
      <c r="L320" s="123">
        <v>6384.93</v>
      </c>
      <c r="M320" s="44"/>
      <c r="N320" s="44"/>
      <c r="O320" s="123">
        <v>58161.0</v>
      </c>
      <c r="P320" s="52">
        <f t="shared" si="23"/>
        <v>58161.31</v>
      </c>
      <c r="Q320" s="124">
        <f t="shared" si="2"/>
        <v>-0.31</v>
      </c>
      <c r="R320" s="52">
        <f t="array" ref="R320">IFERROR(INDEX('Fund YTD Target Values'!$1:$1000, MATCH($C320,'Fund YTD Target Values'!$A:$A,0), MATCH($A320,'Fund YTD Target Values'!$1:$1,0)),0)</f>
        <v>75218.58778</v>
      </c>
      <c r="S320" s="52">
        <f>IFERROR(__xludf.DUMMYFUNCTION("IFERROR(sum(FILTER('Fund Data'!$V:$V, 'Fund Data'!$C:$C = $C320, 'Fund Data'!$A:$A &lt; $A320)),0) + IFERROR(sum(FILTER('Fund Data'!$V:$V, 'Fund Data'!$C:$C = $C320, 'Fund Data'!$A:$A = $A320, 'Fund Data'!$B:$B &lt;= $B320)),0)"),50000.0)</f>
        <v>50000</v>
      </c>
      <c r="T320" s="123">
        <v>50000.0</v>
      </c>
      <c r="U320" s="44">
        <f t="shared" si="34"/>
        <v>0</v>
      </c>
      <c r="V320" s="44">
        <f t="shared" si="3"/>
        <v>0</v>
      </c>
      <c r="W320" s="123"/>
      <c r="X320" s="123"/>
      <c r="Y320" s="123">
        <v>0.0</v>
      </c>
      <c r="Z320" s="123">
        <v>0.0</v>
      </c>
      <c r="AA320" s="123">
        <v>0.0</v>
      </c>
      <c r="AB320" s="123"/>
      <c r="AC320" s="123">
        <v>0.0</v>
      </c>
      <c r="AD320" s="44">
        <f t="shared" si="7"/>
        <v>-3000</v>
      </c>
      <c r="AE320" s="123">
        <v>0.0</v>
      </c>
    </row>
    <row r="321">
      <c r="A321" s="120">
        <v>2017.0</v>
      </c>
      <c r="B321" s="121">
        <v>11.0</v>
      </c>
      <c r="C321" s="122" t="s">
        <v>29</v>
      </c>
      <c r="D321" s="44"/>
      <c r="E321" s="123">
        <v>1165.29</v>
      </c>
      <c r="F321" s="123">
        <v>-3000.0</v>
      </c>
      <c r="G321" s="44"/>
      <c r="H321" s="123">
        <v>-311.66</v>
      </c>
      <c r="I321" s="44"/>
      <c r="J321" s="123">
        <v>657.05</v>
      </c>
      <c r="K321" s="44"/>
      <c r="L321" s="123">
        <v>6105.66</v>
      </c>
      <c r="M321" s="44"/>
      <c r="N321" s="44"/>
      <c r="O321" s="123">
        <v>57829.0</v>
      </c>
      <c r="P321" s="52">
        <f t="shared" si="23"/>
        <v>57829.43</v>
      </c>
      <c r="Q321" s="124">
        <f t="shared" si="2"/>
        <v>-0.43</v>
      </c>
      <c r="R321" s="52">
        <f t="array" ref="R321">IFERROR(INDEX('Fund YTD Target Values'!$1:$1000, MATCH($C321,'Fund YTD Target Values'!$A:$A,0), MATCH($A321,'Fund YTD Target Values'!$1:$1,0)),0)</f>
        <v>75218.58778</v>
      </c>
      <c r="S321" s="52">
        <f>IFERROR(__xludf.DUMMYFUNCTION("IFERROR(sum(FILTER('Fund Data'!$V:$V, 'Fund Data'!$C:$C = $C321, 'Fund Data'!$A:$A &lt; $A321)),0) + IFERROR(sum(FILTER('Fund Data'!$V:$V, 'Fund Data'!$C:$C = $C321, 'Fund Data'!$A:$A = $A321, 'Fund Data'!$B:$B &lt;= $B321)),0)"),50000.0)</f>
        <v>50000</v>
      </c>
      <c r="T321" s="123">
        <v>50000.0</v>
      </c>
      <c r="U321" s="44">
        <f t="shared" si="34"/>
        <v>0</v>
      </c>
      <c r="V321" s="44">
        <f t="shared" si="3"/>
        <v>0</v>
      </c>
      <c r="W321" s="123"/>
      <c r="X321" s="123"/>
      <c r="Y321" s="123">
        <v>0.0</v>
      </c>
      <c r="Z321" s="123">
        <v>0.0</v>
      </c>
      <c r="AA321" s="123">
        <v>0.0</v>
      </c>
      <c r="AB321" s="123"/>
      <c r="AC321" s="123">
        <v>0.0</v>
      </c>
      <c r="AD321" s="44">
        <f t="shared" si="7"/>
        <v>-3000</v>
      </c>
      <c r="AE321" s="123">
        <v>0.0</v>
      </c>
    </row>
    <row r="322">
      <c r="A322" s="120">
        <v>2017.0</v>
      </c>
      <c r="B322" s="121">
        <v>10.0</v>
      </c>
      <c r="C322" s="122" t="s">
        <v>29</v>
      </c>
      <c r="D322" s="44"/>
      <c r="E322" s="123">
        <v>1125.87</v>
      </c>
      <c r="F322" s="123">
        <v>-3000.0</v>
      </c>
      <c r="G322" s="44"/>
      <c r="H322" s="123">
        <v>-283.06</v>
      </c>
      <c r="I322" s="44"/>
      <c r="J322" s="123">
        <v>643.29</v>
      </c>
      <c r="K322" s="44"/>
      <c r="L322" s="123">
        <v>5473.81</v>
      </c>
      <c r="M322" s="44"/>
      <c r="N322" s="44"/>
      <c r="O322" s="123">
        <v>57173.0</v>
      </c>
      <c r="P322" s="52">
        <f t="shared" si="23"/>
        <v>57173</v>
      </c>
      <c r="Q322" s="124">
        <f t="shared" si="2"/>
        <v>0</v>
      </c>
      <c r="R322" s="52">
        <f t="array" ref="R322">IFERROR(INDEX('Fund YTD Target Values'!$1:$1000, MATCH($C322,'Fund YTD Target Values'!$A:$A,0), MATCH($A322,'Fund YTD Target Values'!$1:$1,0)),0)</f>
        <v>75218.58778</v>
      </c>
      <c r="S322" s="52">
        <f>IFERROR(__xludf.DUMMYFUNCTION("IFERROR(sum(FILTER('Fund Data'!$V:$V, 'Fund Data'!$C:$C = $C322, 'Fund Data'!$A:$A &lt; $A322)),0) + IFERROR(sum(FILTER('Fund Data'!$V:$V, 'Fund Data'!$C:$C = $C322, 'Fund Data'!$A:$A = $A322, 'Fund Data'!$B:$B &lt;= $B322)),0)"),50000.0)</f>
        <v>50000</v>
      </c>
      <c r="T322" s="123">
        <v>50000.0</v>
      </c>
      <c r="U322" s="44">
        <f t="shared" si="34"/>
        <v>0</v>
      </c>
      <c r="V322" s="44">
        <f t="shared" si="3"/>
        <v>0</v>
      </c>
      <c r="W322" s="123"/>
      <c r="X322" s="123"/>
      <c r="Y322" s="123">
        <v>0.0</v>
      </c>
      <c r="Z322" s="123">
        <v>0.0</v>
      </c>
      <c r="AA322" s="123">
        <v>0.0</v>
      </c>
      <c r="AB322" s="123"/>
      <c r="AC322" s="123">
        <v>0.0</v>
      </c>
      <c r="AD322" s="44">
        <f t="shared" si="7"/>
        <v>-3000</v>
      </c>
      <c r="AE322" s="123">
        <v>0.0</v>
      </c>
    </row>
    <row r="323">
      <c r="A323" s="120">
        <v>2017.0</v>
      </c>
      <c r="B323" s="121">
        <v>9.0</v>
      </c>
      <c r="C323" s="122" t="s">
        <v>29</v>
      </c>
      <c r="D323" s="44"/>
      <c r="E323" s="123">
        <v>1003.62</v>
      </c>
      <c r="F323" s="44"/>
      <c r="G323" s="44"/>
      <c r="H323" s="123">
        <v>-253.4</v>
      </c>
      <c r="I323" s="44"/>
      <c r="J323" s="44"/>
      <c r="K323" s="44"/>
      <c r="L323" s="123">
        <v>5359.59</v>
      </c>
      <c r="M323" s="44"/>
      <c r="N323" s="44"/>
      <c r="O323" s="123">
        <v>59323.0</v>
      </c>
      <c r="P323" s="52">
        <f t="shared" si="23"/>
        <v>59322.9</v>
      </c>
      <c r="Q323" s="124">
        <f t="shared" si="2"/>
        <v>0.1</v>
      </c>
      <c r="R323" s="52">
        <f t="array" ref="R323">IFERROR(INDEX('Fund YTD Target Values'!$1:$1000, MATCH($C323,'Fund YTD Target Values'!$A:$A,0), MATCH($A323,'Fund YTD Target Values'!$1:$1,0)),0)</f>
        <v>75218.58778</v>
      </c>
      <c r="S323" s="52">
        <f>IFERROR(__xludf.DUMMYFUNCTION("IFERROR(sum(FILTER('Fund Data'!$V:$V, 'Fund Data'!$C:$C = $C323, 'Fund Data'!$A:$A &lt; $A323)),0) + IFERROR(sum(FILTER('Fund Data'!$V:$V, 'Fund Data'!$C:$C = $C323, 'Fund Data'!$A:$A = $A323, 'Fund Data'!$B:$B &lt;= $B323)),0)"),50000.0)</f>
        <v>50000</v>
      </c>
      <c r="T323" s="123">
        <v>50000.0</v>
      </c>
      <c r="U323" s="44">
        <f t="shared" si="34"/>
        <v>0</v>
      </c>
      <c r="V323" s="44">
        <f t="shared" si="3"/>
        <v>0</v>
      </c>
      <c r="W323" s="123"/>
      <c r="X323" s="123"/>
      <c r="Y323" s="123">
        <v>0.0</v>
      </c>
      <c r="Z323" s="123">
        <v>0.0</v>
      </c>
      <c r="AA323" s="123">
        <v>0.0</v>
      </c>
      <c r="AB323" s="123"/>
      <c r="AC323" s="123">
        <v>0.0</v>
      </c>
      <c r="AD323" s="44">
        <f t="shared" si="7"/>
        <v>0</v>
      </c>
      <c r="AE323" s="123">
        <v>0.0</v>
      </c>
    </row>
    <row r="324">
      <c r="A324" s="120">
        <v>2017.0</v>
      </c>
      <c r="B324" s="121">
        <v>8.0</v>
      </c>
      <c r="C324" s="122" t="s">
        <v>29</v>
      </c>
      <c r="D324" s="44"/>
      <c r="E324" s="123">
        <v>930.21</v>
      </c>
      <c r="F324" s="44"/>
      <c r="G324" s="44"/>
      <c r="H324" s="123">
        <v>-224.05</v>
      </c>
      <c r="I324" s="44"/>
      <c r="J324" s="44"/>
      <c r="K324" s="44"/>
      <c r="L324" s="123">
        <v>4786.67</v>
      </c>
      <c r="M324" s="44"/>
      <c r="N324" s="44"/>
      <c r="O324" s="123">
        <v>58706.0</v>
      </c>
      <c r="P324" s="52">
        <f t="shared" si="23"/>
        <v>58705.92</v>
      </c>
      <c r="Q324" s="124">
        <f t="shared" si="2"/>
        <v>0.07999999999</v>
      </c>
      <c r="R324" s="52">
        <f t="array" ref="R324">IFERROR(INDEX('Fund YTD Target Values'!$1:$1000, MATCH($C324,'Fund YTD Target Values'!$A:$A,0), MATCH($A324,'Fund YTD Target Values'!$1:$1,0)),0)</f>
        <v>75218.58778</v>
      </c>
      <c r="S324" s="52">
        <f>IFERROR(__xludf.DUMMYFUNCTION("IFERROR(sum(FILTER('Fund Data'!$V:$V, 'Fund Data'!$C:$C = $C324, 'Fund Data'!$A:$A &lt; $A324)),0) + IFERROR(sum(FILTER('Fund Data'!$V:$V, 'Fund Data'!$C:$C = $C324, 'Fund Data'!$A:$A = $A324, 'Fund Data'!$B:$B &lt;= $B324)),0)"),50000.0)</f>
        <v>50000</v>
      </c>
      <c r="T324" s="123">
        <v>50000.0</v>
      </c>
      <c r="U324" s="44">
        <f t="shared" si="34"/>
        <v>0</v>
      </c>
      <c r="V324" s="44">
        <f t="shared" si="3"/>
        <v>0</v>
      </c>
      <c r="W324" s="123"/>
      <c r="X324" s="123"/>
      <c r="Y324" s="123">
        <v>0.0</v>
      </c>
      <c r="Z324" s="123">
        <v>0.0</v>
      </c>
      <c r="AA324" s="123">
        <v>0.0</v>
      </c>
      <c r="AB324" s="123"/>
      <c r="AC324" s="123">
        <v>0.0</v>
      </c>
      <c r="AD324" s="44">
        <f t="shared" si="7"/>
        <v>0</v>
      </c>
      <c r="AE324" s="123">
        <v>0.0</v>
      </c>
    </row>
    <row r="325">
      <c r="A325" s="120">
        <v>2017.0</v>
      </c>
      <c r="B325" s="121">
        <v>7.0</v>
      </c>
      <c r="C325" s="122" t="s">
        <v>29</v>
      </c>
      <c r="D325" s="44"/>
      <c r="E325" s="123">
        <v>890.19</v>
      </c>
      <c r="F325" s="44"/>
      <c r="G325" s="44"/>
      <c r="H325" s="123">
        <v>-194.78</v>
      </c>
      <c r="I325" s="44"/>
      <c r="J325" s="44"/>
      <c r="K325" s="44"/>
      <c r="L325" s="123">
        <v>4635.79</v>
      </c>
      <c r="M325" s="44"/>
      <c r="N325" s="44"/>
      <c r="O325" s="123">
        <v>58544.0</v>
      </c>
      <c r="P325" s="52">
        <f t="shared" si="23"/>
        <v>58544.29</v>
      </c>
      <c r="Q325" s="124">
        <f t="shared" si="2"/>
        <v>-0.29</v>
      </c>
      <c r="R325" s="52">
        <f t="array" ref="R325">IFERROR(INDEX('Fund YTD Target Values'!$1:$1000, MATCH($C325,'Fund YTD Target Values'!$A:$A,0), MATCH($A325,'Fund YTD Target Values'!$1:$1,0)),0)</f>
        <v>75218.58778</v>
      </c>
      <c r="S325" s="52">
        <f>IFERROR(__xludf.DUMMYFUNCTION("IFERROR(sum(FILTER('Fund Data'!$V:$V, 'Fund Data'!$C:$C = $C325, 'Fund Data'!$A:$A &lt; $A325)),0) + IFERROR(sum(FILTER('Fund Data'!$V:$V, 'Fund Data'!$C:$C = $C325, 'Fund Data'!$A:$A = $A325, 'Fund Data'!$B:$B &lt;= $B325)),0)"),50000.0)</f>
        <v>50000</v>
      </c>
      <c r="T325" s="123">
        <v>50000.0</v>
      </c>
      <c r="U325" s="44">
        <f t="shared" si="34"/>
        <v>0</v>
      </c>
      <c r="V325" s="44">
        <f t="shared" si="3"/>
        <v>0</v>
      </c>
      <c r="W325" s="123"/>
      <c r="X325" s="123"/>
      <c r="Y325" s="123">
        <v>0.0</v>
      </c>
      <c r="Z325" s="123">
        <v>0.0</v>
      </c>
      <c r="AA325" s="123">
        <v>0.0</v>
      </c>
      <c r="AB325" s="123"/>
      <c r="AC325" s="123">
        <v>0.0</v>
      </c>
      <c r="AD325" s="44">
        <f t="shared" si="7"/>
        <v>0</v>
      </c>
      <c r="AE325" s="123">
        <v>0.0</v>
      </c>
    </row>
    <row r="326">
      <c r="A326" s="120">
        <v>2017.0</v>
      </c>
      <c r="B326" s="121">
        <v>6.0</v>
      </c>
      <c r="C326" s="122" t="s">
        <v>29</v>
      </c>
      <c r="D326" s="44"/>
      <c r="E326" s="123">
        <v>708.21</v>
      </c>
      <c r="F326" s="44"/>
      <c r="G326" s="44"/>
      <c r="H326" s="123">
        <v>-166.18</v>
      </c>
      <c r="I326" s="44"/>
      <c r="J326" s="44"/>
      <c r="K326" s="44"/>
      <c r="L326" s="123">
        <v>3442.7</v>
      </c>
      <c r="M326" s="44"/>
      <c r="N326" s="44"/>
      <c r="O326" s="123">
        <v>57198.0</v>
      </c>
      <c r="P326" s="52">
        <f t="shared" si="23"/>
        <v>57197.82</v>
      </c>
      <c r="Q326" s="124">
        <f t="shared" si="2"/>
        <v>0.18</v>
      </c>
      <c r="R326" s="52">
        <f t="array" ref="R326">IFERROR(INDEX('Fund YTD Target Values'!$1:$1000, MATCH($C326,'Fund YTD Target Values'!$A:$A,0), MATCH($A326,'Fund YTD Target Values'!$1:$1,0)),0)</f>
        <v>75218.58778</v>
      </c>
      <c r="S326" s="52">
        <f>IFERROR(__xludf.DUMMYFUNCTION("IFERROR(sum(FILTER('Fund Data'!$V:$V, 'Fund Data'!$C:$C = $C326, 'Fund Data'!$A:$A &lt; $A326)),0) + IFERROR(sum(FILTER('Fund Data'!$V:$V, 'Fund Data'!$C:$C = $C326, 'Fund Data'!$A:$A = $A326, 'Fund Data'!$B:$B &lt;= $B326)),0)"),50000.0)</f>
        <v>50000</v>
      </c>
      <c r="T326" s="123">
        <v>50000.0</v>
      </c>
      <c r="U326" s="44">
        <f t="shared" si="34"/>
        <v>0</v>
      </c>
      <c r="V326" s="44">
        <f t="shared" si="3"/>
        <v>0</v>
      </c>
      <c r="W326" s="123"/>
      <c r="X326" s="123"/>
      <c r="Y326" s="123">
        <v>0.0</v>
      </c>
      <c r="Z326" s="123">
        <v>0.0</v>
      </c>
      <c r="AA326" s="123">
        <v>0.0</v>
      </c>
      <c r="AB326" s="123"/>
      <c r="AC326" s="123">
        <v>0.0</v>
      </c>
      <c r="AD326" s="44">
        <f t="shared" si="7"/>
        <v>0</v>
      </c>
      <c r="AE326" s="123">
        <v>0.0</v>
      </c>
    </row>
    <row r="327">
      <c r="A327" s="168">
        <v>2017.0</v>
      </c>
      <c r="B327" s="169">
        <v>5.0</v>
      </c>
      <c r="C327" s="122" t="s">
        <v>29</v>
      </c>
      <c r="D327" s="44"/>
      <c r="E327" s="123">
        <v>670.16</v>
      </c>
      <c r="F327" s="44"/>
      <c r="G327" s="44"/>
      <c r="H327" s="123">
        <v>-137.65</v>
      </c>
      <c r="I327" s="44"/>
      <c r="J327" s="44"/>
      <c r="K327" s="44"/>
      <c r="L327" s="123">
        <v>3320.01</v>
      </c>
      <c r="M327" s="44"/>
      <c r="N327" s="44"/>
      <c r="O327" s="123">
        <v>57066.0</v>
      </c>
      <c r="P327" s="52">
        <f t="shared" si="23"/>
        <v>57065.61</v>
      </c>
      <c r="Q327" s="124">
        <f t="shared" si="2"/>
        <v>0.39</v>
      </c>
      <c r="R327" s="52">
        <f t="array" ref="R327">IFERROR(INDEX('Fund YTD Target Values'!$1:$1000, MATCH($C327,'Fund YTD Target Values'!$A:$A,0), MATCH($A327,'Fund YTD Target Values'!$1:$1,0)),0)</f>
        <v>75218.58778</v>
      </c>
      <c r="S327" s="52">
        <f>IFERROR(__xludf.DUMMYFUNCTION("IFERROR(sum(FILTER('Fund Data'!$V:$V, 'Fund Data'!$C:$C = $C327, 'Fund Data'!$A:$A &lt; $A327)),0) + IFERROR(sum(FILTER('Fund Data'!$V:$V, 'Fund Data'!$C:$C = $C327, 'Fund Data'!$A:$A = $A327, 'Fund Data'!$B:$B &lt;= $B327)),0)"),50000.0)</f>
        <v>50000</v>
      </c>
      <c r="T327" s="123">
        <v>50000.0</v>
      </c>
      <c r="U327" s="44">
        <f t="shared" si="34"/>
        <v>0</v>
      </c>
      <c r="V327" s="44">
        <f t="shared" si="3"/>
        <v>0</v>
      </c>
      <c r="W327" s="123"/>
      <c r="X327" s="123"/>
      <c r="Y327" s="123">
        <v>0.0</v>
      </c>
      <c r="Z327" s="123">
        <v>0.0</v>
      </c>
      <c r="AA327" s="123">
        <v>0.0</v>
      </c>
      <c r="AB327" s="123"/>
      <c r="AC327" s="123">
        <v>0.0</v>
      </c>
      <c r="AD327" s="44">
        <f t="shared" si="7"/>
        <v>0</v>
      </c>
      <c r="AE327" s="123">
        <v>0.0</v>
      </c>
    </row>
    <row r="328">
      <c r="A328" s="120">
        <v>2017.0</v>
      </c>
      <c r="B328" s="121">
        <v>4.0</v>
      </c>
      <c r="C328" s="122" t="s">
        <v>29</v>
      </c>
      <c r="D328" s="44"/>
      <c r="E328" s="123">
        <v>633.52</v>
      </c>
      <c r="F328" s="44"/>
      <c r="G328" s="44"/>
      <c r="H328" s="123">
        <v>-109.44</v>
      </c>
      <c r="I328" s="44"/>
      <c r="J328" s="44"/>
      <c r="K328" s="44"/>
      <c r="L328" s="123">
        <v>2683.96</v>
      </c>
      <c r="M328" s="44"/>
      <c r="N328" s="44"/>
      <c r="O328" s="123">
        <v>56421.0</v>
      </c>
      <c r="P328" s="52">
        <f t="shared" si="23"/>
        <v>56421.13</v>
      </c>
      <c r="Q328" s="124">
        <f t="shared" si="2"/>
        <v>-0.13</v>
      </c>
      <c r="R328" s="52">
        <f t="array" ref="R328">IFERROR(INDEX('Fund YTD Target Values'!$1:$1000, MATCH($C328,'Fund YTD Target Values'!$A:$A,0), MATCH($A328,'Fund YTD Target Values'!$1:$1,0)),0)</f>
        <v>75218.58778</v>
      </c>
      <c r="S328" s="52">
        <f>IFERROR(__xludf.DUMMYFUNCTION("IFERROR(sum(FILTER('Fund Data'!$V:$V, 'Fund Data'!$C:$C = $C328, 'Fund Data'!$A:$A &lt; $A328)),0) + IFERROR(sum(FILTER('Fund Data'!$V:$V, 'Fund Data'!$C:$C = $C328, 'Fund Data'!$A:$A = $A328, 'Fund Data'!$B:$B &lt;= $B328)),0)"),50000.0)</f>
        <v>50000</v>
      </c>
      <c r="T328" s="123">
        <v>50000.0</v>
      </c>
      <c r="U328" s="44">
        <f t="shared" si="34"/>
        <v>0</v>
      </c>
      <c r="V328" s="44">
        <f t="shared" si="3"/>
        <v>0</v>
      </c>
      <c r="W328" s="123"/>
      <c r="X328" s="123"/>
      <c r="Y328" s="123">
        <v>0.0</v>
      </c>
      <c r="Z328" s="123">
        <v>0.0</v>
      </c>
      <c r="AA328" s="123">
        <v>0.0</v>
      </c>
      <c r="AB328" s="123"/>
      <c r="AC328" s="123">
        <v>0.0</v>
      </c>
      <c r="AD328" s="44">
        <f t="shared" si="7"/>
        <v>0</v>
      </c>
      <c r="AE328" s="123">
        <v>0.0</v>
      </c>
    </row>
    <row r="329">
      <c r="A329" s="120">
        <v>2017.0</v>
      </c>
      <c r="B329" s="121">
        <v>3.0</v>
      </c>
      <c r="C329" s="122" t="s">
        <v>29</v>
      </c>
      <c r="D329" s="44"/>
      <c r="E329" s="123">
        <v>479.42</v>
      </c>
      <c r="F329" s="44"/>
      <c r="G329" s="44"/>
      <c r="H329" s="123">
        <v>-81.58</v>
      </c>
      <c r="I329" s="44"/>
      <c r="J329" s="44"/>
      <c r="K329" s="44"/>
      <c r="L329" s="123">
        <v>2119.38</v>
      </c>
      <c r="M329" s="44"/>
      <c r="N329" s="44"/>
      <c r="O329" s="123">
        <v>55730.0</v>
      </c>
      <c r="P329" s="52">
        <f t="shared" si="23"/>
        <v>55730.31</v>
      </c>
      <c r="Q329" s="124">
        <f t="shared" si="2"/>
        <v>-0.31</v>
      </c>
      <c r="R329" s="52">
        <f t="array" ref="R329">IFERROR(INDEX('Fund YTD Target Values'!$1:$1000, MATCH($C329,'Fund YTD Target Values'!$A:$A,0), MATCH($A329,'Fund YTD Target Values'!$1:$1,0)),0)</f>
        <v>75218.58778</v>
      </c>
      <c r="S329" s="52">
        <f>IFERROR(__xludf.DUMMYFUNCTION("IFERROR(sum(FILTER('Fund Data'!$V:$V, 'Fund Data'!$C:$C = $C329, 'Fund Data'!$A:$A &lt; $A329)),0) + IFERROR(sum(FILTER('Fund Data'!$V:$V, 'Fund Data'!$C:$C = $C329, 'Fund Data'!$A:$A = $A329, 'Fund Data'!$B:$B &lt;= $B329)),0)"),50000.0)</f>
        <v>50000</v>
      </c>
      <c r="T329" s="123">
        <v>50000.0</v>
      </c>
      <c r="U329" s="44">
        <f t="shared" si="34"/>
        <v>0</v>
      </c>
      <c r="V329" s="44">
        <f t="shared" si="3"/>
        <v>0</v>
      </c>
      <c r="W329" s="123"/>
      <c r="X329" s="123"/>
      <c r="Y329" s="123">
        <v>0.0</v>
      </c>
      <c r="Z329" s="123">
        <v>0.0</v>
      </c>
      <c r="AA329" s="123">
        <v>0.0</v>
      </c>
      <c r="AB329" s="123"/>
      <c r="AC329" s="123">
        <v>0.0</v>
      </c>
      <c r="AD329" s="44">
        <f t="shared" si="7"/>
        <v>0</v>
      </c>
      <c r="AE329" s="123">
        <v>0.0</v>
      </c>
    </row>
    <row r="330">
      <c r="A330" s="168">
        <v>2017.0</v>
      </c>
      <c r="B330" s="169">
        <v>2.0</v>
      </c>
      <c r="C330" s="122" t="s">
        <v>29</v>
      </c>
      <c r="D330" s="44"/>
      <c r="E330" s="123">
        <v>442.19</v>
      </c>
      <c r="F330" s="44"/>
      <c r="G330" s="44"/>
      <c r="H330" s="123">
        <v>-53.82</v>
      </c>
      <c r="I330" s="44"/>
      <c r="J330" s="44"/>
      <c r="K330" s="44"/>
      <c r="L330" s="123">
        <v>1920.86</v>
      </c>
      <c r="M330" s="44"/>
      <c r="N330" s="44"/>
      <c r="O330" s="123">
        <v>55522.0</v>
      </c>
      <c r="P330" s="52">
        <f t="shared" si="23"/>
        <v>55522.32</v>
      </c>
      <c r="Q330" s="124">
        <f t="shared" si="2"/>
        <v>-0.32</v>
      </c>
      <c r="R330" s="52">
        <f t="array" ref="R330">IFERROR(INDEX('Fund YTD Target Values'!$1:$1000, MATCH($C330,'Fund YTD Target Values'!$A:$A,0), MATCH($A330,'Fund YTD Target Values'!$1:$1,0)),0)</f>
        <v>75218.58778</v>
      </c>
      <c r="S330" s="52">
        <f>IFERROR(__xludf.DUMMYFUNCTION("IFERROR(sum(FILTER('Fund Data'!$V:$V, 'Fund Data'!$C:$C = $C330, 'Fund Data'!$A:$A &lt; $A330)),0) + IFERROR(sum(FILTER('Fund Data'!$V:$V, 'Fund Data'!$C:$C = $C330, 'Fund Data'!$A:$A = $A330, 'Fund Data'!$B:$B &lt;= $B330)),0)"),50000.0)</f>
        <v>50000</v>
      </c>
      <c r="T330" s="123">
        <v>50000.0</v>
      </c>
      <c r="U330" s="44">
        <f t="shared" si="34"/>
        <v>0</v>
      </c>
      <c r="V330" s="44">
        <f t="shared" si="3"/>
        <v>0</v>
      </c>
      <c r="W330" s="123"/>
      <c r="X330" s="123"/>
      <c r="Y330" s="123">
        <v>0.0</v>
      </c>
      <c r="Z330" s="123">
        <v>0.0</v>
      </c>
      <c r="AA330" s="123">
        <v>0.0</v>
      </c>
      <c r="AB330" s="123"/>
      <c r="AC330" s="123">
        <v>0.0</v>
      </c>
      <c r="AD330" s="44">
        <f t="shared" si="7"/>
        <v>0</v>
      </c>
      <c r="AE330" s="123">
        <v>0.0</v>
      </c>
    </row>
    <row r="331">
      <c r="A331" s="168">
        <v>2017.0</v>
      </c>
      <c r="B331" s="169">
        <v>1.0</v>
      </c>
      <c r="C331" s="122" t="s">
        <v>29</v>
      </c>
      <c r="D331" s="44"/>
      <c r="E331" s="123">
        <v>403.84</v>
      </c>
      <c r="F331" s="44"/>
      <c r="G331" s="44"/>
      <c r="H331" s="123">
        <v>-26.6</v>
      </c>
      <c r="I331" s="44"/>
      <c r="J331" s="44"/>
      <c r="K331" s="44"/>
      <c r="L331" s="123">
        <v>839.73</v>
      </c>
      <c r="M331" s="44"/>
      <c r="N331" s="44"/>
      <c r="O331" s="123">
        <v>54430.0</v>
      </c>
      <c r="P331" s="52">
        <f t="shared" si="23"/>
        <v>54430.06</v>
      </c>
      <c r="Q331" s="124">
        <f t="shared" si="2"/>
        <v>-0.06</v>
      </c>
      <c r="R331" s="52">
        <f t="array" ref="R331">IFERROR(INDEX('Fund YTD Target Values'!$1:$1000, MATCH($C331,'Fund YTD Target Values'!$A:$A,0), MATCH($A331,'Fund YTD Target Values'!$1:$1,0)),0)</f>
        <v>75218.58778</v>
      </c>
      <c r="S331" s="52">
        <f>IFERROR(__xludf.DUMMYFUNCTION("IFERROR(sum(FILTER('Fund Data'!$V:$V, 'Fund Data'!$C:$C = $C331, 'Fund Data'!$A:$A &lt; $A331)),0) + IFERROR(sum(FILTER('Fund Data'!$V:$V, 'Fund Data'!$C:$C = $C331, 'Fund Data'!$A:$A = $A331, 'Fund Data'!$B:$B &lt;= $B331)),0)"),50000.0)</f>
        <v>50000</v>
      </c>
      <c r="T331" s="123">
        <v>50000.0</v>
      </c>
      <c r="U331" s="44">
        <f t="shared" si="34"/>
        <v>0</v>
      </c>
      <c r="V331" s="44">
        <f t="shared" si="3"/>
        <v>0</v>
      </c>
      <c r="W331" s="123"/>
      <c r="X331" s="123"/>
      <c r="Y331" s="123">
        <v>0.0</v>
      </c>
      <c r="Z331" s="123">
        <v>0.0</v>
      </c>
      <c r="AA331" s="123">
        <v>0.0</v>
      </c>
      <c r="AB331" s="123"/>
      <c r="AC331" s="123">
        <v>0.0</v>
      </c>
      <c r="AD331" s="44">
        <f t="shared" si="7"/>
        <v>0</v>
      </c>
      <c r="AE331" s="123">
        <v>0.0</v>
      </c>
    </row>
    <row r="332">
      <c r="A332" s="120">
        <v>2016.0</v>
      </c>
      <c r="B332" s="121">
        <v>12.0</v>
      </c>
      <c r="C332" s="122" t="s">
        <v>29</v>
      </c>
      <c r="D332" s="44"/>
      <c r="E332" s="123">
        <v>1177.15</v>
      </c>
      <c r="F332" s="123">
        <v>-3700.0</v>
      </c>
      <c r="G332" s="123"/>
      <c r="H332" s="123">
        <v>-323.23</v>
      </c>
      <c r="I332" s="44"/>
      <c r="J332" s="123">
        <v>680.02</v>
      </c>
      <c r="K332" s="44"/>
      <c r="L332" s="123">
        <v>1733.68</v>
      </c>
      <c r="M332" s="44"/>
      <c r="N332" s="44"/>
      <c r="O332" s="123">
        <v>53213.0</v>
      </c>
      <c r="P332" s="52">
        <f t="shared" si="23"/>
        <v>53213.09</v>
      </c>
      <c r="Q332" s="124">
        <f t="shared" si="2"/>
        <v>-0.09</v>
      </c>
      <c r="R332" s="52">
        <f t="array" ref="R332">IFERROR(INDEX('Fund YTD Target Values'!$1:$1000, MATCH($C332,'Fund YTD Target Values'!$A:$A,0), MATCH($A332,'Fund YTD Target Values'!$1:$1,0)),0)</f>
        <v>73648.68149</v>
      </c>
      <c r="S332" s="52">
        <f>IFERROR(__xludf.DUMMYFUNCTION("IFERROR(sum(FILTER('Fund Data'!$V:$V, 'Fund Data'!$C:$C = $C332, 'Fund Data'!$A:$A &lt; $A332)),0) + IFERROR(sum(FILTER('Fund Data'!$V:$V, 'Fund Data'!$C:$C = $C332, 'Fund Data'!$A:$A = $A332, 'Fund Data'!$B:$B &lt;= $B332)),0)"),50000.0)</f>
        <v>50000</v>
      </c>
      <c r="T332" s="123">
        <v>50000.0</v>
      </c>
      <c r="U332" s="44">
        <f t="shared" si="34"/>
        <v>0</v>
      </c>
      <c r="V332" s="44">
        <f t="shared" si="3"/>
        <v>0</v>
      </c>
      <c r="W332" s="123"/>
      <c r="X332" s="123"/>
      <c r="Y332" s="123">
        <v>0.0</v>
      </c>
      <c r="Z332" s="123">
        <v>0.0</v>
      </c>
      <c r="AA332" s="123">
        <v>0.0</v>
      </c>
      <c r="AB332" s="123"/>
      <c r="AC332" s="123">
        <v>0.0</v>
      </c>
      <c r="AD332" s="44">
        <f t="shared" si="7"/>
        <v>-3700</v>
      </c>
      <c r="AE332" s="123">
        <v>0.0</v>
      </c>
    </row>
    <row r="333">
      <c r="A333" s="120">
        <v>2015.0</v>
      </c>
      <c r="B333" s="121">
        <v>12.0</v>
      </c>
      <c r="C333" s="122" t="s">
        <v>29</v>
      </c>
      <c r="D333" s="44"/>
      <c r="E333" s="123">
        <v>1340.42</v>
      </c>
      <c r="F333" s="123">
        <v>-3000.0</v>
      </c>
      <c r="G333" s="123"/>
      <c r="H333" s="123">
        <v>-341.35</v>
      </c>
      <c r="I333" s="44"/>
      <c r="J333" s="123">
        <v>387.15</v>
      </c>
      <c r="K333" s="44"/>
      <c r="L333" s="123">
        <v>-2742.73</v>
      </c>
      <c r="M333" s="44"/>
      <c r="N333" s="44"/>
      <c r="O333" s="123">
        <v>53645.0</v>
      </c>
      <c r="P333" s="52">
        <f t="shared" si="23"/>
        <v>53645.47</v>
      </c>
      <c r="Q333" s="124">
        <f t="shared" si="2"/>
        <v>-0.47</v>
      </c>
      <c r="R333" s="52">
        <f t="array" ref="R333">IFERROR(INDEX('Fund YTD Target Values'!$1:$1000, MATCH($C333,'Fund YTD Target Values'!$A:$A,0), MATCH($A333,'Fund YTD Target Values'!$1:$1,0)),0)</f>
        <v>72730.93072</v>
      </c>
      <c r="S333" s="52">
        <f>IFERROR(__xludf.DUMMYFUNCTION("IFERROR(sum(FILTER('Fund Data'!$V:$V, 'Fund Data'!$C:$C = $C333, 'Fund Data'!$A:$A &lt; $A333)),0) + IFERROR(sum(FILTER('Fund Data'!$V:$V, 'Fund Data'!$C:$C = $C333, 'Fund Data'!$A:$A = $A333, 'Fund Data'!$B:$B &lt;= $B333)),0)"),50000.0)</f>
        <v>50000</v>
      </c>
      <c r="T333" s="123">
        <v>50000.0</v>
      </c>
      <c r="U333" s="44">
        <f t="shared" si="34"/>
        <v>0</v>
      </c>
      <c r="V333" s="44">
        <f t="shared" si="3"/>
        <v>0</v>
      </c>
      <c r="W333" s="123"/>
      <c r="X333" s="123"/>
      <c r="Y333" s="123">
        <v>0.0</v>
      </c>
      <c r="Z333" s="123">
        <v>0.0</v>
      </c>
      <c r="AA333" s="123">
        <v>0.0</v>
      </c>
      <c r="AB333" s="123"/>
      <c r="AC333" s="123">
        <v>0.0</v>
      </c>
      <c r="AD333" s="44">
        <f t="shared" si="7"/>
        <v>-3000</v>
      </c>
      <c r="AE333" s="123">
        <v>0.0</v>
      </c>
    </row>
    <row r="334">
      <c r="A334" s="120">
        <v>2014.0</v>
      </c>
      <c r="B334" s="121">
        <v>12.0</v>
      </c>
      <c r="C334" s="122" t="s">
        <v>29</v>
      </c>
      <c r="D334" s="44"/>
      <c r="E334" s="123">
        <v>1125.68</v>
      </c>
      <c r="F334" s="123">
        <v>-3000.0</v>
      </c>
      <c r="G334" s="123"/>
      <c r="H334" s="123">
        <v>-362.93</v>
      </c>
      <c r="I334" s="44"/>
      <c r="J334" s="123">
        <v>513.57</v>
      </c>
      <c r="K334" s="44"/>
      <c r="L334" s="123">
        <v>-223.28</v>
      </c>
      <c r="M334" s="44"/>
      <c r="N334" s="44"/>
      <c r="O334" s="123">
        <v>58002.0</v>
      </c>
      <c r="P334" s="52">
        <f t="shared" si="23"/>
        <v>58001.98</v>
      </c>
      <c r="Q334" s="124">
        <f t="shared" si="2"/>
        <v>0.02</v>
      </c>
      <c r="R334" s="52">
        <f t="array" ref="R334">IFERROR(INDEX('Fund YTD Target Values'!$1:$1000, MATCH($C334,'Fund YTD Target Values'!$A:$A,0), MATCH($A334,'Fund YTD Target Values'!$1:$1,0)),0)</f>
        <v>72644.55667</v>
      </c>
      <c r="S334" s="52">
        <f>IFERROR(__xludf.DUMMYFUNCTION("IFERROR(sum(FILTER('Fund Data'!$V:$V, 'Fund Data'!$C:$C = $C334, 'Fund Data'!$A:$A &lt; $A334)),0) + IFERROR(sum(FILTER('Fund Data'!$V:$V, 'Fund Data'!$C:$C = $C334, 'Fund Data'!$A:$A = $A334, 'Fund Data'!$B:$B &lt;= $B334)),0)"),50000.0)</f>
        <v>50000</v>
      </c>
      <c r="T334" s="123">
        <v>50000.0</v>
      </c>
      <c r="U334" s="44">
        <f t="shared" si="34"/>
        <v>0</v>
      </c>
      <c r="V334" s="44">
        <f t="shared" si="3"/>
        <v>0</v>
      </c>
      <c r="W334" s="123"/>
      <c r="X334" s="123"/>
      <c r="Y334" s="123">
        <v>0.0</v>
      </c>
      <c r="Z334" s="123">
        <v>0.0</v>
      </c>
      <c r="AA334" s="123">
        <v>0.0</v>
      </c>
      <c r="AB334" s="123"/>
      <c r="AC334" s="123">
        <v>0.0</v>
      </c>
      <c r="AD334" s="44">
        <f t="shared" si="7"/>
        <v>-3000</v>
      </c>
      <c r="AE334" s="123">
        <v>0.0</v>
      </c>
    </row>
    <row r="335">
      <c r="A335" s="120">
        <v>2013.0</v>
      </c>
      <c r="B335" s="121">
        <v>12.0</v>
      </c>
      <c r="C335" s="122" t="s">
        <v>29</v>
      </c>
      <c r="D335" s="44"/>
      <c r="E335" s="123">
        <v>1215.56</v>
      </c>
      <c r="F335" s="123">
        <v>-3000.0</v>
      </c>
      <c r="G335" s="123"/>
      <c r="H335" s="123">
        <v>-351.35</v>
      </c>
      <c r="I335" s="44"/>
      <c r="J335" s="123">
        <v>568.84</v>
      </c>
      <c r="K335" s="44"/>
      <c r="L335" s="123">
        <v>4478.92</v>
      </c>
      <c r="M335" s="44"/>
      <c r="N335" s="44"/>
      <c r="O335" s="123">
        <v>59949.0</v>
      </c>
      <c r="P335" s="52">
        <f t="shared" si="23"/>
        <v>59948.94</v>
      </c>
      <c r="Q335" s="124">
        <f t="shared" si="2"/>
        <v>0.06</v>
      </c>
      <c r="R335" s="52">
        <f t="array" ref="R335">IFERROR(INDEX('Fund YTD Target Values'!$1:$1000, MATCH($C335,'Fund YTD Target Values'!$A:$A,0), MATCH($A335,'Fund YTD Target Values'!$1:$1,0)),0)</f>
        <v>71485.13581</v>
      </c>
      <c r="S335" s="52">
        <f>IFERROR(__xludf.DUMMYFUNCTION("IFERROR(sum(FILTER('Fund Data'!$V:$V, 'Fund Data'!$C:$C = $C335, 'Fund Data'!$A:$A &lt; $A335)),0) + IFERROR(sum(FILTER('Fund Data'!$V:$V, 'Fund Data'!$C:$C = $C335, 'Fund Data'!$A:$A = $A335, 'Fund Data'!$B:$B &lt;= $B335)),0)"),50000.0)</f>
        <v>50000</v>
      </c>
      <c r="T335" s="123">
        <v>50000.0</v>
      </c>
      <c r="U335" s="44">
        <f t="shared" si="34"/>
        <v>0</v>
      </c>
      <c r="V335" s="44">
        <f t="shared" si="3"/>
        <v>0</v>
      </c>
      <c r="W335" s="123"/>
      <c r="X335" s="123"/>
      <c r="Y335" s="123">
        <v>0.0</v>
      </c>
      <c r="Z335" s="123">
        <v>0.0</v>
      </c>
      <c r="AA335" s="123">
        <v>0.0</v>
      </c>
      <c r="AB335" s="123"/>
      <c r="AC335" s="123">
        <v>0.0</v>
      </c>
      <c r="AD335" s="44">
        <f t="shared" si="7"/>
        <v>-3000</v>
      </c>
      <c r="AE335" s="123">
        <v>0.0</v>
      </c>
    </row>
    <row r="336">
      <c r="A336" s="120">
        <v>2012.0</v>
      </c>
      <c r="B336" s="121">
        <v>12.0</v>
      </c>
      <c r="C336" s="122" t="s">
        <v>29</v>
      </c>
      <c r="D336" s="44"/>
      <c r="E336" s="123">
        <v>1164.28</v>
      </c>
      <c r="F336" s="123">
        <v>-4000.0</v>
      </c>
      <c r="G336" s="123"/>
      <c r="H336" s="123">
        <v>-344.1</v>
      </c>
      <c r="I336" s="44"/>
      <c r="J336" s="123">
        <v>462.25</v>
      </c>
      <c r="K336" s="44"/>
      <c r="L336" s="123">
        <v>5219.12</v>
      </c>
      <c r="M336" s="44"/>
      <c r="N336" s="44"/>
      <c r="O336" s="123">
        <v>57038.0</v>
      </c>
      <c r="P336" s="52">
        <f t="shared" si="23"/>
        <v>57036.97</v>
      </c>
      <c r="Q336" s="124">
        <f t="shared" si="2"/>
        <v>1.03</v>
      </c>
      <c r="R336" s="52">
        <f t="array" ref="R336">IFERROR(INDEX('Fund YTD Target Values'!$1:$1000, MATCH($C336,'Fund YTD Target Values'!$A:$A,0), MATCH($A336,'Fund YTD Target Values'!$1:$1,0)),0)</f>
        <v>70452.2734</v>
      </c>
      <c r="S336" s="52">
        <f>IFERROR(__xludf.DUMMYFUNCTION("IFERROR(sum(FILTER('Fund Data'!$V:$V, 'Fund Data'!$C:$C = $C336, 'Fund Data'!$A:$A &lt; $A336)),0) + IFERROR(sum(FILTER('Fund Data'!$V:$V, 'Fund Data'!$C:$C = $C336, 'Fund Data'!$A:$A = $A336, 'Fund Data'!$B:$B &lt;= $B336)),0)"),50000.0)</f>
        <v>50000</v>
      </c>
      <c r="T336" s="123">
        <v>50000.0</v>
      </c>
      <c r="U336" s="44">
        <f t="shared" si="34"/>
        <v>0</v>
      </c>
      <c r="V336" s="44">
        <f t="shared" si="3"/>
        <v>0</v>
      </c>
      <c r="W336" s="123"/>
      <c r="X336" s="123"/>
      <c r="Y336" s="123">
        <v>0.0</v>
      </c>
      <c r="Z336" s="123">
        <v>0.0</v>
      </c>
      <c r="AA336" s="123">
        <v>0.0</v>
      </c>
      <c r="AB336" s="123"/>
      <c r="AC336" s="123">
        <v>0.0</v>
      </c>
      <c r="AD336" s="44">
        <f t="shared" si="7"/>
        <v>-4000</v>
      </c>
      <c r="AE336" s="123">
        <v>0.0</v>
      </c>
    </row>
    <row r="337">
      <c r="A337" s="120">
        <v>2011.0</v>
      </c>
      <c r="B337" s="121">
        <v>12.0</v>
      </c>
      <c r="C337" s="122" t="s">
        <v>29</v>
      </c>
      <c r="D337" s="44"/>
      <c r="E337" s="123">
        <v>1080.35</v>
      </c>
      <c r="F337" s="123">
        <v>-7000.0</v>
      </c>
      <c r="G337" s="123"/>
      <c r="H337" s="123">
        <v>-384.99</v>
      </c>
      <c r="I337" s="44"/>
      <c r="J337" s="123">
        <v>753.25</v>
      </c>
      <c r="K337" s="44"/>
      <c r="L337" s="123">
        <v>-4676.96</v>
      </c>
      <c r="M337" s="44"/>
      <c r="N337" s="44"/>
      <c r="O337" s="123">
        <v>54536.0</v>
      </c>
      <c r="P337" s="52">
        <f t="shared" si="23"/>
        <v>54535.42</v>
      </c>
      <c r="Q337" s="124">
        <f t="shared" si="2"/>
        <v>0.58</v>
      </c>
      <c r="R337" s="52">
        <f t="array" ref="R337">IFERROR(INDEX('Fund YTD Target Values'!$1:$1000, MATCH($C337,'Fund YTD Target Values'!$A:$A,0), MATCH($A337,'Fund YTD Target Values'!$1:$1,0)),0)</f>
        <v>69021.32825</v>
      </c>
      <c r="S337" s="52">
        <f>IFERROR(__xludf.DUMMYFUNCTION("IFERROR(sum(FILTER('Fund Data'!$V:$V, 'Fund Data'!$C:$C = $C337, 'Fund Data'!$A:$A &lt; $A337)),0) + IFERROR(sum(FILTER('Fund Data'!$V:$V, 'Fund Data'!$C:$C = $C337, 'Fund Data'!$A:$A = $A337, 'Fund Data'!$B:$B &lt;= $B337)),0)"),50000.0)</f>
        <v>50000</v>
      </c>
      <c r="T337" s="123">
        <v>50000.0</v>
      </c>
      <c r="U337" s="44">
        <f t="shared" si="34"/>
        <v>0</v>
      </c>
      <c r="V337" s="44">
        <f t="shared" si="3"/>
        <v>0</v>
      </c>
      <c r="W337" s="123"/>
      <c r="X337" s="123"/>
      <c r="Y337" s="123">
        <v>0.0</v>
      </c>
      <c r="Z337" s="123">
        <v>0.0</v>
      </c>
      <c r="AA337" s="123">
        <v>0.0</v>
      </c>
      <c r="AB337" s="123"/>
      <c r="AC337" s="123">
        <v>0.0</v>
      </c>
      <c r="AD337" s="44">
        <f t="shared" si="7"/>
        <v>-7000</v>
      </c>
      <c r="AE337" s="123">
        <v>0.0</v>
      </c>
    </row>
    <row r="338">
      <c r="A338" s="120">
        <v>2010.0</v>
      </c>
      <c r="B338" s="121">
        <v>12.0</v>
      </c>
      <c r="C338" s="122" t="s">
        <v>29</v>
      </c>
      <c r="D338" s="44"/>
      <c r="E338" s="123">
        <v>1306.83</v>
      </c>
      <c r="F338" s="123">
        <v>-5000.0</v>
      </c>
      <c r="G338" s="123"/>
      <c r="H338" s="123">
        <v>-377.27</v>
      </c>
      <c r="I338" s="44"/>
      <c r="J338" s="123">
        <v>380.6</v>
      </c>
      <c r="K338" s="44"/>
      <c r="L338" s="123">
        <v>6653.02</v>
      </c>
      <c r="M338" s="44"/>
      <c r="N338" s="44"/>
      <c r="O338" s="123">
        <v>64764.0</v>
      </c>
      <c r="P338" s="52">
        <f t="shared" si="23"/>
        <v>64763.77</v>
      </c>
      <c r="Q338" s="124">
        <f t="shared" si="2"/>
        <v>0.23</v>
      </c>
      <c r="R338" s="52">
        <f t="array" ref="R338">IFERROR(INDEX('Fund YTD Target Values'!$1:$1000, MATCH($C338,'Fund YTD Target Values'!$A:$A,0), MATCH($A338,'Fund YTD Target Values'!$1:$1,0)),0)</f>
        <v>66910.17738</v>
      </c>
      <c r="S338" s="52">
        <f>IFERROR(__xludf.DUMMYFUNCTION("IFERROR(sum(FILTER('Fund Data'!$V:$V, 'Fund Data'!$C:$C = $C338, 'Fund Data'!$A:$A &lt; $A338)),0) + IFERROR(sum(FILTER('Fund Data'!$V:$V, 'Fund Data'!$C:$C = $C338, 'Fund Data'!$A:$A = $A338, 'Fund Data'!$B:$B &lt;= $B338)),0)"),50000.0)</f>
        <v>50000</v>
      </c>
      <c r="T338" s="123">
        <v>50000.0</v>
      </c>
      <c r="U338" s="44">
        <f t="shared" si="34"/>
        <v>0</v>
      </c>
      <c r="V338" s="44">
        <f t="shared" si="3"/>
        <v>0</v>
      </c>
      <c r="W338" s="123"/>
      <c r="X338" s="123"/>
      <c r="Y338" s="123">
        <v>0.0</v>
      </c>
      <c r="Z338" s="123">
        <v>0.0</v>
      </c>
      <c r="AA338" s="123">
        <v>0.0</v>
      </c>
      <c r="AB338" s="123"/>
      <c r="AC338" s="123">
        <v>0.0</v>
      </c>
      <c r="AD338" s="44">
        <f t="shared" si="7"/>
        <v>-5000</v>
      </c>
      <c r="AE338" s="123">
        <v>0.0</v>
      </c>
    </row>
    <row r="339">
      <c r="A339" s="120">
        <v>2009.0</v>
      </c>
      <c r="B339" s="121">
        <v>12.0</v>
      </c>
      <c r="C339" s="122" t="s">
        <v>29</v>
      </c>
      <c r="D339" s="44"/>
      <c r="E339" s="123">
        <v>1606.65</v>
      </c>
      <c r="F339" s="123">
        <v>-1500.0</v>
      </c>
      <c r="G339" s="123"/>
      <c r="H339" s="123">
        <v>-329.24</v>
      </c>
      <c r="I339" s="44"/>
      <c r="J339" s="44"/>
      <c r="K339" s="44"/>
      <c r="L339" s="123">
        <v>9460.74</v>
      </c>
      <c r="M339" s="44"/>
      <c r="N339" s="44"/>
      <c r="O339" s="123">
        <v>61801.0</v>
      </c>
      <c r="P339" s="52">
        <f t="shared" si="23"/>
        <v>61800.59</v>
      </c>
      <c r="Q339" s="124">
        <f t="shared" si="2"/>
        <v>0.41</v>
      </c>
      <c r="R339" s="52">
        <f t="array" ref="R339">IFERROR(INDEX('Fund YTD Target Values'!$1:$1000, MATCH($C339,'Fund YTD Target Values'!$A:$A,0), MATCH($A339,'Fund YTD Target Values'!$1:$1,0)),0)</f>
        <v>65827.75869</v>
      </c>
      <c r="S339" s="52">
        <f>IFERROR(__xludf.DUMMYFUNCTION("IFERROR(sum(FILTER('Fund Data'!$V:$V, 'Fund Data'!$C:$C = $C339, 'Fund Data'!$A:$A &lt; $A339)),0) + IFERROR(sum(FILTER('Fund Data'!$V:$V, 'Fund Data'!$C:$C = $C339, 'Fund Data'!$A:$A = $A339, 'Fund Data'!$B:$B &lt;= $B339)),0)"),50000.0)</f>
        <v>50000</v>
      </c>
      <c r="T339" s="123">
        <v>50000.0</v>
      </c>
      <c r="U339" s="44">
        <f t="shared" si="34"/>
        <v>0</v>
      </c>
      <c r="V339" s="44">
        <f t="shared" si="3"/>
        <v>0</v>
      </c>
      <c r="W339" s="123"/>
      <c r="X339" s="123"/>
      <c r="Y339" s="123">
        <v>0.0</v>
      </c>
      <c r="Z339" s="123">
        <v>0.0</v>
      </c>
      <c r="AA339" s="123">
        <v>0.0</v>
      </c>
      <c r="AB339" s="123"/>
      <c r="AC339" s="123">
        <v>0.0</v>
      </c>
      <c r="AD339" s="44">
        <f t="shared" si="7"/>
        <v>-1500</v>
      </c>
      <c r="AE339" s="123">
        <v>0.0</v>
      </c>
    </row>
    <row r="340">
      <c r="A340" s="120">
        <v>2008.0</v>
      </c>
      <c r="B340" s="121">
        <v>12.0</v>
      </c>
      <c r="C340" s="122" t="s">
        <v>29</v>
      </c>
      <c r="D340" s="44"/>
      <c r="E340" s="123">
        <v>1731.0</v>
      </c>
      <c r="F340" s="123">
        <v>-5000.0</v>
      </c>
      <c r="G340" s="123"/>
      <c r="H340" s="123">
        <v>-388.19</v>
      </c>
      <c r="I340" s="44"/>
      <c r="J340" s="123">
        <v>409.24</v>
      </c>
      <c r="K340" s="44"/>
      <c r="L340" s="123">
        <v>-17837.52</v>
      </c>
      <c r="M340" s="44"/>
      <c r="N340" s="44"/>
      <c r="O340" s="123">
        <v>52563.0</v>
      </c>
      <c r="P340" s="52">
        <f t="shared" si="23"/>
        <v>52562.44</v>
      </c>
      <c r="Q340" s="124">
        <f t="shared" si="2"/>
        <v>0.56</v>
      </c>
      <c r="R340" s="52">
        <f t="array" ref="R340">IFERROR(INDEX('Fund YTD Target Values'!$1:$1000, MATCH($C340,'Fund YTD Target Values'!$A:$A,0), MATCH($A340,'Fund YTD Target Values'!$1:$1,0)),0)</f>
        <v>66050.87856</v>
      </c>
      <c r="S340" s="52">
        <f>IFERROR(__xludf.DUMMYFUNCTION("IFERROR(sum(FILTER('Fund Data'!$V:$V, 'Fund Data'!$C:$C = $C340, 'Fund Data'!$A:$A &lt; $A340)),0) + IFERROR(sum(FILTER('Fund Data'!$V:$V, 'Fund Data'!$C:$C = $C340, 'Fund Data'!$A:$A = $A340, 'Fund Data'!$B:$B &lt;= $B340)),0)"),50000.0)</f>
        <v>50000</v>
      </c>
      <c r="T340" s="123">
        <v>50000.0</v>
      </c>
      <c r="U340" s="44">
        <f t="shared" si="34"/>
        <v>0</v>
      </c>
      <c r="V340" s="44">
        <f t="shared" si="3"/>
        <v>0</v>
      </c>
      <c r="W340" s="123"/>
      <c r="X340" s="123"/>
      <c r="Y340" s="123">
        <v>0.0</v>
      </c>
      <c r="Z340" s="123">
        <v>0.0</v>
      </c>
      <c r="AA340" s="123">
        <v>0.0</v>
      </c>
      <c r="AB340" s="123"/>
      <c r="AC340" s="123">
        <v>0.0</v>
      </c>
      <c r="AD340" s="44">
        <f t="shared" si="7"/>
        <v>-5000</v>
      </c>
      <c r="AE340" s="123">
        <v>0.0</v>
      </c>
    </row>
    <row r="341">
      <c r="A341" s="120">
        <v>2007.0</v>
      </c>
      <c r="B341" s="121">
        <v>12.0</v>
      </c>
      <c r="C341" s="122" t="s">
        <v>29</v>
      </c>
      <c r="D341" s="44"/>
      <c r="E341" s="123">
        <v>1174.36</v>
      </c>
      <c r="F341" s="123">
        <v>-5000.0</v>
      </c>
      <c r="G341" s="123"/>
      <c r="H341" s="123">
        <v>-441.82</v>
      </c>
      <c r="I341" s="44"/>
      <c r="J341" s="123">
        <v>698.78</v>
      </c>
      <c r="K341" s="44"/>
      <c r="L341" s="123">
        <v>5466.79</v>
      </c>
      <c r="M341" s="123">
        <v>-3.0</v>
      </c>
      <c r="N341" s="44"/>
      <c r="O341" s="123">
        <v>73648.0</v>
      </c>
      <c r="P341" s="52">
        <f t="shared" si="23"/>
        <v>73647.91</v>
      </c>
      <c r="Q341" s="124">
        <f t="shared" si="2"/>
        <v>0.09</v>
      </c>
      <c r="R341" s="52">
        <f t="array" ref="R341">IFERROR(INDEX('Fund YTD Target Values'!$1:$1000, MATCH($C341,'Fund YTD Target Values'!$A:$A,0), MATCH($A341,'Fund YTD Target Values'!$1:$1,0)),0)</f>
        <v>63604.8688</v>
      </c>
      <c r="S341" s="52">
        <f>IFERROR(__xludf.DUMMYFUNCTION("IFERROR(sum(FILTER('Fund Data'!$V:$V, 'Fund Data'!$C:$C = $C341, 'Fund Data'!$A:$A &lt; $A341)),0) + IFERROR(sum(FILTER('Fund Data'!$V:$V, 'Fund Data'!$C:$C = $C341, 'Fund Data'!$A:$A = $A341, 'Fund Data'!$B:$B &lt;= $B341)),0)"),50000.0)</f>
        <v>50000</v>
      </c>
      <c r="T341" s="123">
        <v>50000.0</v>
      </c>
      <c r="U341" s="44">
        <f t="shared" si="34"/>
        <v>0</v>
      </c>
      <c r="V341" s="44">
        <f t="shared" si="3"/>
        <v>0</v>
      </c>
      <c r="W341" s="123"/>
      <c r="X341" s="123"/>
      <c r="Y341" s="123">
        <v>0.0</v>
      </c>
      <c r="Z341" s="123">
        <v>0.0</v>
      </c>
      <c r="AA341" s="123">
        <v>0.0</v>
      </c>
      <c r="AB341" s="123"/>
      <c r="AC341" s="123">
        <v>0.0</v>
      </c>
      <c r="AD341" s="44">
        <f t="shared" si="7"/>
        <v>-5000</v>
      </c>
      <c r="AE341" s="123">
        <v>0.0</v>
      </c>
    </row>
    <row r="342">
      <c r="A342" s="120">
        <v>2006.0</v>
      </c>
      <c r="B342" s="121">
        <v>12.0</v>
      </c>
      <c r="C342" s="122" t="s">
        <v>29</v>
      </c>
      <c r="D342" s="44"/>
      <c r="E342" s="123">
        <v>1137.99</v>
      </c>
      <c r="F342" s="123">
        <v>-5000.0</v>
      </c>
      <c r="G342" s="123"/>
      <c r="H342" s="123">
        <v>-421.57</v>
      </c>
      <c r="I342" s="44"/>
      <c r="J342" s="123">
        <v>225.12</v>
      </c>
      <c r="K342" s="44"/>
      <c r="L342" s="123">
        <v>5826.54</v>
      </c>
      <c r="M342" s="123">
        <v>-195.64</v>
      </c>
      <c r="N342" s="44"/>
      <c r="O342" s="123">
        <v>71753.0</v>
      </c>
      <c r="P342" s="52">
        <f t="shared" si="23"/>
        <v>71752.8</v>
      </c>
      <c r="Q342" s="124">
        <f t="shared" si="2"/>
        <v>0.2</v>
      </c>
      <c r="R342" s="52">
        <f t="array" ref="R342">IFERROR(INDEX('Fund YTD Target Values'!$1:$1000, MATCH($C342,'Fund YTD Target Values'!$A:$A,0), MATCH($A342,'Fund YTD Target Values'!$1:$1,0)),0)</f>
        <v>61840.94687</v>
      </c>
      <c r="S342" s="52">
        <f>IFERROR(__xludf.DUMMYFUNCTION("IFERROR(sum(FILTER('Fund Data'!$V:$V, 'Fund Data'!$C:$C = $C342, 'Fund Data'!$A:$A &lt; $A342)),0) + IFERROR(sum(FILTER('Fund Data'!$V:$V, 'Fund Data'!$C:$C = $C342, 'Fund Data'!$A:$A = $A342, 'Fund Data'!$B:$B &lt;= $B342)),0)"),50000.0)</f>
        <v>50000</v>
      </c>
      <c r="T342" s="123">
        <v>50000.0</v>
      </c>
      <c r="U342" s="44">
        <f t="shared" si="34"/>
        <v>0</v>
      </c>
      <c r="V342" s="44">
        <f t="shared" si="3"/>
        <v>0</v>
      </c>
      <c r="W342" s="123"/>
      <c r="X342" s="123"/>
      <c r="Y342" s="123">
        <v>0.0</v>
      </c>
      <c r="Z342" s="123">
        <v>0.0</v>
      </c>
      <c r="AA342" s="123">
        <v>0.0</v>
      </c>
      <c r="AB342" s="123"/>
      <c r="AC342" s="123">
        <v>0.0</v>
      </c>
      <c r="AD342" s="44">
        <f t="shared" si="7"/>
        <v>-5000</v>
      </c>
      <c r="AE342" s="123">
        <v>0.0</v>
      </c>
    </row>
    <row r="343">
      <c r="A343" s="120">
        <v>2005.0</v>
      </c>
      <c r="B343" s="121">
        <v>12.0</v>
      </c>
      <c r="C343" s="122" t="s">
        <v>29</v>
      </c>
      <c r="D343" s="44"/>
      <c r="E343" s="123">
        <v>1394.37</v>
      </c>
      <c r="F343" s="44"/>
      <c r="G343" s="123"/>
      <c r="H343" s="123">
        <v>-361.72</v>
      </c>
      <c r="I343" s="44"/>
      <c r="J343" s="123">
        <v>9715.72</v>
      </c>
      <c r="K343" s="44"/>
      <c r="L343" s="123">
        <v>-6989.32</v>
      </c>
      <c r="M343" s="123">
        <v>196.28</v>
      </c>
      <c r="N343" s="44"/>
      <c r="O343" s="123">
        <v>70181.0</v>
      </c>
      <c r="P343" s="52">
        <f t="shared" si="23"/>
        <v>70180.36</v>
      </c>
      <c r="Q343" s="124">
        <f t="shared" si="2"/>
        <v>0.64</v>
      </c>
      <c r="R343" s="52">
        <f t="array" ref="R343">IFERROR(INDEX('Fund YTD Target Values'!$1:$1000, MATCH($C343,'Fund YTD Target Values'!$A:$A,0), MATCH($A343,'Fund YTD Target Values'!$1:$1,0)),0)</f>
        <v>59902.95446</v>
      </c>
      <c r="S343" s="52">
        <f>IFERROR(__xludf.DUMMYFUNCTION("IFERROR(sum(FILTER('Fund Data'!$V:$V, 'Fund Data'!$C:$C = $C343, 'Fund Data'!$A:$A &lt; $A343)),0) + IFERROR(sum(FILTER('Fund Data'!$V:$V, 'Fund Data'!$C:$C = $C343, 'Fund Data'!$A:$A = $A343, 'Fund Data'!$B:$B &lt;= $B343)),0)"),50000.0)</f>
        <v>50000</v>
      </c>
      <c r="T343" s="123">
        <v>50000.0</v>
      </c>
      <c r="U343" s="44">
        <f t="shared" si="34"/>
        <v>0</v>
      </c>
      <c r="V343" s="44">
        <f t="shared" si="3"/>
        <v>0</v>
      </c>
      <c r="W343" s="123"/>
      <c r="X343" s="123"/>
      <c r="Y343" s="123">
        <v>0.0</v>
      </c>
      <c r="Z343" s="123">
        <v>0.0</v>
      </c>
      <c r="AA343" s="123">
        <v>0.0</v>
      </c>
      <c r="AB343" s="123"/>
      <c r="AC343" s="123">
        <v>0.0</v>
      </c>
      <c r="AD343" s="44">
        <f t="shared" si="7"/>
        <v>0</v>
      </c>
      <c r="AE343" s="123">
        <v>0.0</v>
      </c>
    </row>
    <row r="344">
      <c r="A344" s="120">
        <v>2004.0</v>
      </c>
      <c r="B344" s="121">
        <v>12.0</v>
      </c>
      <c r="C344" s="122" t="s">
        <v>29</v>
      </c>
      <c r="D344" s="44"/>
      <c r="E344" s="123">
        <v>1914.0</v>
      </c>
      <c r="F344" s="123">
        <v>-1000.0</v>
      </c>
      <c r="G344" s="123"/>
      <c r="H344" s="123">
        <v>-278.0</v>
      </c>
      <c r="I344" s="123"/>
      <c r="J344" s="123">
        <v>1252.0</v>
      </c>
      <c r="K344" s="123">
        <v>-667.0</v>
      </c>
      <c r="L344" s="123">
        <v>3245.0</v>
      </c>
      <c r="M344" s="123">
        <v>-1.0</v>
      </c>
      <c r="N344" s="123">
        <v>706.0</v>
      </c>
      <c r="O344" s="123">
        <v>66225.0</v>
      </c>
      <c r="P344" s="52">
        <f t="shared" si="23"/>
        <v>66225.03</v>
      </c>
      <c r="Q344" s="124">
        <f t="shared" si="2"/>
        <v>-0.03</v>
      </c>
      <c r="R344" s="52">
        <f t="array" ref="R344">IFERROR(INDEX('Fund YTD Target Values'!$1:$1000, MATCH($C344,'Fund YTD Target Values'!$A:$A,0), MATCH($A344,'Fund YTD Target Values'!$1:$1,0)),0)</f>
        <v>57938.63925</v>
      </c>
      <c r="S344" s="52">
        <f>IFERROR(__xludf.DUMMYFUNCTION("IFERROR(sum(FILTER('Fund Data'!$V:$V, 'Fund Data'!$C:$C = $C344, 'Fund Data'!$A:$A &lt; $A344)),0) + IFERROR(sum(FILTER('Fund Data'!$V:$V, 'Fund Data'!$C:$C = $C344, 'Fund Data'!$A:$A = $A344, 'Fund Data'!$B:$B &lt;= $B344)),0)"),50000.0)</f>
        <v>50000</v>
      </c>
      <c r="T344" s="123">
        <v>50000.0</v>
      </c>
      <c r="U344" s="44">
        <f t="shared" si="34"/>
        <v>0</v>
      </c>
      <c r="V344" s="44">
        <f t="shared" si="3"/>
        <v>0</v>
      </c>
      <c r="W344" s="123"/>
      <c r="X344" s="123"/>
      <c r="Y344" s="123">
        <v>0.0</v>
      </c>
      <c r="Z344" s="123">
        <v>0.0</v>
      </c>
      <c r="AA344" s="123">
        <v>0.0</v>
      </c>
      <c r="AB344" s="123"/>
      <c r="AC344" s="123">
        <v>0.0</v>
      </c>
      <c r="AD344" s="44">
        <f t="shared" si="7"/>
        <v>-1000</v>
      </c>
      <c r="AE344" s="123">
        <v>0.0</v>
      </c>
    </row>
    <row r="345">
      <c r="A345" s="120">
        <v>2003.0</v>
      </c>
      <c r="B345" s="121">
        <v>12.0</v>
      </c>
      <c r="C345" s="122" t="s">
        <v>29</v>
      </c>
      <c r="D345" s="44"/>
      <c r="E345" s="123">
        <v>1557.63</v>
      </c>
      <c r="F345" s="123">
        <v>-1000.0</v>
      </c>
      <c r="G345" s="123"/>
      <c r="H345" s="123">
        <v>-211.29</v>
      </c>
      <c r="I345" s="123"/>
      <c r="J345" s="123">
        <v>4291.88</v>
      </c>
      <c r="K345" s="123">
        <v>-271.8</v>
      </c>
      <c r="L345" s="123">
        <v>6912.0</v>
      </c>
      <c r="M345" s="123">
        <v>2.37</v>
      </c>
      <c r="N345" s="123">
        <v>622.4</v>
      </c>
      <c r="O345" s="123">
        <v>61055.0</v>
      </c>
      <c r="P345" s="52">
        <f t="shared" si="23"/>
        <v>61054.03</v>
      </c>
      <c r="Q345" s="124">
        <f t="shared" si="2"/>
        <v>0.97</v>
      </c>
      <c r="R345" s="52">
        <f t="array" ref="R345">IFERROR(INDEX('Fund YTD Target Values'!$1:$1000, MATCH($C345,'Fund YTD Target Values'!$A:$A,0), MATCH($A345,'Fund YTD Target Values'!$1:$1,0)),0)</f>
        <v>56428.68553</v>
      </c>
      <c r="S345" s="52">
        <f>IFERROR(__xludf.DUMMYFUNCTION("IFERROR(sum(FILTER('Fund Data'!$V:$V, 'Fund Data'!$C:$C = $C345, 'Fund Data'!$A:$A &lt; $A345)),0) + IFERROR(sum(FILTER('Fund Data'!$V:$V, 'Fund Data'!$C:$C = $C345, 'Fund Data'!$A:$A = $A345, 'Fund Data'!$B:$B &lt;= $B345)),0)"),50000.0)</f>
        <v>50000</v>
      </c>
      <c r="T345" s="123">
        <v>50000.0</v>
      </c>
      <c r="U345" s="44">
        <f t="shared" si="34"/>
        <v>0</v>
      </c>
      <c r="V345" s="44">
        <f t="shared" si="3"/>
        <v>0</v>
      </c>
      <c r="W345" s="123"/>
      <c r="X345" s="123"/>
      <c r="Y345" s="123">
        <v>0.0</v>
      </c>
      <c r="Z345" s="123">
        <v>0.0</v>
      </c>
      <c r="AA345" s="123">
        <v>0.0</v>
      </c>
      <c r="AB345" s="123"/>
      <c r="AC345" s="123">
        <v>0.0</v>
      </c>
      <c r="AD345" s="44">
        <f t="shared" si="7"/>
        <v>-1000</v>
      </c>
      <c r="AE345" s="123">
        <v>0.0</v>
      </c>
    </row>
    <row r="346">
      <c r="A346" s="120">
        <v>2002.0</v>
      </c>
      <c r="B346" s="121">
        <v>12.0</v>
      </c>
      <c r="C346" s="122" t="s">
        <v>29</v>
      </c>
      <c r="D346" s="44"/>
      <c r="E346" s="123">
        <v>1368.03</v>
      </c>
      <c r="F346" s="44"/>
      <c r="G346" s="123"/>
      <c r="H346" s="123">
        <v>-172.76</v>
      </c>
      <c r="I346" s="123"/>
      <c r="J346" s="123">
        <v>225.69</v>
      </c>
      <c r="K346" s="123">
        <v>-7262.16</v>
      </c>
      <c r="L346" s="123">
        <v>-931.93</v>
      </c>
      <c r="M346" s="123">
        <v>0.11</v>
      </c>
      <c r="N346" s="123">
        <v>711.96</v>
      </c>
      <c r="O346" s="123">
        <v>49152.0</v>
      </c>
      <c r="P346" s="52">
        <f t="shared" si="23"/>
        <v>49150.84</v>
      </c>
      <c r="Q346" s="124">
        <f t="shared" si="2"/>
        <v>1.16</v>
      </c>
      <c r="R346" s="52">
        <f t="array" ref="R346">IFERROR(INDEX('Fund YTD Target Values'!$1:$1000, MATCH($C346,'Fund YTD Target Values'!$A:$A,0), MATCH($A346,'Fund YTD Target Values'!$1:$1,0)),0)</f>
        <v>55174.96201</v>
      </c>
      <c r="S346" s="52">
        <f>IFERROR(__xludf.DUMMYFUNCTION("IFERROR(sum(FILTER('Fund Data'!$V:$V, 'Fund Data'!$C:$C = $C346, 'Fund Data'!$A:$A &lt; $A346)),0) + IFERROR(sum(FILTER('Fund Data'!$V:$V, 'Fund Data'!$C:$C = $C346, 'Fund Data'!$A:$A = $A346, 'Fund Data'!$B:$B &lt;= $B346)),0)"),50000.0)</f>
        <v>50000</v>
      </c>
      <c r="T346" s="123">
        <v>50000.0</v>
      </c>
      <c r="U346" s="44">
        <f t="shared" si="34"/>
        <v>0</v>
      </c>
      <c r="V346" s="44">
        <f t="shared" si="3"/>
        <v>0</v>
      </c>
      <c r="W346" s="123"/>
      <c r="X346" s="123"/>
      <c r="Y346" s="123">
        <v>0.0</v>
      </c>
      <c r="Z346" s="123">
        <v>0.0</v>
      </c>
      <c r="AA346" s="123">
        <v>0.0</v>
      </c>
      <c r="AB346" s="123"/>
      <c r="AC346" s="123">
        <v>0.0</v>
      </c>
      <c r="AD346" s="44">
        <f t="shared" si="7"/>
        <v>0</v>
      </c>
      <c r="AE346" s="123">
        <v>0.0</v>
      </c>
    </row>
    <row r="347">
      <c r="A347" s="120">
        <v>2001.0</v>
      </c>
      <c r="B347" s="121">
        <v>12.0</v>
      </c>
      <c r="C347" s="122" t="s">
        <v>29</v>
      </c>
      <c r="D347" s="44"/>
      <c r="E347" s="123">
        <v>1667.29</v>
      </c>
      <c r="F347" s="123">
        <v>-1000.0</v>
      </c>
      <c r="G347" s="123"/>
      <c r="H347" s="123">
        <v>-168.16</v>
      </c>
      <c r="I347" s="123"/>
      <c r="J347" s="123">
        <v>209.3</v>
      </c>
      <c r="K347" s="123">
        <v>-2855.64</v>
      </c>
      <c r="L347" s="123">
        <v>-534.73</v>
      </c>
      <c r="M347" s="123">
        <v>-130.58</v>
      </c>
      <c r="N347" s="123">
        <v>162.17</v>
      </c>
      <c r="O347" s="123">
        <v>55213.0</v>
      </c>
      <c r="P347" s="52">
        <f t="shared" si="23"/>
        <v>55211.9</v>
      </c>
      <c r="Q347" s="124">
        <f t="shared" si="2"/>
        <v>1.1</v>
      </c>
      <c r="R347" s="52">
        <f t="array" ref="R347">IFERROR(INDEX('Fund YTD Target Values'!$1:$1000, MATCH($C347,'Fund YTD Target Values'!$A:$A,0), MATCH($A347,'Fund YTD Target Values'!$1:$1,0)),0)</f>
        <v>54313.76704</v>
      </c>
      <c r="S347" s="52">
        <f>IFERROR(__xludf.DUMMYFUNCTION("IFERROR(sum(FILTER('Fund Data'!$V:$V, 'Fund Data'!$C:$C = $C347, 'Fund Data'!$A:$A &lt; $A347)),0) + IFERROR(sum(FILTER('Fund Data'!$V:$V, 'Fund Data'!$C:$C = $C347, 'Fund Data'!$A:$A = $A347, 'Fund Data'!$B:$B &lt;= $B347)),0)"),50000.0)</f>
        <v>50000</v>
      </c>
      <c r="T347" s="123">
        <v>50000.0</v>
      </c>
      <c r="U347" s="44">
        <f t="shared" si="34"/>
        <v>0</v>
      </c>
      <c r="V347" s="44">
        <f t="shared" si="3"/>
        <v>0</v>
      </c>
      <c r="W347" s="123"/>
      <c r="X347" s="123"/>
      <c r="Y347" s="123">
        <v>0.0</v>
      </c>
      <c r="Z347" s="123">
        <v>0.0</v>
      </c>
      <c r="AA347" s="123">
        <v>0.0</v>
      </c>
      <c r="AB347" s="123"/>
      <c r="AC347" s="123">
        <v>0.0</v>
      </c>
      <c r="AD347" s="44">
        <f t="shared" si="7"/>
        <v>-1000</v>
      </c>
      <c r="AE347" s="123">
        <v>0.0</v>
      </c>
    </row>
    <row r="348">
      <c r="A348" s="120">
        <v>2000.0</v>
      </c>
      <c r="B348" s="121">
        <v>12.0</v>
      </c>
      <c r="C348" s="122" t="s">
        <v>29</v>
      </c>
      <c r="D348" s="44"/>
      <c r="E348" s="123">
        <v>1276.49</v>
      </c>
      <c r="F348" s="123">
        <v>-1000.0</v>
      </c>
      <c r="G348" s="123"/>
      <c r="H348" s="123">
        <v>-179.73</v>
      </c>
      <c r="I348" s="123"/>
      <c r="J348" s="123">
        <v>61.15</v>
      </c>
      <c r="K348" s="123">
        <v>-780.45</v>
      </c>
      <c r="L348" s="123">
        <v>-4450.97</v>
      </c>
      <c r="M348" s="123">
        <v>120.16</v>
      </c>
      <c r="N348" s="123">
        <v>4617.04</v>
      </c>
      <c r="O348" s="123">
        <v>57863.0</v>
      </c>
      <c r="P348" s="52">
        <f t="shared" si="23"/>
        <v>57862.25</v>
      </c>
      <c r="Q348" s="124">
        <f t="shared" si="2"/>
        <v>0.75</v>
      </c>
      <c r="R348" s="52">
        <f t="array" ref="R348">IFERROR(INDEX('Fund YTD Target Values'!$1:$1000, MATCH($C348,'Fund YTD Target Values'!$A:$A,0), MATCH($A348,'Fund YTD Target Values'!$1:$1,0)),0)</f>
        <v>52818.10881</v>
      </c>
      <c r="S348" s="52">
        <f>IFERROR(__xludf.DUMMYFUNCTION("IFERROR(sum(FILTER('Fund Data'!$V:$V, 'Fund Data'!$C:$C = $C348, 'Fund Data'!$A:$A &lt; $A348)),0) + IFERROR(sum(FILTER('Fund Data'!$V:$V, 'Fund Data'!$C:$C = $C348, 'Fund Data'!$A:$A = $A348, 'Fund Data'!$B:$B &lt;= $B348)),0)"),50000.0)</f>
        <v>50000</v>
      </c>
      <c r="T348" s="123">
        <v>50000.0</v>
      </c>
      <c r="U348" s="44">
        <f t="shared" si="34"/>
        <v>0</v>
      </c>
      <c r="V348" s="44">
        <f t="shared" si="3"/>
        <v>0</v>
      </c>
      <c r="W348" s="123"/>
      <c r="X348" s="123"/>
      <c r="Y348" s="123">
        <v>0.0</v>
      </c>
      <c r="Z348" s="123">
        <v>0.0</v>
      </c>
      <c r="AA348" s="123">
        <v>0.0</v>
      </c>
      <c r="AB348" s="123"/>
      <c r="AC348" s="123">
        <v>0.0</v>
      </c>
      <c r="AD348" s="44">
        <f t="shared" si="7"/>
        <v>-1000</v>
      </c>
      <c r="AE348" s="123">
        <v>0.0</v>
      </c>
    </row>
    <row r="349">
      <c r="A349" s="120">
        <v>1999.0</v>
      </c>
      <c r="B349" s="121">
        <v>12.0</v>
      </c>
      <c r="C349" s="122" t="s">
        <v>29</v>
      </c>
      <c r="D349" s="44"/>
      <c r="E349" s="123">
        <v>1444.56</v>
      </c>
      <c r="F349" s="123">
        <v>-2000.0</v>
      </c>
      <c r="G349" s="123">
        <v>47.06</v>
      </c>
      <c r="H349" s="123">
        <v>-146.44</v>
      </c>
      <c r="I349" s="123"/>
      <c r="J349" s="123">
        <v>191.67</v>
      </c>
      <c r="K349" s="123">
        <v>-538.1</v>
      </c>
      <c r="L349" s="123">
        <v>1119.17</v>
      </c>
      <c r="M349" s="123">
        <v>9.71</v>
      </c>
      <c r="N349" s="123">
        <v>3150.88</v>
      </c>
      <c r="O349" s="123">
        <v>58199.0</v>
      </c>
      <c r="P349" s="52">
        <f t="shared" si="23"/>
        <v>58198.56</v>
      </c>
      <c r="Q349" s="124">
        <f t="shared" si="2"/>
        <v>0.44</v>
      </c>
      <c r="R349" s="52">
        <f t="array" ref="R349">IFERROR(INDEX('Fund YTD Target Values'!$1:$1000, MATCH($C349,'Fund YTD Target Values'!$A:$A,0), MATCH($A349,'Fund YTD Target Values'!$1:$1,0)),0)</f>
        <v>51093.18305</v>
      </c>
      <c r="S349" s="52">
        <f>IFERROR(__xludf.DUMMYFUNCTION("IFERROR(sum(FILTER('Fund Data'!$V:$V, 'Fund Data'!$C:$C = $C349, 'Fund Data'!$A:$A &lt; $A349)),0) + IFERROR(sum(FILTER('Fund Data'!$V:$V, 'Fund Data'!$C:$C = $C349, 'Fund Data'!$A:$A = $A349, 'Fund Data'!$B:$B &lt;= $B349)),0)"),50000.0)</f>
        <v>50000</v>
      </c>
      <c r="T349" s="123">
        <v>50000.0</v>
      </c>
      <c r="U349" s="44">
        <f t="shared" si="34"/>
        <v>0</v>
      </c>
      <c r="V349" s="44">
        <f t="shared" si="3"/>
        <v>0</v>
      </c>
      <c r="W349" s="123"/>
      <c r="X349" s="123"/>
      <c r="Y349" s="123">
        <v>0.0</v>
      </c>
      <c r="Z349" s="123">
        <v>0.0</v>
      </c>
      <c r="AA349" s="123">
        <v>0.0</v>
      </c>
      <c r="AB349" s="123"/>
      <c r="AC349" s="123">
        <v>0.0</v>
      </c>
      <c r="AD349" s="44">
        <f t="shared" si="7"/>
        <v>-2000</v>
      </c>
      <c r="AE349" s="123">
        <v>0.0</v>
      </c>
    </row>
    <row r="350">
      <c r="A350" s="120">
        <v>1998.0</v>
      </c>
      <c r="B350" s="121">
        <v>12.0</v>
      </c>
      <c r="C350" s="122" t="s">
        <v>29</v>
      </c>
      <c r="D350" s="123">
        <v>50000.0</v>
      </c>
      <c r="E350" s="123">
        <v>1558.52</v>
      </c>
      <c r="F350" s="44"/>
      <c r="G350" s="123"/>
      <c r="H350" s="44"/>
      <c r="I350" s="123"/>
      <c r="J350" s="44"/>
      <c r="K350" s="123">
        <v>-124.49</v>
      </c>
      <c r="L350" s="123">
        <v>1592.74</v>
      </c>
      <c r="M350" s="123">
        <v>2.5</v>
      </c>
      <c r="N350" s="123">
        <v>1890.78</v>
      </c>
      <c r="O350" s="123">
        <v>54920.0</v>
      </c>
      <c r="P350" s="52">
        <f t="shared" si="23"/>
        <v>54920.05</v>
      </c>
      <c r="Q350" s="124">
        <f t="shared" si="2"/>
        <v>-0.05</v>
      </c>
      <c r="R350" s="52">
        <f t="array" ref="R350">IFERROR(INDEX('Fund YTD Target Values'!$1:$1000, MATCH($C350,'Fund YTD Target Values'!$A:$A,0), MATCH($A350,'Fund YTD Target Values'!$1:$1,0)),0)</f>
        <v>50000</v>
      </c>
      <c r="S350" s="52">
        <f>IFERROR(__xludf.DUMMYFUNCTION("IFERROR(sum(FILTER('Fund Data'!$V:$V, 'Fund Data'!$C:$C = $C350, 'Fund Data'!$A:$A &lt; $A350)),0) + IFERROR(sum(FILTER('Fund Data'!$V:$V, 'Fund Data'!$C:$C = $C350, 'Fund Data'!$A:$A = $A350, 'Fund Data'!$B:$B &lt;= $B350)),0)"),50000.0)</f>
        <v>50000</v>
      </c>
      <c r="T350" s="123">
        <v>50000.0</v>
      </c>
      <c r="U350" s="44">
        <f t="shared" si="34"/>
        <v>0</v>
      </c>
      <c r="V350" s="44">
        <f t="shared" si="3"/>
        <v>50000</v>
      </c>
      <c r="W350" s="123"/>
      <c r="X350" s="123"/>
      <c r="Y350" s="123">
        <v>0.0</v>
      </c>
      <c r="Z350" s="123">
        <v>0.0</v>
      </c>
      <c r="AA350" s="123">
        <v>0.0</v>
      </c>
      <c r="AB350" s="123"/>
      <c r="AC350" s="123">
        <v>0.0</v>
      </c>
      <c r="AD350" s="44">
        <f t="shared" si="7"/>
        <v>0</v>
      </c>
      <c r="AE350" s="123">
        <v>0.0</v>
      </c>
    </row>
    <row r="351">
      <c r="A351" s="120">
        <v>2019.0</v>
      </c>
      <c r="B351" s="121">
        <v>6.0</v>
      </c>
      <c r="C351" s="122" t="s">
        <v>70</v>
      </c>
      <c r="D351" s="123">
        <v>156.0</v>
      </c>
      <c r="E351" s="123">
        <v>2063.02</v>
      </c>
      <c r="F351" s="123">
        <v>-2500.0</v>
      </c>
      <c r="G351" s="44"/>
      <c r="H351" s="123">
        <v>-466.07</v>
      </c>
      <c r="I351" s="44"/>
      <c r="J351" s="44"/>
      <c r="K351" s="44"/>
      <c r="L351" s="123">
        <v>16164.77</v>
      </c>
      <c r="M351" s="44"/>
      <c r="N351" s="44"/>
      <c r="O351" s="123">
        <v>170383.8</v>
      </c>
      <c r="P351" s="52">
        <f t="shared" si="23"/>
        <v>170384.77</v>
      </c>
      <c r="Q351" s="124">
        <f t="shared" si="2"/>
        <v>-0.9699999999</v>
      </c>
      <c r="R351" s="52">
        <f t="array" ref="R351">IFERROR(INDEX('Fund YTD Target Values'!$1:$1000, MATCH($C351,'Fund YTD Target Values'!$A:$A,0), MATCH($A351,'Fund YTD Target Values'!$1:$1,0)),0)</f>
        <v>157883.7364</v>
      </c>
      <c r="S351" s="52">
        <f>IFERROR(__xludf.DUMMYFUNCTION("IFERROR(sum(FILTER('Fund Data'!$V:$V, 'Fund Data'!$C:$C = $C351, 'Fund Data'!$A:$A &lt; $A351)),0) + IFERROR(sum(FILTER('Fund Data'!$V:$V, 'Fund Data'!$C:$C = $C351, 'Fund Data'!$A:$A = $A351, 'Fund Data'!$B:$B &lt;= $B351)),0)"),112623.11)</f>
        <v>112623.11</v>
      </c>
      <c r="T351" s="44"/>
      <c r="U351" s="44"/>
      <c r="V351" s="44">
        <f t="shared" si="3"/>
        <v>0</v>
      </c>
      <c r="W351" s="52">
        <f>IFERROR(__xludf.DUMMYFUNCTION("iFERROR((FILTER('Fund Data'!$Y:$Y, 'Fund Data'!$C:$C = $C351, 'Fund Data'!$A:$A = $A351 - 1, 'Fund Data'!$B:$B = 12) + FILTER('Fund Data'!$AA:$AA, 'Fund Data'!$C:$C = $C351, 'Fund Data'!$A:$A = $A351 - 1, 'Fund Data'!$B:$B = 12)) * (1 + AVERAGE(FILTER('In"&amp;"flation Data'!$C:$C,'Inflation Data'!$A:$A = ($A351 - 2)))) * 'Parameters and Distribution Sum'!$A$4,0)"),5306.102894924851)</f>
        <v>5306.102895</v>
      </c>
      <c r="X351" s="52">
        <f>IFERROR(__xludf.DUMMYFUNCTION("IFERROR((IFERROR(FILTER('Fund Data'!$P:$P,'Fund Data'!$C:$C = $C351,'Fund Data'!$A:$A = ($A351 - 2), 'Fund Data'!$B:$B = 12),0) - SUM(FILTER('Fund Data'!$V:$V, 'Fund Data'!$C:$C = $C351, 'Fund Data'!$A:$A = ($A351 - 2), 'Fund Data'!$B:$B &gt; 3)))  * 'Parame"&amp;"ters and Distribution Sum'!$B$4 * (1 - 'Parameters and Distribution Sum'!$A$4),0)"),2330.059094999999)</f>
        <v>2330.059095</v>
      </c>
      <c r="Y351" s="52">
        <f t="shared" ref="Y351:Y356" si="38">sum($W351:$X351)</f>
        <v>7636.16199</v>
      </c>
      <c r="Z351" s="52">
        <f>IFERROR(__xludf.DUMMYFUNCTION("((IFERROR((SUM(FILTER('Fund Data'!$V:$V, 'Fund Data'!$C:$C = $C351, 'Fund Data'!$A:$A = $A351 - 1, 'Fund Data'!$B:$B &gt;= 4, 'Fund Data'!$B:$B &lt;= ($B351 + 5))) / 12) * ($B351 - 3) * 'Parameters and Distribution Sum'!$B$4, 0) + IF($B351 &gt;= 9, IFERROR(SUM(FIL"&amp;"TER('Fund Data'!$V:$V, 'Fund Data'!$C:$C = $C351, 'Fund Data'!$A:$A = $A351, 'Fund Data'!$B:$B &lt;= 3)) * 'Parameters and Distribution Sum'!$B$4, 0),0)))"),0.39375)</f>
        <v>0.39375</v>
      </c>
      <c r="AA351" s="44">
        <f>IFERROR(__xludf.DUMMYFUNCTION("IFERROR(((IFERROR(SUM(FILTER('Fund Data'!$V:$V, 'Fund Data'!$C:$C = $C351, 'Fund Data'!$A:$A = $A351 - 2, 'Fund Data'!$B:$B &gt;= 4)) * 'Parameters and Distribution Sum'!$B$4,0) + IFERROR(SUM(FILTER('Fund Data'!$V:$V, 'Fund Data'!$C:$C = $C351, 'Fund Data'!$"&amp;"A:$A = $A351 - 1, 'Fund Data'!$B:$B &lt;= 3)) * 'Parameters and Distribution Sum'!$B$4,0))),0)"),13.32)</f>
        <v>13.32</v>
      </c>
      <c r="AB351" s="44">
        <f t="shared" ref="AB351:AB357" si="39">IFERROR(__xludf.DUMMYFUNCTION("IFERROR(FILTER($AE:$AE,$C:$C = $C351,$A:$A = $A351 - 1,$B:$B = 12),0)"),0.0)</f>
        <v>0</v>
      </c>
      <c r="AC351" s="44">
        <f t="shared" ref="AC351:AC357" si="40">sum($Y351:$AB351)</f>
        <v>7649.87574</v>
      </c>
      <c r="AD351" s="44">
        <f t="shared" si="7"/>
        <v>5149.87574</v>
      </c>
      <c r="AE351" s="44"/>
    </row>
    <row r="352">
      <c r="A352" s="120">
        <v>2019.0</v>
      </c>
      <c r="B352" s="121">
        <v>5.0</v>
      </c>
      <c r="C352" s="122" t="s">
        <v>70</v>
      </c>
      <c r="D352" s="123">
        <v>156.0</v>
      </c>
      <c r="E352" s="123">
        <v>1885.74</v>
      </c>
      <c r="F352" s="123">
        <v>-2500.0</v>
      </c>
      <c r="G352" s="44"/>
      <c r="H352" s="123">
        <v>-388.74</v>
      </c>
      <c r="I352" s="44"/>
      <c r="J352" s="44"/>
      <c r="K352" s="44"/>
      <c r="L352" s="123">
        <v>9661.03</v>
      </c>
      <c r="M352" s="44"/>
      <c r="N352" s="44"/>
      <c r="O352" s="123">
        <v>163780.11</v>
      </c>
      <c r="P352" s="52">
        <f t="shared" si="23"/>
        <v>163781.08</v>
      </c>
      <c r="Q352" s="124">
        <f t="shared" si="2"/>
        <v>-0.9699999999</v>
      </c>
      <c r="R352" s="52">
        <f t="array" ref="R352">IFERROR(INDEX('Fund YTD Target Values'!$1:$1000, MATCH($C352,'Fund YTD Target Values'!$A:$A,0), MATCH($A352,'Fund YTD Target Values'!$1:$1,0)),0)</f>
        <v>157883.7364</v>
      </c>
      <c r="S352" s="52">
        <f>IFERROR(__xludf.DUMMYFUNCTION("IFERROR(sum(FILTER('Fund Data'!$V:$V, 'Fund Data'!$C:$C = $C352, 'Fund Data'!$A:$A &lt; $A352)),0) + IFERROR(sum(FILTER('Fund Data'!$V:$V, 'Fund Data'!$C:$C = $C352, 'Fund Data'!$A:$A = $A352, 'Fund Data'!$B:$B &lt;= $B352)),0)"),112623.11)</f>
        <v>112623.11</v>
      </c>
      <c r="T352" s="44"/>
      <c r="U352" s="44"/>
      <c r="V352" s="44">
        <f t="shared" si="3"/>
        <v>0</v>
      </c>
      <c r="W352" s="52">
        <f>IFERROR(__xludf.DUMMYFUNCTION("iFERROR((FILTER('Fund Data'!$Y:$Y, 'Fund Data'!$C:$C = $C352, 'Fund Data'!$A:$A = $A352 - 1, 'Fund Data'!$B:$B = 12) + FILTER('Fund Data'!$AA:$AA, 'Fund Data'!$C:$C = $C352, 'Fund Data'!$A:$A = $A352 - 1, 'Fund Data'!$B:$B = 12)) * (1 + AVERAGE(FILTER('In"&amp;"flation Data'!$C:$C,'Inflation Data'!$A:$A = ($A352 - 2)))) * 'Parameters and Distribution Sum'!$A$4,0)"),5306.102894924851)</f>
        <v>5306.102895</v>
      </c>
      <c r="X352" s="52">
        <f>IFERROR(__xludf.DUMMYFUNCTION("IFERROR((IFERROR(FILTER('Fund Data'!$P:$P,'Fund Data'!$C:$C = $C352,'Fund Data'!$A:$A = ($A352 - 2), 'Fund Data'!$B:$B = 12),0) - SUM(FILTER('Fund Data'!$V:$V, 'Fund Data'!$C:$C = $C352, 'Fund Data'!$A:$A = ($A352 - 2), 'Fund Data'!$B:$B &gt; 3)))  * 'Parame"&amp;"ters and Distribution Sum'!$B$4 * (1 - 'Parameters and Distribution Sum'!$A$4),0)"),2330.059094999999)</f>
        <v>2330.059095</v>
      </c>
      <c r="Y352" s="52">
        <f t="shared" si="38"/>
        <v>7636.16199</v>
      </c>
      <c r="Z352" s="52">
        <f>IFERROR(__xludf.DUMMYFUNCTION("((IFERROR((SUM(FILTER('Fund Data'!$V:$V, 'Fund Data'!$C:$C = $C352, 'Fund Data'!$A:$A = $A352 - 1, 'Fund Data'!$B:$B &gt;= 4, 'Fund Data'!$B:$B &lt;= ($B352 + 5))) / 12) * ($B352 - 3) * 'Parameters and Distribution Sum'!$B$4, 0) + IF($B352 &gt;= 9, IFERROR(SUM(FIL"&amp;"TER('Fund Data'!$V:$V, 'Fund Data'!$C:$C = $C352, 'Fund Data'!$A:$A = $A352, 'Fund Data'!$B:$B &lt;= 3)) * 'Parameters and Distribution Sum'!$B$4, 0),0)))"),0.26249999999999996)</f>
        <v>0.2625</v>
      </c>
      <c r="AA352" s="44">
        <f>IFERROR(__xludf.DUMMYFUNCTION("IFERROR(((IFERROR(SUM(FILTER('Fund Data'!$V:$V, 'Fund Data'!$C:$C = $C352, 'Fund Data'!$A:$A = $A352 - 2, 'Fund Data'!$B:$B &gt;= 4)) * 'Parameters and Distribution Sum'!$B$4,0) + IFERROR(SUM(FILTER('Fund Data'!$V:$V, 'Fund Data'!$C:$C = $C352, 'Fund Data'!$"&amp;"A:$A = $A352 - 1, 'Fund Data'!$B:$B &lt;= 3)) * 'Parameters and Distribution Sum'!$B$4,0))),0)"),13.32)</f>
        <v>13.32</v>
      </c>
      <c r="AB352" s="44">
        <f t="shared" si="39"/>
        <v>0</v>
      </c>
      <c r="AC352" s="44">
        <f t="shared" si="40"/>
        <v>7649.74449</v>
      </c>
      <c r="AD352" s="44">
        <f t="shared" si="7"/>
        <v>5149.74449</v>
      </c>
      <c r="AE352" s="44"/>
    </row>
    <row r="353">
      <c r="A353" s="120">
        <v>2019.0</v>
      </c>
      <c r="B353" s="121">
        <v>4.0</v>
      </c>
      <c r="C353" s="122" t="s">
        <v>70</v>
      </c>
      <c r="D353" s="123">
        <v>156.0</v>
      </c>
      <c r="E353" s="123">
        <v>1737.22</v>
      </c>
      <c r="F353" s="44"/>
      <c r="G353" s="44"/>
      <c r="H353" s="123">
        <v>-308.09</v>
      </c>
      <c r="I353" s="44"/>
      <c r="J353" s="44"/>
      <c r="K353" s="44"/>
      <c r="L353" s="123">
        <v>16231.92</v>
      </c>
      <c r="M353" s="44"/>
      <c r="N353" s="44"/>
      <c r="O353" s="123">
        <v>172783.0</v>
      </c>
      <c r="P353" s="52">
        <f t="shared" si="23"/>
        <v>172784.1</v>
      </c>
      <c r="Q353" s="124">
        <f t="shared" si="2"/>
        <v>-1.1</v>
      </c>
      <c r="R353" s="52">
        <f t="array" ref="R353">IFERROR(INDEX('Fund YTD Target Values'!$1:$1000, MATCH($C353,'Fund YTD Target Values'!$A:$A,0), MATCH($A353,'Fund YTD Target Values'!$1:$1,0)),0)</f>
        <v>157883.7364</v>
      </c>
      <c r="S353" s="52">
        <f>IFERROR(__xludf.DUMMYFUNCTION("IFERROR(sum(FILTER('Fund Data'!$V:$V, 'Fund Data'!$C:$C = $C353, 'Fund Data'!$A:$A &lt; $A353)),0) + IFERROR(sum(FILTER('Fund Data'!$V:$V, 'Fund Data'!$C:$C = $C353, 'Fund Data'!$A:$A = $A353, 'Fund Data'!$B:$B &lt;= $B353)),0)"),112623.11)</f>
        <v>112623.11</v>
      </c>
      <c r="T353" s="44"/>
      <c r="U353" s="44"/>
      <c r="V353" s="44">
        <f t="shared" si="3"/>
        <v>56</v>
      </c>
      <c r="W353" s="52">
        <f>IFERROR(__xludf.DUMMYFUNCTION("iFERROR((FILTER('Fund Data'!$Y:$Y, 'Fund Data'!$C:$C = $C353, 'Fund Data'!$A:$A = $A353 - 1, 'Fund Data'!$B:$B = 12) + FILTER('Fund Data'!$AA:$AA, 'Fund Data'!$C:$C = $C353, 'Fund Data'!$A:$A = $A353 - 1, 'Fund Data'!$B:$B = 12)) * (1 + AVERAGE(FILTER('In"&amp;"flation Data'!$C:$C,'Inflation Data'!$A:$A = ($A353 - 2)))) * 'Parameters and Distribution Sum'!$A$4,0)"),5306.102894924851)</f>
        <v>5306.102895</v>
      </c>
      <c r="X353" s="52">
        <f>IFERROR(__xludf.DUMMYFUNCTION("IFERROR((IFERROR(FILTER('Fund Data'!$P:$P,'Fund Data'!$C:$C = $C353,'Fund Data'!$A:$A = ($A353 - 2), 'Fund Data'!$B:$B = 12),0) - SUM(FILTER('Fund Data'!$V:$V, 'Fund Data'!$C:$C = $C353, 'Fund Data'!$A:$A = ($A353 - 2), 'Fund Data'!$B:$B &gt; 3)))  * 'Parame"&amp;"ters and Distribution Sum'!$B$4 * (1 - 'Parameters and Distribution Sum'!$A$4),0)"),2330.059094999999)</f>
        <v>2330.059095</v>
      </c>
      <c r="Y353" s="52">
        <f t="shared" si="38"/>
        <v>7636.16199</v>
      </c>
      <c r="Z353" s="52">
        <f>IFERROR(__xludf.DUMMYFUNCTION("((IFERROR((SUM(FILTER('Fund Data'!$V:$V, 'Fund Data'!$C:$C = $C353, 'Fund Data'!$A:$A = $A353 - 1, 'Fund Data'!$B:$B &gt;= 4, 'Fund Data'!$B:$B &lt;= ($B353 + 5))) / 12) * ($B353 - 3) * 'Parameters and Distribution Sum'!$B$4, 0) + IF($B353 &gt;= 9, IFERROR(SUM(FIL"&amp;"TER('Fund Data'!$V:$V, 'Fund Data'!$C:$C = $C353, 'Fund Data'!$A:$A = $A353, 'Fund Data'!$B:$B &lt;= 3)) * 'Parameters and Distribution Sum'!$B$4, 0),0)))"),0.13124999999999998)</f>
        <v>0.13125</v>
      </c>
      <c r="AA353" s="44">
        <f>IFERROR(__xludf.DUMMYFUNCTION("IFERROR(((IFERROR(SUM(FILTER('Fund Data'!$V:$V, 'Fund Data'!$C:$C = $C353, 'Fund Data'!$A:$A = $A353 - 2, 'Fund Data'!$B:$B &gt;= 4)) * 'Parameters and Distribution Sum'!$B$4,0) + IFERROR(SUM(FILTER('Fund Data'!$V:$V, 'Fund Data'!$C:$C = $C353, 'Fund Data'!$"&amp;"A:$A = $A353 - 1, 'Fund Data'!$B:$B &lt;= 3)) * 'Parameters and Distribution Sum'!$B$4,0))),0)"),13.32)</f>
        <v>13.32</v>
      </c>
      <c r="AB353" s="44">
        <f t="shared" si="39"/>
        <v>0</v>
      </c>
      <c r="AC353" s="44">
        <f t="shared" si="40"/>
        <v>7649.61324</v>
      </c>
      <c r="AD353" s="44">
        <f t="shared" si="7"/>
        <v>7649.61324</v>
      </c>
      <c r="AE353" s="44"/>
    </row>
    <row r="354">
      <c r="A354" s="120">
        <v>2019.0</v>
      </c>
      <c r="B354" s="121">
        <v>3.0</v>
      </c>
      <c r="C354" s="122" t="s">
        <v>70</v>
      </c>
      <c r="D354" s="123">
        <v>100.0</v>
      </c>
      <c r="E354" s="123">
        <v>1312.73</v>
      </c>
      <c r="F354" s="44"/>
      <c r="G354" s="44"/>
      <c r="H354" s="123">
        <v>-229.06</v>
      </c>
      <c r="I354" s="44"/>
      <c r="J354" s="44"/>
      <c r="K354" s="44"/>
      <c r="L354" s="123">
        <v>12879.88</v>
      </c>
      <c r="M354" s="44"/>
      <c r="N354" s="44"/>
      <c r="O354" s="123">
        <v>169030.0</v>
      </c>
      <c r="P354" s="52">
        <f t="shared" si="23"/>
        <v>169030.6</v>
      </c>
      <c r="Q354" s="124">
        <f t="shared" si="2"/>
        <v>-0.5999999999</v>
      </c>
      <c r="R354" s="52">
        <f t="array" ref="R354">IFERROR(INDEX('Fund YTD Target Values'!$1:$1000, MATCH($C354,'Fund YTD Target Values'!$A:$A,0), MATCH($A354,'Fund YTD Target Values'!$1:$1,0)),0)</f>
        <v>157883.7364</v>
      </c>
      <c r="S354" s="52">
        <f>IFERROR(__xludf.DUMMYFUNCTION("IFERROR(sum(FILTER('Fund Data'!$V:$V, 'Fund Data'!$C:$C = $C354, 'Fund Data'!$A:$A &lt; $A354)),0) + IFERROR(sum(FILTER('Fund Data'!$V:$V, 'Fund Data'!$C:$C = $C354, 'Fund Data'!$A:$A = $A354, 'Fund Data'!$B:$B &lt;= $B354)),0)"),112567.11)</f>
        <v>112567.11</v>
      </c>
      <c r="T354" s="123"/>
      <c r="U354" s="44"/>
      <c r="V354" s="44">
        <f t="shared" si="3"/>
        <v>0</v>
      </c>
      <c r="W354" s="52">
        <f>IFERROR(__xludf.DUMMYFUNCTION("iFERROR((FILTER('Fund Data'!$Y:$Y, 'Fund Data'!$C:$C = $C354, 'Fund Data'!$A:$A = $A354 - 1, 'Fund Data'!$B:$B = 12) + FILTER('Fund Data'!$AA:$AA, 'Fund Data'!$C:$C = $C354, 'Fund Data'!$A:$A = $A354 - 1, 'Fund Data'!$B:$B = 12)) * (1 + AVERAGE(FILTER('In"&amp;"flation Data'!$C:$C,'Inflation Data'!$A:$A = ($A354 - 2)))) * 'Parameters and Distribution Sum'!$A$4,0)"),5306.102894924851)</f>
        <v>5306.102895</v>
      </c>
      <c r="X354" s="52">
        <f>IFERROR(__xludf.DUMMYFUNCTION("IFERROR((IFERROR(FILTER('Fund Data'!$P:$P,'Fund Data'!$C:$C = $C354,'Fund Data'!$A:$A = ($A354 - 2), 'Fund Data'!$B:$B = 12),0) - SUM(FILTER('Fund Data'!$V:$V, 'Fund Data'!$C:$C = $C354, 'Fund Data'!$A:$A = ($A354 - 2), 'Fund Data'!$B:$B &gt; 3)))  * 'Parame"&amp;"ters and Distribution Sum'!$B$4 * (1 - 'Parameters and Distribution Sum'!$A$4),0)"),2330.059094999999)</f>
        <v>2330.059095</v>
      </c>
      <c r="Y354" s="52">
        <f t="shared" si="38"/>
        <v>7636.16199</v>
      </c>
      <c r="Z354" s="52">
        <f>IFERROR(__xludf.DUMMYFUNCTION("((IFERROR((SUM(FILTER('Fund Data'!$V:$V, 'Fund Data'!$C:$C = $C354, 'Fund Data'!$A:$A = $A354 - 1, 'Fund Data'!$B:$B &gt;= 4, 'Fund Data'!$B:$B &lt;= ($B354 + 5))) / 12) * ($B354 - 3) * 'Parameters and Distribution Sum'!$B$4, 0) + IF($B354 &gt;= 9, IFERROR(SUM(FIL"&amp;"TER('Fund Data'!$V:$V, 'Fund Data'!$C:$C = $C354, 'Fund Data'!$A:$A = $A354, 'Fund Data'!$B:$B &lt;= 3)) * 'Parameters and Distribution Sum'!$B$4, 0),0)))"),0.0)</f>
        <v>0</v>
      </c>
      <c r="AA354" s="44">
        <f>IFERROR(__xludf.DUMMYFUNCTION("IFERROR(((IFERROR(SUM(FILTER('Fund Data'!$V:$V, 'Fund Data'!$C:$C = $C354, 'Fund Data'!$A:$A = $A354 - 2, 'Fund Data'!$B:$B &gt;= 4)) * 'Parameters and Distribution Sum'!$B$4,0) + IFERROR(SUM(FILTER('Fund Data'!$V:$V, 'Fund Data'!$C:$C = $C354, 'Fund Data'!$"&amp;"A:$A = $A354 - 1, 'Fund Data'!$B:$B &lt;= 3)) * 'Parameters and Distribution Sum'!$B$4,0))),0)"),13.32)</f>
        <v>13.32</v>
      </c>
      <c r="AB354" s="44">
        <f t="shared" si="39"/>
        <v>0</v>
      </c>
      <c r="AC354" s="44">
        <f t="shared" si="40"/>
        <v>7649.48199</v>
      </c>
      <c r="AD354" s="44">
        <f t="shared" si="7"/>
        <v>7649.48199</v>
      </c>
      <c r="AE354" s="44"/>
    </row>
    <row r="355">
      <c r="A355" s="120">
        <v>2019.0</v>
      </c>
      <c r="B355" s="121">
        <v>2.0</v>
      </c>
      <c r="C355" s="122" t="s">
        <v>70</v>
      </c>
      <c r="D355" s="123">
        <v>100.0</v>
      </c>
      <c r="E355" s="123">
        <v>1109.25</v>
      </c>
      <c r="F355" s="44"/>
      <c r="G355" s="44"/>
      <c r="H355" s="123">
        <v>-150.53</v>
      </c>
      <c r="I355" s="44"/>
      <c r="J355" s="44"/>
      <c r="K355" s="44"/>
      <c r="L355" s="123">
        <v>11922.96</v>
      </c>
      <c r="M355" s="44"/>
      <c r="N355" s="44"/>
      <c r="O355" s="123">
        <v>167948.0</v>
      </c>
      <c r="P355" s="52">
        <f t="shared" si="23"/>
        <v>167948.73</v>
      </c>
      <c r="Q355" s="124">
        <f t="shared" si="2"/>
        <v>-0.7299999999</v>
      </c>
      <c r="R355" s="52">
        <f t="array" ref="R355">IFERROR(INDEX('Fund YTD Target Values'!$1:$1000, MATCH($C355,'Fund YTD Target Values'!$A:$A,0), MATCH($A355,'Fund YTD Target Values'!$1:$1,0)),0)</f>
        <v>157883.7364</v>
      </c>
      <c r="S355" s="52">
        <f>IFERROR(__xludf.DUMMYFUNCTION("IFERROR(sum(FILTER('Fund Data'!$V:$V, 'Fund Data'!$C:$C = $C355, 'Fund Data'!$A:$A &lt; $A355)),0) + IFERROR(sum(FILTER('Fund Data'!$V:$V, 'Fund Data'!$C:$C = $C355, 'Fund Data'!$A:$A = $A355, 'Fund Data'!$B:$B &lt;= $B355)),0)"),112567.11)</f>
        <v>112567.11</v>
      </c>
      <c r="T355" s="44"/>
      <c r="U355" s="44"/>
      <c r="V355" s="44">
        <f t="shared" si="3"/>
        <v>0</v>
      </c>
      <c r="W355" s="52">
        <f>IFERROR(__xludf.DUMMYFUNCTION("iFERROR((FILTER('Fund Data'!$Y:$Y, 'Fund Data'!$C:$C = $C355, 'Fund Data'!$A:$A = $A355 - 1, 'Fund Data'!$B:$B = 12) + FILTER('Fund Data'!$AA:$AA, 'Fund Data'!$C:$C = $C355, 'Fund Data'!$A:$A = $A355 - 1, 'Fund Data'!$B:$B = 12)) * (1 + AVERAGE(FILTER('In"&amp;"flation Data'!$C:$C,'Inflation Data'!$A:$A = ($A355 - 2)))) * 'Parameters and Distribution Sum'!$A$4,0)"),5306.102894924851)</f>
        <v>5306.102895</v>
      </c>
      <c r="X355" s="52">
        <f>IFERROR(__xludf.DUMMYFUNCTION("IFERROR((IFERROR(FILTER('Fund Data'!$P:$P,'Fund Data'!$C:$C = $C355,'Fund Data'!$A:$A = ($A355 - 2), 'Fund Data'!$B:$B = 12),0) - SUM(FILTER('Fund Data'!$V:$V, 'Fund Data'!$C:$C = $C355, 'Fund Data'!$A:$A = ($A355 - 2), 'Fund Data'!$B:$B &gt; 3)))  * 'Parame"&amp;"ters and Distribution Sum'!$B$4 * (1 - 'Parameters and Distribution Sum'!$A$4),0)"),2330.059094999999)</f>
        <v>2330.059095</v>
      </c>
      <c r="Y355" s="52">
        <f t="shared" si="38"/>
        <v>7636.16199</v>
      </c>
      <c r="Z355" s="52">
        <f>IFERROR(__xludf.DUMMYFUNCTION("((IFERROR((SUM(FILTER('Fund Data'!$V:$V, 'Fund Data'!$C:$C = $C355, 'Fund Data'!$A:$A = $A355 - 1, 'Fund Data'!$B:$B &gt;= 4, 'Fund Data'!$B:$B &lt;= ($B355 + 5))) / 12) * ($B355 - 3) * 'Parameters and Distribution Sum'!$B$4, 0) + IF($B355 &gt;= 9, IFERROR(SUM(FIL"&amp;"TER('Fund Data'!$V:$V, 'Fund Data'!$C:$C = $C355, 'Fund Data'!$A:$A = $A355, 'Fund Data'!$B:$B &lt;= 3)) * 'Parameters and Distribution Sum'!$B$4, 0),0)))"),-0.13124999999999998)</f>
        <v>-0.13125</v>
      </c>
      <c r="AA355" s="44">
        <f>IFERROR(__xludf.DUMMYFUNCTION("IFERROR(((IFERROR(SUM(FILTER('Fund Data'!$V:$V, 'Fund Data'!$C:$C = $C355, 'Fund Data'!$A:$A = $A355 - 2, 'Fund Data'!$B:$B &gt;= 4)) * 'Parameters and Distribution Sum'!$B$4,0) + IFERROR(SUM(FILTER('Fund Data'!$V:$V, 'Fund Data'!$C:$C = $C355, 'Fund Data'!$"&amp;"A:$A = $A355 - 1, 'Fund Data'!$B:$B &lt;= 3)) * 'Parameters and Distribution Sum'!$B$4,0))),0)"),13.32)</f>
        <v>13.32</v>
      </c>
      <c r="AB355" s="44">
        <f t="shared" si="39"/>
        <v>0</v>
      </c>
      <c r="AC355" s="44">
        <f t="shared" si="40"/>
        <v>7649.35074</v>
      </c>
      <c r="AD355" s="44">
        <f t="shared" si="7"/>
        <v>7649.35074</v>
      </c>
      <c r="AE355" s="44"/>
    </row>
    <row r="356">
      <c r="A356" s="120">
        <v>2019.0</v>
      </c>
      <c r="B356" s="121">
        <v>1.0</v>
      </c>
      <c r="C356" s="122" t="s">
        <v>70</v>
      </c>
      <c r="D356" s="123">
        <v>100.0</v>
      </c>
      <c r="E356" s="123">
        <v>1025.02</v>
      </c>
      <c r="F356" s="44"/>
      <c r="G356" s="44"/>
      <c r="H356" s="123">
        <v>-73.12</v>
      </c>
      <c r="I356" s="44"/>
      <c r="J356" s="44"/>
      <c r="K356" s="44"/>
      <c r="L356" s="123">
        <v>9223.42</v>
      </c>
      <c r="M356" s="44"/>
      <c r="N356" s="44"/>
      <c r="O356" s="123">
        <v>165241.0</v>
      </c>
      <c r="P356" s="52">
        <f t="shared" si="23"/>
        <v>165242.37</v>
      </c>
      <c r="Q356" s="124">
        <f t="shared" si="2"/>
        <v>-1.37</v>
      </c>
      <c r="R356" s="52">
        <f t="array" ref="R356">IFERROR(INDEX('Fund YTD Target Values'!$1:$1000, MATCH($C356,'Fund YTD Target Values'!$A:$A,0), MATCH($A356,'Fund YTD Target Values'!$1:$1,0)),0)</f>
        <v>157883.7364</v>
      </c>
      <c r="S356" s="52">
        <f>IFERROR(__xludf.DUMMYFUNCTION("IFERROR(sum(FILTER('Fund Data'!$V:$V, 'Fund Data'!$C:$C = $C356, 'Fund Data'!$A:$A &lt; $A356)),0) + IFERROR(sum(FILTER('Fund Data'!$V:$V, 'Fund Data'!$C:$C = $C356, 'Fund Data'!$A:$A = $A356, 'Fund Data'!$B:$B &lt;= $B356)),0)"),112567.11)</f>
        <v>112567.11</v>
      </c>
      <c r="T356" s="44"/>
      <c r="U356" s="44"/>
      <c r="V356" s="44">
        <f t="shared" si="3"/>
        <v>100</v>
      </c>
      <c r="W356" s="52">
        <f>IFERROR(__xludf.DUMMYFUNCTION("iFERROR((FILTER('Fund Data'!$Y:$Y, 'Fund Data'!$C:$C = $C356, 'Fund Data'!$A:$A = $A356 - 1, 'Fund Data'!$B:$B = 12) + FILTER('Fund Data'!$AA:$AA, 'Fund Data'!$C:$C = $C356, 'Fund Data'!$A:$A = $A356 - 1, 'Fund Data'!$B:$B = 12)) * (1 + AVERAGE(FILTER('In"&amp;"flation Data'!$C:$C,'Inflation Data'!$A:$A = ($A356 - 2)))) * 'Parameters and Distribution Sum'!$A$4,0)"),5306.102894924851)</f>
        <v>5306.102895</v>
      </c>
      <c r="X356" s="52">
        <f>IFERROR(__xludf.DUMMYFUNCTION("IFERROR((IFERROR(FILTER('Fund Data'!$P:$P,'Fund Data'!$C:$C = $C356,'Fund Data'!$A:$A = ($A356 - 2), 'Fund Data'!$B:$B = 12),0) - SUM(FILTER('Fund Data'!$V:$V, 'Fund Data'!$C:$C = $C356, 'Fund Data'!$A:$A = ($A356 - 2), 'Fund Data'!$B:$B &gt; 3)))  * 'Parame"&amp;"ters and Distribution Sum'!$B$4 * (1 - 'Parameters and Distribution Sum'!$A$4),0)"),2330.059094999999)</f>
        <v>2330.059095</v>
      </c>
      <c r="Y356" s="52">
        <f t="shared" si="38"/>
        <v>7636.16199</v>
      </c>
      <c r="Z356" s="52">
        <f>IFERROR(__xludf.DUMMYFUNCTION("((IFERROR((SUM(FILTER('Fund Data'!$V:$V, 'Fund Data'!$C:$C = $C356, 'Fund Data'!$A:$A = $A356 - 1, 'Fund Data'!$B:$B &gt;= 4, 'Fund Data'!$B:$B &lt;= ($B356 + 5))) / 12) * ($B356 - 3) * 'Parameters and Distribution Sum'!$B$4, 0) + IF($B356 &gt;= 9, IFERROR(SUM(FIL"&amp;"TER('Fund Data'!$V:$V, 'Fund Data'!$C:$C = $C356, 'Fund Data'!$A:$A = $A356, 'Fund Data'!$B:$B &lt;= 3)) * 'Parameters and Distribution Sum'!$B$4, 0),0)))"),-0.26249999999999996)</f>
        <v>-0.2625</v>
      </c>
      <c r="AA356" s="44">
        <f>IFERROR(__xludf.DUMMYFUNCTION("IFERROR(((IFERROR(SUM(FILTER('Fund Data'!$V:$V, 'Fund Data'!$C:$C = $C356, 'Fund Data'!$A:$A = $A356 - 2, 'Fund Data'!$B:$B &gt;= 4)) * 'Parameters and Distribution Sum'!$B$4,0) + IFERROR(SUM(FILTER('Fund Data'!$V:$V, 'Fund Data'!$C:$C = $C356, 'Fund Data'!$"&amp;"A:$A = $A356 - 1, 'Fund Data'!$B:$B &lt;= 3)) * 'Parameters and Distribution Sum'!$B$4,0))),0)"),13.32)</f>
        <v>13.32</v>
      </c>
      <c r="AB356" s="44">
        <f t="shared" si="39"/>
        <v>0</v>
      </c>
      <c r="AC356" s="44">
        <f t="shared" si="40"/>
        <v>7649.21949</v>
      </c>
      <c r="AD356" s="44">
        <f t="shared" si="7"/>
        <v>7649.21949</v>
      </c>
      <c r="AE356" s="44"/>
    </row>
    <row r="357">
      <c r="A357" s="120">
        <v>2018.0</v>
      </c>
      <c r="B357" s="121">
        <v>12.0</v>
      </c>
      <c r="C357" s="122" t="s">
        <v>70</v>
      </c>
      <c r="D357" s="123">
        <v>35.0</v>
      </c>
      <c r="E357" s="123">
        <v>3617.64</v>
      </c>
      <c r="F357" s="123">
        <v>-5000.0</v>
      </c>
      <c r="G357" s="44"/>
      <c r="H357" s="123">
        <v>-1009.49</v>
      </c>
      <c r="I357" s="44"/>
      <c r="J357" s="123">
        <v>416.36</v>
      </c>
      <c r="K357" s="44"/>
      <c r="L357" s="123">
        <v>-15985.43</v>
      </c>
      <c r="M357" s="44"/>
      <c r="N357" s="44"/>
      <c r="O357" s="123">
        <v>154966.0</v>
      </c>
      <c r="P357" s="52">
        <f t="shared" si="23"/>
        <v>154967.05</v>
      </c>
      <c r="Q357" s="124">
        <f t="shared" si="2"/>
        <v>-1.05</v>
      </c>
      <c r="R357" s="52">
        <f t="array" ref="R357">IFERROR(INDEX('Fund YTD Target Values'!$1:$1000, MATCH($C357,'Fund YTD Target Values'!$A:$A,0), MATCH($A357,'Fund YTD Target Values'!$1:$1,0)),0)</f>
        <v>155177.2706</v>
      </c>
      <c r="S357" s="52">
        <f>IFERROR(__xludf.DUMMYFUNCTION("IFERROR(sum(FILTER('Fund Data'!$V:$V, 'Fund Data'!$C:$C = $C357, 'Fund Data'!$A:$A &lt; $A357)),0) + IFERROR(sum(FILTER('Fund Data'!$V:$V, 'Fund Data'!$C:$C = $C357, 'Fund Data'!$A:$A = $A357, 'Fund Data'!$B:$B &lt;= $B357)),0)"),112467.11)</f>
        <v>112467.11</v>
      </c>
      <c r="T357" s="123">
        <v>108645.0</v>
      </c>
      <c r="U357" s="44">
        <f t="shared" ref="U357:U395" si="41">S357-T357</f>
        <v>3822.11</v>
      </c>
      <c r="V357" s="44">
        <f t="shared" si="3"/>
        <v>0</v>
      </c>
      <c r="W357" s="52"/>
      <c r="X357" s="52"/>
      <c r="Y357" s="52">
        <v>6801.614815909347</v>
      </c>
      <c r="Z357" s="123">
        <v>11.475</v>
      </c>
      <c r="AA357" s="123">
        <v>620.325</v>
      </c>
      <c r="AB357" s="44">
        <f t="shared" si="39"/>
        <v>0</v>
      </c>
      <c r="AC357" s="44">
        <f t="shared" si="40"/>
        <v>7433.414816</v>
      </c>
      <c r="AD357" s="44">
        <f t="shared" si="7"/>
        <v>2433.414816</v>
      </c>
      <c r="AE357" s="123">
        <v>0.0</v>
      </c>
    </row>
    <row r="358">
      <c r="A358" s="120">
        <v>2018.0</v>
      </c>
      <c r="B358" s="121">
        <v>11.0</v>
      </c>
      <c r="C358" s="122" t="s">
        <v>70</v>
      </c>
      <c r="D358" s="123">
        <v>35.0</v>
      </c>
      <c r="E358" s="123">
        <v>3399.11</v>
      </c>
      <c r="F358" s="123">
        <v>-5000.0</v>
      </c>
      <c r="G358" s="44"/>
      <c r="H358" s="123">
        <v>-932.58</v>
      </c>
      <c r="I358" s="44"/>
      <c r="J358" s="123">
        <v>416.36</v>
      </c>
      <c r="K358" s="44"/>
      <c r="L358" s="123">
        <v>-6859.38</v>
      </c>
      <c r="M358" s="44"/>
      <c r="N358" s="44"/>
      <c r="O358" s="123">
        <v>163951.0</v>
      </c>
      <c r="P358" s="52">
        <f t="shared" si="23"/>
        <v>163951.48</v>
      </c>
      <c r="Q358" s="124">
        <f t="shared" si="2"/>
        <v>-0.4799999999</v>
      </c>
      <c r="R358" s="52">
        <f t="array" ref="R358">IFERROR(INDEX('Fund YTD Target Values'!$1:$1000, MATCH($C358,'Fund YTD Target Values'!$A:$A,0), MATCH($A358,'Fund YTD Target Values'!$1:$1,0)),0)</f>
        <v>155177.2706</v>
      </c>
      <c r="S358" s="52">
        <f>IFERROR(__xludf.DUMMYFUNCTION("IFERROR(sum(FILTER('Fund Data'!$V:$V, 'Fund Data'!$C:$C = $C358, 'Fund Data'!$A:$A &lt; $A358)),0) + IFERROR(sum(FILTER('Fund Data'!$V:$V, 'Fund Data'!$C:$C = $C358, 'Fund Data'!$A:$A = $A358, 'Fund Data'!$B:$B &lt;= $B358)),0)"),112467.11)</f>
        <v>112467.11</v>
      </c>
      <c r="T358" s="44"/>
      <c r="U358" s="44">
        <f t="shared" si="41"/>
        <v>112467.11</v>
      </c>
      <c r="V358" s="44">
        <f t="shared" si="3"/>
        <v>0</v>
      </c>
      <c r="W358" s="123"/>
      <c r="X358" s="123"/>
      <c r="Y358" s="123">
        <v>0.0</v>
      </c>
      <c r="Z358" s="123">
        <v>0.0</v>
      </c>
      <c r="AA358" s="123">
        <v>0.0</v>
      </c>
      <c r="AB358" s="123"/>
      <c r="AC358" s="123">
        <v>0.0</v>
      </c>
      <c r="AD358" s="44">
        <f t="shared" si="7"/>
        <v>-5000</v>
      </c>
      <c r="AE358" s="123">
        <v>0.0</v>
      </c>
    </row>
    <row r="359">
      <c r="A359" s="120">
        <v>2018.0</v>
      </c>
      <c r="B359" s="121">
        <v>10.0</v>
      </c>
      <c r="C359" s="135" t="s">
        <v>70</v>
      </c>
      <c r="D359" s="136">
        <v>35.0</v>
      </c>
      <c r="E359" s="137">
        <v>3253.01</v>
      </c>
      <c r="F359" s="136">
        <v>-5000.0</v>
      </c>
      <c r="G359" s="138"/>
      <c r="H359" s="137">
        <v>-776.54</v>
      </c>
      <c r="I359" s="138"/>
      <c r="J359" s="136">
        <v>416.36</v>
      </c>
      <c r="K359" s="138"/>
      <c r="L359" s="136">
        <v>-8269.59</v>
      </c>
      <c r="M359" s="44"/>
      <c r="N359" s="44"/>
      <c r="O359" s="136">
        <v>162550.0</v>
      </c>
      <c r="P359" s="52">
        <f t="shared" si="23"/>
        <v>162551.21</v>
      </c>
      <c r="Q359" s="124">
        <f t="shared" si="2"/>
        <v>-1.21</v>
      </c>
      <c r="R359" s="52">
        <f t="array" ref="R359">IFERROR(INDEX('Fund YTD Target Values'!$1:$1000, MATCH($C359,'Fund YTD Target Values'!$A:$A,0), MATCH($A359,'Fund YTD Target Values'!$1:$1,0)),0)</f>
        <v>155177.2706</v>
      </c>
      <c r="S359" s="52">
        <f>IFERROR(__xludf.DUMMYFUNCTION("IFERROR(sum(FILTER('Fund Data'!$V:$V, 'Fund Data'!$C:$C = $C359, 'Fund Data'!$A:$A &lt; $A359)),0) + IFERROR(sum(FILTER('Fund Data'!$V:$V, 'Fund Data'!$C:$C = $C359, 'Fund Data'!$A:$A = $A359, 'Fund Data'!$B:$B &lt;= $B359)),0)"),112467.11)</f>
        <v>112467.11</v>
      </c>
      <c r="T359" s="44"/>
      <c r="U359" s="44">
        <f t="shared" si="41"/>
        <v>112467.11</v>
      </c>
      <c r="V359" s="44">
        <f t="shared" si="3"/>
        <v>0</v>
      </c>
      <c r="W359" s="123"/>
      <c r="X359" s="123"/>
      <c r="Y359" s="123">
        <v>0.0</v>
      </c>
      <c r="Z359" s="123">
        <v>0.0</v>
      </c>
      <c r="AA359" s="123">
        <v>0.0</v>
      </c>
      <c r="AB359" s="123"/>
      <c r="AC359" s="123">
        <v>0.0</v>
      </c>
      <c r="AD359" s="44">
        <f t="shared" si="7"/>
        <v>-5000</v>
      </c>
      <c r="AE359" s="123">
        <v>0.0</v>
      </c>
    </row>
    <row r="360">
      <c r="A360" s="120">
        <v>2018.0</v>
      </c>
      <c r="B360" s="121">
        <v>9.0</v>
      </c>
      <c r="C360" s="122" t="s">
        <v>70</v>
      </c>
      <c r="D360" s="123">
        <v>35.0</v>
      </c>
      <c r="E360" s="123">
        <v>2765.1</v>
      </c>
      <c r="F360" s="123">
        <v>-5000.0</v>
      </c>
      <c r="G360" s="44"/>
      <c r="H360" s="123">
        <v>-776.54</v>
      </c>
      <c r="I360" s="44"/>
      <c r="J360" s="123">
        <v>416.36</v>
      </c>
      <c r="K360" s="44"/>
      <c r="L360" s="123">
        <v>423.32</v>
      </c>
      <c r="M360" s="44"/>
      <c r="N360" s="44"/>
      <c r="O360" s="123">
        <v>170755.0</v>
      </c>
      <c r="P360" s="52">
        <f t="shared" si="23"/>
        <v>170756.21</v>
      </c>
      <c r="Q360" s="124">
        <f t="shared" si="2"/>
        <v>-1.21</v>
      </c>
      <c r="R360" s="52">
        <f t="array" ref="R360">IFERROR(INDEX('Fund YTD Target Values'!$1:$1000, MATCH($C360,'Fund YTD Target Values'!$A:$A,0), MATCH($A360,'Fund YTD Target Values'!$1:$1,0)),0)</f>
        <v>155177.2706</v>
      </c>
      <c r="S360" s="52">
        <f>IFERROR(__xludf.DUMMYFUNCTION("IFERROR(sum(FILTER('Fund Data'!$V:$V, 'Fund Data'!$C:$C = $C360, 'Fund Data'!$A:$A &lt; $A360)),0) + IFERROR(sum(FILTER('Fund Data'!$V:$V, 'Fund Data'!$C:$C = $C360, 'Fund Data'!$A:$A = $A360, 'Fund Data'!$B:$B &lt;= $B360)),0)"),112467.11)</f>
        <v>112467.11</v>
      </c>
      <c r="T360" s="123">
        <v>108645.0</v>
      </c>
      <c r="U360" s="44">
        <f t="shared" si="41"/>
        <v>3822.11</v>
      </c>
      <c r="V360" s="44">
        <f t="shared" si="3"/>
        <v>0</v>
      </c>
      <c r="W360" s="123"/>
      <c r="X360" s="123"/>
      <c r="Y360" s="123">
        <v>0.0</v>
      </c>
      <c r="Z360" s="123">
        <v>0.0</v>
      </c>
      <c r="AA360" s="123">
        <v>0.0</v>
      </c>
      <c r="AB360" s="123"/>
      <c r="AC360" s="123">
        <v>0.0</v>
      </c>
      <c r="AD360" s="44">
        <f t="shared" si="7"/>
        <v>-5000</v>
      </c>
      <c r="AE360" s="123">
        <v>0.0</v>
      </c>
    </row>
    <row r="361">
      <c r="A361" s="120">
        <v>2018.0</v>
      </c>
      <c r="B361" s="121">
        <v>8.0</v>
      </c>
      <c r="C361" s="122" t="s">
        <v>70</v>
      </c>
      <c r="D361" s="123">
        <v>35.0</v>
      </c>
      <c r="E361" s="123">
        <v>2618.76</v>
      </c>
      <c r="F361" s="123">
        <v>-5000.0</v>
      </c>
      <c r="G361" s="44"/>
      <c r="H361" s="123">
        <v>-690.88</v>
      </c>
      <c r="I361" s="44"/>
      <c r="J361" s="123">
        <v>416.36</v>
      </c>
      <c r="K361" s="44"/>
      <c r="L361" s="123">
        <v>1044.49</v>
      </c>
      <c r="M361" s="44"/>
      <c r="N361" s="44"/>
      <c r="O361" s="123">
        <v>171316.0</v>
      </c>
      <c r="P361" s="52">
        <f t="shared" si="23"/>
        <v>171316.7</v>
      </c>
      <c r="Q361" s="124">
        <f t="shared" si="2"/>
        <v>-0.6999999999</v>
      </c>
      <c r="R361" s="52">
        <f t="array" ref="R361">IFERROR(INDEX('Fund YTD Target Values'!$1:$1000, MATCH($C361,'Fund YTD Target Values'!$A:$A,0), MATCH($A361,'Fund YTD Target Values'!$1:$1,0)),0)</f>
        <v>155177.2706</v>
      </c>
      <c r="S361" s="52">
        <f>IFERROR(__xludf.DUMMYFUNCTION("IFERROR(sum(FILTER('Fund Data'!$V:$V, 'Fund Data'!$C:$C = $C361, 'Fund Data'!$A:$A &lt; $A361)),0) + IFERROR(sum(FILTER('Fund Data'!$V:$V, 'Fund Data'!$C:$C = $C361, 'Fund Data'!$A:$A = $A361, 'Fund Data'!$B:$B &lt;= $B361)),0)"),112467.11)</f>
        <v>112467.11</v>
      </c>
      <c r="T361" s="44"/>
      <c r="U361" s="44">
        <f t="shared" si="41"/>
        <v>112467.11</v>
      </c>
      <c r="V361" s="44">
        <f t="shared" si="3"/>
        <v>0</v>
      </c>
      <c r="W361" s="123"/>
      <c r="X361" s="123"/>
      <c r="Y361" s="123">
        <v>0.0</v>
      </c>
      <c r="Z361" s="123">
        <v>0.0</v>
      </c>
      <c r="AA361" s="123">
        <v>0.0</v>
      </c>
      <c r="AB361" s="123"/>
      <c r="AC361" s="123">
        <v>0.0</v>
      </c>
      <c r="AD361" s="44">
        <f t="shared" si="7"/>
        <v>-5000</v>
      </c>
      <c r="AE361" s="123">
        <v>0.0</v>
      </c>
    </row>
    <row r="362">
      <c r="A362" s="120">
        <v>2018.0</v>
      </c>
      <c r="B362" s="121">
        <v>7.0</v>
      </c>
      <c r="C362" s="122" t="s">
        <v>70</v>
      </c>
      <c r="D362" s="123">
        <v>35.0</v>
      </c>
      <c r="E362" s="123">
        <v>2478.19</v>
      </c>
      <c r="F362" s="123">
        <v>-5000.0</v>
      </c>
      <c r="G362" s="44"/>
      <c r="H362" s="123">
        <v>-605.53</v>
      </c>
      <c r="I362" s="44"/>
      <c r="J362" s="123">
        <v>416.36</v>
      </c>
      <c r="K362" s="44"/>
      <c r="L362" s="123">
        <v>489.36</v>
      </c>
      <c r="M362" s="44"/>
      <c r="N362" s="44"/>
      <c r="O362" s="123">
        <v>170705.0</v>
      </c>
      <c r="P362" s="52">
        <f t="shared" si="23"/>
        <v>170706.35</v>
      </c>
      <c r="Q362" s="124">
        <f t="shared" si="2"/>
        <v>-1.35</v>
      </c>
      <c r="R362" s="52">
        <f t="array" ref="R362">IFERROR(INDEX('Fund YTD Target Values'!$1:$1000, MATCH($C362,'Fund YTD Target Values'!$A:$A,0), MATCH($A362,'Fund YTD Target Values'!$1:$1,0)),0)</f>
        <v>155177.2706</v>
      </c>
      <c r="S362" s="52">
        <f>IFERROR(__xludf.DUMMYFUNCTION("IFERROR(sum(FILTER('Fund Data'!$V:$V, 'Fund Data'!$C:$C = $C362, 'Fund Data'!$A:$A &lt; $A362)),0) + IFERROR(sum(FILTER('Fund Data'!$V:$V, 'Fund Data'!$C:$C = $C362, 'Fund Data'!$A:$A = $A362, 'Fund Data'!$B:$B &lt;= $B362)),0)"),112467.11)</f>
        <v>112467.11</v>
      </c>
      <c r="T362" s="44"/>
      <c r="U362" s="44">
        <f t="shared" si="41"/>
        <v>112467.11</v>
      </c>
      <c r="V362" s="44">
        <f t="shared" si="3"/>
        <v>0</v>
      </c>
      <c r="W362" s="123"/>
      <c r="X362" s="123"/>
      <c r="Y362" s="123">
        <v>0.0</v>
      </c>
      <c r="Z362" s="123">
        <v>0.0</v>
      </c>
      <c r="AA362" s="123">
        <v>0.0</v>
      </c>
      <c r="AB362" s="123"/>
      <c r="AC362" s="123">
        <v>0.0</v>
      </c>
      <c r="AD362" s="44">
        <f t="shared" si="7"/>
        <v>-5000</v>
      </c>
      <c r="AE362" s="123">
        <v>0.0</v>
      </c>
    </row>
    <row r="363">
      <c r="A363" s="120">
        <v>2018.0</v>
      </c>
      <c r="B363" s="121">
        <v>6.0</v>
      </c>
      <c r="C363" s="122" t="s">
        <v>70</v>
      </c>
      <c r="D363" s="123">
        <v>35.0</v>
      </c>
      <c r="E363" s="123">
        <v>2097.3</v>
      </c>
      <c r="F363" s="123">
        <v>-5000.0</v>
      </c>
      <c r="G363" s="44"/>
      <c r="H363" s="123">
        <v>-521.72</v>
      </c>
      <c r="I363" s="44"/>
      <c r="J363" s="123">
        <v>416.36</v>
      </c>
      <c r="K363" s="44"/>
      <c r="L363" s="123">
        <v>-2285.17</v>
      </c>
      <c r="M363" s="44"/>
      <c r="N363" s="44"/>
      <c r="O363" s="123">
        <v>167634.0</v>
      </c>
      <c r="P363" s="52">
        <f t="shared" si="23"/>
        <v>167634.74</v>
      </c>
      <c r="Q363" s="124">
        <f t="shared" si="2"/>
        <v>-0.7399999999</v>
      </c>
      <c r="R363" s="52">
        <f t="array" ref="R363">IFERROR(INDEX('Fund YTD Target Values'!$1:$1000, MATCH($C363,'Fund YTD Target Values'!$A:$A,0), MATCH($A363,'Fund YTD Target Values'!$1:$1,0)),0)</f>
        <v>155177.2706</v>
      </c>
      <c r="S363" s="52">
        <f>IFERROR(__xludf.DUMMYFUNCTION("IFERROR(sum(FILTER('Fund Data'!$V:$V, 'Fund Data'!$C:$C = $C363, 'Fund Data'!$A:$A &lt; $A363)),0) + IFERROR(sum(FILTER('Fund Data'!$V:$V, 'Fund Data'!$C:$C = $C363, 'Fund Data'!$A:$A = $A363, 'Fund Data'!$B:$B &lt;= $B363)),0)"),112467.11)</f>
        <v>112467.11</v>
      </c>
      <c r="T363" s="44"/>
      <c r="U363" s="44">
        <f t="shared" si="41"/>
        <v>112467.11</v>
      </c>
      <c r="V363" s="44">
        <f t="shared" si="3"/>
        <v>0</v>
      </c>
      <c r="W363" s="123"/>
      <c r="X363" s="123"/>
      <c r="Y363" s="123">
        <v>0.0</v>
      </c>
      <c r="Z363" s="123">
        <v>0.0</v>
      </c>
      <c r="AA363" s="123">
        <v>0.0</v>
      </c>
      <c r="AB363" s="123"/>
      <c r="AC363" s="123">
        <v>0.0</v>
      </c>
      <c r="AD363" s="44">
        <f t="shared" si="7"/>
        <v>-5000</v>
      </c>
      <c r="AE363" s="123">
        <v>0.0</v>
      </c>
    </row>
    <row r="364">
      <c r="A364" s="120">
        <v>2018.0</v>
      </c>
      <c r="B364" s="121">
        <v>5.0</v>
      </c>
      <c r="C364" s="122" t="s">
        <v>70</v>
      </c>
      <c r="D364" s="123">
        <v>35.0</v>
      </c>
      <c r="E364" s="123">
        <v>1851.1</v>
      </c>
      <c r="F364" s="123">
        <v>-1500.0</v>
      </c>
      <c r="G364" s="44"/>
      <c r="H364" s="123">
        <v>-435.61</v>
      </c>
      <c r="I364" s="44"/>
      <c r="J364" s="44"/>
      <c r="K364" s="44"/>
      <c r="L364" s="123">
        <v>-630.34</v>
      </c>
      <c r="M364" s="44"/>
      <c r="N364" s="44"/>
      <c r="O364" s="123">
        <v>172212.0</v>
      </c>
      <c r="P364" s="52">
        <f t="shared" si="23"/>
        <v>172213.12</v>
      </c>
      <c r="Q364" s="124">
        <f t="shared" si="2"/>
        <v>-1.12</v>
      </c>
      <c r="R364" s="52">
        <f t="array" ref="R364">IFERROR(INDEX('Fund YTD Target Values'!$1:$1000, MATCH($C364,'Fund YTD Target Values'!$A:$A,0), MATCH($A364,'Fund YTD Target Values'!$1:$1,0)),0)</f>
        <v>155177.2706</v>
      </c>
      <c r="S364" s="52">
        <f>IFERROR(__xludf.DUMMYFUNCTION("IFERROR(sum(FILTER('Fund Data'!$V:$V, 'Fund Data'!$C:$C = $C364, 'Fund Data'!$A:$A &lt; $A364)),0) + IFERROR(sum(FILTER('Fund Data'!$V:$V, 'Fund Data'!$C:$C = $C364, 'Fund Data'!$A:$A = $A364, 'Fund Data'!$B:$B &lt;= $B364)),0)"),112467.11)</f>
        <v>112467.11</v>
      </c>
      <c r="T364" s="123">
        <v>108645.0</v>
      </c>
      <c r="U364" s="44">
        <f t="shared" si="41"/>
        <v>3822.11</v>
      </c>
      <c r="V364" s="44">
        <f t="shared" si="3"/>
        <v>35</v>
      </c>
      <c r="W364" s="123"/>
      <c r="X364" s="123"/>
      <c r="Y364" s="123">
        <v>0.0</v>
      </c>
      <c r="Z364" s="123">
        <v>0.0</v>
      </c>
      <c r="AA364" s="123">
        <v>0.0</v>
      </c>
      <c r="AB364" s="123"/>
      <c r="AC364" s="123">
        <v>0.0</v>
      </c>
      <c r="AD364" s="44">
        <f t="shared" si="7"/>
        <v>-1500</v>
      </c>
      <c r="AE364" s="123">
        <v>0.0</v>
      </c>
    </row>
    <row r="365">
      <c r="A365" s="120">
        <v>2018.0</v>
      </c>
      <c r="B365" s="121">
        <v>4.0</v>
      </c>
      <c r="C365" s="122" t="s">
        <v>70</v>
      </c>
      <c r="D365" s="44"/>
      <c r="E365" s="123">
        <v>1714.44</v>
      </c>
      <c r="F365" s="44"/>
      <c r="G365" s="44"/>
      <c r="H365" s="123">
        <v>-348.98</v>
      </c>
      <c r="I365" s="44"/>
      <c r="J365" s="44"/>
      <c r="K365" s="44"/>
      <c r="L365" s="123">
        <v>-994.27</v>
      </c>
      <c r="M365" s="44"/>
      <c r="N365" s="44"/>
      <c r="O365" s="123">
        <v>173263.0</v>
      </c>
      <c r="P365" s="52">
        <f t="shared" si="23"/>
        <v>173264.16</v>
      </c>
      <c r="Q365" s="124">
        <f t="shared" si="2"/>
        <v>-1.16</v>
      </c>
      <c r="R365" s="52">
        <f t="array" ref="R365">IFERROR(INDEX('Fund YTD Target Values'!$1:$1000, MATCH($C365,'Fund YTD Target Values'!$A:$A,0), MATCH($A365,'Fund YTD Target Values'!$1:$1,0)),0)</f>
        <v>155177.2706</v>
      </c>
      <c r="S365" s="52">
        <f>IFERROR(__xludf.DUMMYFUNCTION("IFERROR(sum(FILTER('Fund Data'!$V:$V, 'Fund Data'!$C:$C = $C365, 'Fund Data'!$A:$A &lt; $A365)),0) + IFERROR(sum(FILTER('Fund Data'!$V:$V, 'Fund Data'!$C:$C = $C365, 'Fund Data'!$A:$A = $A365, 'Fund Data'!$B:$B &lt;= $B365)),0)"),112432.11)</f>
        <v>112432.11</v>
      </c>
      <c r="T365" s="123">
        <v>108610.0</v>
      </c>
      <c r="U365" s="44">
        <f t="shared" si="41"/>
        <v>3822.11</v>
      </c>
      <c r="V365" s="44">
        <f t="shared" si="3"/>
        <v>0</v>
      </c>
      <c r="W365" s="123"/>
      <c r="X365" s="123"/>
      <c r="Y365" s="123">
        <v>0.0</v>
      </c>
      <c r="Z365" s="123">
        <v>0.0</v>
      </c>
      <c r="AA365" s="123">
        <v>0.0</v>
      </c>
      <c r="AB365" s="123"/>
      <c r="AC365" s="123">
        <v>0.0</v>
      </c>
      <c r="AD365" s="44">
        <f t="shared" si="7"/>
        <v>0</v>
      </c>
      <c r="AE365" s="123">
        <v>0.0</v>
      </c>
    </row>
    <row r="366">
      <c r="A366" s="120">
        <v>2018.0</v>
      </c>
      <c r="B366" s="121">
        <v>3.0</v>
      </c>
      <c r="C366" s="122" t="s">
        <v>70</v>
      </c>
      <c r="D366" s="44"/>
      <c r="E366" s="123">
        <v>1297.07</v>
      </c>
      <c r="F366" s="44"/>
      <c r="G366" s="44"/>
      <c r="H366" s="123">
        <v>-262.59</v>
      </c>
      <c r="I366" s="44"/>
      <c r="J366" s="44"/>
      <c r="K366" s="44"/>
      <c r="L366" s="123">
        <v>-1135.74</v>
      </c>
      <c r="M366" s="44"/>
      <c r="N366" s="44"/>
      <c r="O366" s="123">
        <v>172791.0</v>
      </c>
      <c r="P366" s="52">
        <f t="shared" si="23"/>
        <v>172791.71</v>
      </c>
      <c r="Q366" s="124">
        <f t="shared" si="2"/>
        <v>-0.7099999999</v>
      </c>
      <c r="R366" s="52">
        <f t="array" ref="R366">IFERROR(INDEX('Fund YTD Target Values'!$1:$1000, MATCH($C366,'Fund YTD Target Values'!$A:$A,0), MATCH($A366,'Fund YTD Target Values'!$1:$1,0)),0)</f>
        <v>155177.2706</v>
      </c>
      <c r="S366" s="52">
        <f>IFERROR(__xludf.DUMMYFUNCTION("IFERROR(sum(FILTER('Fund Data'!$V:$V, 'Fund Data'!$C:$C = $C366, 'Fund Data'!$A:$A &lt; $A366)),0) + IFERROR(sum(FILTER('Fund Data'!$V:$V, 'Fund Data'!$C:$C = $C366, 'Fund Data'!$A:$A = $A366, 'Fund Data'!$B:$B &lt;= $B366)),0)"),112432.11)</f>
        <v>112432.11</v>
      </c>
      <c r="T366" s="123">
        <v>108610.0</v>
      </c>
      <c r="U366" s="44">
        <f t="shared" si="41"/>
        <v>3822.11</v>
      </c>
      <c r="V366" s="44">
        <f t="shared" si="3"/>
        <v>0</v>
      </c>
      <c r="W366" s="123"/>
      <c r="X366" s="123"/>
      <c r="Y366" s="123">
        <v>0.0</v>
      </c>
      <c r="Z366" s="123">
        <v>0.0</v>
      </c>
      <c r="AA366" s="123">
        <v>0.0</v>
      </c>
      <c r="AB366" s="123"/>
      <c r="AC366" s="123">
        <v>0.0</v>
      </c>
      <c r="AD366" s="44">
        <f t="shared" si="7"/>
        <v>0</v>
      </c>
      <c r="AE366" s="123">
        <v>0.0</v>
      </c>
    </row>
    <row r="367">
      <c r="A367" s="120">
        <v>2018.0</v>
      </c>
      <c r="B367" s="121">
        <v>2.0</v>
      </c>
      <c r="C367" s="122" t="s">
        <v>70</v>
      </c>
      <c r="D367" s="44"/>
      <c r="E367" s="123">
        <v>1137.47</v>
      </c>
      <c r="F367" s="44"/>
      <c r="G367" s="44"/>
      <c r="H367" s="123">
        <v>-411.23</v>
      </c>
      <c r="I367" s="44"/>
      <c r="J367" s="44"/>
      <c r="K367" s="44"/>
      <c r="L367" s="123">
        <v>69.0</v>
      </c>
      <c r="M367" s="44"/>
      <c r="N367" s="44"/>
      <c r="O367" s="123">
        <v>173687.0</v>
      </c>
      <c r="P367" s="52">
        <f t="shared" si="23"/>
        <v>173688.21</v>
      </c>
      <c r="Q367" s="124">
        <f t="shared" si="2"/>
        <v>-1.21</v>
      </c>
      <c r="R367" s="52">
        <f t="array" ref="R367">IFERROR(INDEX('Fund YTD Target Values'!$1:$1000, MATCH($C367,'Fund YTD Target Values'!$A:$A,0), MATCH($A367,'Fund YTD Target Values'!$1:$1,0)),0)</f>
        <v>155177.2706</v>
      </c>
      <c r="S367" s="52">
        <f>IFERROR(__xludf.DUMMYFUNCTION("IFERROR(sum(FILTER('Fund Data'!$V:$V, 'Fund Data'!$C:$C = $C367, 'Fund Data'!$A:$A &lt; $A367)),0) + IFERROR(sum(FILTER('Fund Data'!$V:$V, 'Fund Data'!$C:$C = $C367, 'Fund Data'!$A:$A = $A367, 'Fund Data'!$B:$B &lt;= $B367)),0)"),112432.11)</f>
        <v>112432.11</v>
      </c>
      <c r="T367" s="123">
        <v>108610.0</v>
      </c>
      <c r="U367" s="44">
        <f t="shared" si="41"/>
        <v>3822.11</v>
      </c>
      <c r="V367" s="44">
        <f t="shared" si="3"/>
        <v>0</v>
      </c>
      <c r="W367" s="123"/>
      <c r="X367" s="123"/>
      <c r="Y367" s="123">
        <v>0.0</v>
      </c>
      <c r="Z367" s="123">
        <v>0.0</v>
      </c>
      <c r="AA367" s="123">
        <v>0.0</v>
      </c>
      <c r="AB367" s="123"/>
      <c r="AC367" s="123">
        <v>0.0</v>
      </c>
      <c r="AD367" s="44">
        <f t="shared" si="7"/>
        <v>0</v>
      </c>
      <c r="AE367" s="123">
        <v>0.0</v>
      </c>
    </row>
    <row r="368">
      <c r="A368" s="120">
        <v>2018.0</v>
      </c>
      <c r="B368" s="121">
        <v>1.0</v>
      </c>
      <c r="C368" s="122" t="s">
        <v>70</v>
      </c>
      <c r="D368" s="44"/>
      <c r="E368" s="123">
        <v>1005.66</v>
      </c>
      <c r="F368" s="44"/>
      <c r="G368" s="44"/>
      <c r="H368" s="123">
        <v>-321.93</v>
      </c>
      <c r="I368" s="44"/>
      <c r="J368" s="44"/>
      <c r="K368" s="44"/>
      <c r="L368" s="123">
        <v>5020.34</v>
      </c>
      <c r="M368" s="44"/>
      <c r="N368" s="44"/>
      <c r="O368" s="123">
        <v>178596.0</v>
      </c>
      <c r="P368" s="52">
        <f t="shared" si="23"/>
        <v>178597.04</v>
      </c>
      <c r="Q368" s="124">
        <f t="shared" si="2"/>
        <v>-1.04</v>
      </c>
      <c r="R368" s="52">
        <f t="array" ref="R368">IFERROR(INDEX('Fund YTD Target Values'!$1:$1000, MATCH($C368,'Fund YTD Target Values'!$A:$A,0), MATCH($A368,'Fund YTD Target Values'!$1:$1,0)),0)</f>
        <v>155177.2706</v>
      </c>
      <c r="S368" s="52">
        <f>IFERROR(__xludf.DUMMYFUNCTION("IFERROR(sum(FILTER('Fund Data'!$V:$V, 'Fund Data'!$C:$C = $C368, 'Fund Data'!$A:$A &lt; $A368)),0) + IFERROR(sum(FILTER('Fund Data'!$V:$V, 'Fund Data'!$C:$C = $C368, 'Fund Data'!$A:$A = $A368, 'Fund Data'!$B:$B &lt;= $B368)),0)"),112432.11)</f>
        <v>112432.11</v>
      </c>
      <c r="T368" s="123">
        <v>108610.0</v>
      </c>
      <c r="U368" s="44">
        <f t="shared" si="41"/>
        <v>3822.11</v>
      </c>
      <c r="V368" s="44">
        <f t="shared" si="3"/>
        <v>0</v>
      </c>
      <c r="W368" s="123"/>
      <c r="X368" s="123"/>
      <c r="Y368" s="123">
        <v>0.0</v>
      </c>
      <c r="Z368" s="123">
        <v>0.0</v>
      </c>
      <c r="AA368" s="123">
        <v>0.0</v>
      </c>
      <c r="AB368" s="123"/>
      <c r="AC368" s="123">
        <v>0.0</v>
      </c>
      <c r="AD368" s="44">
        <f t="shared" si="7"/>
        <v>0</v>
      </c>
      <c r="AE368" s="123">
        <v>0.0</v>
      </c>
    </row>
    <row r="369">
      <c r="A369" s="120">
        <v>2017.0</v>
      </c>
      <c r="B369" s="121">
        <v>12.0</v>
      </c>
      <c r="C369" s="122" t="s">
        <v>70</v>
      </c>
      <c r="D369" s="123">
        <v>1087.0</v>
      </c>
      <c r="E369" s="123">
        <v>3406.37</v>
      </c>
      <c r="F369" s="44"/>
      <c r="G369" s="123"/>
      <c r="H369" s="123">
        <v>-972.32</v>
      </c>
      <c r="I369" s="44"/>
      <c r="J369" s="44"/>
      <c r="K369" s="44"/>
      <c r="L369" s="123">
        <v>18916.81</v>
      </c>
      <c r="M369" s="44"/>
      <c r="N369" s="44"/>
      <c r="O369" s="123">
        <v>172892.0</v>
      </c>
      <c r="P369" s="52">
        <f t="shared" si="23"/>
        <v>172892.97</v>
      </c>
      <c r="Q369" s="124">
        <f t="shared" si="2"/>
        <v>-0.9699999999</v>
      </c>
      <c r="R369" s="52">
        <f t="array" ref="R369">IFERROR(INDEX('Fund YTD Target Values'!$1:$1000, MATCH($C369,'Fund YTD Target Values'!$A:$A,0), MATCH($A369,'Fund YTD Target Values'!$1:$1,0)),0)</f>
        <v>151442.9959</v>
      </c>
      <c r="S369" s="52">
        <f>IFERROR(__xludf.DUMMYFUNCTION("IFERROR(sum(FILTER('Fund Data'!$V:$V, 'Fund Data'!$C:$C = $C369, 'Fund Data'!$A:$A &lt; $A369)),0) + IFERROR(sum(FILTER('Fund Data'!$V:$V, 'Fund Data'!$C:$C = $C369, 'Fund Data'!$A:$A = $A369, 'Fund Data'!$B:$B &lt;= $B369)),0)"),112432.11)</f>
        <v>112432.11</v>
      </c>
      <c r="T369" s="123">
        <v>108610.0</v>
      </c>
      <c r="U369" s="44">
        <f t="shared" si="41"/>
        <v>3822.11</v>
      </c>
      <c r="V369" s="44">
        <f t="shared" si="3"/>
        <v>0</v>
      </c>
      <c r="W369" s="123"/>
      <c r="X369" s="123"/>
      <c r="Y369" s="123">
        <v>0.0</v>
      </c>
      <c r="Z369" s="123">
        <v>0.0</v>
      </c>
      <c r="AA369" s="123">
        <v>0.0</v>
      </c>
      <c r="AB369" s="123"/>
      <c r="AC369" s="123">
        <v>0.0</v>
      </c>
      <c r="AD369" s="44">
        <f t="shared" si="7"/>
        <v>0</v>
      </c>
      <c r="AE369" s="123">
        <v>0.0</v>
      </c>
    </row>
    <row r="370">
      <c r="A370" s="120">
        <v>2017.0</v>
      </c>
      <c r="B370" s="121">
        <v>11.0</v>
      </c>
      <c r="C370" s="122" t="s">
        <v>70</v>
      </c>
      <c r="D370" s="123">
        <v>1087.0</v>
      </c>
      <c r="E370" s="123">
        <v>3171.49</v>
      </c>
      <c r="F370" s="44"/>
      <c r="G370" s="44"/>
      <c r="H370" s="123">
        <v>-886.33</v>
      </c>
      <c r="I370" s="44"/>
      <c r="J370" s="44"/>
      <c r="K370" s="44"/>
      <c r="L370" s="123">
        <v>18143.95</v>
      </c>
      <c r="M370" s="44"/>
      <c r="N370" s="44"/>
      <c r="O370" s="123">
        <v>171970.0</v>
      </c>
      <c r="P370" s="52">
        <f t="shared" si="23"/>
        <v>171971.22</v>
      </c>
      <c r="Q370" s="124">
        <f t="shared" si="2"/>
        <v>-1.22</v>
      </c>
      <c r="R370" s="52">
        <f t="array" ref="R370">IFERROR(INDEX('Fund YTD Target Values'!$1:$1000, MATCH($C370,'Fund YTD Target Values'!$A:$A,0), MATCH($A370,'Fund YTD Target Values'!$1:$1,0)),0)</f>
        <v>151442.9959</v>
      </c>
      <c r="S370" s="52">
        <f>IFERROR(__xludf.DUMMYFUNCTION("IFERROR(sum(FILTER('Fund Data'!$V:$V, 'Fund Data'!$C:$C = $C370, 'Fund Data'!$A:$A &lt; $A370)),0) + IFERROR(sum(FILTER('Fund Data'!$V:$V, 'Fund Data'!$C:$C = $C370, 'Fund Data'!$A:$A = $A370, 'Fund Data'!$B:$B &lt;= $B370)),0)"),112432.11)</f>
        <v>112432.11</v>
      </c>
      <c r="T370" s="123">
        <v>108517.0</v>
      </c>
      <c r="U370" s="44">
        <f t="shared" si="41"/>
        <v>3915.11</v>
      </c>
      <c r="V370" s="44">
        <f t="shared" si="3"/>
        <v>0</v>
      </c>
      <c r="W370" s="123"/>
      <c r="X370" s="123"/>
      <c r="Y370" s="123">
        <v>0.0</v>
      </c>
      <c r="Z370" s="123">
        <v>0.0</v>
      </c>
      <c r="AA370" s="123">
        <v>0.0</v>
      </c>
      <c r="AB370" s="123"/>
      <c r="AC370" s="123">
        <v>0.0</v>
      </c>
      <c r="AD370" s="44">
        <f t="shared" si="7"/>
        <v>0</v>
      </c>
      <c r="AE370" s="123">
        <v>0.0</v>
      </c>
    </row>
    <row r="371">
      <c r="A371" s="120">
        <v>2017.0</v>
      </c>
      <c r="B371" s="121">
        <v>10.0</v>
      </c>
      <c r="C371" s="122" t="s">
        <v>70</v>
      </c>
      <c r="D371" s="123">
        <v>1087.0</v>
      </c>
      <c r="E371" s="123">
        <v>3055.46</v>
      </c>
      <c r="F371" s="44"/>
      <c r="G371" s="44"/>
      <c r="H371" s="123">
        <v>-801.26</v>
      </c>
      <c r="I371" s="44"/>
      <c r="J371" s="44"/>
      <c r="K371" s="44"/>
      <c r="L371" s="123">
        <v>16357.27</v>
      </c>
      <c r="M371" s="44"/>
      <c r="N371" s="44"/>
      <c r="O371" s="123">
        <v>170153.0</v>
      </c>
      <c r="P371" s="52">
        <f t="shared" si="23"/>
        <v>170153.58</v>
      </c>
      <c r="Q371" s="124">
        <f t="shared" si="2"/>
        <v>-0.5799999999</v>
      </c>
      <c r="R371" s="52">
        <f t="array" ref="R371">IFERROR(INDEX('Fund YTD Target Values'!$1:$1000, MATCH($C371,'Fund YTD Target Values'!$A:$A,0), MATCH($A371,'Fund YTD Target Values'!$1:$1,0)),0)</f>
        <v>151442.9959</v>
      </c>
      <c r="S371" s="52">
        <f>IFERROR(__xludf.DUMMYFUNCTION("IFERROR(sum(FILTER('Fund Data'!$V:$V, 'Fund Data'!$C:$C = $C371, 'Fund Data'!$A:$A &lt; $A371)),0) + IFERROR(sum(FILTER('Fund Data'!$V:$V, 'Fund Data'!$C:$C = $C371, 'Fund Data'!$A:$A = $A371, 'Fund Data'!$B:$B &lt;= $B371)),0)"),112432.11)</f>
        <v>112432.11</v>
      </c>
      <c r="T371" s="123">
        <v>108517.0</v>
      </c>
      <c r="U371" s="44">
        <f t="shared" si="41"/>
        <v>3915.11</v>
      </c>
      <c r="V371" s="44">
        <f t="shared" si="3"/>
        <v>0</v>
      </c>
      <c r="W371" s="123"/>
      <c r="X371" s="123"/>
      <c r="Y371" s="123">
        <v>0.0</v>
      </c>
      <c r="Z371" s="123">
        <v>0.0</v>
      </c>
      <c r="AA371" s="123">
        <v>0.0</v>
      </c>
      <c r="AB371" s="123"/>
      <c r="AC371" s="123">
        <v>0.0</v>
      </c>
      <c r="AD371" s="44">
        <f t="shared" si="7"/>
        <v>0</v>
      </c>
      <c r="AE371" s="123">
        <v>0.0</v>
      </c>
    </row>
    <row r="372">
      <c r="A372" s="120">
        <v>2017.0</v>
      </c>
      <c r="B372" s="121">
        <v>9.0</v>
      </c>
      <c r="C372" s="122" t="s">
        <v>70</v>
      </c>
      <c r="D372" s="123">
        <v>1087.0</v>
      </c>
      <c r="E372" s="123">
        <v>2721.73</v>
      </c>
      <c r="F372" s="44"/>
      <c r="G372" s="44"/>
      <c r="H372" s="123">
        <v>-717.32</v>
      </c>
      <c r="I372" s="44"/>
      <c r="J372" s="44"/>
      <c r="K372" s="44"/>
      <c r="L372" s="123">
        <v>14330.66</v>
      </c>
      <c r="M372" s="44"/>
      <c r="N372" s="44"/>
      <c r="O372" s="123">
        <v>167876.0</v>
      </c>
      <c r="P372" s="52">
        <f t="shared" si="23"/>
        <v>167877.18</v>
      </c>
      <c r="Q372" s="124">
        <f t="shared" si="2"/>
        <v>-1.18</v>
      </c>
      <c r="R372" s="52">
        <f t="array" ref="R372">IFERROR(INDEX('Fund YTD Target Values'!$1:$1000, MATCH($C372,'Fund YTD Target Values'!$A:$A,0), MATCH($A372,'Fund YTD Target Values'!$1:$1,0)),0)</f>
        <v>151442.9959</v>
      </c>
      <c r="S372" s="52">
        <f>IFERROR(__xludf.DUMMYFUNCTION("IFERROR(sum(FILTER('Fund Data'!$V:$V, 'Fund Data'!$C:$C = $C372, 'Fund Data'!$A:$A &lt; $A372)),0) + IFERROR(sum(FILTER('Fund Data'!$V:$V, 'Fund Data'!$C:$C = $C372, 'Fund Data'!$A:$A = $A372, 'Fund Data'!$B:$B &lt;= $B372)),0)"),112432.11)</f>
        <v>112432.11</v>
      </c>
      <c r="T372" s="123">
        <v>108517.0</v>
      </c>
      <c r="U372" s="44">
        <f t="shared" si="41"/>
        <v>3915.11</v>
      </c>
      <c r="V372" s="44">
        <f t="shared" si="3"/>
        <v>76</v>
      </c>
      <c r="W372" s="123"/>
      <c r="X372" s="123"/>
      <c r="Y372" s="123">
        <v>0.0</v>
      </c>
      <c r="Z372" s="123">
        <v>0.0</v>
      </c>
      <c r="AA372" s="123">
        <v>0.0</v>
      </c>
      <c r="AB372" s="123"/>
      <c r="AC372" s="123">
        <v>0.0</v>
      </c>
      <c r="AD372" s="44">
        <f t="shared" si="7"/>
        <v>0</v>
      </c>
      <c r="AE372" s="123">
        <v>0.0</v>
      </c>
    </row>
    <row r="373">
      <c r="A373" s="120">
        <v>2017.0</v>
      </c>
      <c r="B373" s="121">
        <v>8.0</v>
      </c>
      <c r="C373" s="122" t="s">
        <v>70</v>
      </c>
      <c r="D373" s="123">
        <v>1011.0</v>
      </c>
      <c r="E373" s="123">
        <v>2518.54</v>
      </c>
      <c r="F373" s="44"/>
      <c r="G373" s="44"/>
      <c r="H373" s="123">
        <v>-634.24</v>
      </c>
      <c r="I373" s="44"/>
      <c r="J373" s="44"/>
      <c r="K373" s="44"/>
      <c r="L373" s="123">
        <v>12798.75</v>
      </c>
      <c r="M373" s="44"/>
      <c r="N373" s="44"/>
      <c r="O373" s="123">
        <v>166148.0</v>
      </c>
      <c r="P373" s="52">
        <f t="shared" si="23"/>
        <v>166149.16</v>
      </c>
      <c r="Q373" s="124">
        <f t="shared" si="2"/>
        <v>-1.16</v>
      </c>
      <c r="R373" s="52">
        <f t="array" ref="R373">IFERROR(INDEX('Fund YTD Target Values'!$1:$1000, MATCH($C373,'Fund YTD Target Values'!$A:$A,0), MATCH($A373,'Fund YTD Target Values'!$1:$1,0)),0)</f>
        <v>151442.9959</v>
      </c>
      <c r="S373" s="52">
        <f>IFERROR(__xludf.DUMMYFUNCTION("IFERROR(sum(FILTER('Fund Data'!$V:$V, 'Fund Data'!$C:$C = $C373, 'Fund Data'!$A:$A &lt; $A373)),0) + IFERROR(sum(FILTER('Fund Data'!$V:$V, 'Fund Data'!$C:$C = $C373, 'Fund Data'!$A:$A = $A373, 'Fund Data'!$B:$B &lt;= $B373)),0)"),112356.11)</f>
        <v>112356.11</v>
      </c>
      <c r="T373" s="123">
        <v>108440.0</v>
      </c>
      <c r="U373" s="44">
        <f t="shared" si="41"/>
        <v>3916.11</v>
      </c>
      <c r="V373" s="44">
        <f t="shared" si="3"/>
        <v>0</v>
      </c>
      <c r="W373" s="123"/>
      <c r="X373" s="123"/>
      <c r="Y373" s="123">
        <v>0.0</v>
      </c>
      <c r="Z373" s="123">
        <v>0.0</v>
      </c>
      <c r="AA373" s="123">
        <v>0.0</v>
      </c>
      <c r="AB373" s="123"/>
      <c r="AC373" s="123">
        <v>0.0</v>
      </c>
      <c r="AD373" s="44">
        <f t="shared" si="7"/>
        <v>0</v>
      </c>
      <c r="AE373" s="123">
        <v>0.0</v>
      </c>
    </row>
    <row r="374">
      <c r="A374" s="120">
        <v>2017.0</v>
      </c>
      <c r="B374" s="121">
        <v>7.0</v>
      </c>
      <c r="C374" s="122" t="s">
        <v>70</v>
      </c>
      <c r="D374" s="123">
        <v>1011.0</v>
      </c>
      <c r="E374" s="123">
        <v>2404.96</v>
      </c>
      <c r="F374" s="44"/>
      <c r="G374" s="44"/>
      <c r="H374" s="123">
        <v>-551.39</v>
      </c>
      <c r="I374" s="44"/>
      <c r="J374" s="44"/>
      <c r="K374" s="44"/>
      <c r="L374" s="123">
        <v>12395.34</v>
      </c>
      <c r="M374" s="44"/>
      <c r="N374" s="44"/>
      <c r="O374" s="123">
        <v>165713.0</v>
      </c>
      <c r="P374" s="52">
        <f t="shared" si="23"/>
        <v>165715.02</v>
      </c>
      <c r="Q374" s="124">
        <f t="shared" si="2"/>
        <v>-2.02</v>
      </c>
      <c r="R374" s="52">
        <f t="array" ref="R374">IFERROR(INDEX('Fund YTD Target Values'!$1:$1000, MATCH($C374,'Fund YTD Target Values'!$A:$A,0), MATCH($A374,'Fund YTD Target Values'!$1:$1,0)),0)</f>
        <v>151442.9959</v>
      </c>
      <c r="S374" s="52">
        <f>IFERROR(__xludf.DUMMYFUNCTION("IFERROR(sum(FILTER('Fund Data'!$V:$V, 'Fund Data'!$C:$C = $C374, 'Fund Data'!$A:$A &lt; $A374)),0) + IFERROR(sum(FILTER('Fund Data'!$V:$V, 'Fund Data'!$C:$C = $C374, 'Fund Data'!$A:$A = $A374, 'Fund Data'!$B:$B &lt;= $B374)),0)"),112356.11)</f>
        <v>112356.11</v>
      </c>
      <c r="T374" s="123">
        <v>108440.0</v>
      </c>
      <c r="U374" s="44">
        <f t="shared" si="41"/>
        <v>3916.11</v>
      </c>
      <c r="V374" s="44">
        <f t="shared" si="3"/>
        <v>88</v>
      </c>
      <c r="W374" s="123"/>
      <c r="X374" s="123"/>
      <c r="Y374" s="123">
        <v>0.0</v>
      </c>
      <c r="Z374" s="123">
        <v>0.0</v>
      </c>
      <c r="AA374" s="123">
        <v>0.0</v>
      </c>
      <c r="AB374" s="123"/>
      <c r="AC374" s="123">
        <v>0.0</v>
      </c>
      <c r="AD374" s="44">
        <f t="shared" si="7"/>
        <v>0</v>
      </c>
      <c r="AE374" s="123">
        <v>0.0</v>
      </c>
    </row>
    <row r="375">
      <c r="A375" s="120">
        <v>2017.0</v>
      </c>
      <c r="B375" s="121">
        <v>6.0</v>
      </c>
      <c r="C375" s="122" t="s">
        <v>70</v>
      </c>
      <c r="D375" s="123">
        <v>923.0</v>
      </c>
      <c r="E375" s="123">
        <v>1912.92</v>
      </c>
      <c r="F375" s="44"/>
      <c r="G375" s="44"/>
      <c r="H375" s="123">
        <v>-470.38</v>
      </c>
      <c r="I375" s="44"/>
      <c r="J375" s="44"/>
      <c r="K375" s="44"/>
      <c r="L375" s="123">
        <v>9205.21</v>
      </c>
      <c r="M375" s="44"/>
      <c r="N375" s="44"/>
      <c r="O375" s="123">
        <v>162024.0</v>
      </c>
      <c r="P375" s="52">
        <f t="shared" si="23"/>
        <v>162025.86</v>
      </c>
      <c r="Q375" s="124">
        <f t="shared" si="2"/>
        <v>-1.86</v>
      </c>
      <c r="R375" s="52">
        <f t="array" ref="R375">IFERROR(INDEX('Fund YTD Target Values'!$1:$1000, MATCH($C375,'Fund YTD Target Values'!$A:$A,0), MATCH($A375,'Fund YTD Target Values'!$1:$1,0)),0)</f>
        <v>151442.9959</v>
      </c>
      <c r="S375" s="52">
        <f>IFERROR(__xludf.DUMMYFUNCTION("IFERROR(sum(FILTER('Fund Data'!$V:$V, 'Fund Data'!$C:$C = $C375, 'Fund Data'!$A:$A &lt; $A375)),0) + IFERROR(sum(FILTER('Fund Data'!$V:$V, 'Fund Data'!$C:$C = $C375, 'Fund Data'!$A:$A = $A375, 'Fund Data'!$B:$B &lt;= $B375)),0)"),112268.11)</f>
        <v>112268.11</v>
      </c>
      <c r="T375" s="123">
        <v>108352.0</v>
      </c>
      <c r="U375" s="44">
        <f t="shared" si="41"/>
        <v>3916.11</v>
      </c>
      <c r="V375" s="44">
        <f t="shared" si="3"/>
        <v>132</v>
      </c>
      <c r="W375" s="123"/>
      <c r="X375" s="123"/>
      <c r="Y375" s="123">
        <v>0.0</v>
      </c>
      <c r="Z375" s="123">
        <v>0.0</v>
      </c>
      <c r="AA375" s="123">
        <v>0.0</v>
      </c>
      <c r="AB375" s="123"/>
      <c r="AC375" s="123">
        <v>0.0</v>
      </c>
      <c r="AD375" s="44">
        <f t="shared" si="7"/>
        <v>0</v>
      </c>
      <c r="AE375" s="123">
        <v>0.0</v>
      </c>
    </row>
    <row r="376">
      <c r="A376" s="168">
        <v>2017.0</v>
      </c>
      <c r="B376" s="169">
        <v>5.0</v>
      </c>
      <c r="C376" s="122" t="s">
        <v>70</v>
      </c>
      <c r="D376" s="123">
        <v>791.0</v>
      </c>
      <c r="E376" s="123">
        <v>1806.41</v>
      </c>
      <c r="F376" s="44"/>
      <c r="G376" s="44"/>
      <c r="H376" s="123">
        <v>-389.61</v>
      </c>
      <c r="I376" s="44"/>
      <c r="J376" s="44"/>
      <c r="K376" s="44"/>
      <c r="L376" s="123">
        <v>8877.17</v>
      </c>
      <c r="M376" s="44"/>
      <c r="N376" s="44"/>
      <c r="O376" s="123">
        <v>161538.0</v>
      </c>
      <c r="P376" s="52">
        <f t="shared" si="23"/>
        <v>161540.08</v>
      </c>
      <c r="Q376" s="124">
        <f t="shared" si="2"/>
        <v>-2.08</v>
      </c>
      <c r="R376" s="52">
        <f t="array" ref="R376">IFERROR(INDEX('Fund YTD Target Values'!$1:$1000, MATCH($C376,'Fund YTD Target Values'!$A:$A,0), MATCH($A376,'Fund YTD Target Values'!$1:$1,0)),0)</f>
        <v>151442.9959</v>
      </c>
      <c r="S376" s="52">
        <f>IFERROR(__xludf.DUMMYFUNCTION("IFERROR(sum(FILTER('Fund Data'!$V:$V, 'Fund Data'!$C:$C = $C376, 'Fund Data'!$A:$A &lt; $A376)),0) + IFERROR(sum(FILTER('Fund Data'!$V:$V, 'Fund Data'!$C:$C = $C376, 'Fund Data'!$A:$A = $A376, 'Fund Data'!$B:$B &lt;= $B376)),0)"),112136.11)</f>
        <v>112136.11</v>
      </c>
      <c r="T376" s="123">
        <v>108220.0</v>
      </c>
      <c r="U376" s="44">
        <f t="shared" si="41"/>
        <v>3916.11</v>
      </c>
      <c r="V376" s="44">
        <f t="shared" si="3"/>
        <v>0</v>
      </c>
      <c r="W376" s="123"/>
      <c r="X376" s="123"/>
      <c r="Y376" s="123">
        <v>0.0</v>
      </c>
      <c r="Z376" s="123">
        <v>0.0</v>
      </c>
      <c r="AA376" s="123">
        <v>0.0</v>
      </c>
      <c r="AB376" s="123"/>
      <c r="AC376" s="123">
        <v>0.0</v>
      </c>
      <c r="AD376" s="44">
        <f t="shared" si="7"/>
        <v>0</v>
      </c>
      <c r="AE376" s="123">
        <v>0.0</v>
      </c>
    </row>
    <row r="377">
      <c r="A377" s="120">
        <v>2017.0</v>
      </c>
      <c r="B377" s="121">
        <v>4.0</v>
      </c>
      <c r="C377" s="122" t="s">
        <v>70</v>
      </c>
      <c r="D377" s="123">
        <v>791.0</v>
      </c>
      <c r="E377" s="123">
        <v>1806.41</v>
      </c>
      <c r="F377" s="44"/>
      <c r="G377" s="44"/>
      <c r="H377" s="123">
        <v>-389.61</v>
      </c>
      <c r="I377" s="44"/>
      <c r="J377" s="44"/>
      <c r="K377" s="44"/>
      <c r="L377" s="123">
        <v>8877.17</v>
      </c>
      <c r="M377" s="44"/>
      <c r="N377" s="44"/>
      <c r="O377" s="123">
        <v>161538.0</v>
      </c>
      <c r="P377" s="52">
        <f t="shared" si="23"/>
        <v>161540.08</v>
      </c>
      <c r="Q377" s="124">
        <f t="shared" si="2"/>
        <v>-2.08</v>
      </c>
      <c r="R377" s="52">
        <f t="array" ref="R377">IFERROR(INDEX('Fund YTD Target Values'!$1:$1000, MATCH($C377,'Fund YTD Target Values'!$A:$A,0), MATCH($A377,'Fund YTD Target Values'!$1:$1,0)),0)</f>
        <v>151442.9959</v>
      </c>
      <c r="S377" s="52">
        <f>IFERROR(__xludf.DUMMYFUNCTION("IFERROR(sum(FILTER('Fund Data'!$V:$V, 'Fund Data'!$C:$C = $C377, 'Fund Data'!$A:$A &lt; $A377)),0) + IFERROR(sum(FILTER('Fund Data'!$V:$V, 'Fund Data'!$C:$C = $C377, 'Fund Data'!$A:$A = $A377, 'Fund Data'!$B:$B &lt;= $B377)),0)"),112136.11)</f>
        <v>112136.11</v>
      </c>
      <c r="T377" s="123">
        <v>108220.0</v>
      </c>
      <c r="U377" s="44">
        <f t="shared" si="41"/>
        <v>3916.11</v>
      </c>
      <c r="V377" s="44">
        <f t="shared" si="3"/>
        <v>0</v>
      </c>
      <c r="W377" s="123"/>
      <c r="X377" s="123"/>
      <c r="Y377" s="123">
        <v>0.0</v>
      </c>
      <c r="Z377" s="123">
        <v>0.0</v>
      </c>
      <c r="AA377" s="123">
        <v>0.0</v>
      </c>
      <c r="AB377" s="123"/>
      <c r="AC377" s="123">
        <v>0.0</v>
      </c>
      <c r="AD377" s="44">
        <f t="shared" si="7"/>
        <v>0</v>
      </c>
      <c r="AE377" s="123">
        <v>0.0</v>
      </c>
    </row>
    <row r="378">
      <c r="A378" s="120">
        <v>2017.0</v>
      </c>
      <c r="B378" s="121">
        <v>3.0</v>
      </c>
      <c r="C378" s="122" t="s">
        <v>70</v>
      </c>
      <c r="D378" s="123">
        <v>791.0</v>
      </c>
      <c r="E378" s="123">
        <v>1288.22</v>
      </c>
      <c r="F378" s="44"/>
      <c r="G378" s="44"/>
      <c r="H378" s="123">
        <v>-230.72</v>
      </c>
      <c r="I378" s="44"/>
      <c r="J378" s="44"/>
      <c r="K378" s="44"/>
      <c r="L378" s="123">
        <v>5666.86</v>
      </c>
      <c r="M378" s="44"/>
      <c r="N378" s="44"/>
      <c r="O378" s="123">
        <v>157969.0</v>
      </c>
      <c r="P378" s="52">
        <f t="shared" si="23"/>
        <v>157970.47</v>
      </c>
      <c r="Q378" s="124">
        <f t="shared" si="2"/>
        <v>-1.47</v>
      </c>
      <c r="R378" s="52">
        <f t="array" ref="R378">IFERROR(INDEX('Fund YTD Target Values'!$1:$1000, MATCH($C378,'Fund YTD Target Values'!$A:$A,0), MATCH($A378,'Fund YTD Target Values'!$1:$1,0)),0)</f>
        <v>151442.9959</v>
      </c>
      <c r="S378" s="52">
        <f>IFERROR(__xludf.DUMMYFUNCTION("IFERROR(sum(FILTER('Fund Data'!$V:$V, 'Fund Data'!$C:$C = $C378, 'Fund Data'!$A:$A &lt; $A378)),0) + IFERROR(sum(FILTER('Fund Data'!$V:$V, 'Fund Data'!$C:$C = $C378, 'Fund Data'!$A:$A = $A378, 'Fund Data'!$B:$B &lt;= $B378)),0)"),112136.11)</f>
        <v>112136.11</v>
      </c>
      <c r="T378" s="123">
        <v>108220.0</v>
      </c>
      <c r="U378" s="44">
        <f t="shared" si="41"/>
        <v>3916.11</v>
      </c>
      <c r="V378" s="44">
        <f t="shared" si="3"/>
        <v>141</v>
      </c>
      <c r="W378" s="123"/>
      <c r="X378" s="123"/>
      <c r="Y378" s="123">
        <v>0.0</v>
      </c>
      <c r="Z378" s="123">
        <v>0.0</v>
      </c>
      <c r="AA378" s="123">
        <v>0.0</v>
      </c>
      <c r="AB378" s="123"/>
      <c r="AC378" s="123">
        <v>0.0</v>
      </c>
      <c r="AD378" s="44">
        <f t="shared" si="7"/>
        <v>0</v>
      </c>
      <c r="AE378" s="123">
        <v>0.0</v>
      </c>
    </row>
    <row r="379">
      <c r="A379" s="168">
        <v>2017.0</v>
      </c>
      <c r="B379" s="169">
        <v>2.0</v>
      </c>
      <c r="C379" s="122" t="s">
        <v>70</v>
      </c>
      <c r="D379" s="123">
        <v>650.0</v>
      </c>
      <c r="E379" s="123">
        <v>1185.68</v>
      </c>
      <c r="F379" s="44"/>
      <c r="G379" s="44"/>
      <c r="H379" s="123">
        <v>-152.08</v>
      </c>
      <c r="I379" s="44"/>
      <c r="J379" s="44"/>
      <c r="K379" s="44"/>
      <c r="L379" s="123">
        <v>5136.06</v>
      </c>
      <c r="M379" s="44"/>
      <c r="N379" s="44"/>
      <c r="O379" s="123">
        <v>157274.0</v>
      </c>
      <c r="P379" s="52">
        <f t="shared" si="23"/>
        <v>157274.77</v>
      </c>
      <c r="Q379" s="124">
        <f t="shared" si="2"/>
        <v>-0.7699999999</v>
      </c>
      <c r="R379" s="52">
        <f t="array" ref="R379">IFERROR(INDEX('Fund YTD Target Values'!$1:$1000, MATCH($C379,'Fund YTD Target Values'!$A:$A,0), MATCH($A379,'Fund YTD Target Values'!$1:$1,0)),0)</f>
        <v>151442.9959</v>
      </c>
      <c r="S379" s="52">
        <f>IFERROR(__xludf.DUMMYFUNCTION("IFERROR(sum(FILTER('Fund Data'!$V:$V, 'Fund Data'!$C:$C = $C379, 'Fund Data'!$A:$A &lt; $A379)),0) + IFERROR(sum(FILTER('Fund Data'!$V:$V, 'Fund Data'!$C:$C = $C379, 'Fund Data'!$A:$A = $A379, 'Fund Data'!$B:$B &lt;= $B379)),0)"),111995.11)</f>
        <v>111995.11</v>
      </c>
      <c r="T379" s="123">
        <v>108079.0</v>
      </c>
      <c r="U379" s="44">
        <f t="shared" si="41"/>
        <v>3916.11</v>
      </c>
      <c r="V379" s="44">
        <f t="shared" si="3"/>
        <v>650</v>
      </c>
      <c r="W379" s="123"/>
      <c r="X379" s="123"/>
      <c r="Y379" s="123">
        <v>0.0</v>
      </c>
      <c r="Z379" s="123">
        <v>0.0</v>
      </c>
      <c r="AA379" s="123">
        <v>0.0</v>
      </c>
      <c r="AB379" s="123"/>
      <c r="AC379" s="123">
        <v>0.0</v>
      </c>
      <c r="AD379" s="44">
        <f t="shared" si="7"/>
        <v>0</v>
      </c>
      <c r="AE379" s="123">
        <v>0.0</v>
      </c>
    </row>
    <row r="380">
      <c r="A380" s="168">
        <v>2017.0</v>
      </c>
      <c r="B380" s="169">
        <v>1.0</v>
      </c>
      <c r="C380" s="122" t="s">
        <v>70</v>
      </c>
      <c r="D380" s="44"/>
      <c r="E380" s="123">
        <v>1081.13</v>
      </c>
      <c r="F380" s="44"/>
      <c r="G380" s="44"/>
      <c r="H380" s="123">
        <v>-75.23</v>
      </c>
      <c r="I380" s="44"/>
      <c r="J380" s="44"/>
      <c r="K380" s="44"/>
      <c r="L380" s="123">
        <v>2245.3</v>
      </c>
      <c r="M380" s="44"/>
      <c r="N380" s="44"/>
      <c r="O380" s="123">
        <v>153705.0</v>
      </c>
      <c r="P380" s="52">
        <f t="shared" si="23"/>
        <v>153706.31</v>
      </c>
      <c r="Q380" s="124">
        <f t="shared" si="2"/>
        <v>-1.31</v>
      </c>
      <c r="R380" s="52">
        <f t="array" ref="R380">IFERROR(INDEX('Fund YTD Target Values'!$1:$1000, MATCH($C380,'Fund YTD Target Values'!$A:$A,0), MATCH($A380,'Fund YTD Target Values'!$1:$1,0)),0)</f>
        <v>151442.9959</v>
      </c>
      <c r="S380" s="52">
        <f>IFERROR(__xludf.DUMMYFUNCTION("IFERROR(sum(FILTER('Fund Data'!$V:$V, 'Fund Data'!$C:$C = $C380, 'Fund Data'!$A:$A &lt; $A380)),0) + IFERROR(sum(FILTER('Fund Data'!$V:$V, 'Fund Data'!$C:$C = $C380, 'Fund Data'!$A:$A = $A380, 'Fund Data'!$B:$B &lt;= $B380)),0)"),111345.11)</f>
        <v>111345.11</v>
      </c>
      <c r="T380" s="123">
        <v>108079.0</v>
      </c>
      <c r="U380" s="44">
        <f t="shared" si="41"/>
        <v>3266.11</v>
      </c>
      <c r="V380" s="44">
        <f t="shared" si="3"/>
        <v>0</v>
      </c>
      <c r="W380" s="123"/>
      <c r="X380" s="123"/>
      <c r="Y380" s="123">
        <v>0.0</v>
      </c>
      <c r="Z380" s="123">
        <v>0.0</v>
      </c>
      <c r="AA380" s="123">
        <v>0.0</v>
      </c>
      <c r="AB380" s="123"/>
      <c r="AC380" s="123">
        <v>0.0</v>
      </c>
      <c r="AD380" s="44">
        <f t="shared" si="7"/>
        <v>0</v>
      </c>
      <c r="AE380" s="123">
        <v>0.0</v>
      </c>
    </row>
    <row r="381">
      <c r="A381" s="120">
        <v>2016.0</v>
      </c>
      <c r="B381" s="121">
        <v>12.0</v>
      </c>
      <c r="C381" s="122" t="s">
        <v>70</v>
      </c>
      <c r="D381" s="123">
        <v>12994.0</v>
      </c>
      <c r="E381" s="123">
        <v>2961.63</v>
      </c>
      <c r="F381" s="123">
        <v>-7000.0</v>
      </c>
      <c r="G381" s="123"/>
      <c r="H381" s="123">
        <v>-825.07</v>
      </c>
      <c r="I381" s="44"/>
      <c r="J381" s="123">
        <v>5.04</v>
      </c>
      <c r="K381" s="44"/>
      <c r="L381" s="123">
        <v>5926.57</v>
      </c>
      <c r="M381" s="44"/>
      <c r="N381" s="44"/>
      <c r="O381" s="123">
        <v>150454.0</v>
      </c>
      <c r="P381" s="52">
        <f t="shared" si="23"/>
        <v>150455.11</v>
      </c>
      <c r="Q381" s="124">
        <f t="shared" si="2"/>
        <v>-1.11</v>
      </c>
      <c r="R381" s="52">
        <f t="array" ref="R381">IFERROR(INDEX('Fund YTD Target Values'!$1:$1000, MATCH($C381,'Fund YTD Target Values'!$A:$A,0), MATCH($A381,'Fund YTD Target Values'!$1:$1,0)),0)</f>
        <v>147217.8777</v>
      </c>
      <c r="S381" s="52">
        <f>IFERROR(__xludf.DUMMYFUNCTION("IFERROR(sum(FILTER('Fund Data'!$V:$V, 'Fund Data'!$C:$C = $C381, 'Fund Data'!$A:$A &lt; $A381)),0) + IFERROR(sum(FILTER('Fund Data'!$V:$V, 'Fund Data'!$C:$C = $C381, 'Fund Data'!$A:$A = $A381, 'Fund Data'!$B:$B &lt;= $B381)),0)"),111345.11)</f>
        <v>111345.11</v>
      </c>
      <c r="T381" s="123">
        <v>108079.0</v>
      </c>
      <c r="U381" s="44">
        <f t="shared" si="41"/>
        <v>3266.11</v>
      </c>
      <c r="V381" s="44">
        <f t="shared" si="3"/>
        <v>12994</v>
      </c>
      <c r="W381" s="123"/>
      <c r="X381" s="123"/>
      <c r="Y381" s="123">
        <v>0.0</v>
      </c>
      <c r="Z381" s="123">
        <v>0.0</v>
      </c>
      <c r="AA381" s="123">
        <v>0.0</v>
      </c>
      <c r="AB381" s="123"/>
      <c r="AC381" s="123">
        <v>0.0</v>
      </c>
      <c r="AD381" s="44">
        <f t="shared" si="7"/>
        <v>-7000</v>
      </c>
      <c r="AE381" s="123">
        <v>0.0</v>
      </c>
    </row>
    <row r="382">
      <c r="A382" s="120">
        <v>2015.0</v>
      </c>
      <c r="B382" s="121">
        <v>12.0</v>
      </c>
      <c r="C382" s="122" t="s">
        <v>70</v>
      </c>
      <c r="D382" s="123">
        <v>1361.0</v>
      </c>
      <c r="E382" s="123">
        <v>3267.98</v>
      </c>
      <c r="F382" s="44"/>
      <c r="G382" s="123"/>
      <c r="H382" s="123">
        <v>-846.92</v>
      </c>
      <c r="I382" s="44"/>
      <c r="J382" s="44"/>
      <c r="K382" s="44"/>
      <c r="L382" s="123">
        <v>-6080.57</v>
      </c>
      <c r="M382" s="44"/>
      <c r="N382" s="44"/>
      <c r="O382" s="123">
        <v>136392.0</v>
      </c>
      <c r="P382" s="52">
        <f t="shared" si="23"/>
        <v>136392.94</v>
      </c>
      <c r="Q382" s="124">
        <f t="shared" si="2"/>
        <v>-0.9399999999</v>
      </c>
      <c r="R382" s="52">
        <f t="array" ref="R382">IFERROR(INDEX('Fund YTD Target Values'!$1:$1000, MATCH($C382,'Fund YTD Target Values'!$A:$A,0), MATCH($A382,'Fund YTD Target Values'!$1:$1,0)),0)</f>
        <v>132551.2874</v>
      </c>
      <c r="S382" s="52">
        <f>IFERROR(__xludf.DUMMYFUNCTION("IFERROR(sum(FILTER('Fund Data'!$V:$V, 'Fund Data'!$C:$C = $C382, 'Fund Data'!$A:$A &lt; $A382)),0) + IFERROR(sum(FILTER('Fund Data'!$V:$V, 'Fund Data'!$C:$C = $C382, 'Fund Data'!$A:$A = $A382, 'Fund Data'!$B:$B &lt;= $B382)),0)"),98351.11)</f>
        <v>98351.11</v>
      </c>
      <c r="T382" s="123">
        <v>94435.0</v>
      </c>
      <c r="U382" s="44">
        <f t="shared" si="41"/>
        <v>3916.11</v>
      </c>
      <c r="V382" s="44">
        <f t="shared" si="3"/>
        <v>1361</v>
      </c>
      <c r="W382" s="123"/>
      <c r="X382" s="123"/>
      <c r="Y382" s="123">
        <v>0.0</v>
      </c>
      <c r="Z382" s="123">
        <v>0.0</v>
      </c>
      <c r="AA382" s="123">
        <v>0.0</v>
      </c>
      <c r="AB382" s="123"/>
      <c r="AC382" s="123">
        <v>0.0</v>
      </c>
      <c r="AD382" s="44">
        <f t="shared" si="7"/>
        <v>0</v>
      </c>
      <c r="AE382" s="123">
        <v>0.0</v>
      </c>
    </row>
    <row r="383">
      <c r="A383" s="120">
        <v>2014.0</v>
      </c>
      <c r="B383" s="121">
        <v>12.0</v>
      </c>
      <c r="C383" s="122" t="s">
        <v>70</v>
      </c>
      <c r="D383" s="123">
        <v>200.0</v>
      </c>
      <c r="E383" s="123">
        <v>2692.6</v>
      </c>
      <c r="F383" s="123">
        <v>-7000.0</v>
      </c>
      <c r="G383" s="123"/>
      <c r="H383" s="123">
        <v>-863.08</v>
      </c>
      <c r="I383" s="44"/>
      <c r="J383" s="123">
        <v>875.53</v>
      </c>
      <c r="K383" s="44"/>
      <c r="L383" s="123">
        <v>-211.98</v>
      </c>
      <c r="M383" s="44"/>
      <c r="N383" s="44"/>
      <c r="O383" s="123">
        <v>138691.0</v>
      </c>
      <c r="P383" s="52">
        <f t="shared" si="23"/>
        <v>138691.45</v>
      </c>
      <c r="Q383" s="124">
        <f t="shared" si="2"/>
        <v>-0.45</v>
      </c>
      <c r="R383" s="52">
        <f t="array" ref="R383">IFERROR(INDEX('Fund YTD Target Values'!$1:$1000, MATCH($C383,'Fund YTD Target Values'!$A:$A,0), MATCH($A383,'Fund YTD Target Values'!$1:$1,0)),0)</f>
        <v>131034.488</v>
      </c>
      <c r="S383" s="52">
        <f>IFERROR(__xludf.DUMMYFUNCTION("IFERROR(sum(FILTER('Fund Data'!$V:$V, 'Fund Data'!$C:$C = $C383, 'Fund Data'!$A:$A &lt; $A383)),0) + IFERROR(sum(FILTER('Fund Data'!$V:$V, 'Fund Data'!$C:$C = $C383, 'Fund Data'!$A:$A = $A383, 'Fund Data'!$B:$B &lt;= $B383)),0)"),96990.11)</f>
        <v>96990.11</v>
      </c>
      <c r="T383" s="123">
        <v>93914.0</v>
      </c>
      <c r="U383" s="44">
        <f t="shared" si="41"/>
        <v>3076.11</v>
      </c>
      <c r="V383" s="44">
        <f t="shared" si="3"/>
        <v>200</v>
      </c>
      <c r="W383" s="123"/>
      <c r="X383" s="123"/>
      <c r="Y383" s="123">
        <v>0.0</v>
      </c>
      <c r="Z383" s="123">
        <v>0.0</v>
      </c>
      <c r="AA383" s="123">
        <v>0.0</v>
      </c>
      <c r="AB383" s="123"/>
      <c r="AC383" s="123">
        <v>0.0</v>
      </c>
      <c r="AD383" s="44">
        <f t="shared" si="7"/>
        <v>-7000</v>
      </c>
      <c r="AE383" s="123">
        <v>0.0</v>
      </c>
    </row>
    <row r="384">
      <c r="A384" s="120">
        <v>2013.0</v>
      </c>
      <c r="B384" s="121">
        <v>12.0</v>
      </c>
      <c r="C384" s="122" t="s">
        <v>70</v>
      </c>
      <c r="D384" s="123">
        <v>500.0</v>
      </c>
      <c r="E384" s="123">
        <v>2790.09</v>
      </c>
      <c r="F384" s="44"/>
      <c r="G384" s="123"/>
      <c r="H384" s="123">
        <v>-811.6</v>
      </c>
      <c r="I384" s="44"/>
      <c r="J384" s="123">
        <v>1.62</v>
      </c>
      <c r="K384" s="44"/>
      <c r="L384" s="123">
        <v>11964.5</v>
      </c>
      <c r="M384" s="44"/>
      <c r="N384" s="44"/>
      <c r="O384" s="123">
        <v>142998.0</v>
      </c>
      <c r="P384" s="52">
        <f t="shared" si="23"/>
        <v>142998.38</v>
      </c>
      <c r="Q384" s="124">
        <f t="shared" si="2"/>
        <v>-0.3799999999</v>
      </c>
      <c r="R384" s="52">
        <f t="array" ref="R384">IFERROR(INDEX('Fund YTD Target Values'!$1:$1000, MATCH($C384,'Fund YTD Target Values'!$A:$A,0), MATCH($A384,'Fund YTD Target Values'!$1:$1,0)),0)</f>
        <v>128746.3448</v>
      </c>
      <c r="S384" s="52">
        <f>IFERROR(__xludf.DUMMYFUNCTION("IFERROR(sum(FILTER('Fund Data'!$V:$V, 'Fund Data'!$C:$C = $C384, 'Fund Data'!$A:$A &lt; $A384)),0) + IFERROR(sum(FILTER('Fund Data'!$V:$V, 'Fund Data'!$C:$C = $C384, 'Fund Data'!$A:$A = $A384, 'Fund Data'!$B:$B &lt;= $B384)),0)"),96790.11)</f>
        <v>96790.11</v>
      </c>
      <c r="T384" s="123">
        <v>92874.0</v>
      </c>
      <c r="U384" s="44">
        <f t="shared" si="41"/>
        <v>3916.11</v>
      </c>
      <c r="V384" s="44">
        <f t="shared" si="3"/>
        <v>500</v>
      </c>
      <c r="W384" s="123"/>
      <c r="X384" s="123"/>
      <c r="Y384" s="123">
        <v>0.0</v>
      </c>
      <c r="Z384" s="123">
        <v>0.0</v>
      </c>
      <c r="AA384" s="123">
        <v>0.0</v>
      </c>
      <c r="AB384" s="123"/>
      <c r="AC384" s="123">
        <v>0.0</v>
      </c>
      <c r="AD384" s="44">
        <f t="shared" si="7"/>
        <v>0</v>
      </c>
      <c r="AE384" s="123">
        <v>0.0</v>
      </c>
    </row>
    <row r="385">
      <c r="A385" s="120">
        <v>2012.0</v>
      </c>
      <c r="B385" s="121">
        <v>12.0</v>
      </c>
      <c r="C385" s="122" t="s">
        <v>70</v>
      </c>
      <c r="D385" s="123">
        <v>1000.0</v>
      </c>
      <c r="E385" s="123">
        <v>2570.06</v>
      </c>
      <c r="F385" s="123">
        <v>-7000.0</v>
      </c>
      <c r="G385" s="123"/>
      <c r="H385" s="123">
        <v>-761.23</v>
      </c>
      <c r="I385" s="44"/>
      <c r="J385" s="123">
        <v>297.71</v>
      </c>
      <c r="K385" s="44"/>
      <c r="L385" s="123">
        <v>12226.2</v>
      </c>
      <c r="M385" s="44"/>
      <c r="N385" s="44"/>
      <c r="O385" s="123">
        <v>128554.0</v>
      </c>
      <c r="P385" s="52">
        <f t="shared" si="23"/>
        <v>128553.77</v>
      </c>
      <c r="Q385" s="124">
        <f t="shared" si="2"/>
        <v>0.23</v>
      </c>
      <c r="R385" s="52">
        <f t="array" ref="R385">IFERROR(INDEX('Fund YTD Target Values'!$1:$1000, MATCH($C385,'Fund YTD Target Values'!$A:$A,0), MATCH($A385,'Fund YTD Target Values'!$1:$1,0)),0)</f>
        <v>126393.3606</v>
      </c>
      <c r="S385" s="52">
        <f>IFERROR(__xludf.DUMMYFUNCTION("IFERROR(sum(FILTER('Fund Data'!$V:$V, 'Fund Data'!$C:$C = $C385, 'Fund Data'!$A:$A &lt; $A385)),0) + IFERROR(sum(FILTER('Fund Data'!$V:$V, 'Fund Data'!$C:$C = $C385, 'Fund Data'!$A:$A = $A385, 'Fund Data'!$B:$B &lt;= $B385)),0)"),96290.11)</f>
        <v>96290.11</v>
      </c>
      <c r="T385" s="123">
        <v>92674.0</v>
      </c>
      <c r="U385" s="44">
        <f t="shared" si="41"/>
        <v>3616.11</v>
      </c>
      <c r="V385" s="44">
        <f t="shared" si="3"/>
        <v>1000</v>
      </c>
      <c r="W385" s="123"/>
      <c r="X385" s="123"/>
      <c r="Y385" s="123">
        <v>0.0</v>
      </c>
      <c r="Z385" s="123">
        <v>0.0</v>
      </c>
      <c r="AA385" s="123">
        <v>0.0</v>
      </c>
      <c r="AB385" s="123"/>
      <c r="AC385" s="123">
        <v>0.0</v>
      </c>
      <c r="AD385" s="44">
        <f t="shared" si="7"/>
        <v>-7000</v>
      </c>
      <c r="AE385" s="123">
        <v>0.0</v>
      </c>
    </row>
    <row r="386">
      <c r="A386" s="120">
        <v>2011.0</v>
      </c>
      <c r="B386" s="121">
        <v>12.0</v>
      </c>
      <c r="C386" s="122" t="s">
        <v>70</v>
      </c>
      <c r="D386" s="123">
        <v>450.0</v>
      </c>
      <c r="E386" s="123">
        <v>2121.0</v>
      </c>
      <c r="F386" s="44"/>
      <c r="G386" s="123"/>
      <c r="H386" s="123">
        <v>-764.11</v>
      </c>
      <c r="I386" s="44"/>
      <c r="J386" s="44"/>
      <c r="K386" s="44"/>
      <c r="L386" s="123">
        <v>-7815.1</v>
      </c>
      <c r="M386" s="44"/>
      <c r="N386" s="44"/>
      <c r="O386" s="123">
        <v>120221.0</v>
      </c>
      <c r="P386" s="52">
        <f t="shared" si="23"/>
        <v>120221.03</v>
      </c>
      <c r="Q386" s="124">
        <f t="shared" si="2"/>
        <v>-0.02999999993</v>
      </c>
      <c r="R386" s="52">
        <f t="array" ref="R386">IFERROR(INDEX('Fund YTD Target Values'!$1:$1000, MATCH($C386,'Fund YTD Target Values'!$A:$A,0), MATCH($A386,'Fund YTD Target Values'!$1:$1,0)),0)</f>
        <v>122846.5156</v>
      </c>
      <c r="S386" s="52">
        <f>IFERROR(__xludf.DUMMYFUNCTION("IFERROR(sum(FILTER('Fund Data'!$V:$V, 'Fund Data'!$C:$C = $C386, 'Fund Data'!$A:$A &lt; $A386)),0) + IFERROR(sum(FILTER('Fund Data'!$V:$V, 'Fund Data'!$C:$C = $C386, 'Fund Data'!$A:$A = $A386, 'Fund Data'!$B:$B &lt;= $B386)),0)"),95290.11)</f>
        <v>95290.11</v>
      </c>
      <c r="T386" s="123">
        <v>91974.0</v>
      </c>
      <c r="U386" s="44">
        <f t="shared" si="41"/>
        <v>3316.11</v>
      </c>
      <c r="V386" s="44">
        <f t="shared" si="3"/>
        <v>450</v>
      </c>
      <c r="W386" s="123"/>
      <c r="X386" s="123"/>
      <c r="Y386" s="123">
        <v>0.0</v>
      </c>
      <c r="Z386" s="123">
        <v>0.0</v>
      </c>
      <c r="AA386" s="123">
        <v>0.0</v>
      </c>
      <c r="AB386" s="123"/>
      <c r="AC386" s="123">
        <v>0.0</v>
      </c>
      <c r="AD386" s="44">
        <f t="shared" si="7"/>
        <v>0</v>
      </c>
      <c r="AE386" s="123">
        <v>0.0</v>
      </c>
    </row>
    <row r="387">
      <c r="A387" s="120">
        <v>2010.0</v>
      </c>
      <c r="B387" s="121">
        <v>12.0</v>
      </c>
      <c r="C387" s="122" t="s">
        <v>70</v>
      </c>
      <c r="D387" s="123">
        <v>2510.0</v>
      </c>
      <c r="E387" s="123">
        <v>2390.17</v>
      </c>
      <c r="F387" s="123">
        <v>-7000.0</v>
      </c>
      <c r="G387" s="123"/>
      <c r="H387" s="123">
        <v>-694.72</v>
      </c>
      <c r="I387" s="44"/>
      <c r="J387" s="44"/>
      <c r="K387" s="44"/>
      <c r="L387" s="123">
        <v>13116.46</v>
      </c>
      <c r="M387" s="44"/>
      <c r="N387" s="44"/>
      <c r="O387" s="123">
        <v>126229.0</v>
      </c>
      <c r="P387" s="52">
        <f t="shared" si="23"/>
        <v>126229.24</v>
      </c>
      <c r="Q387" s="124">
        <f t="shared" si="2"/>
        <v>-0.24</v>
      </c>
      <c r="R387" s="52">
        <f t="array" ref="R387">IFERROR(INDEX('Fund YTD Target Values'!$1:$1000, MATCH($C387,'Fund YTD Target Values'!$A:$A,0), MATCH($A387,'Fund YTD Target Values'!$1:$1,0)),0)</f>
        <v>118652.7813</v>
      </c>
      <c r="S387" s="52">
        <f>IFERROR(__xludf.DUMMYFUNCTION("IFERROR(sum(FILTER('Fund Data'!$V:$V, 'Fund Data'!$C:$C = $C387, 'Fund Data'!$A:$A &lt; $A387)),0) + IFERROR(sum(FILTER('Fund Data'!$V:$V, 'Fund Data'!$C:$C = $C387, 'Fund Data'!$A:$A = $A387, 'Fund Data'!$B:$B &lt;= $B387)),0)"),94840.11)</f>
        <v>94840.11</v>
      </c>
      <c r="T387" s="123">
        <v>91124.0</v>
      </c>
      <c r="U387" s="44">
        <f t="shared" si="41"/>
        <v>3716.11</v>
      </c>
      <c r="V387" s="44">
        <f t="shared" si="3"/>
        <v>2510</v>
      </c>
      <c r="W387" s="123"/>
      <c r="X387" s="123"/>
      <c r="Y387" s="123">
        <v>0.0</v>
      </c>
      <c r="Z387" s="123">
        <v>0.0</v>
      </c>
      <c r="AA387" s="123">
        <v>0.0</v>
      </c>
      <c r="AB387" s="123"/>
      <c r="AC387" s="123">
        <v>0.0</v>
      </c>
      <c r="AD387" s="44">
        <f t="shared" si="7"/>
        <v>-7000</v>
      </c>
      <c r="AE387" s="123">
        <v>0.0</v>
      </c>
    </row>
    <row r="388">
      <c r="A388" s="120">
        <v>2009.0</v>
      </c>
      <c r="B388" s="121">
        <v>12.0</v>
      </c>
      <c r="C388" s="122" t="s">
        <v>70</v>
      </c>
      <c r="D388" s="123">
        <v>1084.0</v>
      </c>
      <c r="E388" s="123">
        <v>2927.59</v>
      </c>
      <c r="F388" s="44"/>
      <c r="G388" s="123"/>
      <c r="H388" s="123">
        <v>-604.47</v>
      </c>
      <c r="I388" s="44"/>
      <c r="J388" s="44"/>
      <c r="K388" s="44"/>
      <c r="L388" s="123">
        <v>17252.25</v>
      </c>
      <c r="M388" s="44"/>
      <c r="N388" s="44"/>
      <c r="O388" s="123">
        <v>115907.0</v>
      </c>
      <c r="P388" s="52">
        <f t="shared" si="23"/>
        <v>115907.33</v>
      </c>
      <c r="Q388" s="124">
        <f t="shared" si="2"/>
        <v>-0.33</v>
      </c>
      <c r="R388" s="52">
        <f t="array" ref="R388">IFERROR(INDEX('Fund YTD Target Values'!$1:$1000, MATCH($C388,'Fund YTD Target Values'!$A:$A,0), MATCH($A388,'Fund YTD Target Values'!$1:$1,0)),0)</f>
        <v>114263.9174</v>
      </c>
      <c r="S388" s="52">
        <f>IFERROR(__xludf.DUMMYFUNCTION("IFERROR(sum(FILTER('Fund Data'!$V:$V, 'Fund Data'!$C:$C = $C388, 'Fund Data'!$A:$A &lt; $A388)),0) + IFERROR(sum(FILTER('Fund Data'!$V:$V, 'Fund Data'!$C:$C = $C388, 'Fund Data'!$A:$A = $A388, 'Fund Data'!$B:$B &lt;= $B388)),0)"),92330.11)</f>
        <v>92330.11</v>
      </c>
      <c r="T388" s="123">
        <v>88414.0</v>
      </c>
      <c r="U388" s="44">
        <f t="shared" si="41"/>
        <v>3916.11</v>
      </c>
      <c r="V388" s="44">
        <f t="shared" si="3"/>
        <v>1084</v>
      </c>
      <c r="W388" s="123"/>
      <c r="X388" s="123"/>
      <c r="Y388" s="123">
        <v>0.0</v>
      </c>
      <c r="Z388" s="123">
        <v>0.0</v>
      </c>
      <c r="AA388" s="123">
        <v>0.0</v>
      </c>
      <c r="AB388" s="123"/>
      <c r="AC388" s="123">
        <v>0.0</v>
      </c>
      <c r="AD388" s="44">
        <f t="shared" si="7"/>
        <v>0</v>
      </c>
      <c r="AE388" s="123">
        <v>0.0</v>
      </c>
    </row>
    <row r="389">
      <c r="A389" s="120">
        <v>2008.0</v>
      </c>
      <c r="B389" s="121">
        <v>12.0</v>
      </c>
      <c r="C389" s="122" t="s">
        <v>70</v>
      </c>
      <c r="D389" s="123">
        <v>1185.04</v>
      </c>
      <c r="E389" s="123">
        <v>3081.37</v>
      </c>
      <c r="F389" s="123">
        <v>-5000.0</v>
      </c>
      <c r="G389" s="123"/>
      <c r="H389" s="123">
        <v>-691.22</v>
      </c>
      <c r="I389" s="44"/>
      <c r="J389" s="44"/>
      <c r="K389" s="44"/>
      <c r="L389" s="123">
        <v>-31464.06</v>
      </c>
      <c r="M389" s="44"/>
      <c r="N389" s="44"/>
      <c r="O389" s="123">
        <v>95248.0</v>
      </c>
      <c r="P389" s="52">
        <f t="shared" si="23"/>
        <v>95247.96</v>
      </c>
      <c r="Q389" s="124">
        <f t="shared" si="2"/>
        <v>0.04000000004</v>
      </c>
      <c r="R389" s="52">
        <f t="array" ref="R389">IFERROR(INDEX('Fund YTD Target Values'!$1:$1000, MATCH($C389,'Fund YTD Target Values'!$A:$A,0), MATCH($A389,'Fund YTD Target Values'!$1:$1,0)),0)</f>
        <v>113563.5351</v>
      </c>
      <c r="S389" s="52">
        <f>IFERROR(__xludf.DUMMYFUNCTION("IFERROR(sum(FILTER('Fund Data'!$V:$V, 'Fund Data'!$C:$C = $C389, 'Fund Data'!$A:$A &lt; $A389)),0) + IFERROR(sum(FILTER('Fund Data'!$V:$V, 'Fund Data'!$C:$C = $C389, 'Fund Data'!$A:$A = $A389, 'Fund Data'!$B:$B &lt;= $B389)),0)"),91246.10999999999)</f>
        <v>91246.11</v>
      </c>
      <c r="T389" s="123">
        <v>87330.0</v>
      </c>
      <c r="U389" s="44">
        <f t="shared" si="41"/>
        <v>3916.11</v>
      </c>
      <c r="V389" s="44">
        <f t="shared" si="3"/>
        <v>1185.04</v>
      </c>
      <c r="W389" s="123"/>
      <c r="X389" s="123"/>
      <c r="Y389" s="123">
        <v>0.0</v>
      </c>
      <c r="Z389" s="123">
        <v>0.0</v>
      </c>
      <c r="AA389" s="123">
        <v>0.0</v>
      </c>
      <c r="AB389" s="123"/>
      <c r="AC389" s="123">
        <v>0.0</v>
      </c>
      <c r="AD389" s="44">
        <f t="shared" si="7"/>
        <v>-5000</v>
      </c>
      <c r="AE389" s="123">
        <v>0.0</v>
      </c>
    </row>
    <row r="390">
      <c r="A390" s="120">
        <v>2007.0</v>
      </c>
      <c r="B390" s="121">
        <v>12.0</v>
      </c>
      <c r="C390" s="122" t="s">
        <v>70</v>
      </c>
      <c r="D390" s="123">
        <v>1042.62</v>
      </c>
      <c r="E390" s="123">
        <v>1980.62</v>
      </c>
      <c r="F390" s="44"/>
      <c r="G390" s="123"/>
      <c r="H390" s="123">
        <v>-744.18</v>
      </c>
      <c r="I390" s="44"/>
      <c r="J390" s="44"/>
      <c r="K390" s="44"/>
      <c r="L390" s="123">
        <v>10115.55</v>
      </c>
      <c r="M390" s="123">
        <v>-5.0</v>
      </c>
      <c r="N390" s="44"/>
      <c r="O390" s="123">
        <v>128137.0</v>
      </c>
      <c r="P390" s="52">
        <f t="shared" si="23"/>
        <v>128136.83</v>
      </c>
      <c r="Q390" s="124">
        <f t="shared" si="2"/>
        <v>0.17</v>
      </c>
      <c r="R390" s="52">
        <f t="array" ref="R390">IFERROR(INDEX('Fund YTD Target Values'!$1:$1000, MATCH($C390,'Fund YTD Target Values'!$A:$A,0), MATCH($A390,'Fund YTD Target Values'!$1:$1,0)),0)</f>
        <v>108216.8714</v>
      </c>
      <c r="S390" s="52">
        <f>IFERROR(__xludf.DUMMYFUNCTION("IFERROR(sum(FILTER('Fund Data'!$V:$V, 'Fund Data'!$C:$C = $C390, 'Fund Data'!$A:$A &lt; $A390)),0) + IFERROR(sum(FILTER('Fund Data'!$V:$V, 'Fund Data'!$C:$C = $C390, 'Fund Data'!$A:$A = $A390, 'Fund Data'!$B:$B &lt;= $B390)),0)"),90061.06999999999)</f>
        <v>90061.07</v>
      </c>
      <c r="T390" s="123">
        <v>86245.0</v>
      </c>
      <c r="U390" s="44">
        <f t="shared" si="41"/>
        <v>3816.07</v>
      </c>
      <c r="V390" s="44">
        <f t="shared" si="3"/>
        <v>1042.62</v>
      </c>
      <c r="W390" s="123"/>
      <c r="X390" s="123"/>
      <c r="Y390" s="123">
        <v>0.0</v>
      </c>
      <c r="Z390" s="123">
        <v>0.0</v>
      </c>
      <c r="AA390" s="123">
        <v>0.0</v>
      </c>
      <c r="AB390" s="123"/>
      <c r="AC390" s="123">
        <v>0.0</v>
      </c>
      <c r="AD390" s="44">
        <f t="shared" si="7"/>
        <v>0</v>
      </c>
      <c r="AE390" s="123">
        <v>0.0</v>
      </c>
    </row>
    <row r="391">
      <c r="A391" s="120">
        <v>2006.0</v>
      </c>
      <c r="B391" s="121">
        <v>12.0</v>
      </c>
      <c r="C391" s="122" t="s">
        <v>70</v>
      </c>
      <c r="D391" s="123">
        <v>23933.0</v>
      </c>
      <c r="E391" s="123">
        <v>1427.57</v>
      </c>
      <c r="F391" s="123">
        <v>-2500.0</v>
      </c>
      <c r="G391" s="123"/>
      <c r="H391" s="123">
        <v>-520.66</v>
      </c>
      <c r="I391" s="44"/>
      <c r="J391" s="123">
        <v>13.88</v>
      </c>
      <c r="K391" s="44"/>
      <c r="L391" s="123">
        <v>9395.22</v>
      </c>
      <c r="M391" s="123">
        <v>-233.98</v>
      </c>
      <c r="N391" s="44"/>
      <c r="O391" s="123">
        <v>115747.0</v>
      </c>
      <c r="P391" s="52">
        <f t="shared" si="23"/>
        <v>115747.22</v>
      </c>
      <c r="Q391" s="124">
        <f t="shared" si="2"/>
        <v>-0.22</v>
      </c>
      <c r="R391" s="52">
        <f t="array" ref="R391">IFERROR(INDEX('Fund YTD Target Values'!$1:$1000, MATCH($C391,'Fund YTD Target Values'!$A:$A,0), MATCH($A391,'Fund YTD Target Values'!$1:$1,0)),0)</f>
        <v>104202.0417</v>
      </c>
      <c r="S391" s="52">
        <f>IFERROR(__xludf.DUMMYFUNCTION("IFERROR(sum(FILTER('Fund Data'!$V:$V, 'Fund Data'!$C:$C = $C391, 'Fund Data'!$A:$A &lt; $A391)),0) + IFERROR(sum(FILTER('Fund Data'!$V:$V, 'Fund Data'!$C:$C = $C391, 'Fund Data'!$A:$A = $A391, 'Fund Data'!$B:$B &lt;= $B391)),0)"),89018.45)</f>
        <v>89018.45</v>
      </c>
      <c r="T391" s="123">
        <v>85102.0</v>
      </c>
      <c r="U391" s="44">
        <f t="shared" si="41"/>
        <v>3916.45</v>
      </c>
      <c r="V391" s="44">
        <f t="shared" si="3"/>
        <v>23933</v>
      </c>
      <c r="W391" s="123"/>
      <c r="X391" s="123"/>
      <c r="Y391" s="123">
        <v>0.0</v>
      </c>
      <c r="Z391" s="123">
        <v>0.0</v>
      </c>
      <c r="AA391" s="123">
        <v>0.0</v>
      </c>
      <c r="AB391" s="123"/>
      <c r="AC391" s="123">
        <v>0.0</v>
      </c>
      <c r="AD391" s="44">
        <f t="shared" si="7"/>
        <v>-2500</v>
      </c>
      <c r="AE391" s="123">
        <v>0.0</v>
      </c>
    </row>
    <row r="392">
      <c r="A392" s="120">
        <v>2005.0</v>
      </c>
      <c r="B392" s="121">
        <v>12.0</v>
      </c>
      <c r="C392" s="122" t="s">
        <v>70</v>
      </c>
      <c r="D392" s="123">
        <v>2809.0</v>
      </c>
      <c r="E392" s="123">
        <v>1653.68</v>
      </c>
      <c r="F392" s="123">
        <v>-1250.0</v>
      </c>
      <c r="G392" s="123"/>
      <c r="H392" s="123">
        <v>-427.56</v>
      </c>
      <c r="I392" s="44"/>
      <c r="J392" s="123">
        <v>10733.55</v>
      </c>
      <c r="K392" s="44"/>
      <c r="L392" s="123">
        <v>-7510.8</v>
      </c>
      <c r="M392" s="123">
        <v>236.69</v>
      </c>
      <c r="N392" s="44"/>
      <c r="O392" s="123">
        <v>84232.0</v>
      </c>
      <c r="P392" s="52">
        <f t="shared" si="23"/>
        <v>84232.19</v>
      </c>
      <c r="Q392" s="124">
        <f t="shared" si="2"/>
        <v>-0.19</v>
      </c>
      <c r="R392" s="52">
        <f t="array" ref="R392">IFERROR(INDEX('Fund YTD Target Values'!$1:$1000, MATCH($C392,'Fund YTD Target Values'!$A:$A,0), MATCH($A392,'Fund YTD Target Values'!$1:$1,0)),0)</f>
        <v>77753.54343</v>
      </c>
      <c r="S392" s="52">
        <f>IFERROR(__xludf.DUMMYFUNCTION("IFERROR(sum(FILTER('Fund Data'!$V:$V, 'Fund Data'!$C:$C = $C392, 'Fund Data'!$A:$A &lt; $A392)),0) + IFERROR(sum(FILTER('Fund Data'!$V:$V, 'Fund Data'!$C:$C = $C392, 'Fund Data'!$A:$A = $A392, 'Fund Data'!$B:$B &lt;= $B392)),0)"),65085.45)</f>
        <v>65085.45</v>
      </c>
      <c r="T392" s="123">
        <v>61169.0</v>
      </c>
      <c r="U392" s="44">
        <f t="shared" si="41"/>
        <v>3916.45</v>
      </c>
      <c r="V392" s="44">
        <f t="shared" si="3"/>
        <v>2809</v>
      </c>
      <c r="W392" s="123"/>
      <c r="X392" s="123"/>
      <c r="Y392" s="123">
        <v>0.0</v>
      </c>
      <c r="Z392" s="123">
        <v>0.0</v>
      </c>
      <c r="AA392" s="123">
        <v>0.0</v>
      </c>
      <c r="AB392" s="123"/>
      <c r="AC392" s="123">
        <v>0.0</v>
      </c>
      <c r="AD392" s="44">
        <f t="shared" si="7"/>
        <v>-1250</v>
      </c>
      <c r="AE392" s="123">
        <v>0.0</v>
      </c>
    </row>
    <row r="393">
      <c r="A393" s="120">
        <v>2004.0</v>
      </c>
      <c r="B393" s="121">
        <v>12.0</v>
      </c>
      <c r="C393" s="122" t="s">
        <v>70</v>
      </c>
      <c r="D393" s="123">
        <v>1950.0</v>
      </c>
      <c r="E393" s="123">
        <v>2218.0</v>
      </c>
      <c r="F393" s="123">
        <v>-3000.0</v>
      </c>
      <c r="G393" s="123"/>
      <c r="H393" s="123">
        <v>-334.0</v>
      </c>
      <c r="I393" s="123"/>
      <c r="J393" s="123">
        <v>1318.0</v>
      </c>
      <c r="K393" s="123">
        <v>-861.0</v>
      </c>
      <c r="L393" s="123">
        <v>3839.0</v>
      </c>
      <c r="M393" s="123">
        <v>-6.0</v>
      </c>
      <c r="N393" s="123">
        <v>825.0</v>
      </c>
      <c r="O393" s="123">
        <v>77987.0</v>
      </c>
      <c r="P393" s="52">
        <f t="shared" si="23"/>
        <v>77987.63</v>
      </c>
      <c r="Q393" s="124">
        <f t="shared" si="2"/>
        <v>-0.63</v>
      </c>
      <c r="R393" s="52">
        <f t="array" ref="R393">IFERROR(INDEX('Fund YTD Target Values'!$1:$1000, MATCH($C393,'Fund YTD Target Values'!$A:$A,0), MATCH($A393,'Fund YTD Target Values'!$1:$1,0)),0)</f>
        <v>72486.99007</v>
      </c>
      <c r="S393" s="52">
        <f>IFERROR(__xludf.DUMMYFUNCTION("IFERROR(sum(FILTER('Fund Data'!$V:$V, 'Fund Data'!$C:$C = $C393, 'Fund Data'!$A:$A &lt; $A393)),0) + IFERROR(sum(FILTER('Fund Data'!$V:$V, 'Fund Data'!$C:$C = $C393, 'Fund Data'!$A:$A = $A393, 'Fund Data'!$B:$B &lt;= $B393)),0)"),62276.45)</f>
        <v>62276.45</v>
      </c>
      <c r="T393" s="123">
        <v>58360.0</v>
      </c>
      <c r="U393" s="44">
        <f t="shared" si="41"/>
        <v>3916.45</v>
      </c>
      <c r="V393" s="44">
        <f t="shared" si="3"/>
        <v>1950</v>
      </c>
      <c r="W393" s="123"/>
      <c r="X393" s="123"/>
      <c r="Y393" s="123">
        <v>0.0</v>
      </c>
      <c r="Z393" s="123">
        <v>0.0</v>
      </c>
      <c r="AA393" s="123">
        <v>0.0</v>
      </c>
      <c r="AB393" s="123"/>
      <c r="AC393" s="123">
        <v>0.0</v>
      </c>
      <c r="AD393" s="44">
        <f t="shared" si="7"/>
        <v>-3000</v>
      </c>
      <c r="AE393" s="123">
        <v>0.0</v>
      </c>
    </row>
    <row r="394">
      <c r="A394" s="120">
        <v>2003.0</v>
      </c>
      <c r="B394" s="121">
        <v>12.0</v>
      </c>
      <c r="C394" s="122" t="s">
        <v>70</v>
      </c>
      <c r="D394" s="123">
        <v>5200.0</v>
      </c>
      <c r="E394" s="123">
        <v>1448.69</v>
      </c>
      <c r="F394" s="44"/>
      <c r="G394" s="123"/>
      <c r="H394" s="123">
        <v>-232.05</v>
      </c>
      <c r="I394" s="123"/>
      <c r="J394" s="123">
        <v>6361.26</v>
      </c>
      <c r="K394" s="123">
        <v>-320.1</v>
      </c>
      <c r="L394" s="123">
        <v>6513.0</v>
      </c>
      <c r="M394" s="123">
        <v>6.93</v>
      </c>
      <c r="N394" s="123">
        <v>630.43</v>
      </c>
      <c r="O394" s="123">
        <v>72039.0</v>
      </c>
      <c r="P394" s="52">
        <f t="shared" si="23"/>
        <v>72038.63</v>
      </c>
      <c r="Q394" s="124">
        <f t="shared" si="2"/>
        <v>0.37</v>
      </c>
      <c r="R394" s="52">
        <f t="array" ref="R394">IFERROR(INDEX('Fund YTD Target Values'!$1:$1000, MATCH($C394,'Fund YTD Target Values'!$A:$A,0), MATCH($A394,'Fund YTD Target Values'!$1:$1,0)),0)</f>
        <v>68698.7075</v>
      </c>
      <c r="S394" s="52">
        <f>IFERROR(__xludf.DUMMYFUNCTION("IFERROR(sum(FILTER('Fund Data'!$V:$V, 'Fund Data'!$C:$C = $C394, 'Fund Data'!$A:$A &lt; $A394)),0) + IFERROR(sum(FILTER('Fund Data'!$V:$V, 'Fund Data'!$C:$C = $C394, 'Fund Data'!$A:$A = $A394, 'Fund Data'!$B:$B &lt;= $B394)),0)"),60326.45)</f>
        <v>60326.45</v>
      </c>
      <c r="T394" s="123">
        <v>56410.0</v>
      </c>
      <c r="U394" s="44">
        <f t="shared" si="41"/>
        <v>3916.45</v>
      </c>
      <c r="V394" s="44">
        <f t="shared" si="3"/>
        <v>5200</v>
      </c>
      <c r="W394" s="123"/>
      <c r="X394" s="123"/>
      <c r="Y394" s="123">
        <v>0.0</v>
      </c>
      <c r="Z394" s="123">
        <v>0.0</v>
      </c>
      <c r="AA394" s="123">
        <v>0.0</v>
      </c>
      <c r="AB394" s="123"/>
      <c r="AC394" s="123">
        <v>0.0</v>
      </c>
      <c r="AD394" s="44">
        <f t="shared" si="7"/>
        <v>0</v>
      </c>
      <c r="AE394" s="123">
        <v>0.0</v>
      </c>
    </row>
    <row r="395">
      <c r="A395" s="120">
        <v>2002.0</v>
      </c>
      <c r="B395" s="121">
        <v>12.0</v>
      </c>
      <c r="C395" s="122" t="s">
        <v>70</v>
      </c>
      <c r="D395" s="123">
        <v>2250.0</v>
      </c>
      <c r="E395" s="123">
        <v>1347.57</v>
      </c>
      <c r="F395" s="123">
        <v>-2500.0</v>
      </c>
      <c r="G395" s="123"/>
      <c r="H395" s="123">
        <v>-185.93</v>
      </c>
      <c r="I395" s="123"/>
      <c r="J395" s="123">
        <v>185.18</v>
      </c>
      <c r="K395" s="123">
        <v>-6275.86</v>
      </c>
      <c r="L395" s="123">
        <v>-2948.32</v>
      </c>
      <c r="M395" s="123">
        <v>1.47</v>
      </c>
      <c r="N395" s="123">
        <v>736.52</v>
      </c>
      <c r="O395" s="123">
        <v>52431.0</v>
      </c>
      <c r="P395" s="52">
        <f t="shared" si="23"/>
        <v>52430.47</v>
      </c>
      <c r="Q395" s="124">
        <f t="shared" si="2"/>
        <v>0.53</v>
      </c>
      <c r="R395" s="52">
        <f t="array" ref="R395">IFERROR(INDEX('Fund YTD Target Values'!$1:$1000, MATCH($C395,'Fund YTD Target Values'!$A:$A,0), MATCH($A395,'Fund YTD Target Values'!$1:$1,0)),0)</f>
        <v>62087.90336</v>
      </c>
      <c r="S395" s="52">
        <f>IFERROR(__xludf.DUMMYFUNCTION("IFERROR(sum(FILTER('Fund Data'!$V:$V, 'Fund Data'!$C:$C = $C395, 'Fund Data'!$A:$A &lt; $A395)),0) + IFERROR(sum(FILTER('Fund Data'!$V:$V, 'Fund Data'!$C:$C = $C395, 'Fund Data'!$A:$A = $A395, 'Fund Data'!$B:$B &lt;= $B395)),0)"),55126.45)</f>
        <v>55126.45</v>
      </c>
      <c r="T395" s="123">
        <v>51260.0</v>
      </c>
      <c r="U395" s="44">
        <f t="shared" si="41"/>
        <v>3866.45</v>
      </c>
      <c r="V395" s="44">
        <f t="shared" si="3"/>
        <v>2250</v>
      </c>
      <c r="W395" s="123"/>
      <c r="X395" s="123"/>
      <c r="Y395" s="123">
        <v>0.0</v>
      </c>
      <c r="Z395" s="123">
        <v>0.0</v>
      </c>
      <c r="AA395" s="123">
        <v>0.0</v>
      </c>
      <c r="AB395" s="123"/>
      <c r="AC395" s="123">
        <v>0.0</v>
      </c>
      <c r="AD395" s="44">
        <f t="shared" si="7"/>
        <v>-2500</v>
      </c>
      <c r="AE395" s="123">
        <v>0.0</v>
      </c>
    </row>
    <row r="396">
      <c r="A396" s="120">
        <v>2001.0</v>
      </c>
      <c r="B396" s="121">
        <v>12.0</v>
      </c>
      <c r="C396" s="122" t="s">
        <v>70</v>
      </c>
      <c r="D396" s="123">
        <v>1300.0</v>
      </c>
      <c r="E396" s="123">
        <v>1804.29</v>
      </c>
      <c r="F396" s="123">
        <v>-2500.0</v>
      </c>
      <c r="G396" s="123"/>
      <c r="H396" s="123">
        <v>-184.84</v>
      </c>
      <c r="I396" s="123"/>
      <c r="J396" s="123">
        <v>709.99</v>
      </c>
      <c r="K396" s="123">
        <v>-2039.13</v>
      </c>
      <c r="L396" s="123">
        <v>-2035.84</v>
      </c>
      <c r="M396" s="123">
        <v>-143.98</v>
      </c>
      <c r="N396" s="123">
        <v>171.07</v>
      </c>
      <c r="O396" s="123">
        <v>59820.0</v>
      </c>
      <c r="P396" s="52">
        <f t="shared" si="23"/>
        <v>59819.84</v>
      </c>
      <c r="Q396" s="124">
        <f t="shared" si="2"/>
        <v>0.16</v>
      </c>
      <c r="R396" s="52">
        <f t="array" ref="R396">IFERROR(INDEX('Fund YTD Target Values'!$1:$1000, MATCH($C396,'Fund YTD Target Values'!$A:$A,0), MATCH($A396,'Fund YTD Target Values'!$1:$1,0)),0)</f>
        <v>58903.92716</v>
      </c>
      <c r="S396" s="52">
        <f>IFERROR(__xludf.DUMMYFUNCTION("IFERROR(sum(FILTER('Fund Data'!$V:$V, 'Fund Data'!$C:$C = $C396, 'Fund Data'!$A:$A &lt; $A396)),0) + IFERROR(sum(FILTER('Fund Data'!$V:$V, 'Fund Data'!$C:$C = $C396, 'Fund Data'!$A:$A = $A396, 'Fund Data'!$B:$B &lt;= $B396)),0)"),52876.45)</f>
        <v>52876.45</v>
      </c>
      <c r="T396" s="44"/>
      <c r="U396" s="44"/>
      <c r="V396" s="44">
        <f t="shared" si="3"/>
        <v>1300</v>
      </c>
      <c r="W396" s="123"/>
      <c r="X396" s="123"/>
      <c r="Y396" s="123">
        <v>0.0</v>
      </c>
      <c r="Z396" s="123">
        <v>0.0</v>
      </c>
      <c r="AA396" s="123">
        <v>0.0</v>
      </c>
      <c r="AB396" s="123"/>
      <c r="AC396" s="123">
        <v>0.0</v>
      </c>
      <c r="AD396" s="44">
        <f t="shared" si="7"/>
        <v>-2500</v>
      </c>
      <c r="AE396" s="123">
        <v>0.0</v>
      </c>
    </row>
    <row r="397">
      <c r="A397" s="120">
        <v>2000.0</v>
      </c>
      <c r="B397" s="121">
        <v>12.0</v>
      </c>
      <c r="C397" s="122" t="s">
        <v>70</v>
      </c>
      <c r="D397" s="123">
        <v>2750.0</v>
      </c>
      <c r="E397" s="123">
        <v>1419.98</v>
      </c>
      <c r="F397" s="123">
        <v>-2500.0</v>
      </c>
      <c r="G397" s="123"/>
      <c r="H397" s="123">
        <v>-197.18</v>
      </c>
      <c r="I397" s="123"/>
      <c r="J397" s="123">
        <v>67.13</v>
      </c>
      <c r="K397" s="123">
        <v>-335.56</v>
      </c>
      <c r="L397" s="123">
        <v>-5410.37</v>
      </c>
      <c r="M397" s="123">
        <v>137.04</v>
      </c>
      <c r="N397" s="123">
        <v>5126.11</v>
      </c>
      <c r="O397" s="123">
        <v>62738.0</v>
      </c>
      <c r="P397" s="52">
        <f t="shared" si="23"/>
        <v>62738.28</v>
      </c>
      <c r="Q397" s="124">
        <f t="shared" si="2"/>
        <v>-0.28</v>
      </c>
      <c r="R397" s="52">
        <f t="array" ref="R397">IFERROR(INDEX('Fund YTD Target Values'!$1:$1000, MATCH($C397,'Fund YTD Target Values'!$A:$A,0), MATCH($A397,'Fund YTD Target Values'!$1:$1,0)),0)</f>
        <v>56017.66659</v>
      </c>
      <c r="S397" s="52">
        <f>IFERROR(__xludf.DUMMYFUNCTION("IFERROR(sum(FILTER('Fund Data'!$V:$V, 'Fund Data'!$C:$C = $C397, 'Fund Data'!$A:$A &lt; $A397)),0) + IFERROR(sum(FILTER('Fund Data'!$V:$V, 'Fund Data'!$C:$C = $C397, 'Fund Data'!$A:$A = $A397, 'Fund Data'!$B:$B &lt;= $B397)),0)"),51576.45)</f>
        <v>51576.45</v>
      </c>
      <c r="T397" s="44"/>
      <c r="U397" s="44"/>
      <c r="V397" s="44">
        <f t="shared" si="3"/>
        <v>2750</v>
      </c>
      <c r="W397" s="123"/>
      <c r="X397" s="123"/>
      <c r="Y397" s="123">
        <v>0.0</v>
      </c>
      <c r="Z397" s="123">
        <v>0.0</v>
      </c>
      <c r="AA397" s="123">
        <v>0.0</v>
      </c>
      <c r="AB397" s="123"/>
      <c r="AC397" s="123">
        <v>0.0</v>
      </c>
      <c r="AD397" s="44">
        <f t="shared" si="7"/>
        <v>-2500</v>
      </c>
      <c r="AE397" s="123">
        <v>0.0</v>
      </c>
    </row>
    <row r="398">
      <c r="A398" s="120">
        <v>1999.0</v>
      </c>
      <c r="B398" s="121">
        <v>12.0</v>
      </c>
      <c r="C398" s="122" t="s">
        <v>70</v>
      </c>
      <c r="D398" s="123">
        <v>1775.0</v>
      </c>
      <c r="E398" s="123">
        <v>1544.19</v>
      </c>
      <c r="F398" s="123">
        <v>-2500.0</v>
      </c>
      <c r="G398" s="123">
        <v>49.74</v>
      </c>
      <c r="H398" s="123">
        <v>-157.14</v>
      </c>
      <c r="I398" s="123"/>
      <c r="J398" s="123">
        <v>2889.18</v>
      </c>
      <c r="K398" s="123">
        <v>-160.25</v>
      </c>
      <c r="L398" s="123">
        <v>-1664.0</v>
      </c>
      <c r="M398" s="123">
        <v>4.38</v>
      </c>
      <c r="N398" s="123">
        <v>3501.18</v>
      </c>
      <c r="O398" s="123">
        <v>61681.0</v>
      </c>
      <c r="P398" s="52">
        <f t="shared" si="23"/>
        <v>61681.13</v>
      </c>
      <c r="Q398" s="124">
        <f t="shared" si="2"/>
        <v>-0.13</v>
      </c>
      <c r="R398" s="52">
        <f t="array" ref="R398">IFERROR(INDEX('Fund YTD Target Values'!$1:$1000, MATCH($C398,'Fund YTD Target Values'!$A:$A,0), MATCH($A398,'Fund YTD Target Values'!$1:$1,0)),0)</f>
        <v>51528.05923</v>
      </c>
      <c r="S398" s="52">
        <f>IFERROR(__xludf.DUMMYFUNCTION("IFERROR(sum(FILTER('Fund Data'!$V:$V, 'Fund Data'!$C:$C = $C398, 'Fund Data'!$A:$A &lt; $A398)),0) + IFERROR(sum(FILTER('Fund Data'!$V:$V, 'Fund Data'!$C:$C = $C398, 'Fund Data'!$A:$A = $A398, 'Fund Data'!$B:$B &lt;= $B398)),0)"),48826.45)</f>
        <v>48826.45</v>
      </c>
      <c r="T398" s="44"/>
      <c r="U398" s="44"/>
      <c r="V398" s="44">
        <f t="shared" si="3"/>
        <v>1775</v>
      </c>
      <c r="W398" s="123"/>
      <c r="X398" s="123"/>
      <c r="Y398" s="123">
        <v>0.0</v>
      </c>
      <c r="Z398" s="123">
        <v>0.0</v>
      </c>
      <c r="AA398" s="123">
        <v>0.0</v>
      </c>
      <c r="AB398" s="123"/>
      <c r="AC398" s="123">
        <v>0.0</v>
      </c>
      <c r="AD398" s="44">
        <f t="shared" si="7"/>
        <v>-2500</v>
      </c>
      <c r="AE398" s="123">
        <v>0.0</v>
      </c>
    </row>
    <row r="399">
      <c r="A399" s="120">
        <v>1998.0</v>
      </c>
      <c r="B399" s="121">
        <v>12.0</v>
      </c>
      <c r="C399" s="122" t="s">
        <v>70</v>
      </c>
      <c r="D399" s="123">
        <v>336.0</v>
      </c>
      <c r="E399" s="123">
        <v>1740.79</v>
      </c>
      <c r="F399" s="123">
        <v>-5000.0</v>
      </c>
      <c r="G399" s="123">
        <v>1050.0</v>
      </c>
      <c r="H399" s="44"/>
      <c r="I399" s="123"/>
      <c r="J399" s="123">
        <v>334.15</v>
      </c>
      <c r="K399" s="44"/>
      <c r="L399" s="123">
        <v>3802.98</v>
      </c>
      <c r="M399" s="123">
        <v>-17.21</v>
      </c>
      <c r="N399" s="123">
        <v>2078.79</v>
      </c>
      <c r="O399" s="123">
        <v>56399.0</v>
      </c>
      <c r="P399" s="52">
        <f t="shared" si="23"/>
        <v>56398.85</v>
      </c>
      <c r="Q399" s="124">
        <f t="shared" si="2"/>
        <v>0.15</v>
      </c>
      <c r="R399" s="52">
        <f t="array" ref="R399">IFERROR(INDEX('Fund YTD Target Values'!$1:$1000, MATCH($C399,'Fund YTD Target Values'!$A:$A,0), MATCH($A399,'Fund YTD Target Values'!$1:$1,0)),0)</f>
        <v>48688.5493</v>
      </c>
      <c r="S399" s="52">
        <f>IFERROR(__xludf.DUMMYFUNCTION("IFERROR(sum(FILTER('Fund Data'!$V:$V, 'Fund Data'!$C:$C = $C399, 'Fund Data'!$A:$A &lt; $A399)),0) + IFERROR(sum(FILTER('Fund Data'!$V:$V, 'Fund Data'!$C:$C = $C399, 'Fund Data'!$A:$A = $A399, 'Fund Data'!$B:$B &lt;= $B399)),0)"),47051.45)</f>
        <v>47051.45</v>
      </c>
      <c r="T399" s="44"/>
      <c r="U399" s="44"/>
      <c r="V399" s="44">
        <f t="shared" si="3"/>
        <v>336</v>
      </c>
      <c r="W399" s="123"/>
      <c r="X399" s="123"/>
      <c r="Y399" s="123">
        <v>0.0</v>
      </c>
      <c r="Z399" s="123">
        <v>0.0</v>
      </c>
      <c r="AA399" s="123">
        <v>0.0</v>
      </c>
      <c r="AB399" s="123"/>
      <c r="AC399" s="123">
        <v>0.0</v>
      </c>
      <c r="AD399" s="44">
        <f t="shared" si="7"/>
        <v>-5000</v>
      </c>
      <c r="AE399" s="123">
        <v>0.0</v>
      </c>
    </row>
    <row r="400">
      <c r="A400" s="120">
        <v>1997.0</v>
      </c>
      <c r="B400" s="121">
        <v>12.0</v>
      </c>
      <c r="C400" s="122" t="s">
        <v>70</v>
      </c>
      <c r="D400" s="123">
        <v>8355.0</v>
      </c>
      <c r="E400" s="123">
        <v>1551.34</v>
      </c>
      <c r="F400" s="44"/>
      <c r="G400" s="123"/>
      <c r="H400" s="44"/>
      <c r="I400" s="123"/>
      <c r="J400" s="123">
        <v>22.71</v>
      </c>
      <c r="K400" s="123">
        <v>-72.29</v>
      </c>
      <c r="L400" s="123">
        <v>5279.0</v>
      </c>
      <c r="M400" s="123">
        <v>18.0</v>
      </c>
      <c r="N400" s="123">
        <v>1014.59</v>
      </c>
      <c r="O400" s="123">
        <v>52073.0</v>
      </c>
      <c r="P400" s="52">
        <f t="shared" si="23"/>
        <v>52073.35</v>
      </c>
      <c r="Q400" s="124">
        <f t="shared" si="2"/>
        <v>-0.35</v>
      </c>
      <c r="R400" s="52">
        <f t="array" ref="R400">IFERROR(INDEX('Fund YTD Target Values'!$1:$1000, MATCH($C400,'Fund YTD Target Values'!$A:$A,0), MATCH($A400,'Fund YTD Target Values'!$1:$1,0)),0)</f>
        <v>47613.47053</v>
      </c>
      <c r="S400" s="52">
        <f>IFERROR(__xludf.DUMMYFUNCTION("IFERROR(sum(FILTER('Fund Data'!$V:$V, 'Fund Data'!$C:$C = $C400, 'Fund Data'!$A:$A &lt; $A400)),0) + IFERROR(sum(FILTER('Fund Data'!$V:$V, 'Fund Data'!$C:$C = $C400, 'Fund Data'!$A:$A = $A400, 'Fund Data'!$B:$B &lt;= $B400)),0)"),46715.45)</f>
        <v>46715.45</v>
      </c>
      <c r="T400" s="44"/>
      <c r="U400" s="44"/>
      <c r="V400" s="44">
        <f t="shared" si="3"/>
        <v>8355</v>
      </c>
      <c r="W400" s="123"/>
      <c r="X400" s="123"/>
      <c r="Y400" s="123">
        <v>0.0</v>
      </c>
      <c r="Z400" s="123">
        <v>0.0</v>
      </c>
      <c r="AA400" s="123">
        <v>0.0</v>
      </c>
      <c r="AB400" s="123"/>
      <c r="AC400" s="123">
        <v>0.0</v>
      </c>
      <c r="AD400" s="44">
        <f t="shared" si="7"/>
        <v>0</v>
      </c>
      <c r="AE400" s="123">
        <v>0.0</v>
      </c>
    </row>
    <row r="401">
      <c r="A401" s="120">
        <v>1996.0</v>
      </c>
      <c r="B401" s="121">
        <v>12.0</v>
      </c>
      <c r="C401" s="122" t="s">
        <v>70</v>
      </c>
      <c r="D401" s="123">
        <v>38360.45</v>
      </c>
      <c r="E401" s="123">
        <v>2147.55</v>
      </c>
      <c r="F401" s="123">
        <v>-4000.0</v>
      </c>
      <c r="G401" s="123"/>
      <c r="H401" s="123">
        <v>-58.0</v>
      </c>
      <c r="I401" s="44"/>
      <c r="J401" s="44"/>
      <c r="K401" s="123">
        <v>-235.0</v>
      </c>
      <c r="L401" s="123">
        <v>-297.0</v>
      </c>
      <c r="M401" s="123">
        <v>-13.0</v>
      </c>
      <c r="N401" s="44"/>
      <c r="O401" s="123">
        <v>35905.0</v>
      </c>
      <c r="P401" s="52">
        <f t="shared" si="23"/>
        <v>35905</v>
      </c>
      <c r="Q401" s="124">
        <f t="shared" si="2"/>
        <v>0</v>
      </c>
      <c r="R401" s="52">
        <f t="array" ref="R401">IFERROR(INDEX('Fund YTD Target Values'!$1:$1000, MATCH($C401,'Fund YTD Target Values'!$A:$A,0), MATCH($A401,'Fund YTD Target Values'!$1:$1,0)),0)</f>
        <v>38360.45</v>
      </c>
      <c r="S401" s="52">
        <f>IFERROR(__xludf.DUMMYFUNCTION("IFERROR(sum(FILTER('Fund Data'!$V:$V, 'Fund Data'!$C:$C = $C401, 'Fund Data'!$A:$A &lt; $A401)),0) + IFERROR(sum(FILTER('Fund Data'!$V:$V, 'Fund Data'!$C:$C = $C401, 'Fund Data'!$A:$A = $A401, 'Fund Data'!$B:$B &lt;= $B401)),0)"),38360.45)</f>
        <v>38360.45</v>
      </c>
      <c r="T401" s="44"/>
      <c r="U401" s="44"/>
      <c r="V401" s="44">
        <f t="shared" si="3"/>
        <v>38360.45</v>
      </c>
      <c r="W401" s="123"/>
      <c r="X401" s="123"/>
      <c r="Y401" s="123">
        <v>0.0</v>
      </c>
      <c r="Z401" s="123">
        <v>0.0</v>
      </c>
      <c r="AA401" s="123">
        <v>0.0</v>
      </c>
      <c r="AB401" s="123"/>
      <c r="AC401" s="123">
        <v>0.0</v>
      </c>
      <c r="AD401" s="44">
        <f t="shared" si="7"/>
        <v>-4000</v>
      </c>
      <c r="AE401" s="123">
        <v>0.0</v>
      </c>
    </row>
    <row r="402">
      <c r="A402" s="120">
        <v>2019.0</v>
      </c>
      <c r="B402" s="121">
        <v>6.0</v>
      </c>
      <c r="C402" s="122" t="s">
        <v>49</v>
      </c>
      <c r="D402" s="44"/>
      <c r="E402" s="123">
        <v>9634.19</v>
      </c>
      <c r="F402" s="123">
        <v>-1625.0</v>
      </c>
      <c r="G402" s="44"/>
      <c r="H402" s="123">
        <v>-2175.87</v>
      </c>
      <c r="I402" s="44"/>
      <c r="J402" s="44"/>
      <c r="K402" s="44"/>
      <c r="L402" s="123">
        <v>75739.37</v>
      </c>
      <c r="M402" s="44"/>
      <c r="N402" s="44"/>
      <c r="O402" s="123">
        <v>803383.89</v>
      </c>
      <c r="P402" s="52">
        <f t="shared" si="23"/>
        <v>803382.85</v>
      </c>
      <c r="Q402" s="124">
        <f t="shared" si="2"/>
        <v>1.04</v>
      </c>
      <c r="R402" s="52">
        <f t="array" ref="R402">IFERROR(INDEX('Fund YTD Target Values'!$1:$1000, MATCH($C402,'Fund YTD Target Values'!$A:$A,0), MATCH($A402,'Fund YTD Target Values'!$1:$1,0)),0)</f>
        <v>714767.6304</v>
      </c>
      <c r="S402" s="52">
        <f>IFERROR(__xludf.DUMMYFUNCTION("IFERROR(sum(FILTER('Fund Data'!$V:$V, 'Fund Data'!$C:$C = $C402, 'Fund Data'!$A:$A &lt; $A402)),0) + IFERROR(sum(FILTER('Fund Data'!$V:$V, 'Fund Data'!$C:$C = $C402, 'Fund Data'!$A:$A = $A402, 'Fund Data'!$B:$B &lt;= $B402)),0)"),556601.64)</f>
        <v>556601.64</v>
      </c>
      <c r="T402" s="44"/>
      <c r="U402" s="44"/>
      <c r="V402" s="44">
        <f t="shared" si="3"/>
        <v>0</v>
      </c>
      <c r="W402" s="52">
        <f>IFERROR(__xludf.DUMMYFUNCTION("iFERROR((FILTER('Fund Data'!$Y:$Y, 'Fund Data'!$C:$C = $C402, 'Fund Data'!$A:$A = $A402 - 1, 'Fund Data'!$B:$B = 12) + FILTER('Fund Data'!$AA:$AA, 'Fund Data'!$C:$C = $C402, 'Fund Data'!$A:$A = $A402 - 1, 'Fund Data'!$B:$B = 12)) * (1 + AVERAGE(FILTER('In"&amp;"flation Data'!$C:$C,'Inflation Data'!$A:$A = ($A402 - 2)))) * 'Parameters and Distribution Sum'!$A$4,0)"),22062.02597097784)</f>
        <v>22062.02597</v>
      </c>
      <c r="X402" s="52">
        <f>IFERROR(__xludf.DUMMYFUNCTION("IFERROR((IFERROR(FILTER('Fund Data'!$P:$P,'Fund Data'!$C:$C = $C402,'Fund Data'!$A:$A = ($A402 - 2), 'Fund Data'!$B:$B = 12),0) - SUM(FILTER('Fund Data'!$V:$V, 'Fund Data'!$C:$C = $C402, 'Fund Data'!$A:$A = ($A402 - 2), 'Fund Data'!$B:$B &gt; 3)))  * 'Parame"&amp;"ters and Distribution Sum'!$B$4 * (1 - 'Parameters and Distribution Sum'!$A$4),0)"),11008.009890000007)</f>
        <v>11008.00989</v>
      </c>
      <c r="Y402" s="52">
        <f t="shared" ref="Y402:Y407" si="42">sum($W402:$X402)</f>
        <v>33070.03586</v>
      </c>
      <c r="Z402" s="52">
        <f>IFERROR(__xludf.DUMMYFUNCTION("((IFERROR((SUM(FILTER('Fund Data'!$V:$V, 'Fund Data'!$C:$C = $C402, 'Fund Data'!$A:$A = $A402 - 1, 'Fund Data'!$B:$B &gt;= 4, 'Fund Data'!$B:$B &lt;= ($B402 + 5))) / 12) * ($B402 - 3) * 'Parameters and Distribution Sum'!$B$4, 0) + IF($B402 &gt;= 9, IFERROR(SUM(FIL"&amp;"TER('Fund Data'!$V:$V, 'Fund Data'!$C:$C = $C402, 'Fund Data'!$A:$A = $A402, 'Fund Data'!$B:$B &lt;= 3)) * 'Parameters and Distribution Sum'!$B$4, 0),0)))"),0.0)</f>
        <v>0</v>
      </c>
      <c r="AA402" s="44">
        <f>IFERROR(__xludf.DUMMYFUNCTION("IFERROR(((IFERROR(SUM(FILTER('Fund Data'!$V:$V, 'Fund Data'!$C:$C = $C402, 'Fund Data'!$A:$A = $A402 - 2, 'Fund Data'!$B:$B &gt;= 4)) * 'Parameters and Distribution Sum'!$B$4,0) + IFERROR(SUM(FILTER('Fund Data'!$V:$V, 'Fund Data'!$C:$C = $C402, 'Fund Data'!$"&amp;"A:$A = $A402 - 1, 'Fund Data'!$B:$B &lt;= 3)) * 'Parameters and Distribution Sum'!$B$4,0))),0)"),0.0)</f>
        <v>0</v>
      </c>
      <c r="AB402" s="44">
        <f t="shared" ref="AB402:AB408" si="43">IFERROR(__xludf.DUMMYFUNCTION("IFERROR(FILTER($AE:$AE,$C:$C = $C402,$A:$A = $A402 - 1,$B:$B = 12),0)"),0.0)</f>
        <v>0</v>
      </c>
      <c r="AC402" s="44">
        <f t="shared" ref="AC402:AC408" si="44">sum($Y402:$AB402)</f>
        <v>33070.03586</v>
      </c>
      <c r="AD402" s="44">
        <f t="shared" si="7"/>
        <v>31445.03586</v>
      </c>
      <c r="AE402" s="44"/>
    </row>
    <row r="403">
      <c r="A403" s="120">
        <v>2019.0</v>
      </c>
      <c r="B403" s="121">
        <v>5.0</v>
      </c>
      <c r="C403" s="122" t="s">
        <v>49</v>
      </c>
      <c r="D403" s="44"/>
      <c r="E403" s="123">
        <v>8792.08</v>
      </c>
      <c r="F403" s="44"/>
      <c r="G403" s="44"/>
      <c r="H403" s="123">
        <v>-1810.37</v>
      </c>
      <c r="I403" s="44"/>
      <c r="J403" s="44"/>
      <c r="K403" s="44"/>
      <c r="L403" s="123">
        <v>45266.38</v>
      </c>
      <c r="M403" s="44"/>
      <c r="N403" s="44"/>
      <c r="O403" s="123">
        <v>774059.29</v>
      </c>
      <c r="P403" s="52">
        <f t="shared" si="23"/>
        <v>774058.25</v>
      </c>
      <c r="Q403" s="124">
        <f t="shared" si="2"/>
        <v>1.04</v>
      </c>
      <c r="R403" s="52">
        <f t="array" ref="R403">IFERROR(INDEX('Fund YTD Target Values'!$1:$1000, MATCH($C403,'Fund YTD Target Values'!$A:$A,0), MATCH($A403,'Fund YTD Target Values'!$1:$1,0)),0)</f>
        <v>714767.6304</v>
      </c>
      <c r="S403" s="52">
        <f>IFERROR(__xludf.DUMMYFUNCTION("IFERROR(sum(FILTER('Fund Data'!$V:$V, 'Fund Data'!$C:$C = $C403, 'Fund Data'!$A:$A &lt; $A403)),0) + IFERROR(sum(FILTER('Fund Data'!$V:$V, 'Fund Data'!$C:$C = $C403, 'Fund Data'!$A:$A = $A403, 'Fund Data'!$B:$B &lt;= $B403)),0)"),556601.64)</f>
        <v>556601.64</v>
      </c>
      <c r="T403" s="44"/>
      <c r="U403" s="44"/>
      <c r="V403" s="44">
        <f t="shared" si="3"/>
        <v>0</v>
      </c>
      <c r="W403" s="52">
        <f>IFERROR(__xludf.DUMMYFUNCTION("iFERROR((FILTER('Fund Data'!$Y:$Y, 'Fund Data'!$C:$C = $C403, 'Fund Data'!$A:$A = $A403 - 1, 'Fund Data'!$B:$B = 12) + FILTER('Fund Data'!$AA:$AA, 'Fund Data'!$C:$C = $C403, 'Fund Data'!$A:$A = $A403 - 1, 'Fund Data'!$B:$B = 12)) * (1 + AVERAGE(FILTER('In"&amp;"flation Data'!$C:$C,'Inflation Data'!$A:$A = ($A403 - 2)))) * 'Parameters and Distribution Sum'!$A$4,0)"),22062.02597097784)</f>
        <v>22062.02597</v>
      </c>
      <c r="X403" s="52">
        <f>IFERROR(__xludf.DUMMYFUNCTION("IFERROR((IFERROR(FILTER('Fund Data'!$P:$P,'Fund Data'!$C:$C = $C403,'Fund Data'!$A:$A = ($A403 - 2), 'Fund Data'!$B:$B = 12),0) - SUM(FILTER('Fund Data'!$V:$V, 'Fund Data'!$C:$C = $C403, 'Fund Data'!$A:$A = ($A403 - 2), 'Fund Data'!$B:$B &gt; 3)))  * 'Parame"&amp;"ters and Distribution Sum'!$B$4 * (1 - 'Parameters and Distribution Sum'!$A$4),0)"),11008.009890000007)</f>
        <v>11008.00989</v>
      </c>
      <c r="Y403" s="52">
        <f t="shared" si="42"/>
        <v>33070.03586</v>
      </c>
      <c r="Z403" s="52">
        <f>IFERROR(__xludf.DUMMYFUNCTION("((IFERROR((SUM(FILTER('Fund Data'!$V:$V, 'Fund Data'!$C:$C = $C403, 'Fund Data'!$A:$A = $A403 - 1, 'Fund Data'!$B:$B &gt;= 4, 'Fund Data'!$B:$B &lt;= ($B403 + 5))) / 12) * ($B403 - 3) * 'Parameters and Distribution Sum'!$B$4, 0) + IF($B403 &gt;= 9, IFERROR(SUM(FIL"&amp;"TER('Fund Data'!$V:$V, 'Fund Data'!$C:$C = $C403, 'Fund Data'!$A:$A = $A403, 'Fund Data'!$B:$B &lt;= 3)) * 'Parameters and Distribution Sum'!$B$4, 0),0)))"),0.0)</f>
        <v>0</v>
      </c>
      <c r="AA403" s="44">
        <f>IFERROR(__xludf.DUMMYFUNCTION("IFERROR(((IFERROR(SUM(FILTER('Fund Data'!$V:$V, 'Fund Data'!$C:$C = $C403, 'Fund Data'!$A:$A = $A403 - 2, 'Fund Data'!$B:$B &gt;= 4)) * 'Parameters and Distribution Sum'!$B$4,0) + IFERROR(SUM(FILTER('Fund Data'!$V:$V, 'Fund Data'!$C:$C = $C403, 'Fund Data'!$"&amp;"A:$A = $A403 - 1, 'Fund Data'!$B:$B &lt;= 3)) * 'Parameters and Distribution Sum'!$B$4,0))),0)"),0.0)</f>
        <v>0</v>
      </c>
      <c r="AB403" s="44">
        <f t="shared" si="43"/>
        <v>0</v>
      </c>
      <c r="AC403" s="44">
        <f t="shared" si="44"/>
        <v>33070.03586</v>
      </c>
      <c r="AD403" s="44">
        <f t="shared" si="7"/>
        <v>33070.03586</v>
      </c>
      <c r="AE403" s="44"/>
    </row>
    <row r="404">
      <c r="A404" s="120">
        <v>2019.0</v>
      </c>
      <c r="B404" s="121">
        <v>4.0</v>
      </c>
      <c r="C404" s="122" t="s">
        <v>49</v>
      </c>
      <c r="D404" s="44"/>
      <c r="E404" s="123">
        <v>8105.5</v>
      </c>
      <c r="F404" s="44"/>
      <c r="G404" s="44"/>
      <c r="H404" s="123">
        <v>-1434.83</v>
      </c>
      <c r="I404" s="44"/>
      <c r="J404" s="44"/>
      <c r="K404" s="44"/>
      <c r="L404" s="123">
        <v>76054.01</v>
      </c>
      <c r="M404" s="44"/>
      <c r="N404" s="44"/>
      <c r="O404" s="123">
        <v>804536.0</v>
      </c>
      <c r="P404" s="52">
        <f t="shared" si="23"/>
        <v>804534.84</v>
      </c>
      <c r="Q404" s="124">
        <f t="shared" si="2"/>
        <v>1.16</v>
      </c>
      <c r="R404" s="52">
        <f t="array" ref="R404">IFERROR(INDEX('Fund YTD Target Values'!$1:$1000, MATCH($C404,'Fund YTD Target Values'!$A:$A,0), MATCH($A404,'Fund YTD Target Values'!$1:$1,0)),0)</f>
        <v>714767.6304</v>
      </c>
      <c r="S404" s="52">
        <f>IFERROR(__xludf.DUMMYFUNCTION("IFERROR(sum(FILTER('Fund Data'!$V:$V, 'Fund Data'!$C:$C = $C404, 'Fund Data'!$A:$A &lt; $A404)),0) + IFERROR(sum(FILTER('Fund Data'!$V:$V, 'Fund Data'!$C:$C = $C404, 'Fund Data'!$A:$A = $A404, 'Fund Data'!$B:$B &lt;= $B404)),0)"),556601.64)</f>
        <v>556601.64</v>
      </c>
      <c r="T404" s="44"/>
      <c r="U404" s="44"/>
      <c r="V404" s="44">
        <f t="shared" si="3"/>
        <v>0</v>
      </c>
      <c r="W404" s="52">
        <f>IFERROR(__xludf.DUMMYFUNCTION("iFERROR((FILTER('Fund Data'!$Y:$Y, 'Fund Data'!$C:$C = $C404, 'Fund Data'!$A:$A = $A404 - 1, 'Fund Data'!$B:$B = 12) + FILTER('Fund Data'!$AA:$AA, 'Fund Data'!$C:$C = $C404, 'Fund Data'!$A:$A = $A404 - 1, 'Fund Data'!$B:$B = 12)) * (1 + AVERAGE(FILTER('In"&amp;"flation Data'!$C:$C,'Inflation Data'!$A:$A = ($A404 - 2)))) * 'Parameters and Distribution Sum'!$A$4,0)"),22062.02597097784)</f>
        <v>22062.02597</v>
      </c>
      <c r="X404" s="52">
        <f>IFERROR(__xludf.DUMMYFUNCTION("IFERROR((IFERROR(FILTER('Fund Data'!$P:$P,'Fund Data'!$C:$C = $C404,'Fund Data'!$A:$A = ($A404 - 2), 'Fund Data'!$B:$B = 12),0) - SUM(FILTER('Fund Data'!$V:$V, 'Fund Data'!$C:$C = $C404, 'Fund Data'!$A:$A = ($A404 - 2), 'Fund Data'!$B:$B &gt; 3)))  * 'Parame"&amp;"ters and Distribution Sum'!$B$4 * (1 - 'Parameters and Distribution Sum'!$A$4),0)"),11008.009890000007)</f>
        <v>11008.00989</v>
      </c>
      <c r="Y404" s="52">
        <f t="shared" si="42"/>
        <v>33070.03586</v>
      </c>
      <c r="Z404" s="52">
        <f>IFERROR(__xludf.DUMMYFUNCTION("((IFERROR((SUM(FILTER('Fund Data'!$V:$V, 'Fund Data'!$C:$C = $C404, 'Fund Data'!$A:$A = $A404 - 1, 'Fund Data'!$B:$B &gt;= 4, 'Fund Data'!$B:$B &lt;= ($B404 + 5))) / 12) * ($B404 - 3) * 'Parameters and Distribution Sum'!$B$4, 0) + IF($B404 &gt;= 9, IFERROR(SUM(FIL"&amp;"TER('Fund Data'!$V:$V, 'Fund Data'!$C:$C = $C404, 'Fund Data'!$A:$A = $A404, 'Fund Data'!$B:$B &lt;= 3)) * 'Parameters and Distribution Sum'!$B$4, 0),0)))"),0.0)</f>
        <v>0</v>
      </c>
      <c r="AA404" s="44">
        <f>IFERROR(__xludf.DUMMYFUNCTION("IFERROR(((IFERROR(SUM(FILTER('Fund Data'!$V:$V, 'Fund Data'!$C:$C = $C404, 'Fund Data'!$A:$A = $A404 - 2, 'Fund Data'!$B:$B &gt;= 4)) * 'Parameters and Distribution Sum'!$B$4,0) + IFERROR(SUM(FILTER('Fund Data'!$V:$V, 'Fund Data'!$C:$C = $C404, 'Fund Data'!$"&amp;"A:$A = $A404 - 1, 'Fund Data'!$B:$B &lt;= 3)) * 'Parameters and Distribution Sum'!$B$4,0))),0)"),0.0)</f>
        <v>0</v>
      </c>
      <c r="AB404" s="44">
        <f t="shared" si="43"/>
        <v>0</v>
      </c>
      <c r="AC404" s="44">
        <f t="shared" si="44"/>
        <v>33070.03586</v>
      </c>
      <c r="AD404" s="44">
        <f t="shared" si="7"/>
        <v>33070.03586</v>
      </c>
      <c r="AE404" s="44"/>
    </row>
    <row r="405">
      <c r="A405" s="120">
        <v>2019.0</v>
      </c>
      <c r="B405" s="121">
        <v>3.0</v>
      </c>
      <c r="C405" s="122" t="s">
        <v>49</v>
      </c>
      <c r="D405" s="44"/>
      <c r="E405" s="123">
        <v>6125.87</v>
      </c>
      <c r="F405" s="44"/>
      <c r="G405" s="44"/>
      <c r="H405" s="123">
        <v>-1066.76</v>
      </c>
      <c r="I405" s="44"/>
      <c r="J405" s="44"/>
      <c r="K405" s="44"/>
      <c r="L405" s="123">
        <v>60348.17</v>
      </c>
      <c r="M405" s="44"/>
      <c r="N405" s="44"/>
      <c r="O405" s="123">
        <v>787218.0</v>
      </c>
      <c r="P405" s="52">
        <f t="shared" si="23"/>
        <v>787217.44</v>
      </c>
      <c r="Q405" s="124">
        <f t="shared" si="2"/>
        <v>0.5599999997</v>
      </c>
      <c r="R405" s="52">
        <f t="array" ref="R405">IFERROR(INDEX('Fund YTD Target Values'!$1:$1000, MATCH($C405,'Fund YTD Target Values'!$A:$A,0), MATCH($A405,'Fund YTD Target Values'!$1:$1,0)),0)</f>
        <v>714767.6304</v>
      </c>
      <c r="S405" s="52">
        <f>IFERROR(__xludf.DUMMYFUNCTION("IFERROR(sum(FILTER('Fund Data'!$V:$V, 'Fund Data'!$C:$C = $C405, 'Fund Data'!$A:$A &lt; $A405)),0) + IFERROR(sum(FILTER('Fund Data'!$V:$V, 'Fund Data'!$C:$C = $C405, 'Fund Data'!$A:$A = $A405, 'Fund Data'!$B:$B &lt;= $B405)),0)"),556601.64)</f>
        <v>556601.64</v>
      </c>
      <c r="T405" s="123"/>
      <c r="U405" s="44"/>
      <c r="V405" s="44">
        <f t="shared" si="3"/>
        <v>0</v>
      </c>
      <c r="W405" s="52">
        <f>IFERROR(__xludf.DUMMYFUNCTION("iFERROR((FILTER('Fund Data'!$Y:$Y, 'Fund Data'!$C:$C = $C405, 'Fund Data'!$A:$A = $A405 - 1, 'Fund Data'!$B:$B = 12) + FILTER('Fund Data'!$AA:$AA, 'Fund Data'!$C:$C = $C405, 'Fund Data'!$A:$A = $A405 - 1, 'Fund Data'!$B:$B = 12)) * (1 + AVERAGE(FILTER('In"&amp;"flation Data'!$C:$C,'Inflation Data'!$A:$A = ($A405 - 2)))) * 'Parameters and Distribution Sum'!$A$4,0)"),22062.02597097784)</f>
        <v>22062.02597</v>
      </c>
      <c r="X405" s="52">
        <f>IFERROR(__xludf.DUMMYFUNCTION("IFERROR((IFERROR(FILTER('Fund Data'!$P:$P,'Fund Data'!$C:$C = $C405,'Fund Data'!$A:$A = ($A405 - 2), 'Fund Data'!$B:$B = 12),0) - SUM(FILTER('Fund Data'!$V:$V, 'Fund Data'!$C:$C = $C405, 'Fund Data'!$A:$A = ($A405 - 2), 'Fund Data'!$B:$B &gt; 3)))  * 'Parame"&amp;"ters and Distribution Sum'!$B$4 * (1 - 'Parameters and Distribution Sum'!$A$4),0)"),11008.009890000007)</f>
        <v>11008.00989</v>
      </c>
      <c r="Y405" s="52">
        <f t="shared" si="42"/>
        <v>33070.03586</v>
      </c>
      <c r="Z405" s="52">
        <f>IFERROR(__xludf.DUMMYFUNCTION("((IFERROR((SUM(FILTER('Fund Data'!$V:$V, 'Fund Data'!$C:$C = $C405, 'Fund Data'!$A:$A = $A405 - 1, 'Fund Data'!$B:$B &gt;= 4, 'Fund Data'!$B:$B &lt;= ($B405 + 5))) / 12) * ($B405 - 3) * 'Parameters and Distribution Sum'!$B$4, 0) + IF($B405 &gt;= 9, IFERROR(SUM(FIL"&amp;"TER('Fund Data'!$V:$V, 'Fund Data'!$C:$C = $C405, 'Fund Data'!$A:$A = $A405, 'Fund Data'!$B:$B &lt;= 3)) * 'Parameters and Distribution Sum'!$B$4, 0),0)))"),0.0)</f>
        <v>0</v>
      </c>
      <c r="AA405" s="44">
        <f>IFERROR(__xludf.DUMMYFUNCTION("IFERROR(((IFERROR(SUM(FILTER('Fund Data'!$V:$V, 'Fund Data'!$C:$C = $C405, 'Fund Data'!$A:$A = $A405 - 2, 'Fund Data'!$B:$B &gt;= 4)) * 'Parameters and Distribution Sum'!$B$4,0) + IFERROR(SUM(FILTER('Fund Data'!$V:$V, 'Fund Data'!$C:$C = $C405, 'Fund Data'!$"&amp;"A:$A = $A405 - 1, 'Fund Data'!$B:$B &lt;= 3)) * 'Parameters and Distribution Sum'!$B$4,0))),0)"),0.0)</f>
        <v>0</v>
      </c>
      <c r="AB405" s="44">
        <f t="shared" si="43"/>
        <v>0</v>
      </c>
      <c r="AC405" s="44">
        <f t="shared" si="44"/>
        <v>33070.03586</v>
      </c>
      <c r="AD405" s="44">
        <f t="shared" si="7"/>
        <v>33070.03586</v>
      </c>
      <c r="AE405" s="44"/>
    </row>
    <row r="406">
      <c r="A406" s="120">
        <v>2019.0</v>
      </c>
      <c r="B406" s="121">
        <v>2.0</v>
      </c>
      <c r="C406" s="122" t="s">
        <v>49</v>
      </c>
      <c r="D406" s="44"/>
      <c r="E406" s="123">
        <v>5180.77</v>
      </c>
      <c r="F406" s="44"/>
      <c r="G406" s="44"/>
      <c r="H406" s="123">
        <v>-701.03</v>
      </c>
      <c r="I406" s="44"/>
      <c r="J406" s="44"/>
      <c r="K406" s="44"/>
      <c r="L406" s="123">
        <v>55864.54</v>
      </c>
      <c r="M406" s="44"/>
      <c r="N406" s="44"/>
      <c r="O406" s="123">
        <v>782155.0</v>
      </c>
      <c r="P406" s="52">
        <f t="shared" si="23"/>
        <v>782154.44</v>
      </c>
      <c r="Q406" s="124">
        <f t="shared" si="2"/>
        <v>0.5599999997</v>
      </c>
      <c r="R406" s="52">
        <f t="array" ref="R406">IFERROR(INDEX('Fund YTD Target Values'!$1:$1000, MATCH($C406,'Fund YTD Target Values'!$A:$A,0), MATCH($A406,'Fund YTD Target Values'!$1:$1,0)),0)</f>
        <v>714767.6304</v>
      </c>
      <c r="S406" s="52">
        <f>IFERROR(__xludf.DUMMYFUNCTION("IFERROR(sum(FILTER('Fund Data'!$V:$V, 'Fund Data'!$C:$C = $C406, 'Fund Data'!$A:$A &lt; $A406)),0) + IFERROR(sum(FILTER('Fund Data'!$V:$V, 'Fund Data'!$C:$C = $C406, 'Fund Data'!$A:$A = $A406, 'Fund Data'!$B:$B &lt;= $B406)),0)"),556601.64)</f>
        <v>556601.64</v>
      </c>
      <c r="T406" s="44"/>
      <c r="U406" s="44"/>
      <c r="V406" s="44">
        <f t="shared" si="3"/>
        <v>0</v>
      </c>
      <c r="W406" s="52">
        <f>IFERROR(__xludf.DUMMYFUNCTION("iFERROR((FILTER('Fund Data'!$Y:$Y, 'Fund Data'!$C:$C = $C406, 'Fund Data'!$A:$A = $A406 - 1, 'Fund Data'!$B:$B = 12) + FILTER('Fund Data'!$AA:$AA, 'Fund Data'!$C:$C = $C406, 'Fund Data'!$A:$A = $A406 - 1, 'Fund Data'!$B:$B = 12)) * (1 + AVERAGE(FILTER('In"&amp;"flation Data'!$C:$C,'Inflation Data'!$A:$A = ($A406 - 2)))) * 'Parameters and Distribution Sum'!$A$4,0)"),22062.02597097784)</f>
        <v>22062.02597</v>
      </c>
      <c r="X406" s="52">
        <f>IFERROR(__xludf.DUMMYFUNCTION("IFERROR((IFERROR(FILTER('Fund Data'!$P:$P,'Fund Data'!$C:$C = $C406,'Fund Data'!$A:$A = ($A406 - 2), 'Fund Data'!$B:$B = 12),0) - SUM(FILTER('Fund Data'!$V:$V, 'Fund Data'!$C:$C = $C406, 'Fund Data'!$A:$A = ($A406 - 2), 'Fund Data'!$B:$B &gt; 3)))  * 'Parame"&amp;"ters and Distribution Sum'!$B$4 * (1 - 'Parameters and Distribution Sum'!$A$4),0)"),11008.009890000007)</f>
        <v>11008.00989</v>
      </c>
      <c r="Y406" s="52">
        <f t="shared" si="42"/>
        <v>33070.03586</v>
      </c>
      <c r="Z406" s="52">
        <f>IFERROR(__xludf.DUMMYFUNCTION("((IFERROR((SUM(FILTER('Fund Data'!$V:$V, 'Fund Data'!$C:$C = $C406, 'Fund Data'!$A:$A = $A406 - 1, 'Fund Data'!$B:$B &gt;= 4, 'Fund Data'!$B:$B &lt;= ($B406 + 5))) / 12) * ($B406 - 3) * 'Parameters and Distribution Sum'!$B$4, 0) + IF($B406 &gt;= 9, IFERROR(SUM(FIL"&amp;"TER('Fund Data'!$V:$V, 'Fund Data'!$C:$C = $C406, 'Fund Data'!$A:$A = $A406, 'Fund Data'!$B:$B &lt;= 3)) * 'Parameters and Distribution Sum'!$B$4, 0),0)))"),0.0)</f>
        <v>0</v>
      </c>
      <c r="AA406" s="44">
        <f>IFERROR(__xludf.DUMMYFUNCTION("IFERROR(((IFERROR(SUM(FILTER('Fund Data'!$V:$V, 'Fund Data'!$C:$C = $C406, 'Fund Data'!$A:$A = $A406 - 2, 'Fund Data'!$B:$B &gt;= 4)) * 'Parameters and Distribution Sum'!$B$4,0) + IFERROR(SUM(FILTER('Fund Data'!$V:$V, 'Fund Data'!$C:$C = $C406, 'Fund Data'!$"&amp;"A:$A = $A406 - 1, 'Fund Data'!$B:$B &lt;= 3)) * 'Parameters and Distribution Sum'!$B$4,0))),0)"),0.0)</f>
        <v>0</v>
      </c>
      <c r="AB406" s="44">
        <f t="shared" si="43"/>
        <v>0</v>
      </c>
      <c r="AC406" s="44">
        <f t="shared" si="44"/>
        <v>33070.03586</v>
      </c>
      <c r="AD406" s="44">
        <f t="shared" si="7"/>
        <v>33070.03586</v>
      </c>
      <c r="AE406" s="44"/>
    </row>
    <row r="407">
      <c r="A407" s="120">
        <v>2019.0</v>
      </c>
      <c r="B407" s="121">
        <v>1.0</v>
      </c>
      <c r="C407" s="122" t="s">
        <v>49</v>
      </c>
      <c r="D407" s="44"/>
      <c r="E407" s="123">
        <v>4794.8</v>
      </c>
      <c r="F407" s="44"/>
      <c r="G407" s="44"/>
      <c r="H407" s="123">
        <v>-340.57</v>
      </c>
      <c r="I407" s="44"/>
      <c r="J407" s="44"/>
      <c r="K407" s="44"/>
      <c r="L407" s="123">
        <v>43215.96</v>
      </c>
      <c r="M407" s="44"/>
      <c r="N407" s="44"/>
      <c r="O407" s="123">
        <v>769481.0</v>
      </c>
      <c r="P407" s="52">
        <f t="shared" si="23"/>
        <v>769480.35</v>
      </c>
      <c r="Q407" s="124">
        <f t="shared" si="2"/>
        <v>0.6499999997</v>
      </c>
      <c r="R407" s="52">
        <f t="array" ref="R407">IFERROR(INDEX('Fund YTD Target Values'!$1:$1000, MATCH($C407,'Fund YTD Target Values'!$A:$A,0), MATCH($A407,'Fund YTD Target Values'!$1:$1,0)),0)</f>
        <v>714767.6304</v>
      </c>
      <c r="S407" s="52">
        <f>IFERROR(__xludf.DUMMYFUNCTION("IFERROR(sum(FILTER('Fund Data'!$V:$V, 'Fund Data'!$C:$C = $C407, 'Fund Data'!$A:$A &lt; $A407)),0) + IFERROR(sum(FILTER('Fund Data'!$V:$V, 'Fund Data'!$C:$C = $C407, 'Fund Data'!$A:$A = $A407, 'Fund Data'!$B:$B &lt;= $B407)),0)"),556601.64)</f>
        <v>556601.64</v>
      </c>
      <c r="T407" s="44"/>
      <c r="U407" s="44"/>
      <c r="V407" s="44">
        <f t="shared" si="3"/>
        <v>0</v>
      </c>
      <c r="W407" s="52">
        <f>IFERROR(__xludf.DUMMYFUNCTION("iFERROR((FILTER('Fund Data'!$Y:$Y, 'Fund Data'!$C:$C = $C407, 'Fund Data'!$A:$A = $A407 - 1, 'Fund Data'!$B:$B = 12) + FILTER('Fund Data'!$AA:$AA, 'Fund Data'!$C:$C = $C407, 'Fund Data'!$A:$A = $A407 - 1, 'Fund Data'!$B:$B = 12)) * (1 + AVERAGE(FILTER('In"&amp;"flation Data'!$C:$C,'Inflation Data'!$A:$A = ($A407 - 2)))) * 'Parameters and Distribution Sum'!$A$4,0)"),22062.02597097784)</f>
        <v>22062.02597</v>
      </c>
      <c r="X407" s="52">
        <f>IFERROR(__xludf.DUMMYFUNCTION("IFERROR((IFERROR(FILTER('Fund Data'!$P:$P,'Fund Data'!$C:$C = $C407,'Fund Data'!$A:$A = ($A407 - 2), 'Fund Data'!$B:$B = 12),0) - SUM(FILTER('Fund Data'!$V:$V, 'Fund Data'!$C:$C = $C407, 'Fund Data'!$A:$A = ($A407 - 2), 'Fund Data'!$B:$B &gt; 3)))  * 'Parame"&amp;"ters and Distribution Sum'!$B$4 * (1 - 'Parameters and Distribution Sum'!$A$4),0)"),11008.009890000007)</f>
        <v>11008.00989</v>
      </c>
      <c r="Y407" s="52">
        <f t="shared" si="42"/>
        <v>33070.03586</v>
      </c>
      <c r="Z407" s="52">
        <f>IFERROR(__xludf.DUMMYFUNCTION("((IFERROR((SUM(FILTER('Fund Data'!$V:$V, 'Fund Data'!$C:$C = $C407, 'Fund Data'!$A:$A = $A407 - 1, 'Fund Data'!$B:$B &gt;= 4, 'Fund Data'!$B:$B &lt;= ($B407 + 5))) / 12) * ($B407 - 3) * 'Parameters and Distribution Sum'!$B$4, 0) + IF($B407 &gt;= 9, IFERROR(SUM(FIL"&amp;"TER('Fund Data'!$V:$V, 'Fund Data'!$C:$C = $C407, 'Fund Data'!$A:$A = $A407, 'Fund Data'!$B:$B &lt;= 3)) * 'Parameters and Distribution Sum'!$B$4, 0),0)))"),0.0)</f>
        <v>0</v>
      </c>
      <c r="AA407" s="44">
        <f>IFERROR(__xludf.DUMMYFUNCTION("IFERROR(((IFERROR(SUM(FILTER('Fund Data'!$V:$V, 'Fund Data'!$C:$C = $C407, 'Fund Data'!$A:$A = $A407 - 2, 'Fund Data'!$B:$B &gt;= 4)) * 'Parameters and Distribution Sum'!$B$4,0) + IFERROR(SUM(FILTER('Fund Data'!$V:$V, 'Fund Data'!$C:$C = $C407, 'Fund Data'!$"&amp;"A:$A = $A407 - 1, 'Fund Data'!$B:$B &lt;= 3)) * 'Parameters and Distribution Sum'!$B$4,0))),0)"),0.0)</f>
        <v>0</v>
      </c>
      <c r="AB407" s="44">
        <f t="shared" si="43"/>
        <v>0</v>
      </c>
      <c r="AC407" s="44">
        <f t="shared" si="44"/>
        <v>33070.03586</v>
      </c>
      <c r="AD407" s="44">
        <f t="shared" si="7"/>
        <v>33070.03586</v>
      </c>
      <c r="AE407" s="44"/>
    </row>
    <row r="408">
      <c r="A408" s="120">
        <v>2018.0</v>
      </c>
      <c r="B408" s="121">
        <v>12.0</v>
      </c>
      <c r="C408" s="122" t="s">
        <v>49</v>
      </c>
      <c r="D408" s="44"/>
      <c r="E408" s="123">
        <v>17236.05</v>
      </c>
      <c r="F408" s="123">
        <v>-32760.5</v>
      </c>
      <c r="G408" s="44"/>
      <c r="H408" s="123">
        <v>-4754.76</v>
      </c>
      <c r="I408" s="44"/>
      <c r="J408" s="123">
        <v>818.56</v>
      </c>
      <c r="K408" s="44"/>
      <c r="L408" s="123">
        <v>-74137.33</v>
      </c>
      <c r="M408" s="44"/>
      <c r="N408" s="44"/>
      <c r="O408" s="123">
        <v>721811.0</v>
      </c>
      <c r="P408" s="52">
        <f t="shared" si="23"/>
        <v>721810.16</v>
      </c>
      <c r="Q408" s="124">
        <f t="shared" si="2"/>
        <v>0.8399999999</v>
      </c>
      <c r="R408" s="52">
        <f t="array" ref="R408">IFERROR(INDEX('Fund YTD Target Values'!$1:$1000, MATCH($C408,'Fund YTD Target Values'!$A:$A,0), MATCH($A408,'Fund YTD Target Values'!$1:$1,0)),0)</f>
        <v>702514.9803</v>
      </c>
      <c r="S408" s="52">
        <f>IFERROR(__xludf.DUMMYFUNCTION("IFERROR(sum(FILTER('Fund Data'!$V:$V, 'Fund Data'!$C:$C = $C408, 'Fund Data'!$A:$A &lt; $A408)),0) + IFERROR(sum(FILTER('Fund Data'!$V:$V, 'Fund Data'!$C:$C = $C408, 'Fund Data'!$A:$A = $A408, 'Fund Data'!$B:$B &lt;= $B408)),0)"),556601.64)</f>
        <v>556601.64</v>
      </c>
      <c r="T408" s="123">
        <v>558656.0</v>
      </c>
      <c r="U408" s="44">
        <f t="shared" ref="U408:U444" si="45">S408-T408</f>
        <v>-2054.36</v>
      </c>
      <c r="V408" s="44">
        <f t="shared" si="3"/>
        <v>0</v>
      </c>
      <c r="W408" s="52"/>
      <c r="X408" s="52"/>
      <c r="Y408" s="52">
        <v>30859.3768753038</v>
      </c>
      <c r="Z408" s="123">
        <v>0.0</v>
      </c>
      <c r="AA408" s="123">
        <v>0.0</v>
      </c>
      <c r="AB408" s="44">
        <f t="shared" si="43"/>
        <v>0</v>
      </c>
      <c r="AC408" s="44">
        <f t="shared" si="44"/>
        <v>30859.37688</v>
      </c>
      <c r="AD408" s="44">
        <f t="shared" si="7"/>
        <v>-1901.123125</v>
      </c>
      <c r="AE408" s="123">
        <v>0.0</v>
      </c>
    </row>
    <row r="409">
      <c r="A409" s="120">
        <v>2018.0</v>
      </c>
      <c r="B409" s="121">
        <v>11.0</v>
      </c>
      <c r="C409" s="122" t="s">
        <v>49</v>
      </c>
      <c r="D409" s="44"/>
      <c r="E409" s="123">
        <v>16215.82</v>
      </c>
      <c r="F409" s="123">
        <v>-32760.5</v>
      </c>
      <c r="G409" s="44"/>
      <c r="H409" s="123">
        <v>-4396.4</v>
      </c>
      <c r="I409" s="44"/>
      <c r="J409" s="123">
        <v>818.56</v>
      </c>
      <c r="K409" s="44"/>
      <c r="L409" s="123">
        <v>-31377.59</v>
      </c>
      <c r="M409" s="44"/>
      <c r="N409" s="44"/>
      <c r="O409" s="123">
        <v>763909.0</v>
      </c>
      <c r="P409" s="52">
        <f t="shared" si="23"/>
        <v>763908.03</v>
      </c>
      <c r="Q409" s="124">
        <f t="shared" si="2"/>
        <v>0.9699999999</v>
      </c>
      <c r="R409" s="52">
        <f t="array" ref="R409">IFERROR(INDEX('Fund YTD Target Values'!$1:$1000, MATCH($C409,'Fund YTD Target Values'!$A:$A,0), MATCH($A409,'Fund YTD Target Values'!$1:$1,0)),0)</f>
        <v>702514.9803</v>
      </c>
      <c r="S409" s="52">
        <f>IFERROR(__xludf.DUMMYFUNCTION("IFERROR(sum(FILTER('Fund Data'!$V:$V, 'Fund Data'!$C:$C = $C409, 'Fund Data'!$A:$A &lt; $A409)),0) + IFERROR(sum(FILTER('Fund Data'!$V:$V, 'Fund Data'!$C:$C = $C409, 'Fund Data'!$A:$A = $A409, 'Fund Data'!$B:$B &lt;= $B409)),0)"),556601.64)</f>
        <v>556601.64</v>
      </c>
      <c r="T409" s="123">
        <v>558656.0</v>
      </c>
      <c r="U409" s="44">
        <f t="shared" si="45"/>
        <v>-2054.36</v>
      </c>
      <c r="V409" s="44">
        <f t="shared" si="3"/>
        <v>0</v>
      </c>
      <c r="W409" s="123"/>
      <c r="X409" s="123"/>
      <c r="Y409" s="123">
        <v>0.0</v>
      </c>
      <c r="Z409" s="123">
        <v>0.0</v>
      </c>
      <c r="AA409" s="123">
        <v>0.0</v>
      </c>
      <c r="AB409" s="123"/>
      <c r="AC409" s="123">
        <v>0.0</v>
      </c>
      <c r="AD409" s="44">
        <f t="shared" si="7"/>
        <v>-32760.5</v>
      </c>
      <c r="AE409" s="123">
        <v>0.0</v>
      </c>
    </row>
    <row r="410">
      <c r="A410" s="120">
        <v>2018.0</v>
      </c>
      <c r="B410" s="121">
        <v>10.0</v>
      </c>
      <c r="C410" s="135" t="s">
        <v>49</v>
      </c>
      <c r="D410" s="138"/>
      <c r="E410" s="137">
        <v>15523.23</v>
      </c>
      <c r="F410" s="136">
        <v>-20000.0</v>
      </c>
      <c r="G410" s="138"/>
      <c r="H410" s="137">
        <v>-3657.21</v>
      </c>
      <c r="I410" s="138"/>
      <c r="J410" s="138"/>
      <c r="K410" s="138"/>
      <c r="L410" s="136">
        <v>-37214.68</v>
      </c>
      <c r="M410" s="44"/>
      <c r="N410" s="44"/>
      <c r="O410" s="136">
        <v>770061.0</v>
      </c>
      <c r="P410" s="52">
        <f t="shared" si="23"/>
        <v>770059.48</v>
      </c>
      <c r="Q410" s="124">
        <f t="shared" si="2"/>
        <v>1.52</v>
      </c>
      <c r="R410" s="52">
        <f t="array" ref="R410">IFERROR(INDEX('Fund YTD Target Values'!$1:$1000, MATCH($C410,'Fund YTD Target Values'!$A:$A,0), MATCH($A410,'Fund YTD Target Values'!$1:$1,0)),0)</f>
        <v>702514.9803</v>
      </c>
      <c r="S410" s="52">
        <f>IFERROR(__xludf.DUMMYFUNCTION("IFERROR(sum(FILTER('Fund Data'!$V:$V, 'Fund Data'!$C:$C = $C410, 'Fund Data'!$A:$A &lt; $A410)),0) + IFERROR(sum(FILTER('Fund Data'!$V:$V, 'Fund Data'!$C:$C = $C410, 'Fund Data'!$A:$A = $A410, 'Fund Data'!$B:$B &lt;= $B410)),0)"),556601.64)</f>
        <v>556601.64</v>
      </c>
      <c r="T410" s="123">
        <v>558656.0</v>
      </c>
      <c r="U410" s="44">
        <f t="shared" si="45"/>
        <v>-2054.36</v>
      </c>
      <c r="V410" s="44">
        <f t="shared" si="3"/>
        <v>0</v>
      </c>
      <c r="W410" s="123"/>
      <c r="X410" s="123"/>
      <c r="Y410" s="123">
        <v>0.0</v>
      </c>
      <c r="Z410" s="123">
        <v>0.0</v>
      </c>
      <c r="AA410" s="123">
        <v>0.0</v>
      </c>
      <c r="AB410" s="123"/>
      <c r="AC410" s="123">
        <v>0.0</v>
      </c>
      <c r="AD410" s="44">
        <f t="shared" si="7"/>
        <v>-20000</v>
      </c>
      <c r="AE410" s="123">
        <v>0.0</v>
      </c>
    </row>
    <row r="411">
      <c r="A411" s="120">
        <v>2018.0</v>
      </c>
      <c r="B411" s="121">
        <v>9.0</v>
      </c>
      <c r="C411" s="122" t="s">
        <v>49</v>
      </c>
      <c r="D411" s="44"/>
      <c r="E411" s="123">
        <v>13212.71</v>
      </c>
      <c r="F411" s="123">
        <v>-20000.0</v>
      </c>
      <c r="G411" s="44"/>
      <c r="H411" s="123">
        <v>-3657.21</v>
      </c>
      <c r="I411" s="44"/>
      <c r="J411" s="123"/>
      <c r="K411" s="44"/>
      <c r="L411" s="123">
        <v>3936.57</v>
      </c>
      <c r="M411" s="44"/>
      <c r="N411" s="44"/>
      <c r="O411" s="123">
        <v>808901.0</v>
      </c>
      <c r="P411" s="52">
        <f t="shared" si="23"/>
        <v>808900.21</v>
      </c>
      <c r="Q411" s="124">
        <f t="shared" si="2"/>
        <v>0.7899999999</v>
      </c>
      <c r="R411" s="52">
        <f t="array" ref="R411">IFERROR(INDEX('Fund YTD Target Values'!$1:$1000, MATCH($C411,'Fund YTD Target Values'!$A:$A,0), MATCH($A411,'Fund YTD Target Values'!$1:$1,0)),0)</f>
        <v>702514.9803</v>
      </c>
      <c r="S411" s="52">
        <f>IFERROR(__xludf.DUMMYFUNCTION("IFERROR(sum(FILTER('Fund Data'!$V:$V, 'Fund Data'!$C:$C = $C411, 'Fund Data'!$A:$A &lt; $A411)),0) + IFERROR(sum(FILTER('Fund Data'!$V:$V, 'Fund Data'!$C:$C = $C411, 'Fund Data'!$A:$A = $A411, 'Fund Data'!$B:$B &lt;= $B411)),0)"),556601.64)</f>
        <v>556601.64</v>
      </c>
      <c r="T411" s="123">
        <v>558656.0</v>
      </c>
      <c r="U411" s="44">
        <f t="shared" si="45"/>
        <v>-2054.36</v>
      </c>
      <c r="V411" s="44">
        <f t="shared" si="3"/>
        <v>0</v>
      </c>
      <c r="W411" s="123"/>
      <c r="X411" s="123"/>
      <c r="Y411" s="123">
        <v>0.0</v>
      </c>
      <c r="Z411" s="123">
        <v>0.0</v>
      </c>
      <c r="AA411" s="123">
        <v>0.0</v>
      </c>
      <c r="AB411" s="123"/>
      <c r="AC411" s="123">
        <v>0.0</v>
      </c>
      <c r="AD411" s="44">
        <f t="shared" si="7"/>
        <v>-20000</v>
      </c>
      <c r="AE411" s="123">
        <v>0.0</v>
      </c>
    </row>
    <row r="412">
      <c r="A412" s="120">
        <v>2018.0</v>
      </c>
      <c r="B412" s="121">
        <v>8.0</v>
      </c>
      <c r="C412" s="122" t="s">
        <v>49</v>
      </c>
      <c r="D412" s="44"/>
      <c r="E412" s="123">
        <v>12519.06</v>
      </c>
      <c r="F412" s="123">
        <v>-20000.0</v>
      </c>
      <c r="G412" s="44"/>
      <c r="H412" s="123">
        <v>-3251.44</v>
      </c>
      <c r="I412" s="44"/>
      <c r="J412" s="44"/>
      <c r="K412" s="44"/>
      <c r="L412" s="123">
        <v>6877.08</v>
      </c>
      <c r="M412" s="44"/>
      <c r="N412" s="44"/>
      <c r="O412" s="123">
        <v>811554.0</v>
      </c>
      <c r="P412" s="52">
        <f t="shared" si="23"/>
        <v>811552.84</v>
      </c>
      <c r="Q412" s="124">
        <f t="shared" si="2"/>
        <v>1.16</v>
      </c>
      <c r="R412" s="52">
        <f t="array" ref="R412">IFERROR(INDEX('Fund YTD Target Values'!$1:$1000, MATCH($C412,'Fund YTD Target Values'!$A:$A,0), MATCH($A412,'Fund YTD Target Values'!$1:$1,0)),0)</f>
        <v>702514.9803</v>
      </c>
      <c r="S412" s="52">
        <f>IFERROR(__xludf.DUMMYFUNCTION("IFERROR(sum(FILTER('Fund Data'!$V:$V, 'Fund Data'!$C:$C = $C412, 'Fund Data'!$A:$A &lt; $A412)),0) + IFERROR(sum(FILTER('Fund Data'!$V:$V, 'Fund Data'!$C:$C = $C412, 'Fund Data'!$A:$A = $A412, 'Fund Data'!$B:$B &lt;= $B412)),0)"),556601.64)</f>
        <v>556601.64</v>
      </c>
      <c r="T412" s="123">
        <v>558656.0</v>
      </c>
      <c r="U412" s="44">
        <f t="shared" si="45"/>
        <v>-2054.36</v>
      </c>
      <c r="V412" s="44">
        <f t="shared" si="3"/>
        <v>0</v>
      </c>
      <c r="W412" s="123"/>
      <c r="X412" s="123"/>
      <c r="Y412" s="123">
        <v>0.0</v>
      </c>
      <c r="Z412" s="123">
        <v>0.0</v>
      </c>
      <c r="AA412" s="123">
        <v>0.0</v>
      </c>
      <c r="AB412" s="123"/>
      <c r="AC412" s="123">
        <v>0.0</v>
      </c>
      <c r="AD412" s="44">
        <f t="shared" si="7"/>
        <v>-20000</v>
      </c>
      <c r="AE412" s="123">
        <v>0.0</v>
      </c>
    </row>
    <row r="413">
      <c r="A413" s="120">
        <v>2018.0</v>
      </c>
      <c r="B413" s="121">
        <v>7.0</v>
      </c>
      <c r="C413" s="122" t="s">
        <v>49</v>
      </c>
      <c r="D413" s="44"/>
      <c r="E413" s="123">
        <v>11852.78</v>
      </c>
      <c r="F413" s="123">
        <v>-20000.0</v>
      </c>
      <c r="G413" s="44"/>
      <c r="H413" s="123">
        <v>-2847.11</v>
      </c>
      <c r="I413" s="44"/>
      <c r="J413" s="44"/>
      <c r="K413" s="44"/>
      <c r="L413" s="123">
        <v>4249.17</v>
      </c>
      <c r="M413" s="44"/>
      <c r="N413" s="44"/>
      <c r="O413" s="123">
        <v>808664.0</v>
      </c>
      <c r="P413" s="52">
        <f t="shared" si="23"/>
        <v>808662.98</v>
      </c>
      <c r="Q413" s="124">
        <f t="shared" si="2"/>
        <v>1.02</v>
      </c>
      <c r="R413" s="52">
        <f t="array" ref="R413">IFERROR(INDEX('Fund YTD Target Values'!$1:$1000, MATCH($C413,'Fund YTD Target Values'!$A:$A,0), MATCH($A413,'Fund YTD Target Values'!$1:$1,0)),0)</f>
        <v>702514.9803</v>
      </c>
      <c r="S413" s="52">
        <f>IFERROR(__xludf.DUMMYFUNCTION("IFERROR(sum(FILTER('Fund Data'!$V:$V, 'Fund Data'!$C:$C = $C413, 'Fund Data'!$A:$A &lt; $A413)),0) + IFERROR(sum(FILTER('Fund Data'!$V:$V, 'Fund Data'!$C:$C = $C413, 'Fund Data'!$A:$A = $A413, 'Fund Data'!$B:$B &lt;= $B413)),0)"),556601.64)</f>
        <v>556601.64</v>
      </c>
      <c r="T413" s="123">
        <v>558656.0</v>
      </c>
      <c r="U413" s="44">
        <f t="shared" si="45"/>
        <v>-2054.36</v>
      </c>
      <c r="V413" s="44">
        <f t="shared" si="3"/>
        <v>0</v>
      </c>
      <c r="W413" s="123"/>
      <c r="X413" s="123"/>
      <c r="Y413" s="123">
        <v>0.0</v>
      </c>
      <c r="Z413" s="123">
        <v>0.0</v>
      </c>
      <c r="AA413" s="123">
        <v>0.0</v>
      </c>
      <c r="AB413" s="123"/>
      <c r="AC413" s="123">
        <v>0.0</v>
      </c>
      <c r="AD413" s="44">
        <f t="shared" si="7"/>
        <v>-20000</v>
      </c>
      <c r="AE413" s="123">
        <v>0.0</v>
      </c>
    </row>
    <row r="414">
      <c r="A414" s="120">
        <v>2018.0</v>
      </c>
      <c r="B414" s="121">
        <v>6.0</v>
      </c>
      <c r="C414" s="122" t="s">
        <v>49</v>
      </c>
      <c r="D414" s="44"/>
      <c r="E414" s="123">
        <v>10050.56</v>
      </c>
      <c r="F414" s="123">
        <v>-20000.0</v>
      </c>
      <c r="G414" s="44"/>
      <c r="H414" s="123">
        <v>-2450.05</v>
      </c>
      <c r="I414" s="44"/>
      <c r="J414" s="44"/>
      <c r="K414" s="44"/>
      <c r="L414" s="123">
        <v>-8885.11</v>
      </c>
      <c r="M414" s="44"/>
      <c r="N414" s="44"/>
      <c r="O414" s="123">
        <v>794125.0</v>
      </c>
      <c r="P414" s="52">
        <f t="shared" si="23"/>
        <v>794123.54</v>
      </c>
      <c r="Q414" s="124">
        <f t="shared" si="2"/>
        <v>1.46</v>
      </c>
      <c r="R414" s="52">
        <f t="array" ref="R414">IFERROR(INDEX('Fund YTD Target Values'!$1:$1000, MATCH($C414,'Fund YTD Target Values'!$A:$A,0), MATCH($A414,'Fund YTD Target Values'!$1:$1,0)),0)</f>
        <v>702514.9803</v>
      </c>
      <c r="S414" s="52">
        <f>IFERROR(__xludf.DUMMYFUNCTION("IFERROR(sum(FILTER('Fund Data'!$V:$V, 'Fund Data'!$C:$C = $C414, 'Fund Data'!$A:$A &lt; $A414)),0) + IFERROR(sum(FILTER('Fund Data'!$V:$V, 'Fund Data'!$C:$C = $C414, 'Fund Data'!$A:$A = $A414, 'Fund Data'!$B:$B &lt;= $B414)),0)"),556601.64)</f>
        <v>556601.64</v>
      </c>
      <c r="T414" s="123">
        <v>558656.0</v>
      </c>
      <c r="U414" s="44">
        <f t="shared" si="45"/>
        <v>-2054.36</v>
      </c>
      <c r="V414" s="44">
        <f t="shared" si="3"/>
        <v>0</v>
      </c>
      <c r="W414" s="123"/>
      <c r="X414" s="123"/>
      <c r="Y414" s="123">
        <v>0.0</v>
      </c>
      <c r="Z414" s="123">
        <v>0.0</v>
      </c>
      <c r="AA414" s="123">
        <v>0.0</v>
      </c>
      <c r="AB414" s="123"/>
      <c r="AC414" s="123">
        <v>0.0</v>
      </c>
      <c r="AD414" s="44">
        <f t="shared" si="7"/>
        <v>-20000</v>
      </c>
      <c r="AE414" s="123">
        <v>0.0</v>
      </c>
    </row>
    <row r="415">
      <c r="A415" s="120">
        <v>2018.0</v>
      </c>
      <c r="B415" s="121">
        <v>5.0</v>
      </c>
      <c r="C415" s="122" t="s">
        <v>49</v>
      </c>
      <c r="D415" s="44"/>
      <c r="E415" s="123">
        <v>8895.56</v>
      </c>
      <c r="F415" s="123">
        <v>-20000.0</v>
      </c>
      <c r="G415" s="44"/>
      <c r="H415" s="123">
        <v>-2050.37</v>
      </c>
      <c r="I415" s="44"/>
      <c r="J415" s="44"/>
      <c r="K415" s="44"/>
      <c r="L415" s="123">
        <v>-2903.42</v>
      </c>
      <c r="M415" s="44"/>
      <c r="N415" s="44"/>
      <c r="O415" s="123">
        <v>799351.0</v>
      </c>
      <c r="P415" s="52">
        <f t="shared" si="23"/>
        <v>799349.91</v>
      </c>
      <c r="Q415" s="124">
        <f t="shared" si="2"/>
        <v>1.09</v>
      </c>
      <c r="R415" s="52">
        <f t="array" ref="R415">IFERROR(INDEX('Fund YTD Target Values'!$1:$1000, MATCH($C415,'Fund YTD Target Values'!$A:$A,0), MATCH($A415,'Fund YTD Target Values'!$1:$1,0)),0)</f>
        <v>702514.9803</v>
      </c>
      <c r="S415" s="52">
        <f>IFERROR(__xludf.DUMMYFUNCTION("IFERROR(sum(FILTER('Fund Data'!$V:$V, 'Fund Data'!$C:$C = $C415, 'Fund Data'!$A:$A &lt; $A415)),0) + IFERROR(sum(FILTER('Fund Data'!$V:$V, 'Fund Data'!$C:$C = $C415, 'Fund Data'!$A:$A = $A415, 'Fund Data'!$B:$B &lt;= $B415)),0)"),556601.64)</f>
        <v>556601.64</v>
      </c>
      <c r="T415" s="123">
        <v>558656.0</v>
      </c>
      <c r="U415" s="44">
        <f t="shared" si="45"/>
        <v>-2054.36</v>
      </c>
      <c r="V415" s="44">
        <f t="shared" si="3"/>
        <v>0</v>
      </c>
      <c r="W415" s="123"/>
      <c r="X415" s="123"/>
      <c r="Y415" s="123">
        <v>0.0</v>
      </c>
      <c r="Z415" s="123">
        <v>0.0</v>
      </c>
      <c r="AA415" s="123">
        <v>0.0</v>
      </c>
      <c r="AB415" s="123"/>
      <c r="AC415" s="123">
        <v>0.0</v>
      </c>
      <c r="AD415" s="44">
        <f t="shared" si="7"/>
        <v>-20000</v>
      </c>
      <c r="AE415" s="123">
        <v>0.0</v>
      </c>
    </row>
    <row r="416">
      <c r="A416" s="120">
        <v>2018.0</v>
      </c>
      <c r="B416" s="121">
        <v>4.0</v>
      </c>
      <c r="C416" s="122" t="s">
        <v>49</v>
      </c>
      <c r="D416" s="44"/>
      <c r="E416" s="123">
        <v>8244.7</v>
      </c>
      <c r="F416" s="44"/>
      <c r="G416" s="44"/>
      <c r="H416" s="123">
        <v>-1641.66</v>
      </c>
      <c r="I416" s="44"/>
      <c r="J416" s="44"/>
      <c r="K416" s="44"/>
      <c r="L416" s="123">
        <v>-4593.56</v>
      </c>
      <c r="M416" s="44"/>
      <c r="N416" s="44"/>
      <c r="O416" s="123">
        <v>817419.0</v>
      </c>
      <c r="P416" s="52">
        <f t="shared" si="23"/>
        <v>817417.62</v>
      </c>
      <c r="Q416" s="124">
        <f t="shared" si="2"/>
        <v>1.38</v>
      </c>
      <c r="R416" s="52">
        <f t="array" ref="R416">IFERROR(INDEX('Fund YTD Target Values'!$1:$1000, MATCH($C416,'Fund YTD Target Values'!$A:$A,0), MATCH($A416,'Fund YTD Target Values'!$1:$1,0)),0)</f>
        <v>702514.9803</v>
      </c>
      <c r="S416" s="52">
        <f>IFERROR(__xludf.DUMMYFUNCTION("IFERROR(sum(FILTER('Fund Data'!$V:$V, 'Fund Data'!$C:$C = $C416, 'Fund Data'!$A:$A &lt; $A416)),0) + IFERROR(sum(FILTER('Fund Data'!$V:$V, 'Fund Data'!$C:$C = $C416, 'Fund Data'!$A:$A = $A416, 'Fund Data'!$B:$B &lt;= $B416)),0)"),556601.64)</f>
        <v>556601.64</v>
      </c>
      <c r="T416" s="123">
        <v>558656.0</v>
      </c>
      <c r="U416" s="44">
        <f t="shared" si="45"/>
        <v>-2054.36</v>
      </c>
      <c r="V416" s="44">
        <f t="shared" si="3"/>
        <v>0</v>
      </c>
      <c r="W416" s="123"/>
      <c r="X416" s="123"/>
      <c r="Y416" s="123">
        <v>0.0</v>
      </c>
      <c r="Z416" s="123">
        <v>0.0</v>
      </c>
      <c r="AA416" s="123">
        <v>0.0</v>
      </c>
      <c r="AB416" s="123"/>
      <c r="AC416" s="123">
        <v>0.0</v>
      </c>
      <c r="AD416" s="44">
        <f t="shared" si="7"/>
        <v>0</v>
      </c>
      <c r="AE416" s="123">
        <v>0.0</v>
      </c>
    </row>
    <row r="417">
      <c r="A417" s="120">
        <v>2018.0</v>
      </c>
      <c r="B417" s="121">
        <v>3.0</v>
      </c>
      <c r="C417" s="122" t="s">
        <v>49</v>
      </c>
      <c r="D417" s="44"/>
      <c r="E417" s="123">
        <v>6293.43</v>
      </c>
      <c r="F417" s="44"/>
      <c r="G417" s="44"/>
      <c r="H417" s="123">
        <v>-1234.05</v>
      </c>
      <c r="I417" s="44"/>
      <c r="J417" s="44"/>
      <c r="K417" s="44"/>
      <c r="L417" s="123">
        <v>-5250.53</v>
      </c>
      <c r="M417" s="44"/>
      <c r="N417" s="44"/>
      <c r="O417" s="123">
        <v>815218.0</v>
      </c>
      <c r="P417" s="52">
        <f t="shared" si="23"/>
        <v>815216.99</v>
      </c>
      <c r="Q417" s="124">
        <f t="shared" si="2"/>
        <v>1.01</v>
      </c>
      <c r="R417" s="52">
        <f t="array" ref="R417">IFERROR(INDEX('Fund YTD Target Values'!$1:$1000, MATCH($C417,'Fund YTD Target Values'!$A:$A,0), MATCH($A417,'Fund YTD Target Values'!$1:$1,0)),0)</f>
        <v>702514.9803</v>
      </c>
      <c r="S417" s="52">
        <f>IFERROR(__xludf.DUMMYFUNCTION("IFERROR(sum(FILTER('Fund Data'!$V:$V, 'Fund Data'!$C:$C = $C417, 'Fund Data'!$A:$A &lt; $A417)),0) + IFERROR(sum(FILTER('Fund Data'!$V:$V, 'Fund Data'!$C:$C = $C417, 'Fund Data'!$A:$A = $A417, 'Fund Data'!$B:$B &lt;= $B417)),0)"),556601.64)</f>
        <v>556601.64</v>
      </c>
      <c r="T417" s="123">
        <v>558656.0</v>
      </c>
      <c r="U417" s="44">
        <f t="shared" si="45"/>
        <v>-2054.36</v>
      </c>
      <c r="V417" s="44">
        <f t="shared" si="3"/>
        <v>0</v>
      </c>
      <c r="W417" s="123"/>
      <c r="X417" s="123"/>
      <c r="Y417" s="123">
        <v>0.0</v>
      </c>
      <c r="Z417" s="123">
        <v>0.0</v>
      </c>
      <c r="AA417" s="123">
        <v>0.0</v>
      </c>
      <c r="AB417" s="123"/>
      <c r="AC417" s="123">
        <v>0.0</v>
      </c>
      <c r="AD417" s="44">
        <f t="shared" si="7"/>
        <v>0</v>
      </c>
      <c r="AE417" s="123">
        <v>0.0</v>
      </c>
    </row>
    <row r="418">
      <c r="A418" s="120">
        <v>2018.0</v>
      </c>
      <c r="B418" s="121">
        <v>2.0</v>
      </c>
      <c r="C418" s="122" t="s">
        <v>49</v>
      </c>
      <c r="D418" s="44"/>
      <c r="E418" s="123">
        <v>5575.06</v>
      </c>
      <c r="F418" s="44"/>
      <c r="G418" s="44"/>
      <c r="H418" s="123">
        <v>-1999.65</v>
      </c>
      <c r="I418" s="44"/>
      <c r="J418" s="44"/>
      <c r="K418" s="44"/>
      <c r="L418" s="123">
        <v>344.38</v>
      </c>
      <c r="M418" s="44"/>
      <c r="N418" s="44"/>
      <c r="O418" s="123">
        <v>819329.0</v>
      </c>
      <c r="P418" s="52">
        <f t="shared" si="23"/>
        <v>819327.93</v>
      </c>
      <c r="Q418" s="124">
        <f t="shared" si="2"/>
        <v>1.07</v>
      </c>
      <c r="R418" s="52">
        <f t="array" ref="R418">IFERROR(INDEX('Fund YTD Target Values'!$1:$1000, MATCH($C418,'Fund YTD Target Values'!$A:$A,0), MATCH($A418,'Fund YTD Target Values'!$1:$1,0)),0)</f>
        <v>702514.9803</v>
      </c>
      <c r="S418" s="52">
        <f>IFERROR(__xludf.DUMMYFUNCTION("IFERROR(sum(FILTER('Fund Data'!$V:$V, 'Fund Data'!$C:$C = $C418, 'Fund Data'!$A:$A &lt; $A418)),0) + IFERROR(sum(FILTER('Fund Data'!$V:$V, 'Fund Data'!$C:$C = $C418, 'Fund Data'!$A:$A = $A418, 'Fund Data'!$B:$B &lt;= $B418)),0)"),556601.64)</f>
        <v>556601.64</v>
      </c>
      <c r="T418" s="123">
        <v>558656.0</v>
      </c>
      <c r="U418" s="44">
        <f t="shared" si="45"/>
        <v>-2054.36</v>
      </c>
      <c r="V418" s="44">
        <f t="shared" si="3"/>
        <v>0</v>
      </c>
      <c r="W418" s="123"/>
      <c r="X418" s="123"/>
      <c r="Y418" s="123">
        <v>0.0</v>
      </c>
      <c r="Z418" s="123">
        <v>0.0</v>
      </c>
      <c r="AA418" s="123">
        <v>0.0</v>
      </c>
      <c r="AB418" s="123"/>
      <c r="AC418" s="123">
        <v>0.0</v>
      </c>
      <c r="AD418" s="44">
        <f t="shared" si="7"/>
        <v>0</v>
      </c>
      <c r="AE418" s="123">
        <v>0.0</v>
      </c>
    </row>
    <row r="419">
      <c r="A419" s="120">
        <v>2018.0</v>
      </c>
      <c r="B419" s="121">
        <v>1.0</v>
      </c>
      <c r="C419" s="122" t="s">
        <v>49</v>
      </c>
      <c r="D419" s="44"/>
      <c r="E419" s="123">
        <v>4965.79</v>
      </c>
      <c r="F419" s="44"/>
      <c r="G419" s="44"/>
      <c r="H419" s="123">
        <v>-1577.72</v>
      </c>
      <c r="I419" s="44"/>
      <c r="J419" s="44"/>
      <c r="K419" s="44"/>
      <c r="L419" s="123">
        <v>25055.27</v>
      </c>
      <c r="M419" s="44"/>
      <c r="N419" s="44"/>
      <c r="O419" s="123">
        <v>843853.0</v>
      </c>
      <c r="P419" s="52">
        <f t="shared" si="23"/>
        <v>843851.48</v>
      </c>
      <c r="Q419" s="124">
        <f t="shared" si="2"/>
        <v>1.52</v>
      </c>
      <c r="R419" s="52">
        <f t="array" ref="R419">IFERROR(INDEX('Fund YTD Target Values'!$1:$1000, MATCH($C419,'Fund YTD Target Values'!$A:$A,0), MATCH($A419,'Fund YTD Target Values'!$1:$1,0)),0)</f>
        <v>702514.9803</v>
      </c>
      <c r="S419" s="52">
        <f>IFERROR(__xludf.DUMMYFUNCTION("IFERROR(sum(FILTER('Fund Data'!$V:$V, 'Fund Data'!$C:$C = $C419, 'Fund Data'!$A:$A &lt; $A419)),0) + IFERROR(sum(FILTER('Fund Data'!$V:$V, 'Fund Data'!$C:$C = $C419, 'Fund Data'!$A:$A = $A419, 'Fund Data'!$B:$B &lt;= $B419)),0)"),556601.64)</f>
        <v>556601.64</v>
      </c>
      <c r="T419" s="123">
        <v>558656.0</v>
      </c>
      <c r="U419" s="44">
        <f t="shared" si="45"/>
        <v>-2054.36</v>
      </c>
      <c r="V419" s="44">
        <f t="shared" si="3"/>
        <v>0</v>
      </c>
      <c r="W419" s="123"/>
      <c r="X419" s="123"/>
      <c r="Y419" s="123">
        <v>0.0</v>
      </c>
      <c r="Z419" s="123">
        <v>0.0</v>
      </c>
      <c r="AA419" s="123">
        <v>0.0</v>
      </c>
      <c r="AB419" s="123"/>
      <c r="AC419" s="123">
        <v>0.0</v>
      </c>
      <c r="AD419" s="44">
        <f t="shared" si="7"/>
        <v>0</v>
      </c>
      <c r="AE419" s="123">
        <v>0.0</v>
      </c>
    </row>
    <row r="420">
      <c r="A420" s="120">
        <v>2017.0</v>
      </c>
      <c r="B420" s="121">
        <v>12.0</v>
      </c>
      <c r="C420" s="122" t="s">
        <v>49</v>
      </c>
      <c r="D420" s="44"/>
      <c r="E420" s="123">
        <v>16881.85</v>
      </c>
      <c r="F420" s="123">
        <v>-10000.0</v>
      </c>
      <c r="G420" s="123"/>
      <c r="H420" s="123">
        <v>-4617.44</v>
      </c>
      <c r="I420" s="44"/>
      <c r="J420" s="123">
        <v>1324.41</v>
      </c>
      <c r="K420" s="44"/>
      <c r="L420" s="123">
        <v>94168.35</v>
      </c>
      <c r="M420" s="44"/>
      <c r="N420" s="44"/>
      <c r="O420" s="123">
        <v>815409.0</v>
      </c>
      <c r="P420" s="52">
        <f t="shared" si="23"/>
        <v>815408.14</v>
      </c>
      <c r="Q420" s="124">
        <f t="shared" si="2"/>
        <v>0.8599999996</v>
      </c>
      <c r="R420" s="52">
        <f t="array" ref="R420">IFERROR(INDEX('Fund YTD Target Values'!$1:$1000, MATCH($C420,'Fund YTD Target Values'!$A:$A,0), MATCH($A420,'Fund YTD Target Values'!$1:$1,0)),0)</f>
        <v>685763.9306</v>
      </c>
      <c r="S420" s="52">
        <f>IFERROR(__xludf.DUMMYFUNCTION("IFERROR(sum(FILTER('Fund Data'!$V:$V, 'Fund Data'!$C:$C = $C420, 'Fund Data'!$A:$A &lt; $A420)),0) + IFERROR(sum(FILTER('Fund Data'!$V:$V, 'Fund Data'!$C:$C = $C420, 'Fund Data'!$A:$A = $A420, 'Fund Data'!$B:$B &lt;= $B420)),0)"),556601.64)</f>
        <v>556601.64</v>
      </c>
      <c r="T420" s="123">
        <v>558656.0</v>
      </c>
      <c r="U420" s="44">
        <f t="shared" si="45"/>
        <v>-2054.36</v>
      </c>
      <c r="V420" s="44">
        <f t="shared" si="3"/>
        <v>0</v>
      </c>
      <c r="W420" s="123"/>
      <c r="X420" s="123"/>
      <c r="Y420" s="123">
        <v>0.0</v>
      </c>
      <c r="Z420" s="123">
        <v>0.0</v>
      </c>
      <c r="AA420" s="123">
        <v>0.0</v>
      </c>
      <c r="AB420" s="123"/>
      <c r="AC420" s="123">
        <v>0.0</v>
      </c>
      <c r="AD420" s="44">
        <f t="shared" si="7"/>
        <v>-10000</v>
      </c>
      <c r="AE420" s="123">
        <v>0.0</v>
      </c>
    </row>
    <row r="421">
      <c r="A421" s="120">
        <v>2017.0</v>
      </c>
      <c r="B421" s="121">
        <v>11.0</v>
      </c>
      <c r="C421" s="122" t="s">
        <v>49</v>
      </c>
      <c r="D421" s="44"/>
      <c r="E421" s="123">
        <v>15740.36</v>
      </c>
      <c r="F421" s="123">
        <v>-20000.0</v>
      </c>
      <c r="G421" s="44"/>
      <c r="H421" s="123">
        <v>-4209.16</v>
      </c>
      <c r="I421" s="44"/>
      <c r="J421" s="44"/>
      <c r="K421" s="44"/>
      <c r="L421" s="123">
        <v>91754.51</v>
      </c>
      <c r="M421" s="44"/>
      <c r="N421" s="44"/>
      <c r="O421" s="123">
        <v>800938.0</v>
      </c>
      <c r="P421" s="52">
        <f t="shared" si="23"/>
        <v>800936.68</v>
      </c>
      <c r="Q421" s="124">
        <f t="shared" si="2"/>
        <v>1.32</v>
      </c>
      <c r="R421" s="52">
        <f t="array" ref="R421">IFERROR(INDEX('Fund YTD Target Values'!$1:$1000, MATCH($C421,'Fund YTD Target Values'!$A:$A,0), MATCH($A421,'Fund YTD Target Values'!$1:$1,0)),0)</f>
        <v>685763.9306</v>
      </c>
      <c r="S421" s="52">
        <f>IFERROR(__xludf.DUMMYFUNCTION("IFERROR(sum(FILTER('Fund Data'!$V:$V, 'Fund Data'!$C:$C = $C421, 'Fund Data'!$A:$A &lt; $A421)),0) + IFERROR(sum(FILTER('Fund Data'!$V:$V, 'Fund Data'!$C:$C = $C421, 'Fund Data'!$A:$A = $A421, 'Fund Data'!$B:$B &lt;= $B421)),0)"),556601.64)</f>
        <v>556601.64</v>
      </c>
      <c r="T421" s="123">
        <v>558656.0</v>
      </c>
      <c r="U421" s="44">
        <f t="shared" si="45"/>
        <v>-2054.36</v>
      </c>
      <c r="V421" s="44">
        <f t="shared" si="3"/>
        <v>0</v>
      </c>
      <c r="W421" s="123"/>
      <c r="X421" s="123"/>
      <c r="Y421" s="123">
        <v>0.0</v>
      </c>
      <c r="Z421" s="123">
        <v>0.0</v>
      </c>
      <c r="AA421" s="123">
        <v>0.0</v>
      </c>
      <c r="AB421" s="123"/>
      <c r="AC421" s="123">
        <v>0.0</v>
      </c>
      <c r="AD421" s="44">
        <f t="shared" si="7"/>
        <v>-20000</v>
      </c>
      <c r="AE421" s="123">
        <v>0.0</v>
      </c>
    </row>
    <row r="422">
      <c r="A422" s="120">
        <v>2017.0</v>
      </c>
      <c r="B422" s="121">
        <v>10.0</v>
      </c>
      <c r="C422" s="122" t="s">
        <v>49</v>
      </c>
      <c r="D422" s="44"/>
      <c r="E422" s="123">
        <v>15199.47</v>
      </c>
      <c r="F422" s="123">
        <v>-10000.0</v>
      </c>
      <c r="G422" s="44"/>
      <c r="H422" s="123">
        <v>-3808.28</v>
      </c>
      <c r="I422" s="44"/>
      <c r="J422" s="44"/>
      <c r="K422" s="44"/>
      <c r="L422" s="123">
        <v>82719.18</v>
      </c>
      <c r="M422" s="44"/>
      <c r="N422" s="44"/>
      <c r="O422" s="123">
        <v>801762.0</v>
      </c>
      <c r="P422" s="52">
        <f t="shared" si="23"/>
        <v>801761.34</v>
      </c>
      <c r="Q422" s="124">
        <f t="shared" si="2"/>
        <v>0.6599999997</v>
      </c>
      <c r="R422" s="52">
        <f t="array" ref="R422">IFERROR(INDEX('Fund YTD Target Values'!$1:$1000, MATCH($C422,'Fund YTD Target Values'!$A:$A,0), MATCH($A422,'Fund YTD Target Values'!$1:$1,0)),0)</f>
        <v>685763.9306</v>
      </c>
      <c r="S422" s="52">
        <f>IFERROR(__xludf.DUMMYFUNCTION("IFERROR(sum(FILTER('Fund Data'!$V:$V, 'Fund Data'!$C:$C = $C422, 'Fund Data'!$A:$A &lt; $A422)),0) + IFERROR(sum(FILTER('Fund Data'!$V:$V, 'Fund Data'!$C:$C = $C422, 'Fund Data'!$A:$A = $A422, 'Fund Data'!$B:$B &lt;= $B422)),0)"),556601.64)</f>
        <v>556601.64</v>
      </c>
      <c r="T422" s="123">
        <v>558656.0</v>
      </c>
      <c r="U422" s="44">
        <f t="shared" si="45"/>
        <v>-2054.36</v>
      </c>
      <c r="V422" s="44">
        <f t="shared" si="3"/>
        <v>0</v>
      </c>
      <c r="W422" s="123"/>
      <c r="X422" s="123"/>
      <c r="Y422" s="123">
        <v>0.0</v>
      </c>
      <c r="Z422" s="123">
        <v>0.0</v>
      </c>
      <c r="AA422" s="123">
        <v>0.0</v>
      </c>
      <c r="AB422" s="123"/>
      <c r="AC422" s="123">
        <v>0.0</v>
      </c>
      <c r="AD422" s="44">
        <f t="shared" si="7"/>
        <v>-10000</v>
      </c>
      <c r="AE422" s="123">
        <v>0.0</v>
      </c>
    </row>
    <row r="423">
      <c r="A423" s="120">
        <v>2017.0</v>
      </c>
      <c r="B423" s="121">
        <v>9.0</v>
      </c>
      <c r="C423" s="122" t="s">
        <v>49</v>
      </c>
      <c r="D423" s="44"/>
      <c r="E423" s="123">
        <v>13555.16</v>
      </c>
      <c r="F423" s="123">
        <v>-10000.0</v>
      </c>
      <c r="G423" s="44"/>
      <c r="H423" s="123">
        <v>-3413.15</v>
      </c>
      <c r="I423" s="44"/>
      <c r="J423" s="44"/>
      <c r="K423" s="44"/>
      <c r="L423" s="123">
        <v>72470.55</v>
      </c>
      <c r="M423" s="44"/>
      <c r="N423" s="44"/>
      <c r="O423" s="123">
        <v>790265.0</v>
      </c>
      <c r="P423" s="52">
        <f t="shared" si="23"/>
        <v>790263.53</v>
      </c>
      <c r="Q423" s="124">
        <f t="shared" si="2"/>
        <v>1.47</v>
      </c>
      <c r="R423" s="52">
        <f t="array" ref="R423">IFERROR(INDEX('Fund YTD Target Values'!$1:$1000, MATCH($C423,'Fund YTD Target Values'!$A:$A,0), MATCH($A423,'Fund YTD Target Values'!$1:$1,0)),0)</f>
        <v>685763.9306</v>
      </c>
      <c r="S423" s="52">
        <f>IFERROR(__xludf.DUMMYFUNCTION("IFERROR(sum(FILTER('Fund Data'!$V:$V, 'Fund Data'!$C:$C = $C423, 'Fund Data'!$A:$A &lt; $A423)),0) + IFERROR(sum(FILTER('Fund Data'!$V:$V, 'Fund Data'!$C:$C = $C423, 'Fund Data'!$A:$A = $A423, 'Fund Data'!$B:$B &lt;= $B423)),0)"),556601.64)</f>
        <v>556601.64</v>
      </c>
      <c r="T423" s="123">
        <v>558656.0</v>
      </c>
      <c r="U423" s="44">
        <f t="shared" si="45"/>
        <v>-2054.36</v>
      </c>
      <c r="V423" s="44">
        <f t="shared" si="3"/>
        <v>0</v>
      </c>
      <c r="W423" s="123"/>
      <c r="X423" s="123"/>
      <c r="Y423" s="123">
        <v>0.0</v>
      </c>
      <c r="Z423" s="123">
        <v>0.0</v>
      </c>
      <c r="AA423" s="123">
        <v>0.0</v>
      </c>
      <c r="AB423" s="123"/>
      <c r="AC423" s="123">
        <v>0.0</v>
      </c>
      <c r="AD423" s="44">
        <f t="shared" si="7"/>
        <v>-10000</v>
      </c>
      <c r="AE423" s="123">
        <v>0.0</v>
      </c>
    </row>
    <row r="424">
      <c r="A424" s="120">
        <v>2017.0</v>
      </c>
      <c r="B424" s="121">
        <v>8.0</v>
      </c>
      <c r="C424" s="122" t="s">
        <v>49</v>
      </c>
      <c r="D424" s="44"/>
      <c r="E424" s="123">
        <v>12571.1</v>
      </c>
      <c r="F424" s="123">
        <v>-10000.0</v>
      </c>
      <c r="G424" s="44"/>
      <c r="H424" s="123">
        <v>-3022.19</v>
      </c>
      <c r="I424" s="44"/>
      <c r="J424" s="44"/>
      <c r="K424" s="44"/>
      <c r="L424" s="123">
        <v>64723.68</v>
      </c>
      <c r="M424" s="44"/>
      <c r="N424" s="44"/>
      <c r="O424" s="123">
        <v>781925.0</v>
      </c>
      <c r="P424" s="52">
        <f t="shared" si="23"/>
        <v>781923.56</v>
      </c>
      <c r="Q424" s="124">
        <f t="shared" si="2"/>
        <v>1.44</v>
      </c>
      <c r="R424" s="52">
        <f t="array" ref="R424">IFERROR(INDEX('Fund YTD Target Values'!$1:$1000, MATCH($C424,'Fund YTD Target Values'!$A:$A,0), MATCH($A424,'Fund YTD Target Values'!$1:$1,0)),0)</f>
        <v>685763.9306</v>
      </c>
      <c r="S424" s="52">
        <f>IFERROR(__xludf.DUMMYFUNCTION("IFERROR(sum(FILTER('Fund Data'!$V:$V, 'Fund Data'!$C:$C = $C424, 'Fund Data'!$A:$A &lt; $A424)),0) + IFERROR(sum(FILTER('Fund Data'!$V:$V, 'Fund Data'!$C:$C = $C424, 'Fund Data'!$A:$A = $A424, 'Fund Data'!$B:$B &lt;= $B424)),0)"),556601.64)</f>
        <v>556601.64</v>
      </c>
      <c r="T424" s="123">
        <v>558656.0</v>
      </c>
      <c r="U424" s="44">
        <f t="shared" si="45"/>
        <v>-2054.36</v>
      </c>
      <c r="V424" s="44">
        <f t="shared" si="3"/>
        <v>0</v>
      </c>
      <c r="W424" s="123"/>
      <c r="X424" s="123"/>
      <c r="Y424" s="123">
        <v>0.0</v>
      </c>
      <c r="Z424" s="123">
        <v>0.0</v>
      </c>
      <c r="AA424" s="123">
        <v>0.0</v>
      </c>
      <c r="AB424" s="123"/>
      <c r="AC424" s="123">
        <v>0.0</v>
      </c>
      <c r="AD424" s="44">
        <f t="shared" si="7"/>
        <v>-10000</v>
      </c>
      <c r="AE424" s="123">
        <v>0.0</v>
      </c>
    </row>
    <row r="425">
      <c r="A425" s="120">
        <v>2017.0</v>
      </c>
      <c r="B425" s="121">
        <v>7.0</v>
      </c>
      <c r="C425" s="122" t="s">
        <v>49</v>
      </c>
      <c r="D425" s="44"/>
      <c r="E425" s="123">
        <v>12031.46</v>
      </c>
      <c r="F425" s="44"/>
      <c r="G425" s="44"/>
      <c r="H425" s="123">
        <v>-2627.32</v>
      </c>
      <c r="I425" s="44"/>
      <c r="J425" s="44"/>
      <c r="K425" s="44"/>
      <c r="L425" s="123">
        <v>62683.61</v>
      </c>
      <c r="M425" s="44"/>
      <c r="N425" s="44"/>
      <c r="O425" s="123">
        <v>789740.0</v>
      </c>
      <c r="P425" s="52">
        <f t="shared" si="23"/>
        <v>789738.72</v>
      </c>
      <c r="Q425" s="124">
        <f t="shared" si="2"/>
        <v>1.28</v>
      </c>
      <c r="R425" s="52">
        <f t="array" ref="R425">IFERROR(INDEX('Fund YTD Target Values'!$1:$1000, MATCH($C425,'Fund YTD Target Values'!$A:$A,0), MATCH($A425,'Fund YTD Target Values'!$1:$1,0)),0)</f>
        <v>685763.9306</v>
      </c>
      <c r="S425" s="52">
        <f>IFERROR(__xludf.DUMMYFUNCTION("IFERROR(sum(FILTER('Fund Data'!$V:$V, 'Fund Data'!$C:$C = $C425, 'Fund Data'!$A:$A &lt; $A425)),0) + IFERROR(sum(FILTER('Fund Data'!$V:$V, 'Fund Data'!$C:$C = $C425, 'Fund Data'!$A:$A = $A425, 'Fund Data'!$B:$B &lt;= $B425)),0)"),556601.64)</f>
        <v>556601.64</v>
      </c>
      <c r="T425" s="123">
        <v>558656.0</v>
      </c>
      <c r="U425" s="44">
        <f t="shared" si="45"/>
        <v>-2054.36</v>
      </c>
      <c r="V425" s="44">
        <f t="shared" si="3"/>
        <v>0</v>
      </c>
      <c r="W425" s="123"/>
      <c r="X425" s="123"/>
      <c r="Y425" s="123">
        <v>0.0</v>
      </c>
      <c r="Z425" s="123">
        <v>0.0</v>
      </c>
      <c r="AA425" s="123">
        <v>0.0</v>
      </c>
      <c r="AB425" s="123"/>
      <c r="AC425" s="123">
        <v>0.0</v>
      </c>
      <c r="AD425" s="44">
        <f t="shared" si="7"/>
        <v>0</v>
      </c>
      <c r="AE425" s="123">
        <v>0.0</v>
      </c>
    </row>
    <row r="426">
      <c r="A426" s="120">
        <v>2017.0</v>
      </c>
      <c r="B426" s="121">
        <v>6.0</v>
      </c>
      <c r="C426" s="122" t="s">
        <v>49</v>
      </c>
      <c r="D426" s="44"/>
      <c r="E426" s="123">
        <v>9572.04</v>
      </c>
      <c r="F426" s="44"/>
      <c r="G426" s="44"/>
      <c r="H426" s="123">
        <v>-2241.56</v>
      </c>
      <c r="I426" s="44"/>
      <c r="J426" s="44"/>
      <c r="K426" s="44"/>
      <c r="L426" s="123">
        <v>46551.01</v>
      </c>
      <c r="M426" s="44"/>
      <c r="N426" s="44"/>
      <c r="O426" s="123">
        <v>771534.0</v>
      </c>
      <c r="P426" s="52">
        <f t="shared" si="23"/>
        <v>771532.46</v>
      </c>
      <c r="Q426" s="124">
        <f t="shared" si="2"/>
        <v>1.54</v>
      </c>
      <c r="R426" s="52">
        <f t="array" ref="R426">IFERROR(INDEX('Fund YTD Target Values'!$1:$1000, MATCH($C426,'Fund YTD Target Values'!$A:$A,0), MATCH($A426,'Fund YTD Target Values'!$1:$1,0)),0)</f>
        <v>685763.9306</v>
      </c>
      <c r="S426" s="52">
        <f>IFERROR(__xludf.DUMMYFUNCTION("IFERROR(sum(FILTER('Fund Data'!$V:$V, 'Fund Data'!$C:$C = $C426, 'Fund Data'!$A:$A &lt; $A426)),0) + IFERROR(sum(FILTER('Fund Data'!$V:$V, 'Fund Data'!$C:$C = $C426, 'Fund Data'!$A:$A = $A426, 'Fund Data'!$B:$B &lt;= $B426)),0)"),556601.64)</f>
        <v>556601.64</v>
      </c>
      <c r="T426" s="123">
        <v>558656.0</v>
      </c>
      <c r="U426" s="44">
        <f t="shared" si="45"/>
        <v>-2054.36</v>
      </c>
      <c r="V426" s="44">
        <f t="shared" si="3"/>
        <v>0</v>
      </c>
      <c r="W426" s="123"/>
      <c r="X426" s="123"/>
      <c r="Y426" s="123">
        <v>0.0</v>
      </c>
      <c r="Z426" s="123">
        <v>0.0</v>
      </c>
      <c r="AA426" s="123">
        <v>0.0</v>
      </c>
      <c r="AB426" s="123"/>
      <c r="AC426" s="123">
        <v>0.0</v>
      </c>
      <c r="AD426" s="44">
        <f t="shared" si="7"/>
        <v>0</v>
      </c>
      <c r="AE426" s="123">
        <v>0.0</v>
      </c>
    </row>
    <row r="427">
      <c r="A427" s="168">
        <v>2017.0</v>
      </c>
      <c r="B427" s="169">
        <v>5.0</v>
      </c>
      <c r="C427" s="122" t="s">
        <v>49</v>
      </c>
      <c r="D427" s="44"/>
      <c r="E427" s="123">
        <v>9058.61</v>
      </c>
      <c r="F427" s="44"/>
      <c r="G427" s="44"/>
      <c r="H427" s="123">
        <v>-1856.68</v>
      </c>
      <c r="I427" s="44"/>
      <c r="J427" s="44"/>
      <c r="K427" s="44"/>
      <c r="L427" s="123">
        <v>44892.12</v>
      </c>
      <c r="M427" s="44"/>
      <c r="N427" s="44"/>
      <c r="O427" s="123">
        <v>769746.0</v>
      </c>
      <c r="P427" s="52">
        <f t="shared" si="23"/>
        <v>769745.02</v>
      </c>
      <c r="Q427" s="124">
        <f t="shared" si="2"/>
        <v>0.9799999996</v>
      </c>
      <c r="R427" s="52">
        <f t="array" ref="R427">IFERROR(INDEX('Fund YTD Target Values'!$1:$1000, MATCH($C427,'Fund YTD Target Values'!$A:$A,0), MATCH($A427,'Fund YTD Target Values'!$1:$1,0)),0)</f>
        <v>685763.9306</v>
      </c>
      <c r="S427" s="52">
        <f>IFERROR(__xludf.DUMMYFUNCTION("IFERROR(sum(FILTER('Fund Data'!$V:$V, 'Fund Data'!$C:$C = $C427, 'Fund Data'!$A:$A &lt; $A427)),0) + IFERROR(sum(FILTER('Fund Data'!$V:$V, 'Fund Data'!$C:$C = $C427, 'Fund Data'!$A:$A = $A427, 'Fund Data'!$B:$B &lt;= $B427)),0)"),556601.64)</f>
        <v>556601.64</v>
      </c>
      <c r="T427" s="123">
        <v>558656.0</v>
      </c>
      <c r="U427" s="44">
        <f t="shared" si="45"/>
        <v>-2054.36</v>
      </c>
      <c r="V427" s="44">
        <f t="shared" si="3"/>
        <v>0</v>
      </c>
      <c r="W427" s="123"/>
      <c r="X427" s="123"/>
      <c r="Y427" s="123">
        <v>0.0</v>
      </c>
      <c r="Z427" s="123">
        <v>0.0</v>
      </c>
      <c r="AA427" s="123">
        <v>0.0</v>
      </c>
      <c r="AB427" s="123"/>
      <c r="AC427" s="123">
        <v>0.0</v>
      </c>
      <c r="AD427" s="44">
        <f t="shared" si="7"/>
        <v>0</v>
      </c>
      <c r="AE427" s="123">
        <v>0.0</v>
      </c>
    </row>
    <row r="428">
      <c r="A428" s="120">
        <v>2017.0</v>
      </c>
      <c r="B428" s="121">
        <v>4.0</v>
      </c>
      <c r="C428" s="122" t="s">
        <v>49</v>
      </c>
      <c r="D428" s="44"/>
      <c r="E428" s="123">
        <v>8564.11</v>
      </c>
      <c r="F428" s="44"/>
      <c r="G428" s="44"/>
      <c r="H428" s="123">
        <v>-1476.17</v>
      </c>
      <c r="I428" s="44"/>
      <c r="J428" s="44"/>
      <c r="K428" s="44"/>
      <c r="L428" s="123">
        <v>36291.65</v>
      </c>
      <c r="M428" s="44"/>
      <c r="N428" s="44"/>
      <c r="O428" s="123">
        <v>761032.0</v>
      </c>
      <c r="P428" s="52">
        <f t="shared" si="23"/>
        <v>761030.56</v>
      </c>
      <c r="Q428" s="124">
        <f t="shared" si="2"/>
        <v>1.44</v>
      </c>
      <c r="R428" s="52">
        <f t="array" ref="R428">IFERROR(INDEX('Fund YTD Target Values'!$1:$1000, MATCH($C428,'Fund YTD Target Values'!$A:$A,0), MATCH($A428,'Fund YTD Target Values'!$1:$1,0)),0)</f>
        <v>685763.9306</v>
      </c>
      <c r="S428" s="52">
        <f>IFERROR(__xludf.DUMMYFUNCTION("IFERROR(sum(FILTER('Fund Data'!$V:$V, 'Fund Data'!$C:$C = $C428, 'Fund Data'!$A:$A &lt; $A428)),0) + IFERROR(sum(FILTER('Fund Data'!$V:$V, 'Fund Data'!$C:$C = $C428, 'Fund Data'!$A:$A = $A428, 'Fund Data'!$B:$B &lt;= $B428)),0)"),556601.64)</f>
        <v>556601.64</v>
      </c>
      <c r="T428" s="123">
        <v>558656.0</v>
      </c>
      <c r="U428" s="44">
        <f t="shared" si="45"/>
        <v>-2054.36</v>
      </c>
      <c r="V428" s="44">
        <f t="shared" si="3"/>
        <v>0</v>
      </c>
      <c r="W428" s="123"/>
      <c r="X428" s="123"/>
      <c r="Y428" s="123">
        <v>0.0</v>
      </c>
      <c r="Z428" s="123">
        <v>0.0</v>
      </c>
      <c r="AA428" s="123">
        <v>0.0</v>
      </c>
      <c r="AB428" s="123"/>
      <c r="AC428" s="123">
        <v>0.0</v>
      </c>
      <c r="AD428" s="44">
        <f t="shared" si="7"/>
        <v>0</v>
      </c>
      <c r="AE428" s="123">
        <v>0.0</v>
      </c>
    </row>
    <row r="429">
      <c r="A429" s="120">
        <v>2017.0</v>
      </c>
      <c r="B429" s="121">
        <v>3.0</v>
      </c>
      <c r="C429" s="122" t="s">
        <v>49</v>
      </c>
      <c r="D429" s="44"/>
      <c r="E429" s="123">
        <v>6481.17</v>
      </c>
      <c r="F429" s="44"/>
      <c r="G429" s="44"/>
      <c r="H429" s="123">
        <v>-1100.32</v>
      </c>
      <c r="I429" s="44"/>
      <c r="J429" s="44"/>
      <c r="K429" s="44"/>
      <c r="L429" s="123">
        <v>28657.52</v>
      </c>
      <c r="M429" s="44"/>
      <c r="N429" s="44"/>
      <c r="O429" s="123">
        <v>751690.0</v>
      </c>
      <c r="P429" s="52">
        <f t="shared" si="23"/>
        <v>751689.34</v>
      </c>
      <c r="Q429" s="124">
        <f t="shared" si="2"/>
        <v>0.6599999997</v>
      </c>
      <c r="R429" s="52">
        <f t="array" ref="R429">IFERROR(INDEX('Fund YTD Target Values'!$1:$1000, MATCH($C429,'Fund YTD Target Values'!$A:$A,0), MATCH($A429,'Fund YTD Target Values'!$1:$1,0)),0)</f>
        <v>685763.9306</v>
      </c>
      <c r="S429" s="52">
        <f>IFERROR(__xludf.DUMMYFUNCTION("IFERROR(sum(FILTER('Fund Data'!$V:$V, 'Fund Data'!$C:$C = $C429, 'Fund Data'!$A:$A &lt; $A429)),0) + IFERROR(sum(FILTER('Fund Data'!$V:$V, 'Fund Data'!$C:$C = $C429, 'Fund Data'!$A:$A = $A429, 'Fund Data'!$B:$B &lt;= $B429)),0)"),556601.64)</f>
        <v>556601.64</v>
      </c>
      <c r="T429" s="123">
        <v>558656.0</v>
      </c>
      <c r="U429" s="44">
        <f t="shared" si="45"/>
        <v>-2054.36</v>
      </c>
      <c r="V429" s="44">
        <f t="shared" si="3"/>
        <v>0</v>
      </c>
      <c r="W429" s="123"/>
      <c r="X429" s="123"/>
      <c r="Y429" s="123">
        <v>0.0</v>
      </c>
      <c r="Z429" s="123">
        <v>0.0</v>
      </c>
      <c r="AA429" s="123">
        <v>0.0</v>
      </c>
      <c r="AB429" s="123"/>
      <c r="AC429" s="123">
        <v>0.0</v>
      </c>
      <c r="AD429" s="44">
        <f t="shared" si="7"/>
        <v>0</v>
      </c>
      <c r="AE429" s="123">
        <v>0.0</v>
      </c>
    </row>
    <row r="430">
      <c r="A430" s="168">
        <v>2017.0</v>
      </c>
      <c r="B430" s="169">
        <v>2.0</v>
      </c>
      <c r="C430" s="122" t="s">
        <v>49</v>
      </c>
      <c r="D430" s="44"/>
      <c r="E430" s="123">
        <v>5978.47</v>
      </c>
      <c r="F430" s="44"/>
      <c r="G430" s="44"/>
      <c r="H430" s="123">
        <v>-725.88</v>
      </c>
      <c r="I430" s="44"/>
      <c r="J430" s="44"/>
      <c r="K430" s="44"/>
      <c r="L430" s="123">
        <v>25973.22</v>
      </c>
      <c r="M430" s="44"/>
      <c r="N430" s="44"/>
      <c r="O430" s="123">
        <v>748878.0</v>
      </c>
      <c r="P430" s="52">
        <f t="shared" si="23"/>
        <v>748876.78</v>
      </c>
      <c r="Q430" s="124">
        <f t="shared" si="2"/>
        <v>1.22</v>
      </c>
      <c r="R430" s="52">
        <f t="array" ref="R430">IFERROR(INDEX('Fund YTD Target Values'!$1:$1000, MATCH($C430,'Fund YTD Target Values'!$A:$A,0), MATCH($A430,'Fund YTD Target Values'!$1:$1,0)),0)</f>
        <v>685763.9306</v>
      </c>
      <c r="S430" s="52">
        <f>IFERROR(__xludf.DUMMYFUNCTION("IFERROR(sum(FILTER('Fund Data'!$V:$V, 'Fund Data'!$C:$C = $C430, 'Fund Data'!$A:$A &lt; $A430)),0) + IFERROR(sum(FILTER('Fund Data'!$V:$V, 'Fund Data'!$C:$C = $C430, 'Fund Data'!$A:$A = $A430, 'Fund Data'!$B:$B &lt;= $B430)),0)"),556601.64)</f>
        <v>556601.64</v>
      </c>
      <c r="T430" s="123">
        <v>558656.0</v>
      </c>
      <c r="U430" s="44">
        <f t="shared" si="45"/>
        <v>-2054.36</v>
      </c>
      <c r="V430" s="44">
        <f t="shared" si="3"/>
        <v>0</v>
      </c>
      <c r="W430" s="123"/>
      <c r="X430" s="123"/>
      <c r="Y430" s="123">
        <v>0.0</v>
      </c>
      <c r="Z430" s="123">
        <v>0.0</v>
      </c>
      <c r="AA430" s="123">
        <v>0.0</v>
      </c>
      <c r="AB430" s="123"/>
      <c r="AC430" s="123">
        <v>0.0</v>
      </c>
      <c r="AD430" s="44">
        <f t="shared" si="7"/>
        <v>0</v>
      </c>
      <c r="AE430" s="123">
        <v>0.0</v>
      </c>
    </row>
    <row r="431">
      <c r="A431" s="168">
        <v>2017.0</v>
      </c>
      <c r="B431" s="169">
        <v>1.0</v>
      </c>
      <c r="C431" s="122" t="s">
        <v>49</v>
      </c>
      <c r="D431" s="44"/>
      <c r="E431" s="123">
        <v>5460.34</v>
      </c>
      <c r="F431" s="44"/>
      <c r="G431" s="44"/>
      <c r="H431" s="123">
        <v>-358.82</v>
      </c>
      <c r="I431" s="44"/>
      <c r="J431" s="44"/>
      <c r="K431" s="44"/>
      <c r="L431" s="123">
        <v>11354.56</v>
      </c>
      <c r="M431" s="44"/>
      <c r="N431" s="44"/>
      <c r="O431" s="123">
        <v>734108.0</v>
      </c>
      <c r="P431" s="52">
        <f t="shared" si="23"/>
        <v>734107.05</v>
      </c>
      <c r="Q431" s="124">
        <f t="shared" si="2"/>
        <v>0.9499999997</v>
      </c>
      <c r="R431" s="52">
        <f t="array" ref="R431">IFERROR(INDEX('Fund YTD Target Values'!$1:$1000, MATCH($C431,'Fund YTD Target Values'!$A:$A,0), MATCH($A431,'Fund YTD Target Values'!$1:$1,0)),0)</f>
        <v>685763.9306</v>
      </c>
      <c r="S431" s="52">
        <f>IFERROR(__xludf.DUMMYFUNCTION("IFERROR(sum(FILTER('Fund Data'!$V:$V, 'Fund Data'!$C:$C = $C431, 'Fund Data'!$A:$A &lt; $A431)),0) + IFERROR(sum(FILTER('Fund Data'!$V:$V, 'Fund Data'!$C:$C = $C431, 'Fund Data'!$A:$A = $A431, 'Fund Data'!$B:$B &lt;= $B431)),0)"),556601.64)</f>
        <v>556601.64</v>
      </c>
      <c r="T431" s="123">
        <v>558656.0</v>
      </c>
      <c r="U431" s="44">
        <f t="shared" si="45"/>
        <v>-2054.36</v>
      </c>
      <c r="V431" s="44">
        <f t="shared" si="3"/>
        <v>0</v>
      </c>
      <c r="W431" s="123"/>
      <c r="X431" s="123"/>
      <c r="Y431" s="123">
        <v>0.0</v>
      </c>
      <c r="Z431" s="123">
        <v>0.0</v>
      </c>
      <c r="AA431" s="123">
        <v>0.0</v>
      </c>
      <c r="AB431" s="123"/>
      <c r="AC431" s="123">
        <v>0.0</v>
      </c>
      <c r="AD431" s="44">
        <f t="shared" si="7"/>
        <v>0</v>
      </c>
      <c r="AE431" s="123">
        <v>0.0</v>
      </c>
    </row>
    <row r="432">
      <c r="A432" s="120">
        <v>2016.0</v>
      </c>
      <c r="B432" s="121">
        <v>12.0</v>
      </c>
      <c r="C432" s="122" t="s">
        <v>49</v>
      </c>
      <c r="D432" s="44"/>
      <c r="E432" s="123">
        <v>15519.6</v>
      </c>
      <c r="F432" s="123">
        <v>-20495.0</v>
      </c>
      <c r="G432" s="123"/>
      <c r="H432" s="123">
        <v>-4253.83</v>
      </c>
      <c r="I432" s="44"/>
      <c r="J432" s="123">
        <v>116.0</v>
      </c>
      <c r="K432" s="44"/>
      <c r="L432" s="123">
        <v>31077.4</v>
      </c>
      <c r="M432" s="44"/>
      <c r="N432" s="44"/>
      <c r="O432" s="123">
        <v>717652.0</v>
      </c>
      <c r="P432" s="52">
        <f t="shared" si="23"/>
        <v>717650.97</v>
      </c>
      <c r="Q432" s="124">
        <f t="shared" si="2"/>
        <v>1.03</v>
      </c>
      <c r="R432" s="52">
        <f t="array" ref="R432">IFERROR(INDEX('Fund YTD Target Values'!$1:$1000, MATCH($C432,'Fund YTD Target Values'!$A:$A,0), MATCH($A432,'Fund YTD Target Values'!$1:$1,0)),0)</f>
        <v>671451.1771</v>
      </c>
      <c r="S432" s="52">
        <f>IFERROR(__xludf.DUMMYFUNCTION("IFERROR(sum(FILTER('Fund Data'!$V:$V, 'Fund Data'!$C:$C = $C432, 'Fund Data'!$A:$A &lt; $A432)),0) + IFERROR(sum(FILTER('Fund Data'!$V:$V, 'Fund Data'!$C:$C = $C432, 'Fund Data'!$A:$A = $A432, 'Fund Data'!$B:$B &lt;= $B432)),0)"),556601.64)</f>
        <v>556601.64</v>
      </c>
      <c r="T432" s="123">
        <v>558656.0</v>
      </c>
      <c r="U432" s="44">
        <f t="shared" si="45"/>
        <v>-2054.36</v>
      </c>
      <c r="V432" s="44">
        <f t="shared" si="3"/>
        <v>0</v>
      </c>
      <c r="W432" s="123"/>
      <c r="X432" s="123"/>
      <c r="Y432" s="123">
        <v>0.0</v>
      </c>
      <c r="Z432" s="123">
        <v>0.0</v>
      </c>
      <c r="AA432" s="123">
        <v>0.0</v>
      </c>
      <c r="AB432" s="123"/>
      <c r="AC432" s="123">
        <v>0.0</v>
      </c>
      <c r="AD432" s="44">
        <f t="shared" si="7"/>
        <v>-20495</v>
      </c>
      <c r="AE432" s="123">
        <v>0.0</v>
      </c>
    </row>
    <row r="433">
      <c r="A433" s="120">
        <v>2015.0</v>
      </c>
      <c r="B433" s="121">
        <v>12.0</v>
      </c>
      <c r="C433" s="122" t="s">
        <v>49</v>
      </c>
      <c r="D433" s="44"/>
      <c r="E433" s="123">
        <v>17233.82</v>
      </c>
      <c r="F433" s="123">
        <v>-18230.0</v>
      </c>
      <c r="G433" s="123"/>
      <c r="H433" s="123">
        <v>-4414.88</v>
      </c>
      <c r="I433" s="44"/>
      <c r="J433" s="44"/>
      <c r="K433" s="123">
        <v>-27.61</v>
      </c>
      <c r="L433" s="123">
        <v>-31936.85</v>
      </c>
      <c r="M433" s="44"/>
      <c r="N433" s="44"/>
      <c r="O433" s="123">
        <v>695688.0</v>
      </c>
      <c r="P433" s="52">
        <f t="shared" si="23"/>
        <v>695686.8</v>
      </c>
      <c r="Q433" s="124">
        <f t="shared" si="2"/>
        <v>1.2</v>
      </c>
      <c r="R433" s="52">
        <f t="array" ref="R433">IFERROR(INDEX('Fund YTD Target Values'!$1:$1000, MATCH($C433,'Fund YTD Target Values'!$A:$A,0), MATCH($A433,'Fund YTD Target Values'!$1:$1,0)),0)</f>
        <v>663084.0913</v>
      </c>
      <c r="S433" s="52">
        <f>IFERROR(__xludf.DUMMYFUNCTION("IFERROR(sum(FILTER('Fund Data'!$V:$V, 'Fund Data'!$C:$C = $C433, 'Fund Data'!$A:$A &lt; $A433)),0) + IFERROR(sum(FILTER('Fund Data'!$V:$V, 'Fund Data'!$C:$C = $C433, 'Fund Data'!$A:$A = $A433, 'Fund Data'!$B:$B &lt;= $B433)),0)"),556601.64)</f>
        <v>556601.64</v>
      </c>
      <c r="T433" s="123">
        <v>558656.0</v>
      </c>
      <c r="U433" s="44">
        <f t="shared" si="45"/>
        <v>-2054.36</v>
      </c>
      <c r="V433" s="44">
        <f t="shared" si="3"/>
        <v>0</v>
      </c>
      <c r="W433" s="123"/>
      <c r="X433" s="123"/>
      <c r="Y433" s="123">
        <v>0.0</v>
      </c>
      <c r="Z433" s="123">
        <v>0.0</v>
      </c>
      <c r="AA433" s="123">
        <v>0.0</v>
      </c>
      <c r="AB433" s="123"/>
      <c r="AC433" s="123">
        <v>0.0</v>
      </c>
      <c r="AD433" s="44">
        <f t="shared" si="7"/>
        <v>-18230</v>
      </c>
      <c r="AE433" s="123">
        <v>0.0</v>
      </c>
    </row>
    <row r="434">
      <c r="A434" s="120">
        <v>2014.0</v>
      </c>
      <c r="B434" s="121">
        <v>12.0</v>
      </c>
      <c r="C434" s="122" t="s">
        <v>49</v>
      </c>
      <c r="D434" s="44"/>
      <c r="E434" s="123">
        <v>13962.85</v>
      </c>
      <c r="F434" s="123">
        <v>-14030.0</v>
      </c>
      <c r="G434" s="123"/>
      <c r="H434" s="123">
        <v>-4483.83</v>
      </c>
      <c r="I434" s="44"/>
      <c r="J434" s="123">
        <v>797.72</v>
      </c>
      <c r="K434" s="44"/>
      <c r="L434" s="123">
        <v>2378.21</v>
      </c>
      <c r="M434" s="44"/>
      <c r="N434" s="44"/>
      <c r="O434" s="123">
        <v>733063.0</v>
      </c>
      <c r="P434" s="52">
        <f t="shared" si="23"/>
        <v>733062.32</v>
      </c>
      <c r="Q434" s="124">
        <f t="shared" si="2"/>
        <v>0.6799999998</v>
      </c>
      <c r="R434" s="52">
        <f t="array" ref="R434">IFERROR(INDEX('Fund YTD Target Values'!$1:$1000, MATCH($C434,'Fund YTD Target Values'!$A:$A,0), MATCH($A434,'Fund YTD Target Values'!$1:$1,0)),0)</f>
        <v>662296.6235</v>
      </c>
      <c r="S434" s="52">
        <f>IFERROR(__xludf.DUMMYFUNCTION("IFERROR(sum(FILTER('Fund Data'!$V:$V, 'Fund Data'!$C:$C = $C434, 'Fund Data'!$A:$A &lt; $A434)),0) + IFERROR(sum(FILTER('Fund Data'!$V:$V, 'Fund Data'!$C:$C = $C434, 'Fund Data'!$A:$A = $A434, 'Fund Data'!$B:$B &lt;= $B434)),0)"),556601.64)</f>
        <v>556601.64</v>
      </c>
      <c r="T434" s="123">
        <v>558656.0</v>
      </c>
      <c r="U434" s="44">
        <f t="shared" si="45"/>
        <v>-2054.36</v>
      </c>
      <c r="V434" s="44">
        <f t="shared" si="3"/>
        <v>0</v>
      </c>
      <c r="W434" s="123"/>
      <c r="X434" s="123"/>
      <c r="Y434" s="123">
        <v>0.0</v>
      </c>
      <c r="Z434" s="123">
        <v>0.0</v>
      </c>
      <c r="AA434" s="123">
        <v>0.0</v>
      </c>
      <c r="AB434" s="123"/>
      <c r="AC434" s="123">
        <v>0.0</v>
      </c>
      <c r="AD434" s="44">
        <f t="shared" si="7"/>
        <v>-14030</v>
      </c>
      <c r="AE434" s="123">
        <v>0.0</v>
      </c>
    </row>
    <row r="435">
      <c r="A435" s="120">
        <v>2013.0</v>
      </c>
      <c r="B435" s="121">
        <v>12.0</v>
      </c>
      <c r="C435" s="122" t="s">
        <v>49</v>
      </c>
      <c r="D435" s="44"/>
      <c r="E435" s="123">
        <v>14150.74</v>
      </c>
      <c r="F435" s="123">
        <v>-7300.0</v>
      </c>
      <c r="G435" s="123"/>
      <c r="H435" s="123">
        <v>-4200.18</v>
      </c>
      <c r="I435" s="44"/>
      <c r="J435" s="123">
        <v>762.53</v>
      </c>
      <c r="K435" s="44"/>
      <c r="L435" s="123">
        <v>59755.77</v>
      </c>
      <c r="M435" s="44"/>
      <c r="N435" s="44"/>
      <c r="O435" s="123">
        <v>734438.0</v>
      </c>
      <c r="P435" s="52">
        <f t="shared" si="23"/>
        <v>734437.37</v>
      </c>
      <c r="Q435" s="124">
        <f t="shared" si="2"/>
        <v>0.6299999998</v>
      </c>
      <c r="R435" s="52">
        <f t="array" ref="R435">IFERROR(INDEX('Fund YTD Target Values'!$1:$1000, MATCH($C435,'Fund YTD Target Values'!$A:$A,0), MATCH($A435,'Fund YTD Target Values'!$1:$1,0)),0)</f>
        <v>651726.2442</v>
      </c>
      <c r="S435" s="52">
        <f>IFERROR(__xludf.DUMMYFUNCTION("IFERROR(sum(FILTER('Fund Data'!$V:$V, 'Fund Data'!$C:$C = $C435, 'Fund Data'!$A:$A &lt; $A435)),0) + IFERROR(sum(FILTER('Fund Data'!$V:$V, 'Fund Data'!$C:$C = $C435, 'Fund Data'!$A:$A = $A435, 'Fund Data'!$B:$B &lt;= $B435)),0)"),556601.64)</f>
        <v>556601.64</v>
      </c>
      <c r="T435" s="123">
        <v>558656.0</v>
      </c>
      <c r="U435" s="44">
        <f t="shared" si="45"/>
        <v>-2054.36</v>
      </c>
      <c r="V435" s="44">
        <f t="shared" si="3"/>
        <v>0</v>
      </c>
      <c r="W435" s="123"/>
      <c r="X435" s="123"/>
      <c r="Y435" s="123">
        <v>0.0</v>
      </c>
      <c r="Z435" s="123">
        <v>0.0</v>
      </c>
      <c r="AA435" s="123">
        <v>0.0</v>
      </c>
      <c r="AB435" s="123"/>
      <c r="AC435" s="123">
        <v>0.0</v>
      </c>
      <c r="AD435" s="44">
        <f t="shared" si="7"/>
        <v>-7300</v>
      </c>
      <c r="AE435" s="123">
        <v>0.0</v>
      </c>
    </row>
    <row r="436">
      <c r="A436" s="120">
        <v>2012.0</v>
      </c>
      <c r="B436" s="121">
        <v>12.0</v>
      </c>
      <c r="C436" s="122" t="s">
        <v>49</v>
      </c>
      <c r="D436" s="123">
        <v>4410.0</v>
      </c>
      <c r="E436" s="123">
        <v>13110.11</v>
      </c>
      <c r="F436" s="123">
        <v>-15420.0</v>
      </c>
      <c r="G436" s="123"/>
      <c r="H436" s="123">
        <v>-3898.66</v>
      </c>
      <c r="I436" s="44"/>
      <c r="J436" s="123">
        <v>600.41</v>
      </c>
      <c r="K436" s="44"/>
      <c r="L436" s="123">
        <v>63133.86</v>
      </c>
      <c r="M436" s="44"/>
      <c r="N436" s="44"/>
      <c r="O436" s="123">
        <v>671270.0</v>
      </c>
      <c r="P436" s="52">
        <f t="shared" si="23"/>
        <v>671268.51</v>
      </c>
      <c r="Q436" s="124">
        <f t="shared" si="2"/>
        <v>1.49</v>
      </c>
      <c r="R436" s="52">
        <f t="array" ref="R436">IFERROR(INDEX('Fund YTD Target Values'!$1:$1000, MATCH($C436,'Fund YTD Target Values'!$A:$A,0), MATCH($A436,'Fund YTD Target Values'!$1:$1,0)),0)</f>
        <v>642309.6917</v>
      </c>
      <c r="S436" s="52">
        <f>IFERROR(__xludf.DUMMYFUNCTION("IFERROR(sum(FILTER('Fund Data'!$V:$V, 'Fund Data'!$C:$C = $C436, 'Fund Data'!$A:$A &lt; $A436)),0) + IFERROR(sum(FILTER('Fund Data'!$V:$V, 'Fund Data'!$C:$C = $C436, 'Fund Data'!$A:$A = $A436, 'Fund Data'!$B:$B &lt;= $B436)),0)"),556601.64)</f>
        <v>556601.64</v>
      </c>
      <c r="T436" s="123">
        <v>558656.0</v>
      </c>
      <c r="U436" s="44">
        <f t="shared" si="45"/>
        <v>-2054.36</v>
      </c>
      <c r="V436" s="44">
        <f t="shared" si="3"/>
        <v>4410</v>
      </c>
      <c r="W436" s="123"/>
      <c r="X436" s="123"/>
      <c r="Y436" s="123">
        <v>0.0</v>
      </c>
      <c r="Z436" s="123">
        <v>0.0</v>
      </c>
      <c r="AA436" s="123">
        <v>0.0</v>
      </c>
      <c r="AB436" s="123"/>
      <c r="AC436" s="123">
        <v>0.0</v>
      </c>
      <c r="AD436" s="44">
        <f t="shared" si="7"/>
        <v>-15420</v>
      </c>
      <c r="AE436" s="123">
        <v>0.0</v>
      </c>
    </row>
    <row r="437">
      <c r="A437" s="120">
        <v>2011.0</v>
      </c>
      <c r="B437" s="121">
        <v>12.0</v>
      </c>
      <c r="C437" s="122" t="s">
        <v>49</v>
      </c>
      <c r="D437" s="123">
        <v>2000.0</v>
      </c>
      <c r="E437" s="123">
        <v>10904.69</v>
      </c>
      <c r="F437" s="123">
        <v>-5650.0</v>
      </c>
      <c r="G437" s="123"/>
      <c r="H437" s="123">
        <v>-3890.86</v>
      </c>
      <c r="I437" s="44"/>
      <c r="J437" s="123">
        <v>493.6</v>
      </c>
      <c r="K437" s="44"/>
      <c r="L437" s="123">
        <v>-40295.45</v>
      </c>
      <c r="M437" s="44"/>
      <c r="N437" s="44"/>
      <c r="O437" s="123">
        <v>609333.0</v>
      </c>
      <c r="P437" s="52">
        <f t="shared" si="23"/>
        <v>609332.79</v>
      </c>
      <c r="Q437" s="124">
        <f t="shared" si="2"/>
        <v>0.2099999998</v>
      </c>
      <c r="R437" s="52">
        <f t="array" ref="R437">IFERROR(INDEX('Fund YTD Target Values'!$1:$1000, MATCH($C437,'Fund YTD Target Values'!$A:$A,0), MATCH($A437,'Fund YTD Target Values'!$1:$1,0)),0)</f>
        <v>624943.4104</v>
      </c>
      <c r="S437" s="52">
        <f>IFERROR(__xludf.DUMMYFUNCTION("IFERROR(sum(FILTER('Fund Data'!$V:$V, 'Fund Data'!$C:$C = $C437, 'Fund Data'!$A:$A &lt; $A437)),0) + IFERROR(sum(FILTER('Fund Data'!$V:$V, 'Fund Data'!$C:$C = $C437, 'Fund Data'!$A:$A = $A437, 'Fund Data'!$B:$B &lt;= $B437)),0)"),552191.64)</f>
        <v>552191.64</v>
      </c>
      <c r="T437" s="123">
        <v>554246.0</v>
      </c>
      <c r="U437" s="44">
        <f t="shared" si="45"/>
        <v>-2054.36</v>
      </c>
      <c r="V437" s="44">
        <f t="shared" si="3"/>
        <v>2000</v>
      </c>
      <c r="W437" s="123"/>
      <c r="X437" s="123"/>
      <c r="Y437" s="123">
        <v>0.0</v>
      </c>
      <c r="Z437" s="123">
        <v>0.0</v>
      </c>
      <c r="AA437" s="123">
        <v>0.0</v>
      </c>
      <c r="AB437" s="123"/>
      <c r="AC437" s="123">
        <v>0.0</v>
      </c>
      <c r="AD437" s="44">
        <f t="shared" si="7"/>
        <v>-5650</v>
      </c>
      <c r="AE437" s="123">
        <v>0.0</v>
      </c>
    </row>
    <row r="438">
      <c r="A438" s="120">
        <v>2010.0</v>
      </c>
      <c r="B438" s="121">
        <v>12.0</v>
      </c>
      <c r="C438" s="122" t="s">
        <v>49</v>
      </c>
      <c r="D438" s="123">
        <v>10000.0</v>
      </c>
      <c r="E438" s="123">
        <v>12544.85</v>
      </c>
      <c r="F438" s="123">
        <v>-25000.0</v>
      </c>
      <c r="G438" s="123"/>
      <c r="H438" s="123">
        <v>-3565.57</v>
      </c>
      <c r="I438" s="44"/>
      <c r="J438" s="44"/>
      <c r="K438" s="123">
        <v>-557.76</v>
      </c>
      <c r="L438" s="123">
        <v>68864.14</v>
      </c>
      <c r="M438" s="44"/>
      <c r="N438" s="44"/>
      <c r="O438" s="123">
        <v>645771.0</v>
      </c>
      <c r="P438" s="52">
        <f t="shared" si="23"/>
        <v>645770.81</v>
      </c>
      <c r="Q438" s="124">
        <f t="shared" si="2"/>
        <v>0.1899999997</v>
      </c>
      <c r="R438" s="52">
        <f t="array" ref="R438">IFERROR(INDEX('Fund YTD Target Values'!$1:$1000, MATCH($C438,'Fund YTD Target Values'!$A:$A,0), MATCH($A438,'Fund YTD Target Values'!$1:$1,0)),0)</f>
        <v>603889.4809</v>
      </c>
      <c r="S438" s="52">
        <f>IFERROR(__xludf.DUMMYFUNCTION("IFERROR(sum(FILTER('Fund Data'!$V:$V, 'Fund Data'!$C:$C = $C438, 'Fund Data'!$A:$A &lt; $A438)),0) + IFERROR(sum(FILTER('Fund Data'!$V:$V, 'Fund Data'!$C:$C = $C438, 'Fund Data'!$A:$A = $A438, 'Fund Data'!$B:$B &lt;= $B438)),0)"),550191.64)</f>
        <v>550191.64</v>
      </c>
      <c r="T438" s="123">
        <v>552246.0</v>
      </c>
      <c r="U438" s="44">
        <f t="shared" si="45"/>
        <v>-2054.36</v>
      </c>
      <c r="V438" s="44">
        <f t="shared" si="3"/>
        <v>10000</v>
      </c>
      <c r="W438" s="123"/>
      <c r="X438" s="123"/>
      <c r="Y438" s="123">
        <v>0.0</v>
      </c>
      <c r="Z438" s="123">
        <v>0.0</v>
      </c>
      <c r="AA438" s="123">
        <v>0.0</v>
      </c>
      <c r="AB438" s="123"/>
      <c r="AC438" s="123">
        <v>0.0</v>
      </c>
      <c r="AD438" s="44">
        <f t="shared" si="7"/>
        <v>-25000</v>
      </c>
      <c r="AE438" s="123">
        <v>0.0</v>
      </c>
    </row>
    <row r="439">
      <c r="A439" s="120">
        <v>2009.0</v>
      </c>
      <c r="B439" s="121">
        <v>12.0</v>
      </c>
      <c r="C439" s="122" t="s">
        <v>49</v>
      </c>
      <c r="D439" s="123">
        <v>5000.0</v>
      </c>
      <c r="E439" s="123">
        <v>15004.72</v>
      </c>
      <c r="F439" s="44"/>
      <c r="G439" s="123"/>
      <c r="H439" s="123">
        <v>-3043.71</v>
      </c>
      <c r="I439" s="44"/>
      <c r="J439" s="44"/>
      <c r="K439" s="44"/>
      <c r="L439" s="123">
        <v>89854.85</v>
      </c>
      <c r="M439" s="44"/>
      <c r="N439" s="44"/>
      <c r="O439" s="123">
        <v>583485.0</v>
      </c>
      <c r="P439" s="52">
        <f t="shared" si="23"/>
        <v>583485.15</v>
      </c>
      <c r="Q439" s="124">
        <f t="shared" si="2"/>
        <v>-0.15</v>
      </c>
      <c r="R439" s="52">
        <f t="array" ref="R439">IFERROR(INDEX('Fund YTD Target Values'!$1:$1000, MATCH($C439,'Fund YTD Target Values'!$A:$A,0), MATCH($A439,'Fund YTD Target Values'!$1:$1,0)),0)</f>
        <v>584282.0176</v>
      </c>
      <c r="S439" s="52">
        <f>IFERROR(__xludf.DUMMYFUNCTION("IFERROR(sum(FILTER('Fund Data'!$V:$V, 'Fund Data'!$C:$C = $C439, 'Fund Data'!$A:$A &lt; $A439)),0) + IFERROR(sum(FILTER('Fund Data'!$V:$V, 'Fund Data'!$C:$C = $C439, 'Fund Data'!$A:$A = $A439, 'Fund Data'!$B:$B &lt;= $B439)),0)"),540191.64)</f>
        <v>540191.64</v>
      </c>
      <c r="T439" s="123">
        <v>542246.0</v>
      </c>
      <c r="U439" s="44">
        <f t="shared" si="45"/>
        <v>-2054.36</v>
      </c>
      <c r="V439" s="44">
        <f t="shared" si="3"/>
        <v>5000</v>
      </c>
      <c r="W439" s="123"/>
      <c r="X439" s="123"/>
      <c r="Y439" s="123">
        <v>0.0</v>
      </c>
      <c r="Z439" s="123">
        <v>0.0</v>
      </c>
      <c r="AA439" s="123">
        <v>0.0</v>
      </c>
      <c r="AB439" s="123"/>
      <c r="AC439" s="123">
        <v>0.0</v>
      </c>
      <c r="AD439" s="44">
        <f t="shared" si="7"/>
        <v>0</v>
      </c>
      <c r="AE439" s="123">
        <v>0.0</v>
      </c>
    </row>
    <row r="440">
      <c r="A440" s="120">
        <v>2008.0</v>
      </c>
      <c r="B440" s="121">
        <v>12.0</v>
      </c>
      <c r="C440" s="122" t="s">
        <v>49</v>
      </c>
      <c r="D440" s="123">
        <v>10000.0</v>
      </c>
      <c r="E440" s="123">
        <v>15173.08</v>
      </c>
      <c r="F440" s="123">
        <v>-4356.0</v>
      </c>
      <c r="G440" s="123"/>
      <c r="H440" s="123">
        <v>-3407.92</v>
      </c>
      <c r="I440" s="44"/>
      <c r="J440" s="44"/>
      <c r="K440" s="44"/>
      <c r="L440" s="123">
        <v>-154974.51</v>
      </c>
      <c r="M440" s="44"/>
      <c r="N440" s="44"/>
      <c r="O440" s="123">
        <v>476669.0</v>
      </c>
      <c r="P440" s="52">
        <f t="shared" si="23"/>
        <v>476669.29</v>
      </c>
      <c r="Q440" s="124">
        <f t="shared" si="2"/>
        <v>-0.2900000003</v>
      </c>
      <c r="R440" s="52">
        <f t="array" ref="R440">IFERROR(INDEX('Fund YTD Target Values'!$1:$1000, MATCH($C440,'Fund YTD Target Values'!$A:$A,0), MATCH($A440,'Fund YTD Target Values'!$1:$1,0)),0)</f>
        <v>581245.4648</v>
      </c>
      <c r="S440" s="52">
        <f>IFERROR(__xludf.DUMMYFUNCTION("IFERROR(sum(FILTER('Fund Data'!$V:$V, 'Fund Data'!$C:$C = $C440, 'Fund Data'!$A:$A &lt; $A440)),0) + IFERROR(sum(FILTER('Fund Data'!$V:$V, 'Fund Data'!$C:$C = $C440, 'Fund Data'!$A:$A = $A440, 'Fund Data'!$B:$B &lt;= $B440)),0)"),535191.64)</f>
        <v>535191.64</v>
      </c>
      <c r="T440" s="123">
        <v>537246.0</v>
      </c>
      <c r="U440" s="44">
        <f t="shared" si="45"/>
        <v>-2054.36</v>
      </c>
      <c r="V440" s="44">
        <f t="shared" si="3"/>
        <v>10000</v>
      </c>
      <c r="W440" s="123"/>
      <c r="X440" s="123"/>
      <c r="Y440" s="123">
        <v>0.0</v>
      </c>
      <c r="Z440" s="123">
        <v>0.0</v>
      </c>
      <c r="AA440" s="123">
        <v>0.0</v>
      </c>
      <c r="AB440" s="123"/>
      <c r="AC440" s="123">
        <v>0.0</v>
      </c>
      <c r="AD440" s="44">
        <f t="shared" si="7"/>
        <v>-4356</v>
      </c>
      <c r="AE440" s="123">
        <v>0.0</v>
      </c>
    </row>
    <row r="441">
      <c r="A441" s="120">
        <v>2007.0</v>
      </c>
      <c r="B441" s="121">
        <v>12.0</v>
      </c>
      <c r="C441" s="122" t="s">
        <v>49</v>
      </c>
      <c r="D441" s="123">
        <v>45843.42</v>
      </c>
      <c r="E441" s="123">
        <v>9253.83</v>
      </c>
      <c r="F441" s="123">
        <v>-7000.0</v>
      </c>
      <c r="G441" s="123"/>
      <c r="H441" s="123">
        <v>-3409.58</v>
      </c>
      <c r="I441" s="44"/>
      <c r="J441" s="44"/>
      <c r="K441" s="44"/>
      <c r="L441" s="123">
        <v>45738.63</v>
      </c>
      <c r="M441" s="123">
        <v>-85.0</v>
      </c>
      <c r="N441" s="44"/>
      <c r="O441" s="123">
        <v>614234.0</v>
      </c>
      <c r="P441" s="52">
        <f t="shared" si="23"/>
        <v>614234.64</v>
      </c>
      <c r="Q441" s="124">
        <f t="shared" si="2"/>
        <v>-0.64</v>
      </c>
      <c r="R441" s="52">
        <f t="array" ref="R441">IFERROR(INDEX('Fund YTD Target Values'!$1:$1000, MATCH($C441,'Fund YTD Target Values'!$A:$A,0), MATCH($A441,'Fund YTD Target Values'!$1:$1,0)),0)</f>
        <v>550090.9849</v>
      </c>
      <c r="S441" s="52">
        <f>IFERROR(__xludf.DUMMYFUNCTION("IFERROR(sum(FILTER('Fund Data'!$V:$V, 'Fund Data'!$C:$C = $C441, 'Fund Data'!$A:$A &lt; $A441)),0) + IFERROR(sum(FILTER('Fund Data'!$V:$V, 'Fund Data'!$C:$C = $C441, 'Fund Data'!$A:$A = $A441, 'Fund Data'!$B:$B &lt;= $B441)),0)"),525191.64)</f>
        <v>525191.64</v>
      </c>
      <c r="T441" s="123">
        <v>532246.0</v>
      </c>
      <c r="U441" s="44">
        <f t="shared" si="45"/>
        <v>-7054.36</v>
      </c>
      <c r="V441" s="44">
        <f t="shared" si="3"/>
        <v>45843.42</v>
      </c>
      <c r="W441" s="123"/>
      <c r="X441" s="123"/>
      <c r="Y441" s="123">
        <v>0.0</v>
      </c>
      <c r="Z441" s="123">
        <v>0.0</v>
      </c>
      <c r="AA441" s="123">
        <v>0.0</v>
      </c>
      <c r="AB441" s="123"/>
      <c r="AC441" s="123">
        <v>0.0</v>
      </c>
      <c r="AD441" s="44">
        <f t="shared" si="7"/>
        <v>-7000</v>
      </c>
      <c r="AE441" s="123">
        <v>0.0</v>
      </c>
    </row>
    <row r="442">
      <c r="A442" s="120">
        <v>2006.0</v>
      </c>
      <c r="B442" s="121">
        <v>12.0</v>
      </c>
      <c r="C442" s="122" t="s">
        <v>49</v>
      </c>
      <c r="D442" s="123">
        <f>186746.45+68700</f>
        <v>255446.45</v>
      </c>
      <c r="E442" s="123">
        <v>4977.73</v>
      </c>
      <c r="F442" s="123">
        <v>-6974.0</v>
      </c>
      <c r="G442" s="123"/>
      <c r="H442" s="123">
        <v>-1777.76</v>
      </c>
      <c r="I442" s="44"/>
      <c r="J442" s="123">
        <v>40.03</v>
      </c>
      <c r="K442" s="44"/>
      <c r="L442" s="123">
        <v>31544.95</v>
      </c>
      <c r="M442" s="123">
        <v>-527.17</v>
      </c>
      <c r="N442" s="44"/>
      <c r="O442" s="123">
        <v>523893.0</v>
      </c>
      <c r="P442" s="52">
        <f t="shared" si="23"/>
        <v>523893.34</v>
      </c>
      <c r="Q442" s="124">
        <f t="shared" si="2"/>
        <v>-0.34</v>
      </c>
      <c r="R442" s="52">
        <f t="array" ref="R442">IFERROR(INDEX('Fund YTD Target Values'!$1:$1000, MATCH($C442,'Fund YTD Target Values'!$A:$A,0), MATCH($A442,'Fund YTD Target Values'!$1:$1,0)),0)</f>
        <v>490263.5201</v>
      </c>
      <c r="S442" s="52">
        <f>IFERROR(__xludf.DUMMYFUNCTION("IFERROR(sum(FILTER('Fund Data'!$V:$V, 'Fund Data'!$C:$C = $C442, 'Fund Data'!$A:$A &lt; $A442)),0) + IFERROR(sum(FILTER('Fund Data'!$V:$V, 'Fund Data'!$C:$C = $C442, 'Fund Data'!$A:$A = $A442, 'Fund Data'!$B:$B &lt;= $B442)),0)"),479348.22000000003)</f>
        <v>479348.22</v>
      </c>
      <c r="T442" s="123">
        <v>486394.0</v>
      </c>
      <c r="U442" s="44">
        <f t="shared" si="45"/>
        <v>-7045.78</v>
      </c>
      <c r="V442" s="44">
        <f t="shared" si="3"/>
        <v>255446.45</v>
      </c>
      <c r="W442" s="123"/>
      <c r="X442" s="123"/>
      <c r="Y442" s="123">
        <v>0.0</v>
      </c>
      <c r="Z442" s="123">
        <v>0.0</v>
      </c>
      <c r="AA442" s="123">
        <v>0.0</v>
      </c>
      <c r="AB442" s="123"/>
      <c r="AC442" s="123">
        <v>0.0</v>
      </c>
      <c r="AD442" s="44">
        <f t="shared" si="7"/>
        <v>-6974</v>
      </c>
      <c r="AE442" s="123">
        <v>0.0</v>
      </c>
    </row>
    <row r="443">
      <c r="A443" s="120">
        <v>2005.0</v>
      </c>
      <c r="B443" s="121">
        <v>12.0</v>
      </c>
      <c r="C443" s="122" t="s">
        <v>49</v>
      </c>
      <c r="D443" s="123">
        <f>106000 + 13000</f>
        <v>119000</v>
      </c>
      <c r="E443" s="123">
        <v>3105.14</v>
      </c>
      <c r="F443" s="123"/>
      <c r="G443" s="123"/>
      <c r="H443" s="123">
        <v>-798.6</v>
      </c>
      <c r="I443" s="44"/>
      <c r="J443" s="123">
        <v>13540.22</v>
      </c>
      <c r="K443" s="123">
        <v>-1421.73</v>
      </c>
      <c r="L443" s="123">
        <v>-5040.36</v>
      </c>
      <c r="M443" s="123">
        <v>606.85</v>
      </c>
      <c r="N443" s="44"/>
      <c r="O443" s="123">
        <v>241163.0</v>
      </c>
      <c r="P443" s="52">
        <f t="shared" si="23"/>
        <v>241163.11</v>
      </c>
      <c r="Q443" s="124">
        <f t="shared" si="2"/>
        <v>-0.11</v>
      </c>
      <c r="R443" s="52">
        <f t="array" ref="R443">IFERROR(INDEX('Fund YTD Target Values'!$1:$1000, MATCH($C443,'Fund YTD Target Values'!$A:$A,0), MATCH($A443,'Fund YTD Target Values'!$1:$1,0)),0)</f>
        <v>227458.2937</v>
      </c>
      <c r="S443" s="52">
        <f>IFERROR(__xludf.DUMMYFUNCTION("IFERROR(sum(FILTER('Fund Data'!$V:$V, 'Fund Data'!$C:$C = $C443, 'Fund Data'!$A:$A &lt; $A443)),0) + IFERROR(sum(FILTER('Fund Data'!$V:$V, 'Fund Data'!$C:$C = $C443, 'Fund Data'!$A:$A = $A443, 'Fund Data'!$B:$B &lt;= $B443)),0)"),223901.77000000002)</f>
        <v>223901.77</v>
      </c>
      <c r="T443" s="123">
        <v>233871.0</v>
      </c>
      <c r="U443" s="44">
        <f t="shared" si="45"/>
        <v>-9969.23</v>
      </c>
      <c r="V443" s="44">
        <f t="shared" si="3"/>
        <v>119000</v>
      </c>
      <c r="W443" s="123"/>
      <c r="X443" s="123"/>
      <c r="Y443" s="123">
        <v>0.0</v>
      </c>
      <c r="Z443" s="123">
        <v>0.0</v>
      </c>
      <c r="AA443" s="123">
        <v>0.0</v>
      </c>
      <c r="AB443" s="123"/>
      <c r="AC443" s="123">
        <v>0.0</v>
      </c>
      <c r="AD443" s="44">
        <f t="shared" si="7"/>
        <v>0</v>
      </c>
      <c r="AE443" s="123">
        <v>0.0</v>
      </c>
    </row>
    <row r="444">
      <c r="A444" s="120">
        <v>2004.0</v>
      </c>
      <c r="B444" s="121">
        <v>12.0</v>
      </c>
      <c r="C444" s="122" t="s">
        <v>49</v>
      </c>
      <c r="D444" s="123">
        <v>104901.77</v>
      </c>
      <c r="E444" s="123">
        <v>893.79</v>
      </c>
      <c r="F444" s="44"/>
      <c r="G444" s="123"/>
      <c r="H444" s="123">
        <v>-90.79</v>
      </c>
      <c r="I444" s="123"/>
      <c r="J444" s="123">
        <v>36.79</v>
      </c>
      <c r="K444" s="44"/>
      <c r="L444" s="123">
        <v>5382.81</v>
      </c>
      <c r="M444" s="123">
        <v>5.56</v>
      </c>
      <c r="N444" s="123">
        <v>1041.66</v>
      </c>
      <c r="O444" s="123">
        <v>112172.0</v>
      </c>
      <c r="P444" s="52">
        <f t="shared" si="23"/>
        <v>112171.59</v>
      </c>
      <c r="Q444" s="124">
        <f t="shared" si="2"/>
        <v>0.41</v>
      </c>
      <c r="R444" s="52">
        <f t="array" ref="R444">IFERROR(INDEX('Fund YTD Target Values'!$1:$1000, MATCH($C444,'Fund YTD Target Values'!$A:$A,0), MATCH($A444,'Fund YTD Target Values'!$1:$1,0)),0)</f>
        <v>104901.77</v>
      </c>
      <c r="S444" s="52">
        <f>IFERROR(__xludf.DUMMYFUNCTION("IFERROR(sum(FILTER('Fund Data'!$V:$V, 'Fund Data'!$C:$C = $C444, 'Fund Data'!$A:$A &lt; $A444)),0) + IFERROR(sum(FILTER('Fund Data'!$V:$V, 'Fund Data'!$C:$C = $C444, 'Fund Data'!$A:$A = $A444, 'Fund Data'!$B:$B &lt;= $B444)),0)"),104901.77)</f>
        <v>104901.77</v>
      </c>
      <c r="T444" s="123">
        <v>119922.0</v>
      </c>
      <c r="U444" s="44">
        <f t="shared" si="45"/>
        <v>-15020.23</v>
      </c>
      <c r="V444" s="44">
        <f t="shared" si="3"/>
        <v>104901.77</v>
      </c>
      <c r="W444" s="123"/>
      <c r="X444" s="123"/>
      <c r="Y444" s="123">
        <v>0.0</v>
      </c>
      <c r="Z444" s="123">
        <v>0.0</v>
      </c>
      <c r="AA444" s="123">
        <v>0.0</v>
      </c>
      <c r="AB444" s="123"/>
      <c r="AC444" s="123">
        <v>0.0</v>
      </c>
      <c r="AD444" s="44">
        <f t="shared" si="7"/>
        <v>0</v>
      </c>
      <c r="AE444" s="123">
        <v>0.0</v>
      </c>
    </row>
    <row r="445">
      <c r="A445" s="120">
        <v>2019.0</v>
      </c>
      <c r="B445" s="121">
        <v>6.0</v>
      </c>
      <c r="C445" s="122" t="s">
        <v>30</v>
      </c>
      <c r="D445" s="44"/>
      <c r="E445" s="123">
        <v>213.53</v>
      </c>
      <c r="F445" s="44"/>
      <c r="G445" s="44"/>
      <c r="H445" s="123">
        <v>-48.3</v>
      </c>
      <c r="I445" s="44"/>
      <c r="J445" s="44"/>
      <c r="K445" s="44"/>
      <c r="L445" s="123">
        <v>1653.91</v>
      </c>
      <c r="M445" s="44"/>
      <c r="N445" s="44"/>
      <c r="O445" s="123">
        <v>17859.85</v>
      </c>
      <c r="P445" s="52">
        <f t="shared" si="23"/>
        <v>17858.22</v>
      </c>
      <c r="Q445" s="124">
        <f t="shared" si="2"/>
        <v>1.63</v>
      </c>
      <c r="R445" s="52">
        <f t="array" ref="R445">IFERROR(INDEX('Fund YTD Target Values'!$1:$1000, MATCH($C445,'Fund YTD Target Values'!$A:$A,0), MATCH($A445,'Fund YTD Target Values'!$1:$1,0)),0)</f>
        <v>18806.96269</v>
      </c>
      <c r="S445" s="52">
        <f>IFERROR(__xludf.DUMMYFUNCTION("IFERROR(sum(FILTER('Fund Data'!$V:$V, 'Fund Data'!$C:$C = $C445, 'Fund Data'!$A:$A &lt; $A445)),0) + IFERROR(sum(FILTER('Fund Data'!$V:$V, 'Fund Data'!$C:$C = $C445, 'Fund Data'!$A:$A = $A445, 'Fund Data'!$B:$B &lt;= $B445)),0)"),11540.75)</f>
        <v>11540.75</v>
      </c>
      <c r="T445" s="44"/>
      <c r="U445" s="44"/>
      <c r="V445" s="44">
        <f t="shared" si="3"/>
        <v>0</v>
      </c>
      <c r="W445" s="52">
        <f>IFERROR(__xludf.DUMMYFUNCTION("iFERROR((FILTER('Fund Data'!$Y:$Y, 'Fund Data'!$C:$C = $C445, 'Fund Data'!$A:$A = $A445 - 1, 'Fund Data'!$B:$B = 12) + FILTER('Fund Data'!$AA:$AA, 'Fund Data'!$C:$C = $C445, 'Fund Data'!$A:$A = $A445 - 1, 'Fund Data'!$B:$B = 12)) * (1 + AVERAGE(FILTER('In"&amp;"flation Data'!$C:$C,'Inflation Data'!$A:$A = ($A445 - 2)))) * 'Parameters and Distribution Sum'!$A$4,0)"),558.7349135648467)</f>
        <v>558.7349136</v>
      </c>
      <c r="X445" s="52">
        <f>IFERROR(__xludf.DUMMYFUNCTION("IFERROR((IFERROR(FILTER('Fund Data'!$P:$P,'Fund Data'!$C:$C = $C445,'Fund Data'!$A:$A = ($A445 - 2), 'Fund Data'!$B:$B = 12),0) - SUM(FILTER('Fund Data'!$V:$V, 'Fund Data'!$C:$C = $C445, 'Fund Data'!$A:$A = ($A445 - 2), 'Fund Data'!$B:$B &gt; 3)))  * 'Parame"&amp;"ters and Distribution Sum'!$B$4 * (1 - 'Parameters and Distribution Sum'!$A$4),0)"),234.46003500000003)</f>
        <v>234.460035</v>
      </c>
      <c r="Y445" s="52">
        <f t="shared" ref="Y445:Y450" si="46">sum($W445:$X445)</f>
        <v>793.1949486</v>
      </c>
      <c r="Z445" s="52">
        <f>IFERROR(__xludf.DUMMYFUNCTION("((IFERROR((SUM(FILTER('Fund Data'!$V:$V, 'Fund Data'!$C:$C = $C445, 'Fund Data'!$A:$A = $A445 - 1, 'Fund Data'!$B:$B &gt;= 4, 'Fund Data'!$B:$B &lt;= ($B445 + 5))) / 12) * ($B445 - 3) * 'Parameters and Distribution Sum'!$B$4, 0) + IF($B445 &gt;= 9, IFERROR(SUM(FIL"&amp;"TER('Fund Data'!$V:$V, 'Fund Data'!$C:$C = $C445, 'Fund Data'!$A:$A = $A445, 'Fund Data'!$B:$B &lt;= 3)) * 'Parameters and Distribution Sum'!$B$4, 0),0)))"),0.0)</f>
        <v>0</v>
      </c>
      <c r="AA445" s="44">
        <f>IFERROR(__xludf.DUMMYFUNCTION("IFERROR(((IFERROR(SUM(FILTER('Fund Data'!$V:$V, 'Fund Data'!$C:$C = $C445, 'Fund Data'!$A:$A = $A445 - 2, 'Fund Data'!$B:$B &gt;= 4)) * 'Parameters and Distribution Sum'!$B$4,0) + IFERROR(SUM(FILTER('Fund Data'!$V:$V, 'Fund Data'!$C:$C = $C445, 'Fund Data'!$"&amp;"A:$A = $A445 - 1, 'Fund Data'!$B:$B &lt;= 3)) * 'Parameters and Distribution Sum'!$B$4,0))),0)"),0.0)</f>
        <v>0</v>
      </c>
      <c r="AB445" s="44">
        <f t="shared" ref="AB445:AB451" si="47">IFERROR(__xludf.DUMMYFUNCTION("IFERROR(FILTER($AE:$AE,$C:$C = $C445,$A:$A = $A445 - 1,$B:$B = 12),0)"),0.0)</f>
        <v>0</v>
      </c>
      <c r="AC445" s="44">
        <f t="shared" ref="AC445:AC451" si="48">sum($Y445:$AB445)</f>
        <v>793.1949486</v>
      </c>
      <c r="AD445" s="44">
        <f t="shared" si="7"/>
        <v>793.1949486</v>
      </c>
      <c r="AE445" s="44"/>
    </row>
    <row r="446">
      <c r="A446" s="120">
        <v>2019.0</v>
      </c>
      <c r="B446" s="121">
        <v>5.0</v>
      </c>
      <c r="C446" s="122" t="s">
        <v>30</v>
      </c>
      <c r="D446" s="44"/>
      <c r="E446" s="123">
        <v>194.6</v>
      </c>
      <c r="F446" s="44"/>
      <c r="G446" s="44"/>
      <c r="H446" s="123">
        <v>-40.18</v>
      </c>
      <c r="I446" s="44"/>
      <c r="J446" s="44"/>
      <c r="K446" s="44"/>
      <c r="L446" s="123">
        <v>988.48</v>
      </c>
      <c r="M446" s="44"/>
      <c r="N446" s="44"/>
      <c r="O446" s="123">
        <v>17183.61</v>
      </c>
      <c r="P446" s="52">
        <f t="shared" si="23"/>
        <v>17181.98</v>
      </c>
      <c r="Q446" s="124">
        <f t="shared" si="2"/>
        <v>1.63</v>
      </c>
      <c r="R446" s="52">
        <f t="array" ref="R446">IFERROR(INDEX('Fund YTD Target Values'!$1:$1000, MATCH($C446,'Fund YTD Target Values'!$A:$A,0), MATCH($A446,'Fund YTD Target Values'!$1:$1,0)),0)</f>
        <v>18806.96269</v>
      </c>
      <c r="S446" s="52">
        <f>IFERROR(__xludf.DUMMYFUNCTION("IFERROR(sum(FILTER('Fund Data'!$V:$V, 'Fund Data'!$C:$C = $C446, 'Fund Data'!$A:$A &lt; $A446)),0) + IFERROR(sum(FILTER('Fund Data'!$V:$V, 'Fund Data'!$C:$C = $C446, 'Fund Data'!$A:$A = $A446, 'Fund Data'!$B:$B &lt;= $B446)),0)"),11540.75)</f>
        <v>11540.75</v>
      </c>
      <c r="T446" s="44"/>
      <c r="U446" s="44"/>
      <c r="V446" s="44">
        <f t="shared" si="3"/>
        <v>0</v>
      </c>
      <c r="W446" s="52">
        <f>IFERROR(__xludf.DUMMYFUNCTION("iFERROR((FILTER('Fund Data'!$Y:$Y, 'Fund Data'!$C:$C = $C446, 'Fund Data'!$A:$A = $A446 - 1, 'Fund Data'!$B:$B = 12) + FILTER('Fund Data'!$AA:$AA, 'Fund Data'!$C:$C = $C446, 'Fund Data'!$A:$A = $A446 - 1, 'Fund Data'!$B:$B = 12)) * (1 + AVERAGE(FILTER('In"&amp;"flation Data'!$C:$C,'Inflation Data'!$A:$A = ($A446 - 2)))) * 'Parameters and Distribution Sum'!$A$4,0)"),558.7349135648467)</f>
        <v>558.7349136</v>
      </c>
      <c r="X446" s="52">
        <f>IFERROR(__xludf.DUMMYFUNCTION("IFERROR((IFERROR(FILTER('Fund Data'!$P:$P,'Fund Data'!$C:$C = $C446,'Fund Data'!$A:$A = ($A446 - 2), 'Fund Data'!$B:$B = 12),0) - SUM(FILTER('Fund Data'!$V:$V, 'Fund Data'!$C:$C = $C446, 'Fund Data'!$A:$A = ($A446 - 2), 'Fund Data'!$B:$B &gt; 3)))  * 'Parame"&amp;"ters and Distribution Sum'!$B$4 * (1 - 'Parameters and Distribution Sum'!$A$4),0)"),234.46003500000003)</f>
        <v>234.460035</v>
      </c>
      <c r="Y446" s="52">
        <f t="shared" si="46"/>
        <v>793.1949486</v>
      </c>
      <c r="Z446" s="52">
        <f>IFERROR(__xludf.DUMMYFUNCTION("((IFERROR((SUM(FILTER('Fund Data'!$V:$V, 'Fund Data'!$C:$C = $C446, 'Fund Data'!$A:$A = $A446 - 1, 'Fund Data'!$B:$B &gt;= 4, 'Fund Data'!$B:$B &lt;= ($B446 + 5))) / 12) * ($B446 - 3) * 'Parameters and Distribution Sum'!$B$4, 0) + IF($B446 &gt;= 9, IFERROR(SUM(FIL"&amp;"TER('Fund Data'!$V:$V, 'Fund Data'!$C:$C = $C446, 'Fund Data'!$A:$A = $A446, 'Fund Data'!$B:$B &lt;= 3)) * 'Parameters and Distribution Sum'!$B$4, 0),0)))"),0.0)</f>
        <v>0</v>
      </c>
      <c r="AA446" s="44">
        <f>IFERROR(__xludf.DUMMYFUNCTION("IFERROR(((IFERROR(SUM(FILTER('Fund Data'!$V:$V, 'Fund Data'!$C:$C = $C446, 'Fund Data'!$A:$A = $A446 - 2, 'Fund Data'!$B:$B &gt;= 4)) * 'Parameters and Distribution Sum'!$B$4,0) + IFERROR(SUM(FILTER('Fund Data'!$V:$V, 'Fund Data'!$C:$C = $C446, 'Fund Data'!$"&amp;"A:$A = $A446 - 1, 'Fund Data'!$B:$B &lt;= 3)) * 'Parameters and Distribution Sum'!$B$4,0))),0)"),0.0)</f>
        <v>0</v>
      </c>
      <c r="AB446" s="44">
        <f t="shared" si="47"/>
        <v>0</v>
      </c>
      <c r="AC446" s="44">
        <f t="shared" si="48"/>
        <v>793.1949486</v>
      </c>
      <c r="AD446" s="44">
        <f t="shared" si="7"/>
        <v>793.1949486</v>
      </c>
      <c r="AE446" s="44"/>
    </row>
    <row r="447">
      <c r="A447" s="120">
        <v>2019.0</v>
      </c>
      <c r="B447" s="121">
        <v>4.0</v>
      </c>
      <c r="C447" s="122" t="s">
        <v>30</v>
      </c>
      <c r="D447" s="44"/>
      <c r="E447" s="123">
        <v>179.07</v>
      </c>
      <c r="F447" s="44"/>
      <c r="G447" s="44"/>
      <c r="H447" s="123">
        <v>-31.85</v>
      </c>
      <c r="I447" s="44"/>
      <c r="J447" s="44"/>
      <c r="K447" s="44"/>
      <c r="L447" s="123">
        <v>1660.78</v>
      </c>
      <c r="M447" s="44"/>
      <c r="N447" s="44"/>
      <c r="O447" s="123">
        <v>17849.0</v>
      </c>
      <c r="P447" s="52">
        <f t="shared" si="23"/>
        <v>17847.08</v>
      </c>
      <c r="Q447" s="124">
        <f t="shared" si="2"/>
        <v>1.92</v>
      </c>
      <c r="R447" s="52">
        <f t="array" ref="R447">IFERROR(INDEX('Fund YTD Target Values'!$1:$1000, MATCH($C447,'Fund YTD Target Values'!$A:$A,0), MATCH($A447,'Fund YTD Target Values'!$1:$1,0)),0)</f>
        <v>18806.96269</v>
      </c>
      <c r="S447" s="52">
        <f>IFERROR(__xludf.DUMMYFUNCTION("IFERROR(sum(FILTER('Fund Data'!$V:$V, 'Fund Data'!$C:$C = $C447, 'Fund Data'!$A:$A &lt; $A447)),0) + IFERROR(sum(FILTER('Fund Data'!$V:$V, 'Fund Data'!$C:$C = $C447, 'Fund Data'!$A:$A = $A447, 'Fund Data'!$B:$B &lt;= $B447)),0)"),11540.75)</f>
        <v>11540.75</v>
      </c>
      <c r="T447" s="44"/>
      <c r="U447" s="44"/>
      <c r="V447" s="44">
        <f t="shared" si="3"/>
        <v>0</v>
      </c>
      <c r="W447" s="52">
        <f>IFERROR(__xludf.DUMMYFUNCTION("iFERROR((FILTER('Fund Data'!$Y:$Y, 'Fund Data'!$C:$C = $C447, 'Fund Data'!$A:$A = $A447 - 1, 'Fund Data'!$B:$B = 12) + FILTER('Fund Data'!$AA:$AA, 'Fund Data'!$C:$C = $C447, 'Fund Data'!$A:$A = $A447 - 1, 'Fund Data'!$B:$B = 12)) * (1 + AVERAGE(FILTER('In"&amp;"flation Data'!$C:$C,'Inflation Data'!$A:$A = ($A447 - 2)))) * 'Parameters and Distribution Sum'!$A$4,0)"),558.7349135648467)</f>
        <v>558.7349136</v>
      </c>
      <c r="X447" s="52">
        <f>IFERROR(__xludf.DUMMYFUNCTION("IFERROR((IFERROR(FILTER('Fund Data'!$P:$P,'Fund Data'!$C:$C = $C447,'Fund Data'!$A:$A = ($A447 - 2), 'Fund Data'!$B:$B = 12),0) - SUM(FILTER('Fund Data'!$V:$V, 'Fund Data'!$C:$C = $C447, 'Fund Data'!$A:$A = ($A447 - 2), 'Fund Data'!$B:$B &gt; 3)))  * 'Parame"&amp;"ters and Distribution Sum'!$B$4 * (1 - 'Parameters and Distribution Sum'!$A$4),0)"),234.46003500000003)</f>
        <v>234.460035</v>
      </c>
      <c r="Y447" s="52">
        <f t="shared" si="46"/>
        <v>793.1949486</v>
      </c>
      <c r="Z447" s="52">
        <f>IFERROR(__xludf.DUMMYFUNCTION("((IFERROR((SUM(FILTER('Fund Data'!$V:$V, 'Fund Data'!$C:$C = $C447, 'Fund Data'!$A:$A = $A447 - 1, 'Fund Data'!$B:$B &gt;= 4, 'Fund Data'!$B:$B &lt;= ($B447 + 5))) / 12) * ($B447 - 3) * 'Parameters and Distribution Sum'!$B$4, 0) + IF($B447 &gt;= 9, IFERROR(SUM(FIL"&amp;"TER('Fund Data'!$V:$V, 'Fund Data'!$C:$C = $C447, 'Fund Data'!$A:$A = $A447, 'Fund Data'!$B:$B &lt;= 3)) * 'Parameters and Distribution Sum'!$B$4, 0),0)))"),0.0)</f>
        <v>0</v>
      </c>
      <c r="AA447" s="44">
        <f>IFERROR(__xludf.DUMMYFUNCTION("IFERROR(((IFERROR(SUM(FILTER('Fund Data'!$V:$V, 'Fund Data'!$C:$C = $C447, 'Fund Data'!$A:$A = $A447 - 2, 'Fund Data'!$B:$B &gt;= 4)) * 'Parameters and Distribution Sum'!$B$4,0) + IFERROR(SUM(FILTER('Fund Data'!$V:$V, 'Fund Data'!$C:$C = $C447, 'Fund Data'!$"&amp;"A:$A = $A447 - 1, 'Fund Data'!$B:$B &lt;= 3)) * 'Parameters and Distribution Sum'!$B$4,0))),0)"),0.0)</f>
        <v>0</v>
      </c>
      <c r="AB447" s="44">
        <f t="shared" si="47"/>
        <v>0</v>
      </c>
      <c r="AC447" s="44">
        <f t="shared" si="48"/>
        <v>793.1949486</v>
      </c>
      <c r="AD447" s="44">
        <f t="shared" si="7"/>
        <v>793.1949486</v>
      </c>
      <c r="AE447" s="44"/>
    </row>
    <row r="448">
      <c r="A448" s="120">
        <v>2019.0</v>
      </c>
      <c r="B448" s="121">
        <v>3.0</v>
      </c>
      <c r="C448" s="122" t="s">
        <v>30</v>
      </c>
      <c r="D448" s="44"/>
      <c r="E448" s="123">
        <v>135.3</v>
      </c>
      <c r="F448" s="44"/>
      <c r="G448" s="44"/>
      <c r="H448" s="123">
        <v>-23.69</v>
      </c>
      <c r="I448" s="44"/>
      <c r="J448" s="44"/>
      <c r="K448" s="44"/>
      <c r="L448" s="123">
        <v>1317.82</v>
      </c>
      <c r="M448" s="44"/>
      <c r="N448" s="44"/>
      <c r="O448" s="123">
        <v>17470.0</v>
      </c>
      <c r="P448" s="52">
        <f t="shared" si="23"/>
        <v>17468.51</v>
      </c>
      <c r="Q448" s="124">
        <f t="shared" si="2"/>
        <v>1.49</v>
      </c>
      <c r="R448" s="52">
        <f t="array" ref="R448">IFERROR(INDEX('Fund YTD Target Values'!$1:$1000, MATCH($C448,'Fund YTD Target Values'!$A:$A,0), MATCH($A448,'Fund YTD Target Values'!$1:$1,0)),0)</f>
        <v>18806.96269</v>
      </c>
      <c r="S448" s="52">
        <f>IFERROR(__xludf.DUMMYFUNCTION("IFERROR(sum(FILTER('Fund Data'!$V:$V, 'Fund Data'!$C:$C = $C448, 'Fund Data'!$A:$A &lt; $A448)),0) + IFERROR(sum(FILTER('Fund Data'!$V:$V, 'Fund Data'!$C:$C = $C448, 'Fund Data'!$A:$A = $A448, 'Fund Data'!$B:$B &lt;= $B448)),0)"),11540.75)</f>
        <v>11540.75</v>
      </c>
      <c r="T448" s="123"/>
      <c r="U448" s="44"/>
      <c r="V448" s="44">
        <f t="shared" si="3"/>
        <v>0</v>
      </c>
      <c r="W448" s="52">
        <f>IFERROR(__xludf.DUMMYFUNCTION("iFERROR((FILTER('Fund Data'!$Y:$Y, 'Fund Data'!$C:$C = $C448, 'Fund Data'!$A:$A = $A448 - 1, 'Fund Data'!$B:$B = 12) + FILTER('Fund Data'!$AA:$AA, 'Fund Data'!$C:$C = $C448, 'Fund Data'!$A:$A = $A448 - 1, 'Fund Data'!$B:$B = 12)) * (1 + AVERAGE(FILTER('In"&amp;"flation Data'!$C:$C,'Inflation Data'!$A:$A = ($A448 - 2)))) * 'Parameters and Distribution Sum'!$A$4,0)"),558.7349135648467)</f>
        <v>558.7349136</v>
      </c>
      <c r="X448" s="52">
        <f>IFERROR(__xludf.DUMMYFUNCTION("IFERROR((IFERROR(FILTER('Fund Data'!$P:$P,'Fund Data'!$C:$C = $C448,'Fund Data'!$A:$A = ($A448 - 2), 'Fund Data'!$B:$B = 12),0) - SUM(FILTER('Fund Data'!$V:$V, 'Fund Data'!$C:$C = $C448, 'Fund Data'!$A:$A = ($A448 - 2), 'Fund Data'!$B:$B &gt; 3)))  * 'Parame"&amp;"ters and Distribution Sum'!$B$4 * (1 - 'Parameters and Distribution Sum'!$A$4),0)"),234.46003500000003)</f>
        <v>234.460035</v>
      </c>
      <c r="Y448" s="52">
        <f t="shared" si="46"/>
        <v>793.1949486</v>
      </c>
      <c r="Z448" s="52">
        <f>IFERROR(__xludf.DUMMYFUNCTION("((IFERROR((SUM(FILTER('Fund Data'!$V:$V, 'Fund Data'!$C:$C = $C448, 'Fund Data'!$A:$A = $A448 - 1, 'Fund Data'!$B:$B &gt;= 4, 'Fund Data'!$B:$B &lt;= ($B448 + 5))) / 12) * ($B448 - 3) * 'Parameters and Distribution Sum'!$B$4, 0) + IF($B448 &gt;= 9, IFERROR(SUM(FIL"&amp;"TER('Fund Data'!$V:$V, 'Fund Data'!$C:$C = $C448, 'Fund Data'!$A:$A = $A448, 'Fund Data'!$B:$B &lt;= 3)) * 'Parameters and Distribution Sum'!$B$4, 0),0)))"),0.0)</f>
        <v>0</v>
      </c>
      <c r="AA448" s="44">
        <f>IFERROR(__xludf.DUMMYFUNCTION("IFERROR(((IFERROR(SUM(FILTER('Fund Data'!$V:$V, 'Fund Data'!$C:$C = $C448, 'Fund Data'!$A:$A = $A448 - 2, 'Fund Data'!$B:$B &gt;= 4)) * 'Parameters and Distribution Sum'!$B$4,0) + IFERROR(SUM(FILTER('Fund Data'!$V:$V, 'Fund Data'!$C:$C = $C448, 'Fund Data'!$"&amp;"A:$A = $A448 - 1, 'Fund Data'!$B:$B &lt;= 3)) * 'Parameters and Distribution Sum'!$B$4,0))),0)"),0.0)</f>
        <v>0</v>
      </c>
      <c r="AB448" s="44">
        <f t="shared" si="47"/>
        <v>0</v>
      </c>
      <c r="AC448" s="44">
        <f t="shared" si="48"/>
        <v>793.1949486</v>
      </c>
      <c r="AD448" s="44">
        <f t="shared" si="7"/>
        <v>793.1949486</v>
      </c>
      <c r="AE448" s="44"/>
    </row>
    <row r="449">
      <c r="A449" s="120">
        <v>2019.0</v>
      </c>
      <c r="B449" s="121">
        <v>2.0</v>
      </c>
      <c r="C449" s="122" t="s">
        <v>30</v>
      </c>
      <c r="D449" s="44"/>
      <c r="E449" s="123">
        <v>114.18</v>
      </c>
      <c r="F449" s="44"/>
      <c r="G449" s="44"/>
      <c r="H449" s="123">
        <v>-15.57</v>
      </c>
      <c r="I449" s="44"/>
      <c r="J449" s="44"/>
      <c r="K449" s="44"/>
      <c r="L449" s="123">
        <v>1219.91</v>
      </c>
      <c r="M449" s="44"/>
      <c r="N449" s="44"/>
      <c r="O449" s="123">
        <v>17359.0</v>
      </c>
      <c r="P449" s="52">
        <f t="shared" si="23"/>
        <v>17357.6</v>
      </c>
      <c r="Q449" s="124">
        <f t="shared" si="2"/>
        <v>1.4</v>
      </c>
      <c r="R449" s="52">
        <f t="array" ref="R449">IFERROR(INDEX('Fund YTD Target Values'!$1:$1000, MATCH($C449,'Fund YTD Target Values'!$A:$A,0), MATCH($A449,'Fund YTD Target Values'!$1:$1,0)),0)</f>
        <v>18806.96269</v>
      </c>
      <c r="S449" s="52">
        <f>IFERROR(__xludf.DUMMYFUNCTION("IFERROR(sum(FILTER('Fund Data'!$V:$V, 'Fund Data'!$C:$C = $C449, 'Fund Data'!$A:$A &lt; $A449)),0) + IFERROR(sum(FILTER('Fund Data'!$V:$V, 'Fund Data'!$C:$C = $C449, 'Fund Data'!$A:$A = $A449, 'Fund Data'!$B:$B &lt;= $B449)),0)"),11540.75)</f>
        <v>11540.75</v>
      </c>
      <c r="T449" s="44"/>
      <c r="U449" s="44"/>
      <c r="V449" s="44">
        <f t="shared" si="3"/>
        <v>0</v>
      </c>
      <c r="W449" s="52">
        <f>IFERROR(__xludf.DUMMYFUNCTION("iFERROR((FILTER('Fund Data'!$Y:$Y, 'Fund Data'!$C:$C = $C449, 'Fund Data'!$A:$A = $A449 - 1, 'Fund Data'!$B:$B = 12) + FILTER('Fund Data'!$AA:$AA, 'Fund Data'!$C:$C = $C449, 'Fund Data'!$A:$A = $A449 - 1, 'Fund Data'!$B:$B = 12)) * (1 + AVERAGE(FILTER('In"&amp;"flation Data'!$C:$C,'Inflation Data'!$A:$A = ($A449 - 2)))) * 'Parameters and Distribution Sum'!$A$4,0)"),558.7349135648467)</f>
        <v>558.7349136</v>
      </c>
      <c r="X449" s="52">
        <f>IFERROR(__xludf.DUMMYFUNCTION("IFERROR((IFERROR(FILTER('Fund Data'!$P:$P,'Fund Data'!$C:$C = $C449,'Fund Data'!$A:$A = ($A449 - 2), 'Fund Data'!$B:$B = 12),0) - SUM(FILTER('Fund Data'!$V:$V, 'Fund Data'!$C:$C = $C449, 'Fund Data'!$A:$A = ($A449 - 2), 'Fund Data'!$B:$B &gt; 3)))  * 'Parame"&amp;"ters and Distribution Sum'!$B$4 * (1 - 'Parameters and Distribution Sum'!$A$4),0)"),234.46003500000003)</f>
        <v>234.460035</v>
      </c>
      <c r="Y449" s="52">
        <f t="shared" si="46"/>
        <v>793.1949486</v>
      </c>
      <c r="Z449" s="52">
        <f>IFERROR(__xludf.DUMMYFUNCTION("((IFERROR((SUM(FILTER('Fund Data'!$V:$V, 'Fund Data'!$C:$C = $C449, 'Fund Data'!$A:$A = $A449 - 1, 'Fund Data'!$B:$B &gt;= 4, 'Fund Data'!$B:$B &lt;= ($B449 + 5))) / 12) * ($B449 - 3) * 'Parameters and Distribution Sum'!$B$4, 0) + IF($B449 &gt;= 9, IFERROR(SUM(FIL"&amp;"TER('Fund Data'!$V:$V, 'Fund Data'!$C:$C = $C449, 'Fund Data'!$A:$A = $A449, 'Fund Data'!$B:$B &lt;= 3)) * 'Parameters and Distribution Sum'!$B$4, 0),0)))"),0.0)</f>
        <v>0</v>
      </c>
      <c r="AA449" s="44">
        <f>IFERROR(__xludf.DUMMYFUNCTION("IFERROR(((IFERROR(SUM(FILTER('Fund Data'!$V:$V, 'Fund Data'!$C:$C = $C449, 'Fund Data'!$A:$A = $A449 - 2, 'Fund Data'!$B:$B &gt;= 4)) * 'Parameters and Distribution Sum'!$B$4,0) + IFERROR(SUM(FILTER('Fund Data'!$V:$V, 'Fund Data'!$C:$C = $C449, 'Fund Data'!$"&amp;"A:$A = $A449 - 1, 'Fund Data'!$B:$B &lt;= 3)) * 'Parameters and Distribution Sum'!$B$4,0))),0)"),0.0)</f>
        <v>0</v>
      </c>
      <c r="AB449" s="44">
        <f t="shared" si="47"/>
        <v>0</v>
      </c>
      <c r="AC449" s="44">
        <f t="shared" si="48"/>
        <v>793.1949486</v>
      </c>
      <c r="AD449" s="44">
        <f t="shared" si="7"/>
        <v>793.1949486</v>
      </c>
      <c r="AE449" s="44"/>
    </row>
    <row r="450">
      <c r="A450" s="120">
        <v>2019.0</v>
      </c>
      <c r="B450" s="121">
        <v>1.0</v>
      </c>
      <c r="C450" s="122" t="s">
        <v>30</v>
      </c>
      <c r="D450" s="44"/>
      <c r="E450" s="123">
        <v>105.22</v>
      </c>
      <c r="F450" s="44"/>
      <c r="G450" s="44"/>
      <c r="H450" s="123">
        <v>-7.57</v>
      </c>
      <c r="I450" s="44"/>
      <c r="J450" s="44"/>
      <c r="K450" s="44"/>
      <c r="L450" s="123">
        <v>943.7</v>
      </c>
      <c r="M450" s="44"/>
      <c r="N450" s="44"/>
      <c r="O450" s="123">
        <v>17082.0</v>
      </c>
      <c r="P450" s="52">
        <f t="shared" si="23"/>
        <v>17080.43</v>
      </c>
      <c r="Q450" s="124">
        <f t="shared" si="2"/>
        <v>1.57</v>
      </c>
      <c r="R450" s="52">
        <f t="array" ref="R450">IFERROR(INDEX('Fund YTD Target Values'!$1:$1000, MATCH($C450,'Fund YTD Target Values'!$A:$A,0), MATCH($A450,'Fund YTD Target Values'!$1:$1,0)),0)</f>
        <v>18806.96269</v>
      </c>
      <c r="S450" s="52">
        <f>IFERROR(__xludf.DUMMYFUNCTION("IFERROR(sum(FILTER('Fund Data'!$V:$V, 'Fund Data'!$C:$C = $C450, 'Fund Data'!$A:$A &lt; $A450)),0) + IFERROR(sum(FILTER('Fund Data'!$V:$V, 'Fund Data'!$C:$C = $C450, 'Fund Data'!$A:$A = $A450, 'Fund Data'!$B:$B &lt;= $B450)),0)"),11540.75)</f>
        <v>11540.75</v>
      </c>
      <c r="T450" s="44"/>
      <c r="U450" s="44"/>
      <c r="V450" s="44">
        <f t="shared" si="3"/>
        <v>0</v>
      </c>
      <c r="W450" s="52">
        <f>IFERROR(__xludf.DUMMYFUNCTION("iFERROR((FILTER('Fund Data'!$Y:$Y, 'Fund Data'!$C:$C = $C450, 'Fund Data'!$A:$A = $A450 - 1, 'Fund Data'!$B:$B = 12) + FILTER('Fund Data'!$AA:$AA, 'Fund Data'!$C:$C = $C450, 'Fund Data'!$A:$A = $A450 - 1, 'Fund Data'!$B:$B = 12)) * (1 + AVERAGE(FILTER('In"&amp;"flation Data'!$C:$C,'Inflation Data'!$A:$A = ($A450 - 2)))) * 'Parameters and Distribution Sum'!$A$4,0)"),558.7349135648467)</f>
        <v>558.7349136</v>
      </c>
      <c r="X450" s="52">
        <f>IFERROR(__xludf.DUMMYFUNCTION("IFERROR((IFERROR(FILTER('Fund Data'!$P:$P,'Fund Data'!$C:$C = $C450,'Fund Data'!$A:$A = ($A450 - 2), 'Fund Data'!$B:$B = 12),0) - SUM(FILTER('Fund Data'!$V:$V, 'Fund Data'!$C:$C = $C450, 'Fund Data'!$A:$A = ($A450 - 2), 'Fund Data'!$B:$B &gt; 3)))  * 'Parame"&amp;"ters and Distribution Sum'!$B$4 * (1 - 'Parameters and Distribution Sum'!$A$4),0)"),234.46003500000003)</f>
        <v>234.460035</v>
      </c>
      <c r="Y450" s="52">
        <f t="shared" si="46"/>
        <v>793.1949486</v>
      </c>
      <c r="Z450" s="52">
        <f>IFERROR(__xludf.DUMMYFUNCTION("((IFERROR((SUM(FILTER('Fund Data'!$V:$V, 'Fund Data'!$C:$C = $C450, 'Fund Data'!$A:$A = $A450 - 1, 'Fund Data'!$B:$B &gt;= 4, 'Fund Data'!$B:$B &lt;= ($B450 + 5))) / 12) * ($B450 - 3) * 'Parameters and Distribution Sum'!$B$4, 0) + IF($B450 &gt;= 9, IFERROR(SUM(FIL"&amp;"TER('Fund Data'!$V:$V, 'Fund Data'!$C:$C = $C450, 'Fund Data'!$A:$A = $A450, 'Fund Data'!$B:$B &lt;= 3)) * 'Parameters and Distribution Sum'!$B$4, 0),0)))"),0.0)</f>
        <v>0</v>
      </c>
      <c r="AA450" s="44">
        <f>IFERROR(__xludf.DUMMYFUNCTION("IFERROR(((IFERROR(SUM(FILTER('Fund Data'!$V:$V, 'Fund Data'!$C:$C = $C450, 'Fund Data'!$A:$A = $A450 - 2, 'Fund Data'!$B:$B &gt;= 4)) * 'Parameters and Distribution Sum'!$B$4,0) + IFERROR(SUM(FILTER('Fund Data'!$V:$V, 'Fund Data'!$C:$C = $C450, 'Fund Data'!$"&amp;"A:$A = $A450 - 1, 'Fund Data'!$B:$B &lt;= 3)) * 'Parameters and Distribution Sum'!$B$4,0))),0)"),0.0)</f>
        <v>0</v>
      </c>
      <c r="AB450" s="44">
        <f t="shared" si="47"/>
        <v>0</v>
      </c>
      <c r="AC450" s="44">
        <f t="shared" si="48"/>
        <v>793.1949486</v>
      </c>
      <c r="AD450" s="44">
        <f t="shared" si="7"/>
        <v>793.1949486</v>
      </c>
      <c r="AE450" s="44"/>
    </row>
    <row r="451">
      <c r="A451" s="120">
        <v>2018.0</v>
      </c>
      <c r="B451" s="121">
        <v>12.0</v>
      </c>
      <c r="C451" s="122" t="s">
        <v>30</v>
      </c>
      <c r="D451" s="44"/>
      <c r="E451" s="123">
        <v>368.84</v>
      </c>
      <c r="F451" s="44"/>
      <c r="G451" s="44"/>
      <c r="H451" s="123">
        <v>-102.95</v>
      </c>
      <c r="I451" s="44"/>
      <c r="J451" s="44"/>
      <c r="K451" s="44"/>
      <c r="L451" s="123">
        <v>-1594.22</v>
      </c>
      <c r="M451" s="44"/>
      <c r="N451" s="44"/>
      <c r="O451" s="123">
        <v>16041.0</v>
      </c>
      <c r="P451" s="52">
        <f t="shared" si="23"/>
        <v>16039.08</v>
      </c>
      <c r="Q451" s="124">
        <f t="shared" si="2"/>
        <v>1.92</v>
      </c>
      <c r="R451" s="52">
        <f t="array" ref="R451">IFERROR(INDEX('Fund YTD Target Values'!$1:$1000, MATCH($C451,'Fund YTD Target Values'!$A:$A,0), MATCH($A451,'Fund YTD Target Values'!$1:$1,0)),0)</f>
        <v>18484.57102</v>
      </c>
      <c r="S451" s="52">
        <f>IFERROR(__xludf.DUMMYFUNCTION("IFERROR(sum(FILTER('Fund Data'!$V:$V, 'Fund Data'!$C:$C = $C451, 'Fund Data'!$A:$A &lt; $A451)),0) + IFERROR(sum(FILTER('Fund Data'!$V:$V, 'Fund Data'!$C:$C = $C451, 'Fund Data'!$A:$A = $A451, 'Fund Data'!$B:$B &lt;= $B451)),0)"),11540.75)</f>
        <v>11540.75</v>
      </c>
      <c r="T451" s="123">
        <v>10000.0</v>
      </c>
      <c r="U451" s="44">
        <f t="shared" ref="U451:U489" si="49">S451-T451</f>
        <v>1540.75</v>
      </c>
      <c r="V451" s="44">
        <f t="shared" si="3"/>
        <v>0</v>
      </c>
      <c r="W451" s="52"/>
      <c r="X451" s="52"/>
      <c r="Y451" s="52">
        <v>781.5334499999993</v>
      </c>
      <c r="Z451" s="123">
        <v>0.0</v>
      </c>
      <c r="AA451" s="123">
        <v>0.0</v>
      </c>
      <c r="AB451" s="44">
        <f t="shared" si="47"/>
        <v>0</v>
      </c>
      <c r="AC451" s="44">
        <f t="shared" si="48"/>
        <v>781.53345</v>
      </c>
      <c r="AD451" s="44">
        <f t="shared" si="7"/>
        <v>781.53345</v>
      </c>
      <c r="AE451" s="123">
        <v>0.0</v>
      </c>
    </row>
    <row r="452">
      <c r="A452" s="120">
        <v>2018.0</v>
      </c>
      <c r="B452" s="121">
        <v>11.0</v>
      </c>
      <c r="C452" s="122" t="s">
        <v>30</v>
      </c>
      <c r="D452" s="44"/>
      <c r="E452" s="123">
        <v>346.17</v>
      </c>
      <c r="F452" s="44"/>
      <c r="G452" s="44"/>
      <c r="H452" s="123">
        <v>-95.0</v>
      </c>
      <c r="I452" s="44"/>
      <c r="J452" s="44"/>
      <c r="K452" s="44"/>
      <c r="L452" s="123">
        <v>-660.48</v>
      </c>
      <c r="M452" s="44"/>
      <c r="N452" s="44"/>
      <c r="O452" s="123">
        <v>16960.0</v>
      </c>
      <c r="P452" s="52">
        <f t="shared" si="23"/>
        <v>16958.1</v>
      </c>
      <c r="Q452" s="124">
        <f t="shared" si="2"/>
        <v>1.9</v>
      </c>
      <c r="R452" s="52">
        <f t="array" ref="R452">IFERROR(INDEX('Fund YTD Target Values'!$1:$1000, MATCH($C452,'Fund YTD Target Values'!$A:$A,0), MATCH($A452,'Fund YTD Target Values'!$1:$1,0)),0)</f>
        <v>18484.57102</v>
      </c>
      <c r="S452" s="52">
        <f>IFERROR(__xludf.DUMMYFUNCTION("IFERROR(sum(FILTER('Fund Data'!$V:$V, 'Fund Data'!$C:$C = $C452, 'Fund Data'!$A:$A &lt; $A452)),0) + IFERROR(sum(FILTER('Fund Data'!$V:$V, 'Fund Data'!$C:$C = $C452, 'Fund Data'!$A:$A = $A452, 'Fund Data'!$B:$B &lt;= $B452)),0)"),11540.75)</f>
        <v>11540.75</v>
      </c>
      <c r="T452" s="123">
        <v>10000.0</v>
      </c>
      <c r="U452" s="44">
        <f t="shared" si="49"/>
        <v>1540.75</v>
      </c>
      <c r="V452" s="44">
        <f t="shared" si="3"/>
        <v>0</v>
      </c>
      <c r="W452" s="123"/>
      <c r="X452" s="123"/>
      <c r="Y452" s="123">
        <v>0.0</v>
      </c>
      <c r="Z452" s="123">
        <v>0.0</v>
      </c>
      <c r="AA452" s="123">
        <v>0.0</v>
      </c>
      <c r="AB452" s="123"/>
      <c r="AC452" s="123">
        <v>0.0</v>
      </c>
      <c r="AD452" s="44">
        <f t="shared" si="7"/>
        <v>0</v>
      </c>
      <c r="AE452" s="123">
        <v>0.0</v>
      </c>
    </row>
    <row r="453">
      <c r="A453" s="120">
        <v>2018.0</v>
      </c>
      <c r="B453" s="121">
        <v>10.0</v>
      </c>
      <c r="C453" s="135" t="s">
        <v>30</v>
      </c>
      <c r="D453" s="138"/>
      <c r="E453" s="137">
        <v>330.9</v>
      </c>
      <c r="F453" s="138"/>
      <c r="G453" s="138"/>
      <c r="H453" s="137">
        <v>-78.85</v>
      </c>
      <c r="I453" s="138"/>
      <c r="J453" s="138"/>
      <c r="K453" s="138"/>
      <c r="L453" s="136">
        <v>-804.77</v>
      </c>
      <c r="M453" s="44"/>
      <c r="N453" s="44"/>
      <c r="O453" s="136">
        <v>16816.0</v>
      </c>
      <c r="P453" s="52">
        <f t="shared" si="23"/>
        <v>16814.69</v>
      </c>
      <c r="Q453" s="124">
        <f t="shared" si="2"/>
        <v>1.31</v>
      </c>
      <c r="R453" s="52">
        <f t="array" ref="R453">IFERROR(INDEX('Fund YTD Target Values'!$1:$1000, MATCH($C453,'Fund YTD Target Values'!$A:$A,0), MATCH($A453,'Fund YTD Target Values'!$1:$1,0)),0)</f>
        <v>18484.57102</v>
      </c>
      <c r="S453" s="52">
        <f>IFERROR(__xludf.DUMMYFUNCTION("IFERROR(sum(FILTER('Fund Data'!$V:$V, 'Fund Data'!$C:$C = $C453, 'Fund Data'!$A:$A &lt; $A453)),0) + IFERROR(sum(FILTER('Fund Data'!$V:$V, 'Fund Data'!$C:$C = $C453, 'Fund Data'!$A:$A = $A453, 'Fund Data'!$B:$B &lt;= $B453)),0)"),11540.75)</f>
        <v>11540.75</v>
      </c>
      <c r="T453" s="123">
        <v>10000.0</v>
      </c>
      <c r="U453" s="44">
        <f t="shared" si="49"/>
        <v>1540.75</v>
      </c>
      <c r="V453" s="44">
        <f t="shared" si="3"/>
        <v>0</v>
      </c>
      <c r="W453" s="123"/>
      <c r="X453" s="123"/>
      <c r="Y453" s="123">
        <v>0.0</v>
      </c>
      <c r="Z453" s="123">
        <v>0.0</v>
      </c>
      <c r="AA453" s="123">
        <v>0.0</v>
      </c>
      <c r="AB453" s="123"/>
      <c r="AC453" s="123">
        <v>0.0</v>
      </c>
      <c r="AD453" s="44">
        <f t="shared" si="7"/>
        <v>0</v>
      </c>
      <c r="AE453" s="123">
        <v>0.0</v>
      </c>
    </row>
    <row r="454">
      <c r="A454" s="120">
        <v>2018.0</v>
      </c>
      <c r="B454" s="121">
        <v>9.0</v>
      </c>
      <c r="C454" s="122" t="s">
        <v>30</v>
      </c>
      <c r="D454" s="44"/>
      <c r="E454" s="123">
        <v>280.7</v>
      </c>
      <c r="F454" s="44"/>
      <c r="G454" s="44"/>
      <c r="H454" s="123">
        <v>-78.85</v>
      </c>
      <c r="I454" s="44"/>
      <c r="J454" s="44"/>
      <c r="K454" s="44"/>
      <c r="L454" s="123">
        <v>84.66</v>
      </c>
      <c r="M454" s="44"/>
      <c r="N454" s="44"/>
      <c r="O454" s="123">
        <v>17656.0</v>
      </c>
      <c r="P454" s="52">
        <f t="shared" si="23"/>
        <v>17653.92</v>
      </c>
      <c r="Q454" s="124">
        <f t="shared" si="2"/>
        <v>2.08</v>
      </c>
      <c r="R454" s="52">
        <f t="array" ref="R454">IFERROR(INDEX('Fund YTD Target Values'!$1:$1000, MATCH($C454,'Fund YTD Target Values'!$A:$A,0), MATCH($A454,'Fund YTD Target Values'!$1:$1,0)),0)</f>
        <v>18484.57102</v>
      </c>
      <c r="S454" s="52">
        <f>IFERROR(__xludf.DUMMYFUNCTION("IFERROR(sum(FILTER('Fund Data'!$V:$V, 'Fund Data'!$C:$C = $C454, 'Fund Data'!$A:$A &lt; $A454)),0) + IFERROR(sum(FILTER('Fund Data'!$V:$V, 'Fund Data'!$C:$C = $C454, 'Fund Data'!$A:$A = $A454, 'Fund Data'!$B:$B &lt;= $B454)),0)"),11540.75)</f>
        <v>11540.75</v>
      </c>
      <c r="T454" s="123">
        <v>10000.0</v>
      </c>
      <c r="U454" s="44">
        <f t="shared" si="49"/>
        <v>1540.75</v>
      </c>
      <c r="V454" s="44">
        <f t="shared" si="3"/>
        <v>0</v>
      </c>
      <c r="W454" s="123"/>
      <c r="X454" s="123"/>
      <c r="Y454" s="123">
        <v>0.0</v>
      </c>
      <c r="Z454" s="123">
        <v>0.0</v>
      </c>
      <c r="AA454" s="123">
        <v>0.0</v>
      </c>
      <c r="AB454" s="123"/>
      <c r="AC454" s="123">
        <v>0.0</v>
      </c>
      <c r="AD454" s="44">
        <f t="shared" si="7"/>
        <v>0</v>
      </c>
      <c r="AE454" s="123">
        <v>0.0</v>
      </c>
    </row>
    <row r="455">
      <c r="A455" s="120">
        <v>2018.0</v>
      </c>
      <c r="B455" s="121">
        <v>8.0</v>
      </c>
      <c r="C455" s="122" t="s">
        <v>30</v>
      </c>
      <c r="D455" s="44"/>
      <c r="E455" s="123">
        <v>265.43</v>
      </c>
      <c r="F455" s="44"/>
      <c r="G455" s="44"/>
      <c r="H455" s="123">
        <v>-69.99</v>
      </c>
      <c r="I455" s="44"/>
      <c r="J455" s="44"/>
      <c r="K455" s="44"/>
      <c r="L455" s="123">
        <v>148.21</v>
      </c>
      <c r="M455" s="44"/>
      <c r="N455" s="44"/>
      <c r="O455" s="123">
        <v>17713.0</v>
      </c>
      <c r="P455" s="52">
        <f t="shared" si="23"/>
        <v>17711.06</v>
      </c>
      <c r="Q455" s="124">
        <f t="shared" si="2"/>
        <v>1.94</v>
      </c>
      <c r="R455" s="52">
        <f t="array" ref="R455">IFERROR(INDEX('Fund YTD Target Values'!$1:$1000, MATCH($C455,'Fund YTD Target Values'!$A:$A,0), MATCH($A455,'Fund YTD Target Values'!$1:$1,0)),0)</f>
        <v>18484.57102</v>
      </c>
      <c r="S455" s="52">
        <f>IFERROR(__xludf.DUMMYFUNCTION("IFERROR(sum(FILTER('Fund Data'!$V:$V, 'Fund Data'!$C:$C = $C455, 'Fund Data'!$A:$A &lt; $A455)),0) + IFERROR(sum(FILTER('Fund Data'!$V:$V, 'Fund Data'!$C:$C = $C455, 'Fund Data'!$A:$A = $A455, 'Fund Data'!$B:$B &lt;= $B455)),0)"),11540.75)</f>
        <v>11540.75</v>
      </c>
      <c r="T455" s="123">
        <v>10000.0</v>
      </c>
      <c r="U455" s="44">
        <f t="shared" si="49"/>
        <v>1540.75</v>
      </c>
      <c r="V455" s="44">
        <f t="shared" si="3"/>
        <v>0</v>
      </c>
      <c r="W455" s="123"/>
      <c r="X455" s="123"/>
      <c r="Y455" s="123">
        <v>0.0</v>
      </c>
      <c r="Z455" s="123">
        <v>0.0</v>
      </c>
      <c r="AA455" s="123">
        <v>0.0</v>
      </c>
      <c r="AB455" s="123"/>
      <c r="AC455" s="123">
        <v>0.0</v>
      </c>
      <c r="AD455" s="44">
        <f t="shared" si="7"/>
        <v>0</v>
      </c>
      <c r="AE455" s="123">
        <v>0.0</v>
      </c>
    </row>
    <row r="456">
      <c r="A456" s="120">
        <v>2018.0</v>
      </c>
      <c r="B456" s="121">
        <v>7.0</v>
      </c>
      <c r="C456" s="122" t="s">
        <v>30</v>
      </c>
      <c r="D456" s="44"/>
      <c r="E456" s="123">
        <v>250.77</v>
      </c>
      <c r="F456" s="44"/>
      <c r="G456" s="44"/>
      <c r="H456" s="123">
        <v>-61.16</v>
      </c>
      <c r="I456" s="44"/>
      <c r="J456" s="44"/>
      <c r="K456" s="44"/>
      <c r="L456" s="123">
        <v>91.41</v>
      </c>
      <c r="M456" s="44"/>
      <c r="N456" s="44"/>
      <c r="O456" s="123">
        <v>17650.0</v>
      </c>
      <c r="P456" s="52">
        <f t="shared" si="23"/>
        <v>17648.43</v>
      </c>
      <c r="Q456" s="124">
        <f t="shared" si="2"/>
        <v>1.57</v>
      </c>
      <c r="R456" s="52">
        <f t="array" ref="R456">IFERROR(INDEX('Fund YTD Target Values'!$1:$1000, MATCH($C456,'Fund YTD Target Values'!$A:$A,0), MATCH($A456,'Fund YTD Target Values'!$1:$1,0)),0)</f>
        <v>18484.57102</v>
      </c>
      <c r="S456" s="52">
        <f>IFERROR(__xludf.DUMMYFUNCTION("IFERROR(sum(FILTER('Fund Data'!$V:$V, 'Fund Data'!$C:$C = $C456, 'Fund Data'!$A:$A &lt; $A456)),0) + IFERROR(sum(FILTER('Fund Data'!$V:$V, 'Fund Data'!$C:$C = $C456, 'Fund Data'!$A:$A = $A456, 'Fund Data'!$B:$B &lt;= $B456)),0)"),11540.75)</f>
        <v>11540.75</v>
      </c>
      <c r="T456" s="123">
        <v>10000.0</v>
      </c>
      <c r="U456" s="44">
        <f t="shared" si="49"/>
        <v>1540.75</v>
      </c>
      <c r="V456" s="44">
        <f t="shared" si="3"/>
        <v>0</v>
      </c>
      <c r="W456" s="123"/>
      <c r="X456" s="123"/>
      <c r="Y456" s="123">
        <v>0.0</v>
      </c>
      <c r="Z456" s="123">
        <v>0.0</v>
      </c>
      <c r="AA456" s="123">
        <v>0.0</v>
      </c>
      <c r="AB456" s="123"/>
      <c r="AC456" s="123">
        <v>0.0</v>
      </c>
      <c r="AD456" s="44">
        <f t="shared" si="7"/>
        <v>0</v>
      </c>
      <c r="AE456" s="123">
        <v>0.0</v>
      </c>
    </row>
    <row r="457">
      <c r="A457" s="120">
        <v>2018.0</v>
      </c>
      <c r="B457" s="121">
        <v>6.0</v>
      </c>
      <c r="C457" s="122" t="s">
        <v>30</v>
      </c>
      <c r="D457" s="44"/>
      <c r="E457" s="123">
        <v>211.58</v>
      </c>
      <c r="F457" s="44"/>
      <c r="G457" s="44"/>
      <c r="H457" s="123">
        <v>-52.49</v>
      </c>
      <c r="I457" s="44"/>
      <c r="J457" s="44"/>
      <c r="K457" s="44"/>
      <c r="L457" s="123">
        <v>-192.47</v>
      </c>
      <c r="M457" s="44"/>
      <c r="N457" s="44"/>
      <c r="O457" s="123">
        <v>17336.0</v>
      </c>
      <c r="P457" s="52">
        <f t="shared" si="23"/>
        <v>17334.03</v>
      </c>
      <c r="Q457" s="124">
        <f t="shared" si="2"/>
        <v>1.97</v>
      </c>
      <c r="R457" s="52">
        <f t="array" ref="R457">IFERROR(INDEX('Fund YTD Target Values'!$1:$1000, MATCH($C457,'Fund YTD Target Values'!$A:$A,0), MATCH($A457,'Fund YTD Target Values'!$1:$1,0)),0)</f>
        <v>18484.57102</v>
      </c>
      <c r="S457" s="52">
        <f>IFERROR(__xludf.DUMMYFUNCTION("IFERROR(sum(FILTER('Fund Data'!$V:$V, 'Fund Data'!$C:$C = $C457, 'Fund Data'!$A:$A &lt; $A457)),0) + IFERROR(sum(FILTER('Fund Data'!$V:$V, 'Fund Data'!$C:$C = $C457, 'Fund Data'!$A:$A = $A457, 'Fund Data'!$B:$B &lt;= $B457)),0)"),11540.75)</f>
        <v>11540.75</v>
      </c>
      <c r="T457" s="123">
        <v>10000.0</v>
      </c>
      <c r="U457" s="44">
        <f t="shared" si="49"/>
        <v>1540.75</v>
      </c>
      <c r="V457" s="44">
        <f t="shared" si="3"/>
        <v>0</v>
      </c>
      <c r="W457" s="123"/>
      <c r="X457" s="123"/>
      <c r="Y457" s="123">
        <v>0.0</v>
      </c>
      <c r="Z457" s="123">
        <v>0.0</v>
      </c>
      <c r="AA457" s="123">
        <v>0.0</v>
      </c>
      <c r="AB457" s="123"/>
      <c r="AC457" s="123">
        <v>0.0</v>
      </c>
      <c r="AD457" s="44">
        <f t="shared" si="7"/>
        <v>0</v>
      </c>
      <c r="AE457" s="123">
        <v>0.0</v>
      </c>
    </row>
    <row r="458">
      <c r="A458" s="120">
        <v>2018.0</v>
      </c>
      <c r="B458" s="121">
        <v>5.0</v>
      </c>
      <c r="C458" s="122" t="s">
        <v>30</v>
      </c>
      <c r="D458" s="44"/>
      <c r="E458" s="123">
        <v>186.78</v>
      </c>
      <c r="F458" s="44"/>
      <c r="G458" s="44"/>
      <c r="H458" s="123">
        <v>-43.77</v>
      </c>
      <c r="I458" s="44"/>
      <c r="J458" s="44"/>
      <c r="K458" s="44"/>
      <c r="L458" s="123">
        <v>-63.18</v>
      </c>
      <c r="M458" s="44"/>
      <c r="N458" s="44"/>
      <c r="O458" s="123">
        <v>17449.0</v>
      </c>
      <c r="P458" s="52">
        <f t="shared" si="23"/>
        <v>17447.24</v>
      </c>
      <c r="Q458" s="124">
        <f t="shared" si="2"/>
        <v>1.76</v>
      </c>
      <c r="R458" s="52">
        <f t="array" ref="R458">IFERROR(INDEX('Fund YTD Target Values'!$1:$1000, MATCH($C458,'Fund YTD Target Values'!$A:$A,0), MATCH($A458,'Fund YTD Target Values'!$1:$1,0)),0)</f>
        <v>18484.57102</v>
      </c>
      <c r="S458" s="52">
        <f>IFERROR(__xludf.DUMMYFUNCTION("IFERROR(sum(FILTER('Fund Data'!$V:$V, 'Fund Data'!$C:$C = $C458, 'Fund Data'!$A:$A &lt; $A458)),0) + IFERROR(sum(FILTER('Fund Data'!$V:$V, 'Fund Data'!$C:$C = $C458, 'Fund Data'!$A:$A = $A458, 'Fund Data'!$B:$B &lt;= $B458)),0)"),11540.75)</f>
        <v>11540.75</v>
      </c>
      <c r="T458" s="123">
        <v>10000.0</v>
      </c>
      <c r="U458" s="44">
        <f t="shared" si="49"/>
        <v>1540.75</v>
      </c>
      <c r="V458" s="44">
        <f t="shared" si="3"/>
        <v>0</v>
      </c>
      <c r="W458" s="123"/>
      <c r="X458" s="123"/>
      <c r="Y458" s="123">
        <v>0.0</v>
      </c>
      <c r="Z458" s="123">
        <v>0.0</v>
      </c>
      <c r="AA458" s="123">
        <v>0.0</v>
      </c>
      <c r="AB458" s="123"/>
      <c r="AC458" s="123">
        <v>0.0</v>
      </c>
      <c r="AD458" s="44">
        <f t="shared" si="7"/>
        <v>0</v>
      </c>
      <c r="AE458" s="123">
        <v>0.0</v>
      </c>
    </row>
    <row r="459">
      <c r="A459" s="120">
        <v>2018.0</v>
      </c>
      <c r="B459" s="121">
        <v>4.0</v>
      </c>
      <c r="C459" s="122" t="s">
        <v>30</v>
      </c>
      <c r="D459" s="44"/>
      <c r="E459" s="123">
        <v>173.04</v>
      </c>
      <c r="F459" s="44"/>
      <c r="G459" s="44"/>
      <c r="H459" s="123">
        <v>-35.06</v>
      </c>
      <c r="I459" s="44"/>
      <c r="J459" s="44"/>
      <c r="K459" s="44"/>
      <c r="L459" s="123">
        <v>-99.71</v>
      </c>
      <c r="M459" s="44"/>
      <c r="N459" s="44"/>
      <c r="O459" s="123">
        <v>17407.0</v>
      </c>
      <c r="P459" s="52">
        <f t="shared" si="23"/>
        <v>17405.68</v>
      </c>
      <c r="Q459" s="124">
        <f t="shared" si="2"/>
        <v>1.32</v>
      </c>
      <c r="R459" s="52">
        <f t="array" ref="R459">IFERROR(INDEX('Fund YTD Target Values'!$1:$1000, MATCH($C459,'Fund YTD Target Values'!$A:$A,0), MATCH($A459,'Fund YTD Target Values'!$1:$1,0)),0)</f>
        <v>18484.57102</v>
      </c>
      <c r="S459" s="52">
        <f>IFERROR(__xludf.DUMMYFUNCTION("IFERROR(sum(FILTER('Fund Data'!$V:$V, 'Fund Data'!$C:$C = $C459, 'Fund Data'!$A:$A &lt; $A459)),0) + IFERROR(sum(FILTER('Fund Data'!$V:$V, 'Fund Data'!$C:$C = $C459, 'Fund Data'!$A:$A = $A459, 'Fund Data'!$B:$B &lt;= $B459)),0)"),11540.75)</f>
        <v>11540.75</v>
      </c>
      <c r="T459" s="123">
        <v>10000.0</v>
      </c>
      <c r="U459" s="44">
        <f t="shared" si="49"/>
        <v>1540.75</v>
      </c>
      <c r="V459" s="44">
        <f t="shared" si="3"/>
        <v>0</v>
      </c>
      <c r="W459" s="123"/>
      <c r="X459" s="123"/>
      <c r="Y459" s="123">
        <v>0.0</v>
      </c>
      <c r="Z459" s="123">
        <v>0.0</v>
      </c>
      <c r="AA459" s="123">
        <v>0.0</v>
      </c>
      <c r="AB459" s="123"/>
      <c r="AC459" s="123">
        <v>0.0</v>
      </c>
      <c r="AD459" s="44">
        <f t="shared" si="7"/>
        <v>0</v>
      </c>
      <c r="AE459" s="123">
        <v>0.0</v>
      </c>
    </row>
    <row r="460">
      <c r="A460" s="120">
        <v>2018.0</v>
      </c>
      <c r="B460" s="121">
        <v>3.0</v>
      </c>
      <c r="C460" s="122" t="s">
        <v>30</v>
      </c>
      <c r="D460" s="44"/>
      <c r="E460" s="123">
        <v>131.14</v>
      </c>
      <c r="F460" s="44"/>
      <c r="G460" s="44"/>
      <c r="H460" s="123">
        <v>-26.38</v>
      </c>
      <c r="I460" s="44"/>
      <c r="J460" s="44"/>
      <c r="K460" s="44"/>
      <c r="L460" s="123">
        <v>-113.91</v>
      </c>
      <c r="M460" s="44"/>
      <c r="N460" s="44"/>
      <c r="O460" s="123">
        <v>17360.0</v>
      </c>
      <c r="P460" s="52">
        <f t="shared" si="23"/>
        <v>17358.26</v>
      </c>
      <c r="Q460" s="124">
        <f t="shared" si="2"/>
        <v>1.74</v>
      </c>
      <c r="R460" s="52">
        <f t="array" ref="R460">IFERROR(INDEX('Fund YTD Target Values'!$1:$1000, MATCH($C460,'Fund YTD Target Values'!$A:$A,0), MATCH($A460,'Fund YTD Target Values'!$1:$1,0)),0)</f>
        <v>18484.57102</v>
      </c>
      <c r="S460" s="52">
        <f>IFERROR(__xludf.DUMMYFUNCTION("IFERROR(sum(FILTER('Fund Data'!$V:$V, 'Fund Data'!$C:$C = $C460, 'Fund Data'!$A:$A &lt; $A460)),0) + IFERROR(sum(FILTER('Fund Data'!$V:$V, 'Fund Data'!$C:$C = $C460, 'Fund Data'!$A:$A = $A460, 'Fund Data'!$B:$B &lt;= $B460)),0)"),11540.75)</f>
        <v>11540.75</v>
      </c>
      <c r="T460" s="123">
        <v>10000.0</v>
      </c>
      <c r="U460" s="44">
        <f t="shared" si="49"/>
        <v>1540.75</v>
      </c>
      <c r="V460" s="44">
        <f t="shared" si="3"/>
        <v>0</v>
      </c>
      <c r="W460" s="123"/>
      <c r="X460" s="123"/>
      <c r="Y460" s="123">
        <v>0.0</v>
      </c>
      <c r="Z460" s="123">
        <v>0.0</v>
      </c>
      <c r="AA460" s="123">
        <v>0.0</v>
      </c>
      <c r="AB460" s="123"/>
      <c r="AC460" s="123">
        <v>0.0</v>
      </c>
      <c r="AD460" s="44">
        <f t="shared" si="7"/>
        <v>0</v>
      </c>
      <c r="AE460" s="123">
        <v>0.0</v>
      </c>
    </row>
    <row r="461">
      <c r="A461" s="120">
        <v>2018.0</v>
      </c>
      <c r="B461" s="121">
        <v>2.0</v>
      </c>
      <c r="C461" s="122" t="s">
        <v>30</v>
      </c>
      <c r="D461" s="44"/>
      <c r="E461" s="123">
        <v>115.23</v>
      </c>
      <c r="F461" s="44"/>
      <c r="G461" s="44"/>
      <c r="H461" s="123">
        <v>-41.6</v>
      </c>
      <c r="I461" s="44"/>
      <c r="J461" s="44"/>
      <c r="K461" s="44"/>
      <c r="L461" s="123">
        <v>7.02</v>
      </c>
      <c r="M461" s="44"/>
      <c r="N461" s="44"/>
      <c r="O461" s="123">
        <v>17450.0</v>
      </c>
      <c r="P461" s="52">
        <f t="shared" si="23"/>
        <v>17448.06</v>
      </c>
      <c r="Q461" s="124">
        <f t="shared" si="2"/>
        <v>1.94</v>
      </c>
      <c r="R461" s="52">
        <f t="array" ref="R461">IFERROR(INDEX('Fund YTD Target Values'!$1:$1000, MATCH($C461,'Fund YTD Target Values'!$A:$A,0), MATCH($A461,'Fund YTD Target Values'!$1:$1,0)),0)</f>
        <v>18484.57102</v>
      </c>
      <c r="S461" s="52">
        <f>IFERROR(__xludf.DUMMYFUNCTION("IFERROR(sum(FILTER('Fund Data'!$V:$V, 'Fund Data'!$C:$C = $C461, 'Fund Data'!$A:$A &lt; $A461)),0) + IFERROR(sum(FILTER('Fund Data'!$V:$V, 'Fund Data'!$C:$C = $C461, 'Fund Data'!$A:$A = $A461, 'Fund Data'!$B:$B &lt;= $B461)),0)"),11540.75)</f>
        <v>11540.75</v>
      </c>
      <c r="T461" s="123">
        <v>10000.0</v>
      </c>
      <c r="U461" s="44">
        <f t="shared" si="49"/>
        <v>1540.75</v>
      </c>
      <c r="V461" s="44">
        <f t="shared" si="3"/>
        <v>0</v>
      </c>
      <c r="W461" s="123"/>
      <c r="X461" s="123"/>
      <c r="Y461" s="123">
        <v>0.0</v>
      </c>
      <c r="Z461" s="123">
        <v>0.0</v>
      </c>
      <c r="AA461" s="123">
        <v>0.0</v>
      </c>
      <c r="AB461" s="123"/>
      <c r="AC461" s="123">
        <v>0.0</v>
      </c>
      <c r="AD461" s="44">
        <f t="shared" si="7"/>
        <v>0</v>
      </c>
      <c r="AE461" s="123">
        <v>0.0</v>
      </c>
    </row>
    <row r="462">
      <c r="A462" s="120">
        <v>2018.0</v>
      </c>
      <c r="B462" s="121">
        <v>1.0</v>
      </c>
      <c r="C462" s="122" t="s">
        <v>30</v>
      </c>
      <c r="D462" s="44"/>
      <c r="E462" s="123">
        <v>102.04</v>
      </c>
      <c r="F462" s="44"/>
      <c r="G462" s="44"/>
      <c r="H462" s="123">
        <v>-32.62</v>
      </c>
      <c r="I462" s="44"/>
      <c r="J462" s="44"/>
      <c r="K462" s="44"/>
      <c r="L462" s="123">
        <v>510.31</v>
      </c>
      <c r="M462" s="44"/>
      <c r="N462" s="44"/>
      <c r="O462" s="123">
        <v>17949.0</v>
      </c>
      <c r="P462" s="52">
        <f t="shared" si="23"/>
        <v>17947.14</v>
      </c>
      <c r="Q462" s="124">
        <f t="shared" si="2"/>
        <v>1.86</v>
      </c>
      <c r="R462" s="52">
        <f t="array" ref="R462">IFERROR(INDEX('Fund YTD Target Values'!$1:$1000, MATCH($C462,'Fund YTD Target Values'!$A:$A,0), MATCH($A462,'Fund YTD Target Values'!$1:$1,0)),0)</f>
        <v>18484.57102</v>
      </c>
      <c r="S462" s="52">
        <f>IFERROR(__xludf.DUMMYFUNCTION("IFERROR(sum(FILTER('Fund Data'!$V:$V, 'Fund Data'!$C:$C = $C462, 'Fund Data'!$A:$A &lt; $A462)),0) + IFERROR(sum(FILTER('Fund Data'!$V:$V, 'Fund Data'!$C:$C = $C462, 'Fund Data'!$A:$A = $A462, 'Fund Data'!$B:$B &lt;= $B462)),0)"),11540.75)</f>
        <v>11540.75</v>
      </c>
      <c r="T462" s="123">
        <v>10000.0</v>
      </c>
      <c r="U462" s="44">
        <f t="shared" si="49"/>
        <v>1540.75</v>
      </c>
      <c r="V462" s="44">
        <f t="shared" si="3"/>
        <v>0</v>
      </c>
      <c r="W462" s="123"/>
      <c r="X462" s="123"/>
      <c r="Y462" s="123">
        <v>0.0</v>
      </c>
      <c r="Z462" s="123">
        <v>0.0</v>
      </c>
      <c r="AA462" s="123">
        <v>0.0</v>
      </c>
      <c r="AB462" s="123"/>
      <c r="AC462" s="123">
        <v>0.0</v>
      </c>
      <c r="AD462" s="44">
        <f t="shared" si="7"/>
        <v>0</v>
      </c>
      <c r="AE462" s="123">
        <v>0.0</v>
      </c>
    </row>
    <row r="463">
      <c r="A463" s="120">
        <v>2017.0</v>
      </c>
      <c r="B463" s="121">
        <v>12.0</v>
      </c>
      <c r="C463" s="122" t="s">
        <v>30</v>
      </c>
      <c r="D463" s="44"/>
      <c r="E463" s="123">
        <v>345.06</v>
      </c>
      <c r="F463" s="44"/>
      <c r="G463" s="123"/>
      <c r="H463" s="123">
        <v>-97.78</v>
      </c>
      <c r="I463" s="44"/>
      <c r="J463" s="44"/>
      <c r="K463" s="44"/>
      <c r="L463" s="123">
        <v>1922.84</v>
      </c>
      <c r="M463" s="44"/>
      <c r="N463" s="44"/>
      <c r="O463" s="123">
        <v>17369.0</v>
      </c>
      <c r="P463" s="52">
        <f t="shared" si="23"/>
        <v>17367.41</v>
      </c>
      <c r="Q463" s="124">
        <f t="shared" si="2"/>
        <v>1.59</v>
      </c>
      <c r="R463" s="52">
        <f t="array" ref="R463">IFERROR(INDEX('Fund YTD Target Values'!$1:$1000, MATCH($C463,'Fund YTD Target Values'!$A:$A,0), MATCH($A463,'Fund YTD Target Values'!$1:$1,0)),0)</f>
        <v>18043.81747</v>
      </c>
      <c r="S463" s="52">
        <f>IFERROR(__xludf.DUMMYFUNCTION("IFERROR(sum(FILTER('Fund Data'!$V:$V, 'Fund Data'!$C:$C = $C463, 'Fund Data'!$A:$A &lt; $A463)),0) + IFERROR(sum(FILTER('Fund Data'!$V:$V, 'Fund Data'!$C:$C = $C463, 'Fund Data'!$A:$A = $A463, 'Fund Data'!$B:$B &lt;= $B463)),0)"),11540.75)</f>
        <v>11540.75</v>
      </c>
      <c r="T463" s="123">
        <v>10000.0</v>
      </c>
      <c r="U463" s="44">
        <f t="shared" si="49"/>
        <v>1540.75</v>
      </c>
      <c r="V463" s="44">
        <f t="shared" si="3"/>
        <v>0</v>
      </c>
      <c r="W463" s="123"/>
      <c r="X463" s="123"/>
      <c r="Y463" s="123">
        <v>0.0</v>
      </c>
      <c r="Z463" s="123">
        <v>0.0</v>
      </c>
      <c r="AA463" s="123">
        <v>0.0</v>
      </c>
      <c r="AB463" s="123"/>
      <c r="AC463" s="123">
        <v>0.0</v>
      </c>
      <c r="AD463" s="44">
        <f t="shared" si="7"/>
        <v>0</v>
      </c>
      <c r="AE463" s="123">
        <v>0.0</v>
      </c>
    </row>
    <row r="464">
      <c r="A464" s="120">
        <v>2017.0</v>
      </c>
      <c r="B464" s="121">
        <v>11.0</v>
      </c>
      <c r="C464" s="122" t="s">
        <v>30</v>
      </c>
      <c r="D464" s="44"/>
      <c r="E464" s="123">
        <v>321.34</v>
      </c>
      <c r="F464" s="44"/>
      <c r="G464" s="44"/>
      <c r="H464" s="123">
        <v>-89.14</v>
      </c>
      <c r="I464" s="44"/>
      <c r="J464" s="44"/>
      <c r="K464" s="44"/>
      <c r="L464" s="123">
        <v>1844.28</v>
      </c>
      <c r="M464" s="44"/>
      <c r="N464" s="44"/>
      <c r="O464" s="123">
        <v>17275.0</v>
      </c>
      <c r="P464" s="52">
        <f t="shared" si="23"/>
        <v>17273.77</v>
      </c>
      <c r="Q464" s="124">
        <f t="shared" si="2"/>
        <v>1.23</v>
      </c>
      <c r="R464" s="52">
        <f t="array" ref="R464">IFERROR(INDEX('Fund YTD Target Values'!$1:$1000, MATCH($C464,'Fund YTD Target Values'!$A:$A,0), MATCH($A464,'Fund YTD Target Values'!$1:$1,0)),0)</f>
        <v>18043.81747</v>
      </c>
      <c r="S464" s="52">
        <f>IFERROR(__xludf.DUMMYFUNCTION("IFERROR(sum(FILTER('Fund Data'!$V:$V, 'Fund Data'!$C:$C = $C464, 'Fund Data'!$A:$A &lt; $A464)),0) + IFERROR(sum(FILTER('Fund Data'!$V:$V, 'Fund Data'!$C:$C = $C464, 'Fund Data'!$A:$A = $A464, 'Fund Data'!$B:$B &lt;= $B464)),0)"),11540.75)</f>
        <v>11540.75</v>
      </c>
      <c r="T464" s="123">
        <v>10000.0</v>
      </c>
      <c r="U464" s="44">
        <f t="shared" si="49"/>
        <v>1540.75</v>
      </c>
      <c r="V464" s="44">
        <f t="shared" si="3"/>
        <v>0</v>
      </c>
      <c r="W464" s="123"/>
      <c r="X464" s="123"/>
      <c r="Y464" s="123">
        <v>0.0</v>
      </c>
      <c r="Z464" s="123">
        <v>0.0</v>
      </c>
      <c r="AA464" s="123">
        <v>0.0</v>
      </c>
      <c r="AB464" s="123"/>
      <c r="AC464" s="123">
        <v>0.0</v>
      </c>
      <c r="AD464" s="44">
        <f t="shared" si="7"/>
        <v>0</v>
      </c>
      <c r="AE464" s="123">
        <v>0.0</v>
      </c>
    </row>
    <row r="465">
      <c r="A465" s="120">
        <v>2017.0</v>
      </c>
      <c r="B465" s="121">
        <v>10.0</v>
      </c>
      <c r="C465" s="122" t="s">
        <v>30</v>
      </c>
      <c r="D465" s="44"/>
      <c r="E465" s="123">
        <v>309.71</v>
      </c>
      <c r="F465" s="44"/>
      <c r="G465" s="44"/>
      <c r="H465" s="123">
        <v>-80.6</v>
      </c>
      <c r="I465" s="44"/>
      <c r="J465" s="44"/>
      <c r="K465" s="44"/>
      <c r="L465" s="123">
        <v>1662.67</v>
      </c>
      <c r="M465" s="44"/>
      <c r="N465" s="44"/>
      <c r="O465" s="123">
        <v>17091.0</v>
      </c>
      <c r="P465" s="52">
        <f t="shared" si="23"/>
        <v>17089.07</v>
      </c>
      <c r="Q465" s="124">
        <f t="shared" si="2"/>
        <v>1.93</v>
      </c>
      <c r="R465" s="52">
        <f t="array" ref="R465">IFERROR(INDEX('Fund YTD Target Values'!$1:$1000, MATCH($C465,'Fund YTD Target Values'!$A:$A,0), MATCH($A465,'Fund YTD Target Values'!$1:$1,0)),0)</f>
        <v>18043.81747</v>
      </c>
      <c r="S465" s="52">
        <f>IFERROR(__xludf.DUMMYFUNCTION("IFERROR(sum(FILTER('Fund Data'!$V:$V, 'Fund Data'!$C:$C = $C465, 'Fund Data'!$A:$A &lt; $A465)),0) + IFERROR(sum(FILTER('Fund Data'!$V:$V, 'Fund Data'!$C:$C = $C465, 'Fund Data'!$A:$A = $A465, 'Fund Data'!$B:$B &lt;= $B465)),0)"),11540.75)</f>
        <v>11540.75</v>
      </c>
      <c r="T465" s="123">
        <v>10000.0</v>
      </c>
      <c r="U465" s="44">
        <f t="shared" si="49"/>
        <v>1540.75</v>
      </c>
      <c r="V465" s="44">
        <f t="shared" si="3"/>
        <v>0</v>
      </c>
      <c r="W465" s="123"/>
      <c r="X465" s="123"/>
      <c r="Y465" s="123">
        <v>0.0</v>
      </c>
      <c r="Z465" s="123">
        <v>0.0</v>
      </c>
      <c r="AA465" s="123">
        <v>0.0</v>
      </c>
      <c r="AB465" s="123"/>
      <c r="AC465" s="123">
        <v>0.0</v>
      </c>
      <c r="AD465" s="44">
        <f t="shared" si="7"/>
        <v>0</v>
      </c>
      <c r="AE465" s="123">
        <v>0.0</v>
      </c>
    </row>
    <row r="466">
      <c r="A466" s="120">
        <v>2017.0</v>
      </c>
      <c r="B466" s="121">
        <v>9.0</v>
      </c>
      <c r="C466" s="122" t="s">
        <v>30</v>
      </c>
      <c r="D466" s="44"/>
      <c r="E466" s="123">
        <v>275.94</v>
      </c>
      <c r="F466" s="44"/>
      <c r="G466" s="44"/>
      <c r="H466" s="123">
        <v>-72.17</v>
      </c>
      <c r="I466" s="44"/>
      <c r="J466" s="44"/>
      <c r="K466" s="44"/>
      <c r="L466" s="123">
        <v>1456.67</v>
      </c>
      <c r="M466" s="44"/>
      <c r="N466" s="44"/>
      <c r="O466" s="123">
        <v>16859.0</v>
      </c>
      <c r="P466" s="52">
        <f t="shared" si="23"/>
        <v>16857.73</v>
      </c>
      <c r="Q466" s="124">
        <f t="shared" si="2"/>
        <v>1.27</v>
      </c>
      <c r="R466" s="52">
        <f t="array" ref="R466">IFERROR(INDEX('Fund YTD Target Values'!$1:$1000, MATCH($C466,'Fund YTD Target Values'!$A:$A,0), MATCH($A466,'Fund YTD Target Values'!$1:$1,0)),0)</f>
        <v>18043.81747</v>
      </c>
      <c r="S466" s="52">
        <f>IFERROR(__xludf.DUMMYFUNCTION("IFERROR(sum(FILTER('Fund Data'!$V:$V, 'Fund Data'!$C:$C = $C466, 'Fund Data'!$A:$A &lt; $A466)),0) + IFERROR(sum(FILTER('Fund Data'!$V:$V, 'Fund Data'!$C:$C = $C466, 'Fund Data'!$A:$A = $A466, 'Fund Data'!$B:$B &lt;= $B466)),0)"),11540.75)</f>
        <v>11540.75</v>
      </c>
      <c r="T466" s="123">
        <v>10000.0</v>
      </c>
      <c r="U466" s="44">
        <f t="shared" si="49"/>
        <v>1540.75</v>
      </c>
      <c r="V466" s="44">
        <f t="shared" si="3"/>
        <v>0</v>
      </c>
      <c r="W466" s="123"/>
      <c r="X466" s="123"/>
      <c r="Y466" s="123">
        <v>0.0</v>
      </c>
      <c r="Z466" s="123">
        <v>0.0</v>
      </c>
      <c r="AA466" s="123">
        <v>0.0</v>
      </c>
      <c r="AB466" s="123"/>
      <c r="AC466" s="123">
        <v>0.0</v>
      </c>
      <c r="AD466" s="44">
        <f t="shared" si="7"/>
        <v>0</v>
      </c>
      <c r="AE466" s="123">
        <v>0.0</v>
      </c>
    </row>
    <row r="467">
      <c r="A467" s="120">
        <v>2017.0</v>
      </c>
      <c r="B467" s="121">
        <v>8.0</v>
      </c>
      <c r="C467" s="122" t="s">
        <v>30</v>
      </c>
      <c r="D467" s="44"/>
      <c r="E467" s="123">
        <v>255.43</v>
      </c>
      <c r="F467" s="44"/>
      <c r="G467" s="44"/>
      <c r="H467" s="123">
        <v>-63.82</v>
      </c>
      <c r="I467" s="44"/>
      <c r="J467" s="44"/>
      <c r="K467" s="44"/>
      <c r="L467" s="123">
        <v>1300.96</v>
      </c>
      <c r="M467" s="44"/>
      <c r="N467" s="44"/>
      <c r="O467" s="123">
        <v>16691.0</v>
      </c>
      <c r="P467" s="52">
        <f t="shared" si="23"/>
        <v>16689.86</v>
      </c>
      <c r="Q467" s="124">
        <f t="shared" si="2"/>
        <v>1.14</v>
      </c>
      <c r="R467" s="52">
        <f t="array" ref="R467">IFERROR(INDEX('Fund YTD Target Values'!$1:$1000, MATCH($C467,'Fund YTD Target Values'!$A:$A,0), MATCH($A467,'Fund YTD Target Values'!$1:$1,0)),0)</f>
        <v>18043.81747</v>
      </c>
      <c r="S467" s="52">
        <f>IFERROR(__xludf.DUMMYFUNCTION("IFERROR(sum(FILTER('Fund Data'!$V:$V, 'Fund Data'!$C:$C = $C467, 'Fund Data'!$A:$A &lt; $A467)),0) + IFERROR(sum(FILTER('Fund Data'!$V:$V, 'Fund Data'!$C:$C = $C467, 'Fund Data'!$A:$A = $A467, 'Fund Data'!$B:$B &lt;= $B467)),0)"),11540.75)</f>
        <v>11540.75</v>
      </c>
      <c r="T467" s="123">
        <v>10000.0</v>
      </c>
      <c r="U467" s="44">
        <f t="shared" si="49"/>
        <v>1540.75</v>
      </c>
      <c r="V467" s="44">
        <f t="shared" si="3"/>
        <v>0</v>
      </c>
      <c r="W467" s="123"/>
      <c r="X467" s="123"/>
      <c r="Y467" s="123">
        <v>0.0</v>
      </c>
      <c r="Z467" s="123">
        <v>0.0</v>
      </c>
      <c r="AA467" s="123">
        <v>0.0</v>
      </c>
      <c r="AB467" s="123"/>
      <c r="AC467" s="123">
        <v>0.0</v>
      </c>
      <c r="AD467" s="44">
        <f t="shared" si="7"/>
        <v>0</v>
      </c>
      <c r="AE467" s="123">
        <v>0.0</v>
      </c>
    </row>
    <row r="468">
      <c r="A468" s="120">
        <v>2017.0</v>
      </c>
      <c r="B468" s="121">
        <v>7.0</v>
      </c>
      <c r="C468" s="122" t="s">
        <v>30</v>
      </c>
      <c r="D468" s="44"/>
      <c r="E468" s="123">
        <v>244.02</v>
      </c>
      <c r="F468" s="44"/>
      <c r="G468" s="44"/>
      <c r="H468" s="123">
        <v>-55.5</v>
      </c>
      <c r="I468" s="44"/>
      <c r="J468" s="44"/>
      <c r="K468" s="44"/>
      <c r="L468" s="123">
        <v>1259.95</v>
      </c>
      <c r="M468" s="44"/>
      <c r="N468" s="44"/>
      <c r="O468" s="123">
        <v>16647.0</v>
      </c>
      <c r="P468" s="52">
        <f t="shared" si="23"/>
        <v>16645.76</v>
      </c>
      <c r="Q468" s="124">
        <f t="shared" si="2"/>
        <v>1.24</v>
      </c>
      <c r="R468" s="52">
        <f t="array" ref="R468">IFERROR(INDEX('Fund YTD Target Values'!$1:$1000, MATCH($C468,'Fund YTD Target Values'!$A:$A,0), MATCH($A468,'Fund YTD Target Values'!$1:$1,0)),0)</f>
        <v>18043.81747</v>
      </c>
      <c r="S468" s="52">
        <f>IFERROR(__xludf.DUMMYFUNCTION("IFERROR(sum(FILTER('Fund Data'!$V:$V, 'Fund Data'!$C:$C = $C468, 'Fund Data'!$A:$A &lt; $A468)),0) + IFERROR(sum(FILTER('Fund Data'!$V:$V, 'Fund Data'!$C:$C = $C468, 'Fund Data'!$A:$A = $A468, 'Fund Data'!$B:$B &lt;= $B468)),0)"),11540.75)</f>
        <v>11540.75</v>
      </c>
      <c r="T468" s="123">
        <v>10000.0</v>
      </c>
      <c r="U468" s="44">
        <f t="shared" si="49"/>
        <v>1540.75</v>
      </c>
      <c r="V468" s="44">
        <f t="shared" si="3"/>
        <v>0</v>
      </c>
      <c r="W468" s="123"/>
      <c r="X468" s="123"/>
      <c r="Y468" s="123">
        <v>0.0</v>
      </c>
      <c r="Z468" s="123">
        <v>0.0</v>
      </c>
      <c r="AA468" s="123">
        <v>0.0</v>
      </c>
      <c r="AB468" s="123"/>
      <c r="AC468" s="123">
        <v>0.0</v>
      </c>
      <c r="AD468" s="44">
        <f t="shared" si="7"/>
        <v>0</v>
      </c>
      <c r="AE468" s="123">
        <v>0.0</v>
      </c>
    </row>
    <row r="469">
      <c r="A469" s="120">
        <v>2017.0</v>
      </c>
      <c r="B469" s="121">
        <v>6.0</v>
      </c>
      <c r="C469" s="122" t="s">
        <v>30</v>
      </c>
      <c r="D469" s="44"/>
      <c r="E469" s="123">
        <v>194.12</v>
      </c>
      <c r="F469" s="44"/>
      <c r="G469" s="44"/>
      <c r="H469" s="123">
        <v>-47.36</v>
      </c>
      <c r="I469" s="44"/>
      <c r="J469" s="44"/>
      <c r="K469" s="44"/>
      <c r="L469" s="123">
        <v>935.68</v>
      </c>
      <c r="M469" s="44"/>
      <c r="N469" s="44"/>
      <c r="O469" s="123">
        <v>16281.0</v>
      </c>
      <c r="P469" s="52">
        <f t="shared" si="23"/>
        <v>16279.73</v>
      </c>
      <c r="Q469" s="124">
        <f t="shared" si="2"/>
        <v>1.27</v>
      </c>
      <c r="R469" s="52">
        <f t="array" ref="R469">IFERROR(INDEX('Fund YTD Target Values'!$1:$1000, MATCH($C469,'Fund YTD Target Values'!$A:$A,0), MATCH($A469,'Fund YTD Target Values'!$1:$1,0)),0)</f>
        <v>18043.81747</v>
      </c>
      <c r="S469" s="52">
        <f>IFERROR(__xludf.DUMMYFUNCTION("IFERROR(sum(FILTER('Fund Data'!$V:$V, 'Fund Data'!$C:$C = $C469, 'Fund Data'!$A:$A &lt; $A469)),0) + IFERROR(sum(FILTER('Fund Data'!$V:$V, 'Fund Data'!$C:$C = $C469, 'Fund Data'!$A:$A = $A469, 'Fund Data'!$B:$B &lt;= $B469)),0)"),11540.75)</f>
        <v>11540.75</v>
      </c>
      <c r="T469" s="123">
        <v>10000.0</v>
      </c>
      <c r="U469" s="44">
        <f t="shared" si="49"/>
        <v>1540.75</v>
      </c>
      <c r="V469" s="44">
        <f t="shared" si="3"/>
        <v>0</v>
      </c>
      <c r="W469" s="123"/>
      <c r="X469" s="123"/>
      <c r="Y469" s="123">
        <v>0.0</v>
      </c>
      <c r="Z469" s="123">
        <v>0.0</v>
      </c>
      <c r="AA469" s="123">
        <v>0.0</v>
      </c>
      <c r="AB469" s="123"/>
      <c r="AC469" s="123">
        <v>0.0</v>
      </c>
      <c r="AD469" s="44">
        <f t="shared" si="7"/>
        <v>0</v>
      </c>
      <c r="AE469" s="123">
        <v>0.0</v>
      </c>
    </row>
    <row r="470">
      <c r="A470" s="120">
        <v>2017.0</v>
      </c>
      <c r="B470" s="121">
        <v>5.0</v>
      </c>
      <c r="C470" s="122" t="s">
        <v>30</v>
      </c>
      <c r="D470" s="44"/>
      <c r="E470" s="123">
        <v>183.38</v>
      </c>
      <c r="F470" s="44"/>
      <c r="G470" s="44"/>
      <c r="H470" s="123">
        <v>-39.24</v>
      </c>
      <c r="I470" s="44"/>
      <c r="J470" s="44"/>
      <c r="K470" s="44"/>
      <c r="L470" s="123">
        <v>902.34</v>
      </c>
      <c r="M470" s="44"/>
      <c r="N470" s="44"/>
      <c r="O470" s="123">
        <v>16245.0</v>
      </c>
      <c r="P470" s="52">
        <f t="shared" si="23"/>
        <v>16243.77</v>
      </c>
      <c r="Q470" s="124">
        <f t="shared" si="2"/>
        <v>1.23</v>
      </c>
      <c r="R470" s="52">
        <f t="array" ref="R470">IFERROR(INDEX('Fund YTD Target Values'!$1:$1000, MATCH($C470,'Fund YTD Target Values'!$A:$A,0), MATCH($A470,'Fund YTD Target Values'!$1:$1,0)),0)</f>
        <v>18043.81747</v>
      </c>
      <c r="S470" s="52">
        <f>IFERROR(__xludf.DUMMYFUNCTION("IFERROR(sum(FILTER('Fund Data'!$V:$V, 'Fund Data'!$C:$C = $C470, 'Fund Data'!$A:$A &lt; $A470)),0) + IFERROR(sum(FILTER('Fund Data'!$V:$V, 'Fund Data'!$C:$C = $C470, 'Fund Data'!$A:$A = $A470, 'Fund Data'!$B:$B &lt;= $B470)),0)"),11540.75)</f>
        <v>11540.75</v>
      </c>
      <c r="T470" s="123">
        <v>10000.0</v>
      </c>
      <c r="U470" s="44">
        <f t="shared" si="49"/>
        <v>1540.75</v>
      </c>
      <c r="V470" s="44">
        <f t="shared" si="3"/>
        <v>0</v>
      </c>
      <c r="W470" s="123"/>
      <c r="X470" s="123"/>
      <c r="Y470" s="123">
        <v>0.0</v>
      </c>
      <c r="Z470" s="123">
        <v>0.0</v>
      </c>
      <c r="AA470" s="123">
        <v>0.0</v>
      </c>
      <c r="AB470" s="123"/>
      <c r="AC470" s="123">
        <v>0.0</v>
      </c>
      <c r="AD470" s="44">
        <f t="shared" si="7"/>
        <v>0</v>
      </c>
      <c r="AE470" s="123">
        <v>0.0</v>
      </c>
    </row>
    <row r="471">
      <c r="A471" s="120">
        <v>2017.0</v>
      </c>
      <c r="B471" s="121">
        <v>4.0</v>
      </c>
      <c r="C471" s="122" t="s">
        <v>30</v>
      </c>
      <c r="D471" s="44"/>
      <c r="E471" s="123">
        <v>173.07</v>
      </c>
      <c r="F471" s="44"/>
      <c r="G471" s="44"/>
      <c r="H471" s="123">
        <v>-31.21</v>
      </c>
      <c r="I471" s="44"/>
      <c r="J471" s="44"/>
      <c r="K471" s="44"/>
      <c r="L471" s="123">
        <v>729.47</v>
      </c>
      <c r="M471" s="44"/>
      <c r="N471" s="44"/>
      <c r="O471" s="123">
        <v>16070.0</v>
      </c>
      <c r="P471" s="52">
        <f t="shared" si="23"/>
        <v>16068.62</v>
      </c>
      <c r="Q471" s="124">
        <f t="shared" si="2"/>
        <v>1.38</v>
      </c>
      <c r="R471" s="52">
        <f t="array" ref="R471">IFERROR(INDEX('Fund YTD Target Values'!$1:$1000, MATCH($C471,'Fund YTD Target Values'!$A:$A,0), MATCH($A471,'Fund YTD Target Values'!$1:$1,0)),0)</f>
        <v>18043.81747</v>
      </c>
      <c r="S471" s="52">
        <f>IFERROR(__xludf.DUMMYFUNCTION("IFERROR(sum(FILTER('Fund Data'!$V:$V, 'Fund Data'!$C:$C = $C471, 'Fund Data'!$A:$A &lt; $A471)),0) + IFERROR(sum(FILTER('Fund Data'!$V:$V, 'Fund Data'!$C:$C = $C471, 'Fund Data'!$A:$A = $A471, 'Fund Data'!$B:$B &lt;= $B471)),0)"),11540.75)</f>
        <v>11540.75</v>
      </c>
      <c r="T471" s="123">
        <v>10000.0</v>
      </c>
      <c r="U471" s="44">
        <f t="shared" si="49"/>
        <v>1540.75</v>
      </c>
      <c r="V471" s="44">
        <f t="shared" si="3"/>
        <v>0</v>
      </c>
      <c r="W471" s="123"/>
      <c r="X471" s="123"/>
      <c r="Y471" s="123">
        <v>0.0</v>
      </c>
      <c r="Z471" s="123">
        <v>0.0</v>
      </c>
      <c r="AA471" s="123">
        <v>0.0</v>
      </c>
      <c r="AB471" s="123"/>
      <c r="AC471" s="123">
        <v>0.0</v>
      </c>
      <c r="AD471" s="44">
        <f t="shared" si="7"/>
        <v>0</v>
      </c>
      <c r="AE471" s="123">
        <v>0.0</v>
      </c>
    </row>
    <row r="472">
      <c r="A472" s="120">
        <v>2017.0</v>
      </c>
      <c r="B472" s="121">
        <v>3.0</v>
      </c>
      <c r="C472" s="122" t="s">
        <v>30</v>
      </c>
      <c r="D472" s="44"/>
      <c r="E472" s="123">
        <v>130.88</v>
      </c>
      <c r="F472" s="44"/>
      <c r="G472" s="44"/>
      <c r="H472" s="123">
        <v>-23.27</v>
      </c>
      <c r="I472" s="44"/>
      <c r="J472" s="44"/>
      <c r="K472" s="44"/>
      <c r="L472" s="123">
        <v>576.02</v>
      </c>
      <c r="M472" s="44"/>
      <c r="N472" s="44"/>
      <c r="O472" s="123">
        <v>15883.0</v>
      </c>
      <c r="P472" s="52">
        <f t="shared" si="23"/>
        <v>15880.92</v>
      </c>
      <c r="Q472" s="124">
        <f t="shared" si="2"/>
        <v>2.08</v>
      </c>
      <c r="R472" s="52">
        <f t="array" ref="R472">IFERROR(INDEX('Fund YTD Target Values'!$1:$1000, MATCH($C472,'Fund YTD Target Values'!$A:$A,0), MATCH($A472,'Fund YTD Target Values'!$1:$1,0)),0)</f>
        <v>18043.81747</v>
      </c>
      <c r="S472" s="52">
        <f>IFERROR(__xludf.DUMMYFUNCTION("IFERROR(sum(FILTER('Fund Data'!$V:$V, 'Fund Data'!$C:$C = $C472, 'Fund Data'!$A:$A &lt; $A472)),0) + IFERROR(sum(FILTER('Fund Data'!$V:$V, 'Fund Data'!$C:$C = $C472, 'Fund Data'!$A:$A = $A472, 'Fund Data'!$B:$B &lt;= $B472)),0)"),11540.75)</f>
        <v>11540.75</v>
      </c>
      <c r="T472" s="123">
        <v>10000.0</v>
      </c>
      <c r="U472" s="44">
        <f t="shared" si="49"/>
        <v>1540.75</v>
      </c>
      <c r="V472" s="44">
        <f t="shared" si="3"/>
        <v>0</v>
      </c>
      <c r="W472" s="123"/>
      <c r="X472" s="123"/>
      <c r="Y472" s="123">
        <v>0.0</v>
      </c>
      <c r="Z472" s="123">
        <v>0.0</v>
      </c>
      <c r="AA472" s="123">
        <v>0.0</v>
      </c>
      <c r="AB472" s="123"/>
      <c r="AC472" s="123">
        <v>0.0</v>
      </c>
      <c r="AD472" s="44">
        <f t="shared" si="7"/>
        <v>0</v>
      </c>
      <c r="AE472" s="123">
        <v>0.0</v>
      </c>
    </row>
    <row r="473">
      <c r="A473" s="120">
        <v>2017.0</v>
      </c>
      <c r="B473" s="121">
        <v>2.0</v>
      </c>
      <c r="C473" s="122" t="s">
        <v>30</v>
      </c>
      <c r="D473" s="44"/>
      <c r="E473" s="123">
        <v>120.5</v>
      </c>
      <c r="F473" s="44"/>
      <c r="G473" s="44"/>
      <c r="H473" s="123">
        <v>-15.36</v>
      </c>
      <c r="I473" s="44"/>
      <c r="J473" s="44"/>
      <c r="K473" s="44"/>
      <c r="L473" s="123">
        <v>522.06</v>
      </c>
      <c r="M473" s="44"/>
      <c r="N473" s="44"/>
      <c r="O473" s="123">
        <v>15826.0</v>
      </c>
      <c r="P473" s="52">
        <f t="shared" si="23"/>
        <v>15824.49</v>
      </c>
      <c r="Q473" s="124">
        <f t="shared" si="2"/>
        <v>1.51</v>
      </c>
      <c r="R473" s="52">
        <f t="array" ref="R473">IFERROR(INDEX('Fund YTD Target Values'!$1:$1000, MATCH($C473,'Fund YTD Target Values'!$A:$A,0), MATCH($A473,'Fund YTD Target Values'!$1:$1,0)),0)</f>
        <v>18043.81747</v>
      </c>
      <c r="S473" s="52">
        <f>IFERROR(__xludf.DUMMYFUNCTION("IFERROR(sum(FILTER('Fund Data'!$V:$V, 'Fund Data'!$C:$C = $C473, 'Fund Data'!$A:$A &lt; $A473)),0) + IFERROR(sum(FILTER('Fund Data'!$V:$V, 'Fund Data'!$C:$C = $C473, 'Fund Data'!$A:$A = $A473, 'Fund Data'!$B:$B &lt;= $B473)),0)"),11540.75)</f>
        <v>11540.75</v>
      </c>
      <c r="T473" s="123">
        <v>10000.0</v>
      </c>
      <c r="U473" s="44">
        <f t="shared" si="49"/>
        <v>1540.75</v>
      </c>
      <c r="V473" s="44">
        <f t="shared" si="3"/>
        <v>0</v>
      </c>
      <c r="W473" s="123"/>
      <c r="X473" s="123"/>
      <c r="Y473" s="123">
        <v>0.0</v>
      </c>
      <c r="Z473" s="123">
        <v>0.0</v>
      </c>
      <c r="AA473" s="123">
        <v>0.0</v>
      </c>
      <c r="AB473" s="123"/>
      <c r="AC473" s="123">
        <v>0.0</v>
      </c>
      <c r="AD473" s="44">
        <f t="shared" si="7"/>
        <v>0</v>
      </c>
      <c r="AE473" s="123">
        <v>0.0</v>
      </c>
    </row>
    <row r="474">
      <c r="A474" s="120">
        <v>2017.0</v>
      </c>
      <c r="B474" s="121">
        <v>1.0</v>
      </c>
      <c r="C474" s="122" t="s">
        <v>30</v>
      </c>
      <c r="D474" s="44"/>
      <c r="E474" s="123">
        <v>109.89</v>
      </c>
      <c r="F474" s="44"/>
      <c r="G474" s="44"/>
      <c r="H474" s="123">
        <v>-7.6</v>
      </c>
      <c r="I474" s="44"/>
      <c r="J474" s="44"/>
      <c r="K474" s="44"/>
      <c r="L474" s="123">
        <v>228.23</v>
      </c>
      <c r="M474" s="44"/>
      <c r="N474" s="44"/>
      <c r="O474" s="123">
        <v>15529.0</v>
      </c>
      <c r="P474" s="52">
        <f t="shared" si="23"/>
        <v>15527.81</v>
      </c>
      <c r="Q474" s="124">
        <f t="shared" si="2"/>
        <v>1.19</v>
      </c>
      <c r="R474" s="52">
        <f t="array" ref="R474">IFERROR(INDEX('Fund YTD Target Values'!$1:$1000, MATCH($C474,'Fund YTD Target Values'!$A:$A,0), MATCH($A474,'Fund YTD Target Values'!$1:$1,0)),0)</f>
        <v>18043.81747</v>
      </c>
      <c r="S474" s="52">
        <f>IFERROR(__xludf.DUMMYFUNCTION("IFERROR(sum(FILTER('Fund Data'!$V:$V, 'Fund Data'!$C:$C = $C474, 'Fund Data'!$A:$A &lt; $A474)),0) + IFERROR(sum(FILTER('Fund Data'!$V:$V, 'Fund Data'!$C:$C = $C474, 'Fund Data'!$A:$A = $A474, 'Fund Data'!$B:$B &lt;= $B474)),0)"),11540.75)</f>
        <v>11540.75</v>
      </c>
      <c r="T474" s="123">
        <v>10000.0</v>
      </c>
      <c r="U474" s="44">
        <f t="shared" si="49"/>
        <v>1540.75</v>
      </c>
      <c r="V474" s="44">
        <f t="shared" si="3"/>
        <v>0</v>
      </c>
      <c r="W474" s="123"/>
      <c r="X474" s="123"/>
      <c r="Y474" s="123">
        <v>0.0</v>
      </c>
      <c r="Z474" s="123">
        <v>0.0</v>
      </c>
      <c r="AA474" s="123">
        <v>0.0</v>
      </c>
      <c r="AB474" s="123"/>
      <c r="AC474" s="123">
        <v>0.0</v>
      </c>
      <c r="AD474" s="44">
        <f t="shared" si="7"/>
        <v>0</v>
      </c>
      <c r="AE474" s="123">
        <v>0.0</v>
      </c>
    </row>
    <row r="475">
      <c r="A475" s="120">
        <v>2016.0</v>
      </c>
      <c r="B475" s="121">
        <v>12.0</v>
      </c>
      <c r="C475" s="122" t="s">
        <v>30</v>
      </c>
      <c r="D475" s="44"/>
      <c r="E475" s="123">
        <v>309.55</v>
      </c>
      <c r="F475" s="44"/>
      <c r="G475" s="123"/>
      <c r="H475" s="123">
        <v>-88.38</v>
      </c>
      <c r="I475" s="44"/>
      <c r="J475" s="44"/>
      <c r="K475" s="44"/>
      <c r="L475" s="123">
        <v>620.16</v>
      </c>
      <c r="M475" s="44"/>
      <c r="N475" s="44"/>
      <c r="O475" s="123">
        <v>15199.0</v>
      </c>
      <c r="P475" s="52">
        <f t="shared" si="23"/>
        <v>15197.29</v>
      </c>
      <c r="Q475" s="124">
        <f t="shared" si="2"/>
        <v>1.71</v>
      </c>
      <c r="R475" s="52">
        <f t="array" ref="R475">IFERROR(INDEX('Fund YTD Target Values'!$1:$1000, MATCH($C475,'Fund YTD Target Values'!$A:$A,0), MATCH($A475,'Fund YTD Target Values'!$1:$1,0)),0)</f>
        <v>17667.22037</v>
      </c>
      <c r="S475" s="52">
        <f>IFERROR(__xludf.DUMMYFUNCTION("IFERROR(sum(FILTER('Fund Data'!$V:$V, 'Fund Data'!$C:$C = $C475, 'Fund Data'!$A:$A &lt; $A475)),0) + IFERROR(sum(FILTER('Fund Data'!$V:$V, 'Fund Data'!$C:$C = $C475, 'Fund Data'!$A:$A = $A475, 'Fund Data'!$B:$B &lt;= $B475)),0)"),11540.75)</f>
        <v>11540.75</v>
      </c>
      <c r="T475" s="123">
        <v>10000.0</v>
      </c>
      <c r="U475" s="44">
        <f t="shared" si="49"/>
        <v>1540.75</v>
      </c>
      <c r="V475" s="44">
        <f t="shared" si="3"/>
        <v>0</v>
      </c>
      <c r="W475" s="123"/>
      <c r="X475" s="123"/>
      <c r="Y475" s="123">
        <v>0.0</v>
      </c>
      <c r="Z475" s="123">
        <v>0.0</v>
      </c>
      <c r="AA475" s="123">
        <v>0.0</v>
      </c>
      <c r="AB475" s="123"/>
      <c r="AC475" s="123">
        <v>0.0</v>
      </c>
      <c r="AD475" s="44">
        <f t="shared" si="7"/>
        <v>0</v>
      </c>
      <c r="AE475" s="123">
        <v>0.0</v>
      </c>
    </row>
    <row r="476">
      <c r="A476" s="120">
        <v>2015.0</v>
      </c>
      <c r="B476" s="121">
        <v>12.0</v>
      </c>
      <c r="C476" s="122" t="s">
        <v>30</v>
      </c>
      <c r="D476" s="44"/>
      <c r="E476" s="123">
        <v>340.56</v>
      </c>
      <c r="F476" s="44"/>
      <c r="G476" s="123"/>
      <c r="H476" s="123">
        <v>-89.29</v>
      </c>
      <c r="I476" s="44"/>
      <c r="J476" s="44"/>
      <c r="K476" s="44"/>
      <c r="L476" s="123">
        <v>-632.89</v>
      </c>
      <c r="M476" s="44"/>
      <c r="N476" s="44"/>
      <c r="O476" s="123">
        <v>14358.0</v>
      </c>
      <c r="P476" s="52">
        <f t="shared" si="23"/>
        <v>14355.96</v>
      </c>
      <c r="Q476" s="124">
        <f t="shared" si="2"/>
        <v>2.04</v>
      </c>
      <c r="R476" s="52">
        <f t="array" ref="R476">IFERROR(INDEX('Fund YTD Target Values'!$1:$1000, MATCH($C476,'Fund YTD Target Values'!$A:$A,0), MATCH($A476,'Fund YTD Target Values'!$1:$1,0)),0)</f>
        <v>17447.06564</v>
      </c>
      <c r="S476" s="52">
        <f>IFERROR(__xludf.DUMMYFUNCTION("IFERROR(sum(FILTER('Fund Data'!$V:$V, 'Fund Data'!$C:$C = $C476, 'Fund Data'!$A:$A &lt; $A476)),0) + IFERROR(sum(FILTER('Fund Data'!$V:$V, 'Fund Data'!$C:$C = $C476, 'Fund Data'!$A:$A = $A476, 'Fund Data'!$B:$B &lt;= $B476)),0)"),11540.75)</f>
        <v>11540.75</v>
      </c>
      <c r="T476" s="123">
        <v>10000.0</v>
      </c>
      <c r="U476" s="44">
        <f t="shared" si="49"/>
        <v>1540.75</v>
      </c>
      <c r="V476" s="44">
        <f t="shared" si="3"/>
        <v>0</v>
      </c>
      <c r="W476" s="123"/>
      <c r="X476" s="123"/>
      <c r="Y476" s="123">
        <v>0.0</v>
      </c>
      <c r="Z476" s="123">
        <v>0.0</v>
      </c>
      <c r="AA476" s="123">
        <v>0.0</v>
      </c>
      <c r="AB476" s="123"/>
      <c r="AC476" s="123">
        <v>0.0</v>
      </c>
      <c r="AD476" s="44">
        <f t="shared" si="7"/>
        <v>0</v>
      </c>
      <c r="AE476" s="123">
        <v>0.0</v>
      </c>
    </row>
    <row r="477">
      <c r="A477" s="120">
        <v>2014.0</v>
      </c>
      <c r="B477" s="121">
        <v>12.0</v>
      </c>
      <c r="C477" s="122" t="s">
        <v>30</v>
      </c>
      <c r="D477" s="44"/>
      <c r="E477" s="123">
        <v>274.69</v>
      </c>
      <c r="F477" s="44"/>
      <c r="G477" s="123"/>
      <c r="H477" s="123">
        <v>-89.2</v>
      </c>
      <c r="I477" s="44"/>
      <c r="J477" s="44"/>
      <c r="K477" s="44"/>
      <c r="L477" s="123">
        <v>59.67</v>
      </c>
      <c r="M477" s="44"/>
      <c r="N477" s="44"/>
      <c r="O477" s="123">
        <v>14739.0</v>
      </c>
      <c r="P477" s="52">
        <f t="shared" si="23"/>
        <v>14737.58</v>
      </c>
      <c r="Q477" s="124">
        <f t="shared" si="2"/>
        <v>1.42</v>
      </c>
      <c r="R477" s="52">
        <f t="array" ref="R477">IFERROR(INDEX('Fund YTD Target Values'!$1:$1000, MATCH($C477,'Fund YTD Target Values'!$A:$A,0), MATCH($A477,'Fund YTD Target Values'!$1:$1,0)),0)</f>
        <v>17426.34579</v>
      </c>
      <c r="S477" s="52">
        <f>IFERROR(__xludf.DUMMYFUNCTION("IFERROR(sum(FILTER('Fund Data'!$V:$V, 'Fund Data'!$C:$C = $C477, 'Fund Data'!$A:$A &lt; $A477)),0) + IFERROR(sum(FILTER('Fund Data'!$V:$V, 'Fund Data'!$C:$C = $C477, 'Fund Data'!$A:$A = $A477, 'Fund Data'!$B:$B &lt;= $B477)),0)"),11540.75)</f>
        <v>11540.75</v>
      </c>
      <c r="T477" s="123">
        <v>10000.0</v>
      </c>
      <c r="U477" s="44">
        <f t="shared" si="49"/>
        <v>1540.75</v>
      </c>
      <c r="V477" s="44">
        <f t="shared" si="3"/>
        <v>0</v>
      </c>
      <c r="W477" s="123"/>
      <c r="X477" s="123"/>
      <c r="Y477" s="123">
        <v>0.0</v>
      </c>
      <c r="Z477" s="123">
        <v>0.0</v>
      </c>
      <c r="AA477" s="123">
        <v>0.0</v>
      </c>
      <c r="AB477" s="123"/>
      <c r="AC477" s="123">
        <v>0.0</v>
      </c>
      <c r="AD477" s="44">
        <f t="shared" si="7"/>
        <v>0</v>
      </c>
      <c r="AE477" s="123">
        <v>0.0</v>
      </c>
    </row>
    <row r="478">
      <c r="A478" s="120">
        <v>2013.0</v>
      </c>
      <c r="B478" s="121">
        <v>12.0</v>
      </c>
      <c r="C478" s="122" t="s">
        <v>30</v>
      </c>
      <c r="D478" s="44"/>
      <c r="E478" s="123">
        <v>285.44</v>
      </c>
      <c r="F478" s="123">
        <v>-2000.0</v>
      </c>
      <c r="G478" s="123"/>
      <c r="H478" s="123">
        <v>-90.65</v>
      </c>
      <c r="I478" s="44"/>
      <c r="J478" s="123">
        <v>420.68</v>
      </c>
      <c r="K478" s="44"/>
      <c r="L478" s="123">
        <v>753.63</v>
      </c>
      <c r="M478" s="44"/>
      <c r="N478" s="44"/>
      <c r="O478" s="123">
        <v>14494.0</v>
      </c>
      <c r="P478" s="52">
        <f t="shared" si="23"/>
        <v>14492.42</v>
      </c>
      <c r="Q478" s="124">
        <f t="shared" si="2"/>
        <v>1.58</v>
      </c>
      <c r="R478" s="52">
        <f t="array" ref="R478">IFERROR(INDEX('Fund YTD Target Values'!$1:$1000, MATCH($C478,'Fund YTD Target Values'!$A:$A,0), MATCH($A478,'Fund YTD Target Values'!$1:$1,0)),0)</f>
        <v>17148.21802</v>
      </c>
      <c r="S478" s="52">
        <f>IFERROR(__xludf.DUMMYFUNCTION("IFERROR(sum(FILTER('Fund Data'!$V:$V, 'Fund Data'!$C:$C = $C478, 'Fund Data'!$A:$A &lt; $A478)),0) + IFERROR(sum(FILTER('Fund Data'!$V:$V, 'Fund Data'!$C:$C = $C478, 'Fund Data'!$A:$A = $A478, 'Fund Data'!$B:$B &lt;= $B478)),0)"),11540.75)</f>
        <v>11540.75</v>
      </c>
      <c r="T478" s="123">
        <v>10000.0</v>
      </c>
      <c r="U478" s="44">
        <f t="shared" si="49"/>
        <v>1540.75</v>
      </c>
      <c r="V478" s="44">
        <f t="shared" si="3"/>
        <v>0</v>
      </c>
      <c r="W478" s="123"/>
      <c r="X478" s="123"/>
      <c r="Y478" s="123">
        <v>0.0</v>
      </c>
      <c r="Z478" s="123">
        <v>0.0</v>
      </c>
      <c r="AA478" s="123">
        <v>0.0</v>
      </c>
      <c r="AB478" s="123"/>
      <c r="AC478" s="123">
        <v>0.0</v>
      </c>
      <c r="AD478" s="44">
        <f t="shared" si="7"/>
        <v>-2000</v>
      </c>
      <c r="AE478" s="123">
        <v>0.0</v>
      </c>
    </row>
    <row r="479">
      <c r="A479" s="120">
        <v>2012.0</v>
      </c>
      <c r="B479" s="121">
        <v>12.0</v>
      </c>
      <c r="C479" s="122" t="s">
        <v>30</v>
      </c>
      <c r="D479" s="44"/>
      <c r="E479" s="123">
        <v>317.94</v>
      </c>
      <c r="F479" s="123">
        <v>-3000.0</v>
      </c>
      <c r="G479" s="123"/>
      <c r="H479" s="123">
        <v>-101.55</v>
      </c>
      <c r="I479" s="44"/>
      <c r="J479" s="123">
        <v>519.33</v>
      </c>
      <c r="K479" s="44"/>
      <c r="L479" s="123">
        <v>1033.39</v>
      </c>
      <c r="M479" s="44"/>
      <c r="N479" s="44"/>
      <c r="O479" s="123">
        <v>15125.0</v>
      </c>
      <c r="P479" s="52">
        <f t="shared" si="23"/>
        <v>15123.32</v>
      </c>
      <c r="Q479" s="124">
        <f t="shared" si="2"/>
        <v>1.68</v>
      </c>
      <c r="R479" s="52">
        <f t="array" ref="R479">IFERROR(INDEX('Fund YTD Target Values'!$1:$1000, MATCH($C479,'Fund YTD Target Values'!$A:$A,0), MATCH($A479,'Fund YTD Target Values'!$1:$1,0)),0)</f>
        <v>16900.44973</v>
      </c>
      <c r="S479" s="52">
        <f>IFERROR(__xludf.DUMMYFUNCTION("IFERROR(sum(FILTER('Fund Data'!$V:$V, 'Fund Data'!$C:$C = $C479, 'Fund Data'!$A:$A &lt; $A479)),0) + IFERROR(sum(FILTER('Fund Data'!$V:$V, 'Fund Data'!$C:$C = $C479, 'Fund Data'!$A:$A = $A479, 'Fund Data'!$B:$B &lt;= $B479)),0)"),11540.75)</f>
        <v>11540.75</v>
      </c>
      <c r="T479" s="123">
        <v>10000.0</v>
      </c>
      <c r="U479" s="44">
        <f t="shared" si="49"/>
        <v>1540.75</v>
      </c>
      <c r="V479" s="44">
        <f t="shared" si="3"/>
        <v>0</v>
      </c>
      <c r="W479" s="123"/>
      <c r="X479" s="123"/>
      <c r="Y479" s="123">
        <v>0.0</v>
      </c>
      <c r="Z479" s="123">
        <v>0.0</v>
      </c>
      <c r="AA479" s="123">
        <v>0.0</v>
      </c>
      <c r="AB479" s="123"/>
      <c r="AC479" s="123">
        <v>0.0</v>
      </c>
      <c r="AD479" s="44">
        <f t="shared" si="7"/>
        <v>-3000</v>
      </c>
      <c r="AE479" s="123">
        <v>0.0</v>
      </c>
    </row>
    <row r="480">
      <c r="A480" s="120">
        <v>2011.0</v>
      </c>
      <c r="B480" s="121">
        <v>12.0</v>
      </c>
      <c r="C480" s="122" t="s">
        <v>30</v>
      </c>
      <c r="D480" s="44"/>
      <c r="E480" s="123">
        <v>269.3</v>
      </c>
      <c r="F480" s="44"/>
      <c r="G480" s="123"/>
      <c r="H480" s="123">
        <v>-103.68</v>
      </c>
      <c r="I480" s="44"/>
      <c r="J480" s="44"/>
      <c r="K480" s="44"/>
      <c r="L480" s="123">
        <v>-980.2</v>
      </c>
      <c r="M480" s="44"/>
      <c r="N480" s="44"/>
      <c r="O480" s="123">
        <v>16356.0</v>
      </c>
      <c r="P480" s="52">
        <f t="shared" si="23"/>
        <v>16354.21</v>
      </c>
      <c r="Q480" s="124">
        <f t="shared" si="2"/>
        <v>1.79</v>
      </c>
      <c r="R480" s="52">
        <f t="array" ref="R480">IFERROR(INDEX('Fund YTD Target Values'!$1:$1000, MATCH($C480,'Fund YTD Target Values'!$A:$A,0), MATCH($A480,'Fund YTD Target Values'!$1:$1,0)),0)</f>
        <v>16557.18733</v>
      </c>
      <c r="S480" s="52">
        <f>IFERROR(__xludf.DUMMYFUNCTION("IFERROR(sum(FILTER('Fund Data'!$V:$V, 'Fund Data'!$C:$C = $C480, 'Fund Data'!$A:$A &lt; $A480)),0) + IFERROR(sum(FILTER('Fund Data'!$V:$V, 'Fund Data'!$C:$C = $C480, 'Fund Data'!$A:$A = $A480, 'Fund Data'!$B:$B &lt;= $B480)),0)"),11540.75)</f>
        <v>11540.75</v>
      </c>
      <c r="T480" s="123">
        <v>10000.0</v>
      </c>
      <c r="U480" s="44">
        <f t="shared" si="49"/>
        <v>1540.75</v>
      </c>
      <c r="V480" s="44">
        <f t="shared" si="3"/>
        <v>0</v>
      </c>
      <c r="W480" s="123"/>
      <c r="X480" s="123"/>
      <c r="Y480" s="123">
        <v>0.0</v>
      </c>
      <c r="Z480" s="123">
        <v>0.0</v>
      </c>
      <c r="AA480" s="123">
        <v>0.0</v>
      </c>
      <c r="AB480" s="123"/>
      <c r="AC480" s="123">
        <v>0.0</v>
      </c>
      <c r="AD480" s="44">
        <f t="shared" si="7"/>
        <v>0</v>
      </c>
      <c r="AE480" s="123">
        <v>0.0</v>
      </c>
    </row>
    <row r="481">
      <c r="A481" s="120">
        <v>2010.0</v>
      </c>
      <c r="B481" s="121">
        <v>12.0</v>
      </c>
      <c r="C481" s="122" t="s">
        <v>30</v>
      </c>
      <c r="D481" s="44"/>
      <c r="E481" s="123">
        <v>300.48</v>
      </c>
      <c r="F481" s="44"/>
      <c r="G481" s="123"/>
      <c r="H481" s="123">
        <v>-93.33</v>
      </c>
      <c r="I481" s="44"/>
      <c r="J481" s="44"/>
      <c r="K481" s="44"/>
      <c r="L481" s="123">
        <v>1645.11</v>
      </c>
      <c r="M481" s="44"/>
      <c r="N481" s="44"/>
      <c r="O481" s="123">
        <v>17170.0</v>
      </c>
      <c r="P481" s="52">
        <f t="shared" si="23"/>
        <v>17168.79</v>
      </c>
      <c r="Q481" s="124">
        <f t="shared" si="2"/>
        <v>1.21</v>
      </c>
      <c r="R481" s="52">
        <f t="array" ref="R481">IFERROR(INDEX('Fund YTD Target Values'!$1:$1000, MATCH($C481,'Fund YTD Target Values'!$A:$A,0), MATCH($A481,'Fund YTD Target Values'!$1:$1,0)),0)</f>
        <v>16050.75372</v>
      </c>
      <c r="S481" s="52">
        <f>IFERROR(__xludf.DUMMYFUNCTION("IFERROR(sum(FILTER('Fund Data'!$V:$V, 'Fund Data'!$C:$C = $C481, 'Fund Data'!$A:$A &lt; $A481)),0) + IFERROR(sum(FILTER('Fund Data'!$V:$V, 'Fund Data'!$C:$C = $C481, 'Fund Data'!$A:$A = $A481, 'Fund Data'!$B:$B &lt;= $B481)),0)"),11540.75)</f>
        <v>11540.75</v>
      </c>
      <c r="T481" s="123">
        <v>10000.0</v>
      </c>
      <c r="U481" s="44">
        <f t="shared" si="49"/>
        <v>1540.75</v>
      </c>
      <c r="V481" s="44">
        <f t="shared" si="3"/>
        <v>0</v>
      </c>
      <c r="W481" s="123"/>
      <c r="X481" s="123"/>
      <c r="Y481" s="123">
        <v>0.0</v>
      </c>
      <c r="Z481" s="123">
        <v>0.0</v>
      </c>
      <c r="AA481" s="123">
        <v>0.0</v>
      </c>
      <c r="AB481" s="123"/>
      <c r="AC481" s="123">
        <v>0.0</v>
      </c>
      <c r="AD481" s="44">
        <f t="shared" si="7"/>
        <v>0</v>
      </c>
      <c r="AE481" s="123">
        <v>0.0</v>
      </c>
    </row>
    <row r="482">
      <c r="A482" s="120">
        <v>2009.0</v>
      </c>
      <c r="B482" s="121">
        <v>12.0</v>
      </c>
      <c r="C482" s="122" t="s">
        <v>30</v>
      </c>
      <c r="D482" s="44"/>
      <c r="E482" s="123">
        <v>470.89</v>
      </c>
      <c r="F482" s="123">
        <v>-5000.0</v>
      </c>
      <c r="G482" s="123"/>
      <c r="H482" s="123">
        <v>-99.04</v>
      </c>
      <c r="I482" s="44"/>
      <c r="J482" s="44"/>
      <c r="K482" s="123">
        <v>-141.55</v>
      </c>
      <c r="L482" s="123">
        <v>2745.09</v>
      </c>
      <c r="M482" s="44"/>
      <c r="N482" s="44"/>
      <c r="O482" s="123">
        <v>15318.0</v>
      </c>
      <c r="P482" s="52">
        <f t="shared" si="23"/>
        <v>15316.53</v>
      </c>
      <c r="Q482" s="124">
        <f t="shared" si="2"/>
        <v>1.47</v>
      </c>
      <c r="R482" s="52">
        <f t="array" ref="R482">IFERROR(INDEX('Fund YTD Target Values'!$1:$1000, MATCH($C482,'Fund YTD Target Values'!$A:$A,0), MATCH($A482,'Fund YTD Target Values'!$1:$1,0)),0)</f>
        <v>15791.09762</v>
      </c>
      <c r="S482" s="52">
        <f>IFERROR(__xludf.DUMMYFUNCTION("IFERROR(sum(FILTER('Fund Data'!$V:$V, 'Fund Data'!$C:$C = $C482, 'Fund Data'!$A:$A &lt; $A482)),0) + IFERROR(sum(FILTER('Fund Data'!$V:$V, 'Fund Data'!$C:$C = $C482, 'Fund Data'!$A:$A = $A482, 'Fund Data'!$B:$B &lt;= $B482)),0)"),11540.75)</f>
        <v>11540.75</v>
      </c>
      <c r="T482" s="123">
        <v>10000.0</v>
      </c>
      <c r="U482" s="44">
        <f t="shared" si="49"/>
        <v>1540.75</v>
      </c>
      <c r="V482" s="44">
        <f t="shared" si="3"/>
        <v>0</v>
      </c>
      <c r="W482" s="123"/>
      <c r="X482" s="123"/>
      <c r="Y482" s="123">
        <v>0.0</v>
      </c>
      <c r="Z482" s="123">
        <v>0.0</v>
      </c>
      <c r="AA482" s="123">
        <v>0.0</v>
      </c>
      <c r="AB482" s="123"/>
      <c r="AC482" s="123">
        <v>0.0</v>
      </c>
      <c r="AD482" s="44">
        <f t="shared" si="7"/>
        <v>-5000</v>
      </c>
      <c r="AE482" s="123">
        <v>0.0</v>
      </c>
    </row>
    <row r="483">
      <c r="A483" s="120">
        <v>2008.0</v>
      </c>
      <c r="B483" s="121">
        <v>12.0</v>
      </c>
      <c r="C483" s="122" t="s">
        <v>30</v>
      </c>
      <c r="D483" s="44"/>
      <c r="E483" s="123">
        <v>546.44</v>
      </c>
      <c r="F483" s="44"/>
      <c r="G483" s="123"/>
      <c r="H483" s="123">
        <v>-123.2</v>
      </c>
      <c r="I483" s="44"/>
      <c r="J483" s="44"/>
      <c r="K483" s="44"/>
      <c r="L483" s="123">
        <v>-5503.15</v>
      </c>
      <c r="M483" s="44"/>
      <c r="N483" s="44"/>
      <c r="O483" s="123">
        <v>17343.0</v>
      </c>
      <c r="P483" s="52">
        <f t="shared" si="23"/>
        <v>17341.14</v>
      </c>
      <c r="Q483" s="124">
        <f t="shared" si="2"/>
        <v>1.86</v>
      </c>
      <c r="R483" s="52">
        <f t="array" ref="R483">IFERROR(INDEX('Fund YTD Target Values'!$1:$1000, MATCH($C483,'Fund YTD Target Values'!$A:$A,0), MATCH($A483,'Fund YTD Target Values'!$1:$1,0)),0)</f>
        <v>15844.62075</v>
      </c>
      <c r="S483" s="52">
        <f>IFERROR(__xludf.DUMMYFUNCTION("IFERROR(sum(FILTER('Fund Data'!$V:$V, 'Fund Data'!$C:$C = $C483, 'Fund Data'!$A:$A &lt; $A483)),0) + IFERROR(sum(FILTER('Fund Data'!$V:$V, 'Fund Data'!$C:$C = $C483, 'Fund Data'!$A:$A = $A483, 'Fund Data'!$B:$B &lt;= $B483)),0)"),11540.75)</f>
        <v>11540.75</v>
      </c>
      <c r="T483" s="123">
        <v>10000.0</v>
      </c>
      <c r="U483" s="44">
        <f t="shared" si="49"/>
        <v>1540.75</v>
      </c>
      <c r="V483" s="44">
        <f t="shared" si="3"/>
        <v>0</v>
      </c>
      <c r="W483" s="123"/>
      <c r="X483" s="123"/>
      <c r="Y483" s="123">
        <v>0.0</v>
      </c>
      <c r="Z483" s="123">
        <v>0.0</v>
      </c>
      <c r="AA483" s="123">
        <v>0.0</v>
      </c>
      <c r="AB483" s="123"/>
      <c r="AC483" s="123">
        <v>0.0</v>
      </c>
      <c r="AD483" s="44">
        <f t="shared" si="7"/>
        <v>0</v>
      </c>
      <c r="AE483" s="123">
        <v>0.0</v>
      </c>
    </row>
    <row r="484">
      <c r="A484" s="120">
        <v>2007.0</v>
      </c>
      <c r="B484" s="121">
        <v>12.0</v>
      </c>
      <c r="C484" s="122" t="s">
        <v>30</v>
      </c>
      <c r="D484" s="44"/>
      <c r="E484" s="123">
        <v>350.24</v>
      </c>
      <c r="F484" s="44"/>
      <c r="G484" s="123"/>
      <c r="H484" s="123">
        <v>-130.86</v>
      </c>
      <c r="I484" s="44"/>
      <c r="J484" s="44"/>
      <c r="K484" s="44"/>
      <c r="L484" s="123">
        <v>1775.45</v>
      </c>
      <c r="M484" s="123">
        <v>-2.0</v>
      </c>
      <c r="N484" s="44"/>
      <c r="O484" s="123">
        <v>22423.0</v>
      </c>
      <c r="P484" s="52">
        <f t="shared" si="23"/>
        <v>22421.05</v>
      </c>
      <c r="Q484" s="124">
        <f t="shared" si="2"/>
        <v>1.95</v>
      </c>
      <c r="R484" s="52">
        <f t="array" ref="R484">IFERROR(INDEX('Fund YTD Target Values'!$1:$1000, MATCH($C484,'Fund YTD Target Values'!$A:$A,0), MATCH($A484,'Fund YTD Target Values'!$1:$1,0)),0)</f>
        <v>15257.85948</v>
      </c>
      <c r="S484" s="52">
        <f>IFERROR(__xludf.DUMMYFUNCTION("IFERROR(sum(FILTER('Fund Data'!$V:$V, 'Fund Data'!$C:$C = $C484, 'Fund Data'!$A:$A &lt; $A484)),0) + IFERROR(sum(FILTER('Fund Data'!$V:$V, 'Fund Data'!$C:$C = $C484, 'Fund Data'!$A:$A = $A484, 'Fund Data'!$B:$B &lt;= $B484)),0)"),11540.75)</f>
        <v>11540.75</v>
      </c>
      <c r="T484" s="123">
        <v>10000.0</v>
      </c>
      <c r="U484" s="44">
        <f t="shared" si="49"/>
        <v>1540.75</v>
      </c>
      <c r="V484" s="44">
        <f t="shared" si="3"/>
        <v>0</v>
      </c>
      <c r="W484" s="123"/>
      <c r="X484" s="123"/>
      <c r="Y484" s="123">
        <v>0.0</v>
      </c>
      <c r="Z484" s="123">
        <v>0.0</v>
      </c>
      <c r="AA484" s="123">
        <v>0.0</v>
      </c>
      <c r="AB484" s="123"/>
      <c r="AC484" s="123">
        <v>0.0</v>
      </c>
      <c r="AD484" s="44">
        <f t="shared" si="7"/>
        <v>0</v>
      </c>
      <c r="AE484" s="123">
        <v>0.0</v>
      </c>
    </row>
    <row r="485">
      <c r="A485" s="120">
        <v>2006.0</v>
      </c>
      <c r="B485" s="121">
        <v>12.0</v>
      </c>
      <c r="C485" s="122" t="s">
        <v>30</v>
      </c>
      <c r="D485" s="44"/>
      <c r="E485" s="123">
        <v>314.63</v>
      </c>
      <c r="F485" s="44"/>
      <c r="G485" s="123"/>
      <c r="H485" s="123">
        <v>-116.56</v>
      </c>
      <c r="I485" s="44"/>
      <c r="J485" s="44"/>
      <c r="K485" s="44"/>
      <c r="L485" s="123">
        <v>1651.05</v>
      </c>
      <c r="M485" s="123">
        <v>-51.49</v>
      </c>
      <c r="N485" s="44"/>
      <c r="O485" s="123">
        <v>20430.0</v>
      </c>
      <c r="P485" s="52">
        <f t="shared" si="23"/>
        <v>20428.22</v>
      </c>
      <c r="Q485" s="124">
        <f t="shared" si="2"/>
        <v>1.78</v>
      </c>
      <c r="R485" s="52">
        <f t="array" ref="R485">IFERROR(INDEX('Fund YTD Target Values'!$1:$1000, MATCH($C485,'Fund YTD Target Values'!$A:$A,0), MATCH($A485,'Fund YTD Target Values'!$1:$1,0)),0)</f>
        <v>14834.72092</v>
      </c>
      <c r="S485" s="52">
        <f>IFERROR(__xludf.DUMMYFUNCTION("IFERROR(sum(FILTER('Fund Data'!$V:$V, 'Fund Data'!$C:$C = $C485, 'Fund Data'!$A:$A &lt; $A485)),0) + IFERROR(sum(FILTER('Fund Data'!$V:$V, 'Fund Data'!$C:$C = $C485, 'Fund Data'!$A:$A = $A485, 'Fund Data'!$B:$B &lt;= $B485)),0)"),11540.75)</f>
        <v>11540.75</v>
      </c>
      <c r="T485" s="123">
        <v>10000.0</v>
      </c>
      <c r="U485" s="44">
        <f t="shared" si="49"/>
        <v>1540.75</v>
      </c>
      <c r="V485" s="44">
        <f t="shared" si="3"/>
        <v>0</v>
      </c>
      <c r="W485" s="123"/>
      <c r="X485" s="123"/>
      <c r="Y485" s="123">
        <v>0.0</v>
      </c>
      <c r="Z485" s="123">
        <v>0.0</v>
      </c>
      <c r="AA485" s="123">
        <v>0.0</v>
      </c>
      <c r="AB485" s="123"/>
      <c r="AC485" s="123">
        <v>0.0</v>
      </c>
      <c r="AD485" s="44">
        <f t="shared" si="7"/>
        <v>0</v>
      </c>
      <c r="AE485" s="123">
        <v>0.0</v>
      </c>
    </row>
    <row r="486">
      <c r="A486" s="120">
        <v>2005.0</v>
      </c>
      <c r="B486" s="121">
        <v>12.0</v>
      </c>
      <c r="C486" s="122" t="s">
        <v>30</v>
      </c>
      <c r="D486" s="44"/>
      <c r="E486" s="123">
        <v>373.6</v>
      </c>
      <c r="F486" s="44"/>
      <c r="G486" s="123"/>
      <c r="H486" s="123">
        <v>-96.07</v>
      </c>
      <c r="I486" s="44"/>
      <c r="J486" s="123">
        <v>3129.02</v>
      </c>
      <c r="K486" s="44"/>
      <c r="L486" s="123">
        <v>-2392.37</v>
      </c>
      <c r="M486" s="123">
        <v>51.56</v>
      </c>
      <c r="N486" s="44"/>
      <c r="O486" s="123">
        <v>18632.0</v>
      </c>
      <c r="P486" s="52">
        <f t="shared" si="23"/>
        <v>18630.59</v>
      </c>
      <c r="Q486" s="124">
        <f t="shared" si="2"/>
        <v>1.41</v>
      </c>
      <c r="R486" s="52">
        <f t="array" ref="R486">IFERROR(INDEX('Fund YTD Target Values'!$1:$1000, MATCH($C486,'Fund YTD Target Values'!$A:$A,0), MATCH($A486,'Fund YTD Target Values'!$1:$1,0)),0)</f>
        <v>14369.82544</v>
      </c>
      <c r="S486" s="52">
        <f>IFERROR(__xludf.DUMMYFUNCTION("IFERROR(sum(FILTER('Fund Data'!$V:$V, 'Fund Data'!$C:$C = $C486, 'Fund Data'!$A:$A &lt; $A486)),0) + IFERROR(sum(FILTER('Fund Data'!$V:$V, 'Fund Data'!$C:$C = $C486, 'Fund Data'!$A:$A = $A486, 'Fund Data'!$B:$B &lt;= $B486)),0)"),11540.75)</f>
        <v>11540.75</v>
      </c>
      <c r="T486" s="123">
        <v>10000.0</v>
      </c>
      <c r="U486" s="44">
        <f t="shared" si="49"/>
        <v>1540.75</v>
      </c>
      <c r="V486" s="44">
        <f t="shared" si="3"/>
        <v>0</v>
      </c>
      <c r="W486" s="123"/>
      <c r="X486" s="123"/>
      <c r="Y486" s="123">
        <v>0.0</v>
      </c>
      <c r="Z486" s="123">
        <v>0.0</v>
      </c>
      <c r="AA486" s="123">
        <v>0.0</v>
      </c>
      <c r="AB486" s="123"/>
      <c r="AC486" s="123">
        <v>0.0</v>
      </c>
      <c r="AD486" s="44">
        <f t="shared" si="7"/>
        <v>0</v>
      </c>
      <c r="AE486" s="123">
        <v>0.0</v>
      </c>
    </row>
    <row r="487">
      <c r="A487" s="120">
        <v>2004.0</v>
      </c>
      <c r="B487" s="121">
        <v>12.0</v>
      </c>
      <c r="C487" s="122" t="s">
        <v>30</v>
      </c>
      <c r="D487" s="44"/>
      <c r="E487" s="123">
        <v>466.0</v>
      </c>
      <c r="F487" s="44"/>
      <c r="G487" s="123"/>
      <c r="H487" s="123">
        <v>-74.0</v>
      </c>
      <c r="I487" s="123"/>
      <c r="J487" s="123">
        <v>909.0</v>
      </c>
      <c r="K487" s="123">
        <v>-104.0</v>
      </c>
      <c r="L487" s="123">
        <v>137.0</v>
      </c>
      <c r="M487" s="123">
        <v>1.0</v>
      </c>
      <c r="N487" s="123">
        <v>188.0</v>
      </c>
      <c r="O487" s="123">
        <v>17566.0</v>
      </c>
      <c r="P487" s="52">
        <f t="shared" si="23"/>
        <v>17564.85</v>
      </c>
      <c r="Q487" s="124">
        <f t="shared" si="2"/>
        <v>1.15</v>
      </c>
      <c r="R487" s="52">
        <f t="array" ref="R487">IFERROR(INDEX('Fund YTD Target Values'!$1:$1000, MATCH($C487,'Fund YTD Target Values'!$A:$A,0), MATCH($A487,'Fund YTD Target Values'!$1:$1,0)),0)</f>
        <v>13898.61552</v>
      </c>
      <c r="S487" s="52">
        <f>IFERROR(__xludf.DUMMYFUNCTION("IFERROR(sum(FILTER('Fund Data'!$V:$V, 'Fund Data'!$C:$C = $C487, 'Fund Data'!$A:$A &lt; $A487)),0) + IFERROR(sum(FILTER('Fund Data'!$V:$V, 'Fund Data'!$C:$C = $C487, 'Fund Data'!$A:$A = $A487, 'Fund Data'!$B:$B &lt;= $B487)),0)"),11540.75)</f>
        <v>11540.75</v>
      </c>
      <c r="T487" s="123">
        <v>10000.0</v>
      </c>
      <c r="U487" s="44">
        <f t="shared" si="49"/>
        <v>1540.75</v>
      </c>
      <c r="V487" s="44">
        <f t="shared" si="3"/>
        <v>0</v>
      </c>
      <c r="W487" s="123"/>
      <c r="X487" s="123"/>
      <c r="Y487" s="123">
        <v>0.0</v>
      </c>
      <c r="Z487" s="123">
        <v>0.0</v>
      </c>
      <c r="AA487" s="123">
        <v>0.0</v>
      </c>
      <c r="AB487" s="123"/>
      <c r="AC487" s="123">
        <v>0.0</v>
      </c>
      <c r="AD487" s="44">
        <f t="shared" si="7"/>
        <v>0</v>
      </c>
      <c r="AE487" s="123">
        <v>0.0</v>
      </c>
    </row>
    <row r="488">
      <c r="A488" s="120">
        <v>2003.0</v>
      </c>
      <c r="B488" s="121">
        <v>12.0</v>
      </c>
      <c r="C488" s="122" t="s">
        <v>30</v>
      </c>
      <c r="D488" s="44"/>
      <c r="E488" s="123">
        <v>381.42</v>
      </c>
      <c r="F488" s="44"/>
      <c r="G488" s="123"/>
      <c r="H488" s="123">
        <v>-54.49</v>
      </c>
      <c r="I488" s="123"/>
      <c r="J488" s="44"/>
      <c r="K488" s="123">
        <v>-92.63</v>
      </c>
      <c r="L488" s="123">
        <v>2985.0</v>
      </c>
      <c r="M488" s="123">
        <v>0.04</v>
      </c>
      <c r="N488" s="123">
        <v>166.1</v>
      </c>
      <c r="O488" s="123">
        <v>16043.0</v>
      </c>
      <c r="P488" s="52">
        <f t="shared" si="23"/>
        <v>16041.85</v>
      </c>
      <c r="Q488" s="124">
        <f t="shared" si="2"/>
        <v>1.15</v>
      </c>
      <c r="R488" s="52">
        <f t="array" ref="R488">IFERROR(INDEX('Fund YTD Target Values'!$1:$1000, MATCH($C488,'Fund YTD Target Values'!$A:$A,0), MATCH($A488,'Fund YTD Target Values'!$1:$1,0)),0)</f>
        <v>13536.40014</v>
      </c>
      <c r="S488" s="52">
        <f>IFERROR(__xludf.DUMMYFUNCTION("IFERROR(sum(FILTER('Fund Data'!$V:$V, 'Fund Data'!$C:$C = $C488, 'Fund Data'!$A:$A &lt; $A488)),0) + IFERROR(sum(FILTER('Fund Data'!$V:$V, 'Fund Data'!$C:$C = $C488, 'Fund Data'!$A:$A = $A488, 'Fund Data'!$B:$B &lt;= $B488)),0)"),11540.75)</f>
        <v>11540.75</v>
      </c>
      <c r="T488" s="123">
        <v>10000.0</v>
      </c>
      <c r="U488" s="44">
        <f t="shared" si="49"/>
        <v>1540.75</v>
      </c>
      <c r="V488" s="44">
        <f t="shared" si="3"/>
        <v>0</v>
      </c>
      <c r="W488" s="123"/>
      <c r="X488" s="123"/>
      <c r="Y488" s="123">
        <v>0.0</v>
      </c>
      <c r="Z488" s="123">
        <v>0.0</v>
      </c>
      <c r="AA488" s="123">
        <v>0.0</v>
      </c>
      <c r="AB488" s="123"/>
      <c r="AC488" s="123">
        <v>0.0</v>
      </c>
      <c r="AD488" s="44">
        <f t="shared" si="7"/>
        <v>0</v>
      </c>
      <c r="AE488" s="123">
        <v>0.0</v>
      </c>
    </row>
    <row r="489">
      <c r="A489" s="120">
        <v>2002.0</v>
      </c>
      <c r="B489" s="121">
        <v>12.0</v>
      </c>
      <c r="C489" s="122" t="s">
        <v>30</v>
      </c>
      <c r="D489" s="44"/>
      <c r="E489" s="123">
        <v>336.18</v>
      </c>
      <c r="F489" s="44"/>
      <c r="G489" s="123"/>
      <c r="H489" s="123">
        <v>-44.6</v>
      </c>
      <c r="I489" s="123"/>
      <c r="J489" s="123">
        <v>54.31</v>
      </c>
      <c r="K489" s="123">
        <v>-1344.69</v>
      </c>
      <c r="L489" s="123">
        <v>-821.0</v>
      </c>
      <c r="M489" s="123">
        <v>-0.26</v>
      </c>
      <c r="N489" s="123">
        <v>181.73</v>
      </c>
      <c r="O489" s="123">
        <v>12657.0</v>
      </c>
      <c r="P489" s="52">
        <f t="shared" si="23"/>
        <v>12656.41</v>
      </c>
      <c r="Q489" s="124">
        <f t="shared" si="2"/>
        <v>0.59</v>
      </c>
      <c r="R489" s="52">
        <f t="array" ref="R489">IFERROR(INDEX('Fund YTD Target Values'!$1:$1000, MATCH($C489,'Fund YTD Target Values'!$A:$A,0), MATCH($A489,'Fund YTD Target Values'!$1:$1,0)),0)</f>
        <v>13235.65056</v>
      </c>
      <c r="S489" s="52">
        <f>IFERROR(__xludf.DUMMYFUNCTION("IFERROR(sum(FILTER('Fund Data'!$V:$V, 'Fund Data'!$C:$C = $C489, 'Fund Data'!$A:$A &lt; $A489)),0) + IFERROR(sum(FILTER('Fund Data'!$V:$V, 'Fund Data'!$C:$C = $C489, 'Fund Data'!$A:$A = $A489, 'Fund Data'!$B:$B &lt;= $B489)),0)"),11540.75)</f>
        <v>11540.75</v>
      </c>
      <c r="T489" s="123">
        <v>10000.0</v>
      </c>
      <c r="U489" s="44">
        <f t="shared" si="49"/>
        <v>1540.75</v>
      </c>
      <c r="V489" s="44">
        <f t="shared" si="3"/>
        <v>0</v>
      </c>
      <c r="W489" s="123"/>
      <c r="X489" s="123"/>
      <c r="Y489" s="123">
        <v>0.0</v>
      </c>
      <c r="Z489" s="123">
        <v>0.0</v>
      </c>
      <c r="AA489" s="123">
        <v>0.0</v>
      </c>
      <c r="AB489" s="123"/>
      <c r="AC489" s="123">
        <v>0.0</v>
      </c>
      <c r="AD489" s="44">
        <f t="shared" si="7"/>
        <v>0</v>
      </c>
      <c r="AE489" s="123">
        <v>0.0</v>
      </c>
    </row>
    <row r="490">
      <c r="A490" s="120">
        <v>2001.0</v>
      </c>
      <c r="B490" s="121">
        <v>12.0</v>
      </c>
      <c r="C490" s="122" t="s">
        <v>30</v>
      </c>
      <c r="D490" s="44"/>
      <c r="E490" s="123">
        <v>479.22</v>
      </c>
      <c r="F490" s="123">
        <v>-3000.0</v>
      </c>
      <c r="G490" s="123"/>
      <c r="H490" s="123">
        <v>-54.35</v>
      </c>
      <c r="I490" s="123"/>
      <c r="J490" s="123">
        <v>211.96</v>
      </c>
      <c r="K490" s="123">
        <v>-699.45</v>
      </c>
      <c r="L490" s="123">
        <v>-562.85</v>
      </c>
      <c r="M490" s="123">
        <v>-38.11</v>
      </c>
      <c r="N490" s="123">
        <v>49.67</v>
      </c>
      <c r="O490" s="123">
        <v>14295.0</v>
      </c>
      <c r="P490" s="52">
        <f t="shared" si="23"/>
        <v>14294.74</v>
      </c>
      <c r="Q490" s="124">
        <f t="shared" si="2"/>
        <v>0.26</v>
      </c>
      <c r="R490" s="52">
        <f t="array" ref="R490">IFERROR(INDEX('Fund YTD Target Values'!$1:$1000, MATCH($C490,'Fund YTD Target Values'!$A:$A,0), MATCH($A490,'Fund YTD Target Values'!$1:$1,0)),0)</f>
        <v>13029.06273</v>
      </c>
      <c r="S490" s="52">
        <f>IFERROR(__xludf.DUMMYFUNCTION("IFERROR(sum(FILTER('Fund Data'!$V:$V, 'Fund Data'!$C:$C = $C490, 'Fund Data'!$A:$A &lt; $A490)),0) + IFERROR(sum(FILTER('Fund Data'!$V:$V, 'Fund Data'!$C:$C = $C490, 'Fund Data'!$A:$A = $A490, 'Fund Data'!$B:$B &lt;= $B490)),0)"),11540.75)</f>
        <v>11540.75</v>
      </c>
      <c r="T490" s="44"/>
      <c r="U490" s="44"/>
      <c r="V490" s="44">
        <f t="shared" si="3"/>
        <v>0</v>
      </c>
      <c r="W490" s="123"/>
      <c r="X490" s="123"/>
      <c r="Y490" s="123">
        <v>0.0</v>
      </c>
      <c r="Z490" s="123">
        <v>0.0</v>
      </c>
      <c r="AA490" s="123">
        <v>0.0</v>
      </c>
      <c r="AB490" s="123"/>
      <c r="AC490" s="123">
        <v>0.0</v>
      </c>
      <c r="AD490" s="44">
        <f t="shared" si="7"/>
        <v>-3000</v>
      </c>
      <c r="AE490" s="123">
        <v>0.0</v>
      </c>
    </row>
    <row r="491">
      <c r="A491" s="120">
        <v>2000.0</v>
      </c>
      <c r="B491" s="121">
        <v>12.0</v>
      </c>
      <c r="C491" s="122" t="s">
        <v>30</v>
      </c>
      <c r="D491" s="44"/>
      <c r="E491" s="123">
        <v>354.37</v>
      </c>
      <c r="F491" s="44"/>
      <c r="G491" s="123"/>
      <c r="H491" s="123">
        <v>-54.84</v>
      </c>
      <c r="I491" s="123"/>
      <c r="J491" s="123">
        <v>19.32</v>
      </c>
      <c r="K491" s="123">
        <v>-90.58</v>
      </c>
      <c r="L491" s="123">
        <v>-1593.65</v>
      </c>
      <c r="M491" s="123">
        <v>38.06</v>
      </c>
      <c r="N491" s="123">
        <v>1527.08</v>
      </c>
      <c r="O491" s="123">
        <v>17909.0</v>
      </c>
      <c r="P491" s="52">
        <f t="shared" si="23"/>
        <v>17908.65</v>
      </c>
      <c r="Q491" s="124">
        <f t="shared" si="2"/>
        <v>0.35</v>
      </c>
      <c r="R491" s="52">
        <f t="array" ref="R491">IFERROR(INDEX('Fund YTD Target Values'!$1:$1000, MATCH($C491,'Fund YTD Target Values'!$A:$A,0), MATCH($A491,'Fund YTD Target Values'!$1:$1,0)),0)</f>
        <v>12670.27663</v>
      </c>
      <c r="S491" s="52">
        <f>IFERROR(__xludf.DUMMYFUNCTION("IFERROR(sum(FILTER('Fund Data'!$V:$V, 'Fund Data'!$C:$C = $C491, 'Fund Data'!$A:$A &lt; $A491)),0) + IFERROR(sum(FILTER('Fund Data'!$V:$V, 'Fund Data'!$C:$C = $C491, 'Fund Data'!$A:$A = $A491, 'Fund Data'!$B:$B &lt;= $B491)),0)"),11540.75)</f>
        <v>11540.75</v>
      </c>
      <c r="T491" s="44"/>
      <c r="U491" s="44"/>
      <c r="V491" s="44">
        <f t="shared" si="3"/>
        <v>0</v>
      </c>
      <c r="W491" s="123"/>
      <c r="X491" s="123"/>
      <c r="Y491" s="123">
        <v>0.0</v>
      </c>
      <c r="Z491" s="123">
        <v>0.0</v>
      </c>
      <c r="AA491" s="123">
        <v>0.0</v>
      </c>
      <c r="AB491" s="123"/>
      <c r="AC491" s="123">
        <v>0.0</v>
      </c>
      <c r="AD491" s="44">
        <f t="shared" si="7"/>
        <v>0</v>
      </c>
      <c r="AE491" s="123">
        <v>0.0</v>
      </c>
    </row>
    <row r="492">
      <c r="A492" s="120">
        <v>1999.0</v>
      </c>
      <c r="B492" s="121">
        <v>12.0</v>
      </c>
      <c r="C492" s="122" t="s">
        <v>30</v>
      </c>
      <c r="D492" s="44"/>
      <c r="E492" s="123">
        <v>451.24</v>
      </c>
      <c r="F492" s="123">
        <v>-750.0</v>
      </c>
      <c r="G492" s="123">
        <v>14.29</v>
      </c>
      <c r="H492" s="123">
        <v>-46.04</v>
      </c>
      <c r="I492" s="123"/>
      <c r="J492" s="123">
        <v>704.98</v>
      </c>
      <c r="K492" s="123">
        <v>-89.29</v>
      </c>
      <c r="L492" s="123">
        <v>-295.48</v>
      </c>
      <c r="M492" s="123">
        <v>0.08</v>
      </c>
      <c r="N492" s="123">
        <v>1046.26</v>
      </c>
      <c r="O492" s="123">
        <v>17709.0</v>
      </c>
      <c r="P492" s="52">
        <f t="shared" si="23"/>
        <v>17708.89</v>
      </c>
      <c r="Q492" s="124">
        <f t="shared" si="2"/>
        <v>0.11</v>
      </c>
      <c r="R492" s="52">
        <f t="array" ref="R492">IFERROR(INDEX('Fund YTD Target Values'!$1:$1000, MATCH($C492,'Fund YTD Target Values'!$A:$A,0), MATCH($A492,'Fund YTD Target Values'!$1:$1,0)),0)</f>
        <v>12256.49266</v>
      </c>
      <c r="S492" s="52">
        <f>IFERROR(__xludf.DUMMYFUNCTION("IFERROR(sum(FILTER('Fund Data'!$V:$V, 'Fund Data'!$C:$C = $C492, 'Fund Data'!$A:$A &lt; $A492)),0) + IFERROR(sum(FILTER('Fund Data'!$V:$V, 'Fund Data'!$C:$C = $C492, 'Fund Data'!$A:$A = $A492, 'Fund Data'!$B:$B &lt;= $B492)),0)"),11540.75)</f>
        <v>11540.75</v>
      </c>
      <c r="T492" s="44"/>
      <c r="U492" s="44"/>
      <c r="V492" s="44">
        <f t="shared" si="3"/>
        <v>0</v>
      </c>
      <c r="W492" s="123"/>
      <c r="X492" s="123"/>
      <c r="Y492" s="123">
        <v>0.0</v>
      </c>
      <c r="Z492" s="123">
        <v>0.0</v>
      </c>
      <c r="AA492" s="123">
        <v>0.0</v>
      </c>
      <c r="AB492" s="123"/>
      <c r="AC492" s="123">
        <v>0.0</v>
      </c>
      <c r="AD492" s="44">
        <f t="shared" si="7"/>
        <v>-750</v>
      </c>
      <c r="AE492" s="123">
        <v>0.0</v>
      </c>
    </row>
    <row r="493">
      <c r="A493" s="120">
        <v>1998.0</v>
      </c>
      <c r="B493" s="121">
        <v>12.0</v>
      </c>
      <c r="C493" s="122" t="s">
        <v>30</v>
      </c>
      <c r="D493" s="44"/>
      <c r="E493" s="123">
        <v>474.86</v>
      </c>
      <c r="F493" s="44"/>
      <c r="G493" s="123"/>
      <c r="H493" s="44"/>
      <c r="I493" s="123"/>
      <c r="J493" s="123">
        <v>299.92</v>
      </c>
      <c r="K493" s="44"/>
      <c r="L493" s="123">
        <v>851.58</v>
      </c>
      <c r="M493" s="123">
        <v>-1.77</v>
      </c>
      <c r="N493" s="123">
        <v>574.01</v>
      </c>
      <c r="O493" s="123">
        <v>16673.0</v>
      </c>
      <c r="P493" s="52">
        <f t="shared" si="23"/>
        <v>16672.85</v>
      </c>
      <c r="Q493" s="124">
        <f t="shared" si="2"/>
        <v>0.15</v>
      </c>
      <c r="R493" s="52">
        <f t="array" ref="R493">IFERROR(INDEX('Fund YTD Target Values'!$1:$1000, MATCH($C493,'Fund YTD Target Values'!$A:$A,0), MATCH($A493,'Fund YTD Target Values'!$1:$1,0)),0)</f>
        <v>11994.25435</v>
      </c>
      <c r="S493" s="52">
        <f>IFERROR(__xludf.DUMMYFUNCTION("IFERROR(sum(FILTER('Fund Data'!$V:$V, 'Fund Data'!$C:$C = $C493, 'Fund Data'!$A:$A &lt; $A493)),0) + IFERROR(sum(FILTER('Fund Data'!$V:$V, 'Fund Data'!$C:$C = $C493, 'Fund Data'!$A:$A = $A493, 'Fund Data'!$B:$B &lt;= $B493)),0)"),11540.75)</f>
        <v>11540.75</v>
      </c>
      <c r="T493" s="44"/>
      <c r="U493" s="44"/>
      <c r="V493" s="44">
        <f t="shared" si="3"/>
        <v>0</v>
      </c>
      <c r="W493" s="123"/>
      <c r="X493" s="123"/>
      <c r="Y493" s="123">
        <v>0.0</v>
      </c>
      <c r="Z493" s="123">
        <v>0.0</v>
      </c>
      <c r="AA493" s="123">
        <v>0.0</v>
      </c>
      <c r="AB493" s="123"/>
      <c r="AC493" s="123">
        <v>0.0</v>
      </c>
      <c r="AD493" s="44">
        <f t="shared" si="7"/>
        <v>0</v>
      </c>
      <c r="AE493" s="123">
        <v>0.0</v>
      </c>
    </row>
    <row r="494">
      <c r="A494" s="120">
        <v>1997.0</v>
      </c>
      <c r="B494" s="121">
        <v>12.0</v>
      </c>
      <c r="C494" s="122" t="s">
        <v>30</v>
      </c>
      <c r="D494" s="44"/>
      <c r="E494" s="123">
        <v>473.7</v>
      </c>
      <c r="F494" s="44"/>
      <c r="G494" s="123"/>
      <c r="H494" s="44"/>
      <c r="I494" s="123"/>
      <c r="J494" s="123">
        <v>9.44</v>
      </c>
      <c r="K494" s="123">
        <v>-27.45</v>
      </c>
      <c r="L494" s="123">
        <v>1660.0</v>
      </c>
      <c r="M494" s="123">
        <v>-2.0</v>
      </c>
      <c r="N494" s="123">
        <v>299.56</v>
      </c>
      <c r="O494" s="123">
        <v>14474.0</v>
      </c>
      <c r="P494" s="52">
        <f t="shared" si="23"/>
        <v>14474.25</v>
      </c>
      <c r="Q494" s="124">
        <f t="shared" si="2"/>
        <v>-0.25</v>
      </c>
      <c r="R494" s="52">
        <f t="array" ref="R494">IFERROR(INDEX('Fund YTD Target Values'!$1:$1000, MATCH($C494,'Fund YTD Target Values'!$A:$A,0), MATCH($A494,'Fund YTD Target Values'!$1:$1,0)),0)</f>
        <v>11810.91968</v>
      </c>
      <c r="S494" s="52">
        <f>IFERROR(__xludf.DUMMYFUNCTION("IFERROR(sum(FILTER('Fund Data'!$V:$V, 'Fund Data'!$C:$C = $C494, 'Fund Data'!$A:$A &lt; $A494)),0) + IFERROR(sum(FILTER('Fund Data'!$V:$V, 'Fund Data'!$C:$C = $C494, 'Fund Data'!$A:$A = $A494, 'Fund Data'!$B:$B &lt;= $B494)),0)"),11540.75)</f>
        <v>11540.75</v>
      </c>
      <c r="T494" s="44"/>
      <c r="U494" s="44"/>
      <c r="V494" s="44">
        <f t="shared" si="3"/>
        <v>0</v>
      </c>
      <c r="W494" s="123"/>
      <c r="X494" s="123"/>
      <c r="Y494" s="123">
        <v>0.0</v>
      </c>
      <c r="Z494" s="123">
        <v>0.0</v>
      </c>
      <c r="AA494" s="123">
        <v>0.0</v>
      </c>
      <c r="AB494" s="123"/>
      <c r="AC494" s="123">
        <v>0.0</v>
      </c>
      <c r="AD494" s="44">
        <f t="shared" si="7"/>
        <v>0</v>
      </c>
      <c r="AE494" s="123">
        <v>0.0</v>
      </c>
    </row>
    <row r="495">
      <c r="A495" s="120">
        <v>1996.0</v>
      </c>
      <c r="B495" s="121">
        <v>12.0</v>
      </c>
      <c r="C495" s="122" t="s">
        <v>30</v>
      </c>
      <c r="D495" s="123">
        <v>11540.75</v>
      </c>
      <c r="E495" s="123">
        <v>692.25</v>
      </c>
      <c r="F495" s="123">
        <v>0.0</v>
      </c>
      <c r="G495" s="123"/>
      <c r="H495" s="123">
        <v>-19.0</v>
      </c>
      <c r="I495" s="44"/>
      <c r="J495" s="44"/>
      <c r="K495" s="123">
        <v>-65.0</v>
      </c>
      <c r="L495" s="123">
        <v>-86.0</v>
      </c>
      <c r="M495" s="123">
        <v>-2.0</v>
      </c>
      <c r="N495" s="44"/>
      <c r="O495" s="123">
        <v>12061.0</v>
      </c>
      <c r="P495" s="52">
        <f t="shared" si="23"/>
        <v>12061</v>
      </c>
      <c r="Q495" s="124">
        <f t="shared" si="2"/>
        <v>0</v>
      </c>
      <c r="R495" s="52">
        <f t="array" ref="R495">IFERROR(INDEX('Fund YTD Target Values'!$1:$1000, MATCH($C495,'Fund YTD Target Values'!$A:$A,0), MATCH($A495,'Fund YTD Target Values'!$1:$1,0)),0)</f>
        <v>11540.75</v>
      </c>
      <c r="S495" s="52">
        <f>IFERROR(__xludf.DUMMYFUNCTION("IFERROR(sum(FILTER('Fund Data'!$V:$V, 'Fund Data'!$C:$C = $C495, 'Fund Data'!$A:$A &lt; $A495)),0) + IFERROR(sum(FILTER('Fund Data'!$V:$V, 'Fund Data'!$C:$C = $C495, 'Fund Data'!$A:$A = $A495, 'Fund Data'!$B:$B &lt;= $B495)),0)"),11540.75)</f>
        <v>11540.75</v>
      </c>
      <c r="T495" s="44"/>
      <c r="U495" s="44"/>
      <c r="V495" s="44">
        <f t="shared" si="3"/>
        <v>11540.75</v>
      </c>
      <c r="W495" s="123"/>
      <c r="X495" s="123"/>
      <c r="Y495" s="123">
        <v>0.0</v>
      </c>
      <c r="Z495" s="123">
        <v>0.0</v>
      </c>
      <c r="AA495" s="123">
        <v>0.0</v>
      </c>
      <c r="AB495" s="123"/>
      <c r="AC495" s="123">
        <v>0.0</v>
      </c>
      <c r="AD495" s="44">
        <f t="shared" si="7"/>
        <v>0</v>
      </c>
      <c r="AE495" s="123">
        <v>0.0</v>
      </c>
    </row>
    <row r="496">
      <c r="A496" s="120">
        <v>2019.0</v>
      </c>
      <c r="B496" s="121">
        <v>6.0</v>
      </c>
      <c r="C496" s="122" t="s">
        <v>50</v>
      </c>
      <c r="D496" s="44"/>
      <c r="E496" s="123">
        <v>5211.45</v>
      </c>
      <c r="F496" s="123">
        <v>-20000.0</v>
      </c>
      <c r="G496" s="44"/>
      <c r="H496" s="123">
        <v>-1173.23</v>
      </c>
      <c r="I496" s="44"/>
      <c r="J496" s="123">
        <v>4822.06</v>
      </c>
      <c r="K496" s="44"/>
      <c r="L496" s="123">
        <v>36175.16</v>
      </c>
      <c r="M496" s="44"/>
      <c r="N496" s="44"/>
      <c r="O496" s="123">
        <v>418966.63</v>
      </c>
      <c r="P496" s="52">
        <f t="shared" si="23"/>
        <v>418966.18</v>
      </c>
      <c r="Q496" s="124">
        <f t="shared" si="2"/>
        <v>0.4500000001</v>
      </c>
      <c r="R496" s="52">
        <f t="array" ref="R496">IFERROR(INDEX('Fund YTD Target Values'!$1:$1000, MATCH($C496,'Fund YTD Target Values'!$A:$A,0), MATCH($A496,'Fund YTD Target Values'!$1:$1,0)),0)</f>
        <v>646570.2438</v>
      </c>
      <c r="S496" s="52">
        <f>IFERROR(__xludf.DUMMYFUNCTION("IFERROR(sum(FILTER('Fund Data'!$V:$V, 'Fund Data'!$C:$C = $C496, 'Fund Data'!$A:$A &lt; $A496)),0) + IFERROR(sum(FILTER('Fund Data'!$V:$V, 'Fund Data'!$C:$C = $C496, 'Fund Data'!$A:$A = $A496, 'Fund Data'!$B:$B &lt;= $B496)),0)"),429067.24)</f>
        <v>429067.24</v>
      </c>
      <c r="T496" s="44"/>
      <c r="U496" s="44"/>
      <c r="V496" s="44">
        <f t="shared" si="3"/>
        <v>0</v>
      </c>
      <c r="W496" s="52">
        <f>IFERROR(__xludf.DUMMYFUNCTION("iFERROR((FILTER('Fund Data'!$Y:$Y, 'Fund Data'!$C:$C = $C496, 'Fund Data'!$A:$A = $A496 - 1, 'Fund Data'!$B:$B = 12) + FILTER('Fund Data'!$AA:$AA, 'Fund Data'!$C:$C = $C496, 'Fund Data'!$A:$A = $A496 - 1, 'Fund Data'!$B:$B = 12)) * (1 + AVERAGE(FILTER('In"&amp;"flation Data'!$C:$C,'Inflation Data'!$A:$A = ($A496 - 2)))) * 'Parameters and Distribution Sum'!$A$4,0)"),14501.42849435059)</f>
        <v>14501.42849</v>
      </c>
      <c r="X496" s="52">
        <f>IFERROR(__xludf.DUMMYFUNCTION("IFERROR((IFERROR(FILTER('Fund Data'!$P:$P,'Fund Data'!$C:$C = $C496,'Fund Data'!$A:$A = ($A496 - 2), 'Fund Data'!$B:$B = 12),0) - SUM(FILTER('Fund Data'!$V:$V, 'Fund Data'!$C:$C = $C496, 'Fund Data'!$A:$A = ($A496 - 2), 'Fund Data'!$B:$B &gt; 3)))  * 'Parame"&amp;"ters and Distribution Sum'!$B$4 * (1 - 'Parameters and Distribution Sum'!$A$4),0)"),6085.185209999999)</f>
        <v>6085.18521</v>
      </c>
      <c r="Y496" s="52">
        <f t="shared" ref="Y496:Y501" si="50">sum($W496:$X496)</f>
        <v>20586.6137</v>
      </c>
      <c r="Z496" s="52">
        <f>IFERROR(__xludf.DUMMYFUNCTION("((IFERROR((SUM(FILTER('Fund Data'!$V:$V, 'Fund Data'!$C:$C = $C496, 'Fund Data'!$A:$A = $A496 - 1, 'Fund Data'!$B:$B &gt;= 4, 'Fund Data'!$B:$B &lt;= ($B496 + 5))) / 12) * ($B496 - 3) * 'Parameters and Distribution Sum'!$B$4, 0) + IF($B496 &gt;= 9, IFERROR(SUM(FIL"&amp;"TER('Fund Data'!$V:$V, 'Fund Data'!$C:$C = $C496, 'Fund Data'!$A:$A = $A496, 'Fund Data'!$B:$B &lt;= 3)) * 'Parameters and Distribution Sum'!$B$4, 0),0)))"),0.0)</f>
        <v>0</v>
      </c>
      <c r="AA496" s="44">
        <f>IFERROR(__xludf.DUMMYFUNCTION("IFERROR(((IFERROR(SUM(FILTER('Fund Data'!$V:$V, 'Fund Data'!$C:$C = $C496, 'Fund Data'!$A:$A = $A496 - 2, 'Fund Data'!$B:$B &gt;= 4)) * 'Parameters and Distribution Sum'!$B$4,0) + IFERROR(SUM(FILTER('Fund Data'!$V:$V, 'Fund Data'!$C:$C = $C496, 'Fund Data'!$"&amp;"A:$A = $A496 - 1, 'Fund Data'!$B:$B &lt;= 3)) * 'Parameters and Distribution Sum'!$B$4,0))),0)"),0.0)</f>
        <v>0</v>
      </c>
      <c r="AB496" s="44">
        <f t="shared" ref="AB496:AB502" si="51">IFERROR(__xludf.DUMMYFUNCTION("IFERROR(FILTER($AE:$AE,$C:$C = $C496,$A:$A = $A496 - 1,$B:$B = 12),0)"),0.0)</f>
        <v>0</v>
      </c>
      <c r="AC496" s="44">
        <f t="shared" ref="AC496:AC502" si="52">sum($Y496:$AB496)</f>
        <v>20586.6137</v>
      </c>
      <c r="AD496" s="44">
        <f t="shared" si="7"/>
        <v>586.6137044</v>
      </c>
      <c r="AE496" s="44"/>
    </row>
    <row r="497">
      <c r="A497" s="120">
        <v>2019.0</v>
      </c>
      <c r="B497" s="121">
        <v>5.0</v>
      </c>
      <c r="C497" s="122" t="s">
        <v>50</v>
      </c>
      <c r="D497" s="44"/>
      <c r="E497" s="123">
        <v>4765.33</v>
      </c>
      <c r="F497" s="123">
        <v>-10000.0</v>
      </c>
      <c r="G497" s="44"/>
      <c r="H497" s="123">
        <v>-978.47</v>
      </c>
      <c r="I497" s="44"/>
      <c r="J497" s="123">
        <v>1929.6</v>
      </c>
      <c r="K497" s="44"/>
      <c r="L497" s="123">
        <v>22829.42</v>
      </c>
      <c r="M497" s="44"/>
      <c r="N497" s="44"/>
      <c r="O497" s="123">
        <v>412477.07</v>
      </c>
      <c r="P497" s="52">
        <f t="shared" si="23"/>
        <v>412476.62</v>
      </c>
      <c r="Q497" s="124">
        <f t="shared" si="2"/>
        <v>0.4500000001</v>
      </c>
      <c r="R497" s="52">
        <f t="array" ref="R497">IFERROR(INDEX('Fund YTD Target Values'!$1:$1000, MATCH($C497,'Fund YTD Target Values'!$A:$A,0), MATCH($A497,'Fund YTD Target Values'!$1:$1,0)),0)</f>
        <v>646570.2438</v>
      </c>
      <c r="S497" s="52">
        <f>IFERROR(__xludf.DUMMYFUNCTION("IFERROR(sum(FILTER('Fund Data'!$V:$V, 'Fund Data'!$C:$C = $C497, 'Fund Data'!$A:$A &lt; $A497)),0) + IFERROR(sum(FILTER('Fund Data'!$V:$V, 'Fund Data'!$C:$C = $C497, 'Fund Data'!$A:$A = $A497, 'Fund Data'!$B:$B &lt;= $B497)),0)"),429067.24)</f>
        <v>429067.24</v>
      </c>
      <c r="T497" s="44"/>
      <c r="U497" s="44"/>
      <c r="V497" s="44">
        <f t="shared" si="3"/>
        <v>0</v>
      </c>
      <c r="W497" s="52">
        <f>IFERROR(__xludf.DUMMYFUNCTION("iFERROR((FILTER('Fund Data'!$Y:$Y, 'Fund Data'!$C:$C = $C497, 'Fund Data'!$A:$A = $A497 - 1, 'Fund Data'!$B:$B = 12) + FILTER('Fund Data'!$AA:$AA, 'Fund Data'!$C:$C = $C497, 'Fund Data'!$A:$A = $A497 - 1, 'Fund Data'!$B:$B = 12)) * (1 + AVERAGE(FILTER('In"&amp;"flation Data'!$C:$C,'Inflation Data'!$A:$A = ($A497 - 2)))) * 'Parameters and Distribution Sum'!$A$4,0)"),14501.42849435059)</f>
        <v>14501.42849</v>
      </c>
      <c r="X497" s="52">
        <f>IFERROR(__xludf.DUMMYFUNCTION("IFERROR((IFERROR(FILTER('Fund Data'!$P:$P,'Fund Data'!$C:$C = $C497,'Fund Data'!$A:$A = ($A497 - 2), 'Fund Data'!$B:$B = 12),0) - SUM(FILTER('Fund Data'!$V:$V, 'Fund Data'!$C:$C = $C497, 'Fund Data'!$A:$A = ($A497 - 2), 'Fund Data'!$B:$B &gt; 3)))  * 'Parame"&amp;"ters and Distribution Sum'!$B$4 * (1 - 'Parameters and Distribution Sum'!$A$4),0)"),6085.185209999999)</f>
        <v>6085.18521</v>
      </c>
      <c r="Y497" s="52">
        <f t="shared" si="50"/>
        <v>20586.6137</v>
      </c>
      <c r="Z497" s="52">
        <f>IFERROR(__xludf.DUMMYFUNCTION("((IFERROR((SUM(FILTER('Fund Data'!$V:$V, 'Fund Data'!$C:$C = $C497, 'Fund Data'!$A:$A = $A497 - 1, 'Fund Data'!$B:$B &gt;= 4, 'Fund Data'!$B:$B &lt;= ($B497 + 5))) / 12) * ($B497 - 3) * 'Parameters and Distribution Sum'!$B$4, 0) + IF($B497 &gt;= 9, IFERROR(SUM(FIL"&amp;"TER('Fund Data'!$V:$V, 'Fund Data'!$C:$C = $C497, 'Fund Data'!$A:$A = $A497, 'Fund Data'!$B:$B &lt;= 3)) * 'Parameters and Distribution Sum'!$B$4, 0),0)))"),0.0)</f>
        <v>0</v>
      </c>
      <c r="AA497" s="44">
        <f>IFERROR(__xludf.DUMMYFUNCTION("IFERROR(((IFERROR(SUM(FILTER('Fund Data'!$V:$V, 'Fund Data'!$C:$C = $C497, 'Fund Data'!$A:$A = $A497 - 2, 'Fund Data'!$B:$B &gt;= 4)) * 'Parameters and Distribution Sum'!$B$4,0) + IFERROR(SUM(FILTER('Fund Data'!$V:$V, 'Fund Data'!$C:$C = $C497, 'Fund Data'!$"&amp;"A:$A = $A497 - 1, 'Fund Data'!$B:$B &lt;= 3)) * 'Parameters and Distribution Sum'!$B$4,0))),0)"),0.0)</f>
        <v>0</v>
      </c>
      <c r="AB497" s="44">
        <f t="shared" si="51"/>
        <v>0</v>
      </c>
      <c r="AC497" s="44">
        <f t="shared" si="52"/>
        <v>20586.6137</v>
      </c>
      <c r="AD497" s="44">
        <f t="shared" si="7"/>
        <v>10586.6137</v>
      </c>
      <c r="AE497" s="44"/>
    </row>
    <row r="498">
      <c r="A498" s="120">
        <v>2019.0</v>
      </c>
      <c r="B498" s="121">
        <v>4.0</v>
      </c>
      <c r="C498" s="122" t="s">
        <v>50</v>
      </c>
      <c r="D498" s="44"/>
      <c r="E498" s="123">
        <v>4402.57</v>
      </c>
      <c r="F498" s="123">
        <v>-10000.0</v>
      </c>
      <c r="G498" s="44"/>
      <c r="H498" s="123">
        <v>-778.29</v>
      </c>
      <c r="I498" s="44"/>
      <c r="J498" s="123">
        <v>1929.6</v>
      </c>
      <c r="K498" s="44"/>
      <c r="L498" s="123">
        <v>39357.85</v>
      </c>
      <c r="M498" s="44"/>
      <c r="N498" s="44"/>
      <c r="O498" s="123">
        <v>428843.0</v>
      </c>
      <c r="P498" s="52">
        <f t="shared" si="23"/>
        <v>428842.47</v>
      </c>
      <c r="Q498" s="124">
        <f t="shared" si="2"/>
        <v>0.5300000001</v>
      </c>
      <c r="R498" s="52">
        <f t="array" ref="R498">IFERROR(INDEX('Fund YTD Target Values'!$1:$1000, MATCH($C498,'Fund YTD Target Values'!$A:$A,0), MATCH($A498,'Fund YTD Target Values'!$1:$1,0)),0)</f>
        <v>646570.2438</v>
      </c>
      <c r="S498" s="52">
        <f>IFERROR(__xludf.DUMMYFUNCTION("IFERROR(sum(FILTER('Fund Data'!$V:$V, 'Fund Data'!$C:$C = $C498, 'Fund Data'!$A:$A &lt; $A498)),0) + IFERROR(sum(FILTER('Fund Data'!$V:$V, 'Fund Data'!$C:$C = $C498, 'Fund Data'!$A:$A = $A498, 'Fund Data'!$B:$B &lt;= $B498)),0)"),429067.24)</f>
        <v>429067.24</v>
      </c>
      <c r="T498" s="44"/>
      <c r="U498" s="44"/>
      <c r="V498" s="44">
        <f t="shared" si="3"/>
        <v>0</v>
      </c>
      <c r="W498" s="52">
        <f>IFERROR(__xludf.DUMMYFUNCTION("iFERROR((FILTER('Fund Data'!$Y:$Y, 'Fund Data'!$C:$C = $C498, 'Fund Data'!$A:$A = $A498 - 1, 'Fund Data'!$B:$B = 12) + FILTER('Fund Data'!$AA:$AA, 'Fund Data'!$C:$C = $C498, 'Fund Data'!$A:$A = $A498 - 1, 'Fund Data'!$B:$B = 12)) * (1 + AVERAGE(FILTER('In"&amp;"flation Data'!$C:$C,'Inflation Data'!$A:$A = ($A498 - 2)))) * 'Parameters and Distribution Sum'!$A$4,0)"),14501.42849435059)</f>
        <v>14501.42849</v>
      </c>
      <c r="X498" s="52">
        <f>IFERROR(__xludf.DUMMYFUNCTION("IFERROR((IFERROR(FILTER('Fund Data'!$P:$P,'Fund Data'!$C:$C = $C498,'Fund Data'!$A:$A = ($A498 - 2), 'Fund Data'!$B:$B = 12),0) - SUM(FILTER('Fund Data'!$V:$V, 'Fund Data'!$C:$C = $C498, 'Fund Data'!$A:$A = ($A498 - 2), 'Fund Data'!$B:$B &gt; 3)))  * 'Parame"&amp;"ters and Distribution Sum'!$B$4 * (1 - 'Parameters and Distribution Sum'!$A$4),0)"),6085.185209999999)</f>
        <v>6085.18521</v>
      </c>
      <c r="Y498" s="52">
        <f t="shared" si="50"/>
        <v>20586.6137</v>
      </c>
      <c r="Z498" s="52">
        <f>IFERROR(__xludf.DUMMYFUNCTION("((IFERROR((SUM(FILTER('Fund Data'!$V:$V, 'Fund Data'!$C:$C = $C498, 'Fund Data'!$A:$A = $A498 - 1, 'Fund Data'!$B:$B &gt;= 4, 'Fund Data'!$B:$B &lt;= ($B498 + 5))) / 12) * ($B498 - 3) * 'Parameters and Distribution Sum'!$B$4, 0) + IF($B498 &gt;= 9, IFERROR(SUM(FIL"&amp;"TER('Fund Data'!$V:$V, 'Fund Data'!$C:$C = $C498, 'Fund Data'!$A:$A = $A498, 'Fund Data'!$B:$B &lt;= 3)) * 'Parameters and Distribution Sum'!$B$4, 0),0)))"),0.0)</f>
        <v>0</v>
      </c>
      <c r="AA498" s="44">
        <f>IFERROR(__xludf.DUMMYFUNCTION("IFERROR(((IFERROR(SUM(FILTER('Fund Data'!$V:$V, 'Fund Data'!$C:$C = $C498, 'Fund Data'!$A:$A = $A498 - 2, 'Fund Data'!$B:$B &gt;= 4)) * 'Parameters and Distribution Sum'!$B$4,0) + IFERROR(SUM(FILTER('Fund Data'!$V:$V, 'Fund Data'!$C:$C = $C498, 'Fund Data'!$"&amp;"A:$A = $A498 - 1, 'Fund Data'!$B:$B &lt;= 3)) * 'Parameters and Distribution Sum'!$B$4,0))),0)"),0.0)</f>
        <v>0</v>
      </c>
      <c r="AB498" s="44">
        <f t="shared" si="51"/>
        <v>0</v>
      </c>
      <c r="AC498" s="44">
        <f t="shared" si="52"/>
        <v>20586.6137</v>
      </c>
      <c r="AD498" s="44">
        <f t="shared" si="7"/>
        <v>10586.6137</v>
      </c>
      <c r="AE498" s="44"/>
    </row>
    <row r="499">
      <c r="A499" s="120">
        <v>2019.0</v>
      </c>
      <c r="B499" s="121">
        <v>3.0</v>
      </c>
      <c r="C499" s="122" t="s">
        <v>50</v>
      </c>
      <c r="D499" s="44"/>
      <c r="E499" s="123">
        <v>3340.24</v>
      </c>
      <c r="F499" s="123">
        <v>-10000.0</v>
      </c>
      <c r="G499" s="44"/>
      <c r="H499" s="123">
        <v>-582.12</v>
      </c>
      <c r="I499" s="44"/>
      <c r="J499" s="123">
        <v>1929.6</v>
      </c>
      <c r="K499" s="44"/>
      <c r="L499" s="123">
        <v>30926.13</v>
      </c>
      <c r="M499" s="44"/>
      <c r="N499" s="44"/>
      <c r="O499" s="123">
        <v>419545.0</v>
      </c>
      <c r="P499" s="52">
        <f t="shared" si="23"/>
        <v>419544.59</v>
      </c>
      <c r="Q499" s="124">
        <f t="shared" si="2"/>
        <v>0.4100000001</v>
      </c>
      <c r="R499" s="52">
        <f t="array" ref="R499">IFERROR(INDEX('Fund YTD Target Values'!$1:$1000, MATCH($C499,'Fund YTD Target Values'!$A:$A,0), MATCH($A499,'Fund YTD Target Values'!$1:$1,0)),0)</f>
        <v>646570.2438</v>
      </c>
      <c r="S499" s="52">
        <f>IFERROR(__xludf.DUMMYFUNCTION("IFERROR(sum(FILTER('Fund Data'!$V:$V, 'Fund Data'!$C:$C = $C499, 'Fund Data'!$A:$A &lt; $A499)),0) + IFERROR(sum(FILTER('Fund Data'!$V:$V, 'Fund Data'!$C:$C = $C499, 'Fund Data'!$A:$A = $A499, 'Fund Data'!$B:$B &lt;= $B499)),0)"),429067.24)</f>
        <v>429067.24</v>
      </c>
      <c r="T499" s="123"/>
      <c r="U499" s="44"/>
      <c r="V499" s="44">
        <f t="shared" si="3"/>
        <v>0</v>
      </c>
      <c r="W499" s="52">
        <f>IFERROR(__xludf.DUMMYFUNCTION("iFERROR((FILTER('Fund Data'!$Y:$Y, 'Fund Data'!$C:$C = $C499, 'Fund Data'!$A:$A = $A499 - 1, 'Fund Data'!$B:$B = 12) + FILTER('Fund Data'!$AA:$AA, 'Fund Data'!$C:$C = $C499, 'Fund Data'!$A:$A = $A499 - 1, 'Fund Data'!$B:$B = 12)) * (1 + AVERAGE(FILTER('In"&amp;"flation Data'!$C:$C,'Inflation Data'!$A:$A = ($A499 - 2)))) * 'Parameters and Distribution Sum'!$A$4,0)"),14501.42849435059)</f>
        <v>14501.42849</v>
      </c>
      <c r="X499" s="52">
        <f>IFERROR(__xludf.DUMMYFUNCTION("IFERROR((IFERROR(FILTER('Fund Data'!$P:$P,'Fund Data'!$C:$C = $C499,'Fund Data'!$A:$A = ($A499 - 2), 'Fund Data'!$B:$B = 12),0) - SUM(FILTER('Fund Data'!$V:$V, 'Fund Data'!$C:$C = $C499, 'Fund Data'!$A:$A = ($A499 - 2), 'Fund Data'!$B:$B &gt; 3)))  * 'Parame"&amp;"ters and Distribution Sum'!$B$4 * (1 - 'Parameters and Distribution Sum'!$A$4),0)"),6085.185209999999)</f>
        <v>6085.18521</v>
      </c>
      <c r="Y499" s="52">
        <f t="shared" si="50"/>
        <v>20586.6137</v>
      </c>
      <c r="Z499" s="52">
        <f>IFERROR(__xludf.DUMMYFUNCTION("((IFERROR((SUM(FILTER('Fund Data'!$V:$V, 'Fund Data'!$C:$C = $C499, 'Fund Data'!$A:$A = $A499 - 1, 'Fund Data'!$B:$B &gt;= 4, 'Fund Data'!$B:$B &lt;= ($B499 + 5))) / 12) * ($B499 - 3) * 'Parameters and Distribution Sum'!$B$4, 0) + IF($B499 &gt;= 9, IFERROR(SUM(FIL"&amp;"TER('Fund Data'!$V:$V, 'Fund Data'!$C:$C = $C499, 'Fund Data'!$A:$A = $A499, 'Fund Data'!$B:$B &lt;= 3)) * 'Parameters and Distribution Sum'!$B$4, 0),0)))"),0.0)</f>
        <v>0</v>
      </c>
      <c r="AA499" s="44">
        <f>IFERROR(__xludf.DUMMYFUNCTION("IFERROR(((IFERROR(SUM(FILTER('Fund Data'!$V:$V, 'Fund Data'!$C:$C = $C499, 'Fund Data'!$A:$A = $A499 - 2, 'Fund Data'!$B:$B &gt;= 4)) * 'Parameters and Distribution Sum'!$B$4,0) + IFERROR(SUM(FILTER('Fund Data'!$V:$V, 'Fund Data'!$C:$C = $C499, 'Fund Data'!$"&amp;"A:$A = $A499 - 1, 'Fund Data'!$B:$B &lt;= 3)) * 'Parameters and Distribution Sum'!$B$4,0))),0)"),0.0)</f>
        <v>0</v>
      </c>
      <c r="AB499" s="44">
        <f t="shared" si="51"/>
        <v>0</v>
      </c>
      <c r="AC499" s="44">
        <f t="shared" si="52"/>
        <v>20586.6137</v>
      </c>
      <c r="AD499" s="44">
        <f t="shared" si="7"/>
        <v>10586.6137</v>
      </c>
      <c r="AE499" s="44"/>
    </row>
    <row r="500">
      <c r="A500" s="120">
        <v>2019.0</v>
      </c>
      <c r="B500" s="121">
        <v>2.0</v>
      </c>
      <c r="C500" s="122" t="s">
        <v>50</v>
      </c>
      <c r="D500" s="44"/>
      <c r="E500" s="123">
        <v>2823.99</v>
      </c>
      <c r="F500" s="44"/>
      <c r="G500" s="44"/>
      <c r="H500" s="123">
        <v>-382.56</v>
      </c>
      <c r="I500" s="44"/>
      <c r="J500" s="44"/>
      <c r="K500" s="44"/>
      <c r="L500" s="123">
        <v>30409.72</v>
      </c>
      <c r="M500" s="44"/>
      <c r="N500" s="44"/>
      <c r="O500" s="123">
        <v>426782.0</v>
      </c>
      <c r="P500" s="52">
        <f t="shared" si="23"/>
        <v>426781.89</v>
      </c>
      <c r="Q500" s="124">
        <f t="shared" si="2"/>
        <v>0.11</v>
      </c>
      <c r="R500" s="52">
        <f t="array" ref="R500">IFERROR(INDEX('Fund YTD Target Values'!$1:$1000, MATCH($C500,'Fund YTD Target Values'!$A:$A,0), MATCH($A500,'Fund YTD Target Values'!$1:$1,0)),0)</f>
        <v>646570.2438</v>
      </c>
      <c r="S500" s="52">
        <f>IFERROR(__xludf.DUMMYFUNCTION("IFERROR(sum(FILTER('Fund Data'!$V:$V, 'Fund Data'!$C:$C = $C500, 'Fund Data'!$A:$A &lt; $A500)),0) + IFERROR(sum(FILTER('Fund Data'!$V:$V, 'Fund Data'!$C:$C = $C500, 'Fund Data'!$A:$A = $A500, 'Fund Data'!$B:$B &lt;= $B500)),0)"),429067.24)</f>
        <v>429067.24</v>
      </c>
      <c r="T500" s="44"/>
      <c r="U500" s="44"/>
      <c r="V500" s="44">
        <f t="shared" si="3"/>
        <v>0</v>
      </c>
      <c r="W500" s="52">
        <f>IFERROR(__xludf.DUMMYFUNCTION("iFERROR((FILTER('Fund Data'!$Y:$Y, 'Fund Data'!$C:$C = $C500, 'Fund Data'!$A:$A = $A500 - 1, 'Fund Data'!$B:$B = 12) + FILTER('Fund Data'!$AA:$AA, 'Fund Data'!$C:$C = $C500, 'Fund Data'!$A:$A = $A500 - 1, 'Fund Data'!$B:$B = 12)) * (1 + AVERAGE(FILTER('In"&amp;"flation Data'!$C:$C,'Inflation Data'!$A:$A = ($A500 - 2)))) * 'Parameters and Distribution Sum'!$A$4,0)"),14501.42849435059)</f>
        <v>14501.42849</v>
      </c>
      <c r="X500" s="52">
        <f>IFERROR(__xludf.DUMMYFUNCTION("IFERROR((IFERROR(FILTER('Fund Data'!$P:$P,'Fund Data'!$C:$C = $C500,'Fund Data'!$A:$A = ($A500 - 2), 'Fund Data'!$B:$B = 12),0) - SUM(FILTER('Fund Data'!$V:$V, 'Fund Data'!$C:$C = $C500, 'Fund Data'!$A:$A = ($A500 - 2), 'Fund Data'!$B:$B &gt; 3)))  * 'Parame"&amp;"ters and Distribution Sum'!$B$4 * (1 - 'Parameters and Distribution Sum'!$A$4),0)"),6085.185209999999)</f>
        <v>6085.18521</v>
      </c>
      <c r="Y500" s="52">
        <f t="shared" si="50"/>
        <v>20586.6137</v>
      </c>
      <c r="Z500" s="52">
        <f>IFERROR(__xludf.DUMMYFUNCTION("((IFERROR((SUM(FILTER('Fund Data'!$V:$V, 'Fund Data'!$C:$C = $C500, 'Fund Data'!$A:$A = $A500 - 1, 'Fund Data'!$B:$B &gt;= 4, 'Fund Data'!$B:$B &lt;= ($B500 + 5))) / 12) * ($B500 - 3) * 'Parameters and Distribution Sum'!$B$4, 0) + IF($B500 &gt;= 9, IFERROR(SUM(FIL"&amp;"TER('Fund Data'!$V:$V, 'Fund Data'!$C:$C = $C500, 'Fund Data'!$A:$A = $A500, 'Fund Data'!$B:$B &lt;= 3)) * 'Parameters and Distribution Sum'!$B$4, 0),0)))"),0.0)</f>
        <v>0</v>
      </c>
      <c r="AA500" s="44">
        <f>IFERROR(__xludf.DUMMYFUNCTION("IFERROR(((IFERROR(SUM(FILTER('Fund Data'!$V:$V, 'Fund Data'!$C:$C = $C500, 'Fund Data'!$A:$A = $A500 - 2, 'Fund Data'!$B:$B &gt;= 4)) * 'Parameters and Distribution Sum'!$B$4,0) + IFERROR(SUM(FILTER('Fund Data'!$V:$V, 'Fund Data'!$C:$C = $C500, 'Fund Data'!$"&amp;"A:$A = $A500 - 1, 'Fund Data'!$B:$B &lt;= 3)) * 'Parameters and Distribution Sum'!$B$4,0))),0)"),0.0)</f>
        <v>0</v>
      </c>
      <c r="AB500" s="44">
        <f t="shared" si="51"/>
        <v>0</v>
      </c>
      <c r="AC500" s="44">
        <f t="shared" si="52"/>
        <v>20586.6137</v>
      </c>
      <c r="AD500" s="44">
        <f t="shared" si="7"/>
        <v>20586.6137</v>
      </c>
      <c r="AE500" s="44"/>
    </row>
    <row r="501">
      <c r="A501" s="120">
        <v>2019.0</v>
      </c>
      <c r="B501" s="121">
        <v>1.0</v>
      </c>
      <c r="C501" s="122" t="s">
        <v>50</v>
      </c>
      <c r="D501" s="44"/>
      <c r="E501" s="123">
        <v>2611.92</v>
      </c>
      <c r="F501" s="44"/>
      <c r="G501" s="44"/>
      <c r="H501" s="123">
        <v>-185.87</v>
      </c>
      <c r="I501" s="44"/>
      <c r="J501" s="44"/>
      <c r="K501" s="44"/>
      <c r="L501" s="123">
        <v>23524.5</v>
      </c>
      <c r="M501" s="44"/>
      <c r="N501" s="44"/>
      <c r="O501" s="123">
        <v>419882.0</v>
      </c>
      <c r="P501" s="52">
        <f t="shared" si="23"/>
        <v>419881.29</v>
      </c>
      <c r="Q501" s="124">
        <f t="shared" si="2"/>
        <v>0.7100000001</v>
      </c>
      <c r="R501" s="52">
        <f t="array" ref="R501">IFERROR(INDEX('Fund YTD Target Values'!$1:$1000, MATCH($C501,'Fund YTD Target Values'!$A:$A,0), MATCH($A501,'Fund YTD Target Values'!$1:$1,0)),0)</f>
        <v>646570.2438</v>
      </c>
      <c r="S501" s="52">
        <f>IFERROR(__xludf.DUMMYFUNCTION("IFERROR(sum(FILTER('Fund Data'!$V:$V, 'Fund Data'!$C:$C = $C501, 'Fund Data'!$A:$A &lt; $A501)),0) + IFERROR(sum(FILTER('Fund Data'!$V:$V, 'Fund Data'!$C:$C = $C501, 'Fund Data'!$A:$A = $A501, 'Fund Data'!$B:$B &lt;= $B501)),0)"),429067.24)</f>
        <v>429067.24</v>
      </c>
      <c r="T501" s="44"/>
      <c r="U501" s="44"/>
      <c r="V501" s="44">
        <f t="shared" si="3"/>
        <v>0</v>
      </c>
      <c r="W501" s="52">
        <f>IFERROR(__xludf.DUMMYFUNCTION("iFERROR((FILTER('Fund Data'!$Y:$Y, 'Fund Data'!$C:$C = $C501, 'Fund Data'!$A:$A = $A501 - 1, 'Fund Data'!$B:$B = 12) + FILTER('Fund Data'!$AA:$AA, 'Fund Data'!$C:$C = $C501, 'Fund Data'!$A:$A = $A501 - 1, 'Fund Data'!$B:$B = 12)) * (1 + AVERAGE(FILTER('In"&amp;"flation Data'!$C:$C,'Inflation Data'!$A:$A = ($A501 - 2)))) * 'Parameters and Distribution Sum'!$A$4,0)"),14501.42849435059)</f>
        <v>14501.42849</v>
      </c>
      <c r="X501" s="52">
        <f>IFERROR(__xludf.DUMMYFUNCTION("IFERROR((IFERROR(FILTER('Fund Data'!$P:$P,'Fund Data'!$C:$C = $C501,'Fund Data'!$A:$A = ($A501 - 2), 'Fund Data'!$B:$B = 12),0) - SUM(FILTER('Fund Data'!$V:$V, 'Fund Data'!$C:$C = $C501, 'Fund Data'!$A:$A = ($A501 - 2), 'Fund Data'!$B:$B &gt; 3)))  * 'Parame"&amp;"ters and Distribution Sum'!$B$4 * (1 - 'Parameters and Distribution Sum'!$A$4),0)"),6085.185209999999)</f>
        <v>6085.18521</v>
      </c>
      <c r="Y501" s="52">
        <f t="shared" si="50"/>
        <v>20586.6137</v>
      </c>
      <c r="Z501" s="52">
        <f>IFERROR(__xludf.DUMMYFUNCTION("((IFERROR((SUM(FILTER('Fund Data'!$V:$V, 'Fund Data'!$C:$C = $C501, 'Fund Data'!$A:$A = $A501 - 1, 'Fund Data'!$B:$B &gt;= 4, 'Fund Data'!$B:$B &lt;= ($B501 + 5))) / 12) * ($B501 - 3) * 'Parameters and Distribution Sum'!$B$4, 0) + IF($B501 &gt;= 9, IFERROR(SUM(FIL"&amp;"TER('Fund Data'!$V:$V, 'Fund Data'!$C:$C = $C501, 'Fund Data'!$A:$A = $A501, 'Fund Data'!$B:$B &lt;= 3)) * 'Parameters and Distribution Sum'!$B$4, 0),0)))"),0.0)</f>
        <v>0</v>
      </c>
      <c r="AA501" s="44">
        <f>IFERROR(__xludf.DUMMYFUNCTION("IFERROR(((IFERROR(SUM(FILTER('Fund Data'!$V:$V, 'Fund Data'!$C:$C = $C501, 'Fund Data'!$A:$A = $A501 - 2, 'Fund Data'!$B:$B &gt;= 4)) * 'Parameters and Distribution Sum'!$B$4,0) + IFERROR(SUM(FILTER('Fund Data'!$V:$V, 'Fund Data'!$C:$C = $C501, 'Fund Data'!$"&amp;"A:$A = $A501 - 1, 'Fund Data'!$B:$B &lt;= 3)) * 'Parameters and Distribution Sum'!$B$4,0))),0)"),0.0)</f>
        <v>0</v>
      </c>
      <c r="AB501" s="44">
        <f t="shared" si="51"/>
        <v>0</v>
      </c>
      <c r="AC501" s="44">
        <f t="shared" si="52"/>
        <v>20586.6137</v>
      </c>
      <c r="AD501" s="44">
        <f t="shared" si="7"/>
        <v>20586.6137</v>
      </c>
      <c r="AE501" s="44"/>
    </row>
    <row r="502">
      <c r="A502" s="120">
        <v>2018.0</v>
      </c>
      <c r="B502" s="121">
        <v>12.0</v>
      </c>
      <c r="C502" s="122" t="s">
        <v>50</v>
      </c>
      <c r="D502" s="44"/>
      <c r="E502" s="123">
        <v>9525.1</v>
      </c>
      <c r="F502" s="123">
        <v>-24000.0</v>
      </c>
      <c r="G502" s="44"/>
      <c r="H502" s="123">
        <v>-2620.25</v>
      </c>
      <c r="I502" s="44"/>
      <c r="J502" s="123">
        <v>6209.06</v>
      </c>
      <c r="K502" s="44"/>
      <c r="L502" s="123">
        <v>-45937.63</v>
      </c>
      <c r="M502" s="44"/>
      <c r="N502" s="44"/>
      <c r="O502" s="123">
        <v>393931.0</v>
      </c>
      <c r="P502" s="52">
        <f t="shared" si="23"/>
        <v>393930.74</v>
      </c>
      <c r="Q502" s="124">
        <f t="shared" si="2"/>
        <v>0.2600000001</v>
      </c>
      <c r="R502" s="52">
        <f t="array" ref="R502">IFERROR(INDEX('Fund YTD Target Values'!$1:$1000, MATCH($C502,'Fund YTD Target Values'!$A:$A,0), MATCH($A502,'Fund YTD Target Values'!$1:$1,0)),0)</f>
        <v>635486.6433</v>
      </c>
      <c r="S502" s="52">
        <f>IFERROR(__xludf.DUMMYFUNCTION("IFERROR(sum(FILTER('Fund Data'!$V:$V, 'Fund Data'!$C:$C = $C502, 'Fund Data'!$A:$A &lt; $A502)),0) + IFERROR(sum(FILTER('Fund Data'!$V:$V, 'Fund Data'!$C:$C = $C502, 'Fund Data'!$A:$A = $A502, 'Fund Data'!$B:$B &lt;= $B502)),0)"),429067.24)</f>
        <v>429067.24</v>
      </c>
      <c r="T502" s="123">
        <v>413959.0</v>
      </c>
      <c r="U502" s="44">
        <f t="shared" ref="U502:U540" si="53">S502-T502</f>
        <v>15108.24</v>
      </c>
      <c r="V502" s="44">
        <f t="shared" si="3"/>
        <v>0</v>
      </c>
      <c r="W502" s="52"/>
      <c r="X502" s="52"/>
      <c r="Y502" s="52">
        <v>20283.9507</v>
      </c>
      <c r="Z502" s="123">
        <v>0.0</v>
      </c>
      <c r="AA502" s="123">
        <v>0.0</v>
      </c>
      <c r="AB502" s="44">
        <f t="shared" si="51"/>
        <v>0</v>
      </c>
      <c r="AC502" s="44">
        <f t="shared" si="52"/>
        <v>20283.9507</v>
      </c>
      <c r="AD502" s="44">
        <f t="shared" si="7"/>
        <v>-3716.0493</v>
      </c>
      <c r="AE502" s="123">
        <v>0.0</v>
      </c>
    </row>
    <row r="503">
      <c r="A503" s="120">
        <v>2018.0</v>
      </c>
      <c r="B503" s="121">
        <v>11.0</v>
      </c>
      <c r="C503" s="122" t="s">
        <v>50</v>
      </c>
      <c r="D503" s="44"/>
      <c r="E503" s="123">
        <v>8969.97</v>
      </c>
      <c r="F503" s="123">
        <v>-24000.0</v>
      </c>
      <c r="G503" s="44"/>
      <c r="H503" s="123">
        <v>-2424.7</v>
      </c>
      <c r="I503" s="44"/>
      <c r="J503" s="123">
        <v>6209.06</v>
      </c>
      <c r="K503" s="44"/>
      <c r="L503" s="123">
        <v>-22661.47</v>
      </c>
      <c r="M503" s="44"/>
      <c r="N503" s="44"/>
      <c r="O503" s="123">
        <v>416848.0</v>
      </c>
      <c r="P503" s="52">
        <f t="shared" si="23"/>
        <v>416847.32</v>
      </c>
      <c r="Q503" s="124">
        <f t="shared" si="2"/>
        <v>0.6800000001</v>
      </c>
      <c r="R503" s="52">
        <f t="array" ref="R503">IFERROR(INDEX('Fund YTD Target Values'!$1:$1000, MATCH($C503,'Fund YTD Target Values'!$A:$A,0), MATCH($A503,'Fund YTD Target Values'!$1:$1,0)),0)</f>
        <v>635486.6433</v>
      </c>
      <c r="S503" s="52">
        <f>IFERROR(__xludf.DUMMYFUNCTION("IFERROR(sum(FILTER('Fund Data'!$V:$V, 'Fund Data'!$C:$C = $C503, 'Fund Data'!$A:$A &lt; $A503)),0) + IFERROR(sum(FILTER('Fund Data'!$V:$V, 'Fund Data'!$C:$C = $C503, 'Fund Data'!$A:$A = $A503, 'Fund Data'!$B:$B &lt;= $B503)),0)"),429067.24)</f>
        <v>429067.24</v>
      </c>
      <c r="T503" s="123">
        <v>413959.0</v>
      </c>
      <c r="U503" s="44">
        <f t="shared" si="53"/>
        <v>15108.24</v>
      </c>
      <c r="V503" s="44">
        <f t="shared" si="3"/>
        <v>0</v>
      </c>
      <c r="W503" s="123"/>
      <c r="X503" s="123"/>
      <c r="Y503" s="123">
        <v>0.0</v>
      </c>
      <c r="Z503" s="123">
        <v>0.0</v>
      </c>
      <c r="AA503" s="123">
        <v>0.0</v>
      </c>
      <c r="AB503" s="123"/>
      <c r="AC503" s="123">
        <v>0.0</v>
      </c>
      <c r="AD503" s="44">
        <f t="shared" si="7"/>
        <v>-24000</v>
      </c>
      <c r="AE503" s="123">
        <v>0.0</v>
      </c>
    </row>
    <row r="504">
      <c r="A504" s="120">
        <v>2018.0</v>
      </c>
      <c r="B504" s="121">
        <v>10.0</v>
      </c>
      <c r="C504" s="135" t="s">
        <v>50</v>
      </c>
      <c r="D504" s="138"/>
      <c r="E504" s="137">
        <v>8599.61</v>
      </c>
      <c r="F504" s="136">
        <v>-24000.0</v>
      </c>
      <c r="G504" s="138"/>
      <c r="H504" s="137">
        <v>-2027.95</v>
      </c>
      <c r="I504" s="138"/>
      <c r="J504" s="136">
        <v>6209.06</v>
      </c>
      <c r="K504" s="138"/>
      <c r="L504" s="136">
        <v>-26258.23</v>
      </c>
      <c r="M504" s="44"/>
      <c r="N504" s="44"/>
      <c r="O504" s="136">
        <v>413277.0</v>
      </c>
      <c r="P504" s="52">
        <f t="shared" si="23"/>
        <v>413276.95</v>
      </c>
      <c r="Q504" s="124">
        <f t="shared" si="2"/>
        <v>0.0500000001</v>
      </c>
      <c r="R504" s="52">
        <f t="array" ref="R504">IFERROR(INDEX('Fund YTD Target Values'!$1:$1000, MATCH($C504,'Fund YTD Target Values'!$A:$A,0), MATCH($A504,'Fund YTD Target Values'!$1:$1,0)),0)</f>
        <v>635486.6433</v>
      </c>
      <c r="S504" s="52">
        <f>IFERROR(__xludf.DUMMYFUNCTION("IFERROR(sum(FILTER('Fund Data'!$V:$V, 'Fund Data'!$C:$C = $C504, 'Fund Data'!$A:$A &lt; $A504)),0) + IFERROR(sum(FILTER('Fund Data'!$V:$V, 'Fund Data'!$C:$C = $C504, 'Fund Data'!$A:$A = $A504, 'Fund Data'!$B:$B &lt;= $B504)),0)"),429067.24)</f>
        <v>429067.24</v>
      </c>
      <c r="T504" s="123">
        <v>413959.0</v>
      </c>
      <c r="U504" s="44">
        <f t="shared" si="53"/>
        <v>15108.24</v>
      </c>
      <c r="V504" s="44">
        <f t="shared" si="3"/>
        <v>0</v>
      </c>
      <c r="W504" s="123"/>
      <c r="X504" s="123"/>
      <c r="Y504" s="123">
        <v>0.0</v>
      </c>
      <c r="Z504" s="123">
        <v>0.0</v>
      </c>
      <c r="AA504" s="123">
        <v>0.0</v>
      </c>
      <c r="AB504" s="123"/>
      <c r="AC504" s="123">
        <v>0.0</v>
      </c>
      <c r="AD504" s="44">
        <f t="shared" si="7"/>
        <v>-24000</v>
      </c>
      <c r="AE504" s="123">
        <v>0.0</v>
      </c>
    </row>
    <row r="505">
      <c r="A505" s="120">
        <v>2018.0</v>
      </c>
      <c r="B505" s="121">
        <v>9.0</v>
      </c>
      <c r="C505" s="122" t="s">
        <v>50</v>
      </c>
      <c r="D505" s="44"/>
      <c r="E505" s="123">
        <v>7356.63</v>
      </c>
      <c r="F505" s="123">
        <v>-24000.0</v>
      </c>
      <c r="G505" s="44"/>
      <c r="H505" s="123">
        <v>-2027.95</v>
      </c>
      <c r="I505" s="44"/>
      <c r="J505" s="123">
        <v>6209.06</v>
      </c>
      <c r="K505" s="44"/>
      <c r="L505" s="123">
        <v>-4086.79</v>
      </c>
      <c r="M505" s="44"/>
      <c r="N505" s="44"/>
      <c r="O505" s="123">
        <v>434206.0</v>
      </c>
      <c r="P505" s="52">
        <f t="shared" si="23"/>
        <v>434205.41</v>
      </c>
      <c r="Q505" s="124">
        <f t="shared" si="2"/>
        <v>0.5900000001</v>
      </c>
      <c r="R505" s="52">
        <f t="array" ref="R505">IFERROR(INDEX('Fund YTD Target Values'!$1:$1000, MATCH($C505,'Fund YTD Target Values'!$A:$A,0), MATCH($A505,'Fund YTD Target Values'!$1:$1,0)),0)</f>
        <v>635486.6433</v>
      </c>
      <c r="S505" s="52">
        <f>IFERROR(__xludf.DUMMYFUNCTION("IFERROR(sum(FILTER('Fund Data'!$V:$V, 'Fund Data'!$C:$C = $C505, 'Fund Data'!$A:$A &lt; $A505)),0) + IFERROR(sum(FILTER('Fund Data'!$V:$V, 'Fund Data'!$C:$C = $C505, 'Fund Data'!$A:$A = $A505, 'Fund Data'!$B:$B &lt;= $B505)),0)"),429067.24)</f>
        <v>429067.24</v>
      </c>
      <c r="T505" s="123">
        <v>413959.0</v>
      </c>
      <c r="U505" s="44">
        <f t="shared" si="53"/>
        <v>15108.24</v>
      </c>
      <c r="V505" s="44">
        <f t="shared" si="3"/>
        <v>0</v>
      </c>
      <c r="W505" s="123"/>
      <c r="X505" s="123"/>
      <c r="Y505" s="123">
        <v>0.0</v>
      </c>
      <c r="Z505" s="123">
        <v>0.0</v>
      </c>
      <c r="AA505" s="123">
        <v>0.0</v>
      </c>
      <c r="AB505" s="123"/>
      <c r="AC505" s="123">
        <v>0.0</v>
      </c>
      <c r="AD505" s="44">
        <f t="shared" si="7"/>
        <v>-24000</v>
      </c>
      <c r="AE505" s="123">
        <v>0.0</v>
      </c>
    </row>
    <row r="506">
      <c r="A506" s="120">
        <v>2018.0</v>
      </c>
      <c r="B506" s="121">
        <v>8.0</v>
      </c>
      <c r="C506" s="122" t="s">
        <v>50</v>
      </c>
      <c r="D506" s="44"/>
      <c r="E506" s="123">
        <v>6976.67</v>
      </c>
      <c r="F506" s="123">
        <v>-15000.0</v>
      </c>
      <c r="G506" s="44"/>
      <c r="H506" s="123">
        <v>-1805.58</v>
      </c>
      <c r="I506" s="44"/>
      <c r="J506" s="123">
        <v>3187.92</v>
      </c>
      <c r="K506" s="44"/>
      <c r="L506" s="123">
        <v>565.88</v>
      </c>
      <c r="M506" s="44"/>
      <c r="N506" s="44"/>
      <c r="O506" s="123">
        <v>444680.0</v>
      </c>
      <c r="P506" s="52">
        <f t="shared" si="23"/>
        <v>444679.35</v>
      </c>
      <c r="Q506" s="124">
        <f t="shared" si="2"/>
        <v>0.6500000001</v>
      </c>
      <c r="R506" s="52">
        <f t="array" ref="R506">IFERROR(INDEX('Fund YTD Target Values'!$1:$1000, MATCH($C506,'Fund YTD Target Values'!$A:$A,0), MATCH($A506,'Fund YTD Target Values'!$1:$1,0)),0)</f>
        <v>635486.6433</v>
      </c>
      <c r="S506" s="52">
        <f>IFERROR(__xludf.DUMMYFUNCTION("IFERROR(sum(FILTER('Fund Data'!$V:$V, 'Fund Data'!$C:$C = $C506, 'Fund Data'!$A:$A &lt; $A506)),0) + IFERROR(sum(FILTER('Fund Data'!$V:$V, 'Fund Data'!$C:$C = $C506, 'Fund Data'!$A:$A = $A506, 'Fund Data'!$B:$B &lt;= $B506)),0)"),429067.24)</f>
        <v>429067.24</v>
      </c>
      <c r="T506" s="123">
        <v>413959.0</v>
      </c>
      <c r="U506" s="44">
        <f t="shared" si="53"/>
        <v>15108.24</v>
      </c>
      <c r="V506" s="44">
        <f t="shared" si="3"/>
        <v>0</v>
      </c>
      <c r="W506" s="123"/>
      <c r="X506" s="123"/>
      <c r="Y506" s="123">
        <v>0.0</v>
      </c>
      <c r="Z506" s="123">
        <v>0.0</v>
      </c>
      <c r="AA506" s="123">
        <v>0.0</v>
      </c>
      <c r="AB506" s="123"/>
      <c r="AC506" s="123">
        <v>0.0</v>
      </c>
      <c r="AD506" s="44">
        <f t="shared" si="7"/>
        <v>-15000</v>
      </c>
      <c r="AE506" s="123">
        <v>0.0</v>
      </c>
    </row>
    <row r="507">
      <c r="A507" s="120">
        <v>2018.0</v>
      </c>
      <c r="B507" s="121">
        <v>7.0</v>
      </c>
      <c r="C507" s="122" t="s">
        <v>50</v>
      </c>
      <c r="D507" s="44"/>
      <c r="E507" s="123">
        <v>6607.11</v>
      </c>
      <c r="F507" s="123">
        <v>-10000.0</v>
      </c>
      <c r="G507" s="44"/>
      <c r="H507" s="123">
        <v>-1581.5</v>
      </c>
      <c r="I507" s="44"/>
      <c r="J507" s="123">
        <v>1586.45</v>
      </c>
      <c r="K507" s="44"/>
      <c r="L507" s="123">
        <v>794.06</v>
      </c>
      <c r="M507" s="44"/>
      <c r="N507" s="44"/>
      <c r="O507" s="123">
        <v>448161.0</v>
      </c>
      <c r="P507" s="52">
        <f t="shared" si="23"/>
        <v>448160.58</v>
      </c>
      <c r="Q507" s="124">
        <f t="shared" si="2"/>
        <v>0.4200000001</v>
      </c>
      <c r="R507" s="52">
        <f t="array" ref="R507">IFERROR(INDEX('Fund YTD Target Values'!$1:$1000, MATCH($C507,'Fund YTD Target Values'!$A:$A,0), MATCH($A507,'Fund YTD Target Values'!$1:$1,0)),0)</f>
        <v>635486.6433</v>
      </c>
      <c r="S507" s="52">
        <f>IFERROR(__xludf.DUMMYFUNCTION("IFERROR(sum(FILTER('Fund Data'!$V:$V, 'Fund Data'!$C:$C = $C507, 'Fund Data'!$A:$A &lt; $A507)),0) + IFERROR(sum(FILTER('Fund Data'!$V:$V, 'Fund Data'!$C:$C = $C507, 'Fund Data'!$A:$A = $A507, 'Fund Data'!$B:$B &lt;= $B507)),0)"),429067.24)</f>
        <v>429067.24</v>
      </c>
      <c r="T507" s="123">
        <v>413959.0</v>
      </c>
      <c r="U507" s="44">
        <f t="shared" si="53"/>
        <v>15108.24</v>
      </c>
      <c r="V507" s="44">
        <f t="shared" si="3"/>
        <v>0</v>
      </c>
      <c r="W507" s="123"/>
      <c r="X507" s="123"/>
      <c r="Y507" s="123">
        <v>0.0</v>
      </c>
      <c r="Z507" s="123">
        <v>0.0</v>
      </c>
      <c r="AA507" s="123">
        <v>0.0</v>
      </c>
      <c r="AB507" s="123"/>
      <c r="AC507" s="123">
        <v>0.0</v>
      </c>
      <c r="AD507" s="44">
        <f t="shared" si="7"/>
        <v>-10000</v>
      </c>
      <c r="AE507" s="123">
        <v>0.0</v>
      </c>
    </row>
    <row r="508">
      <c r="A508" s="120">
        <v>2018.0</v>
      </c>
      <c r="B508" s="121">
        <v>6.0</v>
      </c>
      <c r="C508" s="122" t="s">
        <v>50</v>
      </c>
      <c r="D508" s="44"/>
      <c r="E508" s="123">
        <v>5605.3</v>
      </c>
      <c r="F508" s="123">
        <v>-9000.0</v>
      </c>
      <c r="G508" s="44"/>
      <c r="H508" s="123">
        <v>-1360.96</v>
      </c>
      <c r="I508" s="44"/>
      <c r="J508" s="123">
        <v>1586.45</v>
      </c>
      <c r="K508" s="44"/>
      <c r="L508" s="123">
        <v>-6506.33</v>
      </c>
      <c r="M508" s="44"/>
      <c r="N508" s="44"/>
      <c r="O508" s="123">
        <v>441079.0</v>
      </c>
      <c r="P508" s="52">
        <f t="shared" si="23"/>
        <v>441078.92</v>
      </c>
      <c r="Q508" s="124">
        <f t="shared" si="2"/>
        <v>0.08000000007</v>
      </c>
      <c r="R508" s="52">
        <f t="array" ref="R508">IFERROR(INDEX('Fund YTD Target Values'!$1:$1000, MATCH($C508,'Fund YTD Target Values'!$A:$A,0), MATCH($A508,'Fund YTD Target Values'!$1:$1,0)),0)</f>
        <v>635486.6433</v>
      </c>
      <c r="S508" s="52">
        <f>IFERROR(__xludf.DUMMYFUNCTION("IFERROR(sum(FILTER('Fund Data'!$V:$V, 'Fund Data'!$C:$C = $C508, 'Fund Data'!$A:$A &lt; $A508)),0) + IFERROR(sum(FILTER('Fund Data'!$V:$V, 'Fund Data'!$C:$C = $C508, 'Fund Data'!$A:$A = $A508, 'Fund Data'!$B:$B &lt;= $B508)),0)"),429067.24)</f>
        <v>429067.24</v>
      </c>
      <c r="T508" s="123">
        <v>413959.0</v>
      </c>
      <c r="U508" s="44">
        <f t="shared" si="53"/>
        <v>15108.24</v>
      </c>
      <c r="V508" s="44">
        <f t="shared" si="3"/>
        <v>0</v>
      </c>
      <c r="W508" s="123"/>
      <c r="X508" s="123"/>
      <c r="Y508" s="123">
        <v>0.0</v>
      </c>
      <c r="Z508" s="123">
        <v>0.0</v>
      </c>
      <c r="AA508" s="123">
        <v>0.0</v>
      </c>
      <c r="AB508" s="123"/>
      <c r="AC508" s="123">
        <v>0.0</v>
      </c>
      <c r="AD508" s="44">
        <f t="shared" si="7"/>
        <v>-9000</v>
      </c>
      <c r="AE508" s="123">
        <v>0.0</v>
      </c>
    </row>
    <row r="509">
      <c r="A509" s="120">
        <v>2018.0</v>
      </c>
      <c r="B509" s="121">
        <v>5.0</v>
      </c>
      <c r="C509" s="122" t="s">
        <v>50</v>
      </c>
      <c r="D509" s="44"/>
      <c r="E509" s="123">
        <v>4963.28</v>
      </c>
      <c r="F509" s="123">
        <v>-4000.0</v>
      </c>
      <c r="G509" s="44"/>
      <c r="H509" s="123">
        <v>-1136.48</v>
      </c>
      <c r="I509" s="44"/>
      <c r="J509" s="44"/>
      <c r="K509" s="44"/>
      <c r="L509" s="123">
        <v>-1630.52</v>
      </c>
      <c r="M509" s="44"/>
      <c r="N509" s="44"/>
      <c r="O509" s="123">
        <v>448951.0</v>
      </c>
      <c r="P509" s="52">
        <f t="shared" si="23"/>
        <v>448950.74</v>
      </c>
      <c r="Q509" s="124">
        <f t="shared" si="2"/>
        <v>0.2600000001</v>
      </c>
      <c r="R509" s="52">
        <f t="array" ref="R509">IFERROR(INDEX('Fund YTD Target Values'!$1:$1000, MATCH($C509,'Fund YTD Target Values'!$A:$A,0), MATCH($A509,'Fund YTD Target Values'!$1:$1,0)),0)</f>
        <v>635486.6433</v>
      </c>
      <c r="S509" s="52">
        <f>IFERROR(__xludf.DUMMYFUNCTION("IFERROR(sum(FILTER('Fund Data'!$V:$V, 'Fund Data'!$C:$C = $C509, 'Fund Data'!$A:$A &lt; $A509)),0) + IFERROR(sum(FILTER('Fund Data'!$V:$V, 'Fund Data'!$C:$C = $C509, 'Fund Data'!$A:$A = $A509, 'Fund Data'!$B:$B &lt;= $B509)),0)"),429067.24)</f>
        <v>429067.24</v>
      </c>
      <c r="T509" s="123">
        <v>413959.0</v>
      </c>
      <c r="U509" s="44">
        <f t="shared" si="53"/>
        <v>15108.24</v>
      </c>
      <c r="V509" s="44">
        <f t="shared" si="3"/>
        <v>0</v>
      </c>
      <c r="W509" s="123"/>
      <c r="X509" s="123"/>
      <c r="Y509" s="123">
        <v>0.0</v>
      </c>
      <c r="Z509" s="123">
        <v>0.0</v>
      </c>
      <c r="AA509" s="123">
        <v>0.0</v>
      </c>
      <c r="AB509" s="123"/>
      <c r="AC509" s="123">
        <v>0.0</v>
      </c>
      <c r="AD509" s="44">
        <f t="shared" si="7"/>
        <v>-4000</v>
      </c>
      <c r="AE509" s="123">
        <v>0.0</v>
      </c>
    </row>
    <row r="510">
      <c r="A510" s="120">
        <v>2018.0</v>
      </c>
      <c r="B510" s="121">
        <v>4.0</v>
      </c>
      <c r="C510" s="122" t="s">
        <v>50</v>
      </c>
      <c r="D510" s="44"/>
      <c r="E510" s="123">
        <v>4606.88</v>
      </c>
      <c r="F510" s="44"/>
      <c r="G510" s="44"/>
      <c r="H510" s="123">
        <v>-910.54</v>
      </c>
      <c r="I510" s="44"/>
      <c r="J510" s="44"/>
      <c r="K510" s="44"/>
      <c r="L510" s="123">
        <v>-2579.68</v>
      </c>
      <c r="M510" s="44"/>
      <c r="N510" s="44"/>
      <c r="O510" s="123">
        <v>451872.0</v>
      </c>
      <c r="P510" s="52">
        <f t="shared" si="23"/>
        <v>451871.12</v>
      </c>
      <c r="Q510" s="124">
        <f t="shared" si="2"/>
        <v>0.8800000001</v>
      </c>
      <c r="R510" s="52">
        <f t="array" ref="R510">IFERROR(INDEX('Fund YTD Target Values'!$1:$1000, MATCH($C510,'Fund YTD Target Values'!$A:$A,0), MATCH($A510,'Fund YTD Target Values'!$1:$1,0)),0)</f>
        <v>635486.6433</v>
      </c>
      <c r="S510" s="52">
        <f>IFERROR(__xludf.DUMMYFUNCTION("IFERROR(sum(FILTER('Fund Data'!$V:$V, 'Fund Data'!$C:$C = $C510, 'Fund Data'!$A:$A &lt; $A510)),0) + IFERROR(sum(FILTER('Fund Data'!$V:$V, 'Fund Data'!$C:$C = $C510, 'Fund Data'!$A:$A = $A510, 'Fund Data'!$B:$B &lt;= $B510)),0)"),429067.24)</f>
        <v>429067.24</v>
      </c>
      <c r="T510" s="123">
        <v>413959.0</v>
      </c>
      <c r="U510" s="44">
        <f t="shared" si="53"/>
        <v>15108.24</v>
      </c>
      <c r="V510" s="44">
        <f t="shared" si="3"/>
        <v>0</v>
      </c>
      <c r="W510" s="123"/>
      <c r="X510" s="123"/>
      <c r="Y510" s="123">
        <v>0.0</v>
      </c>
      <c r="Z510" s="123">
        <v>0.0</v>
      </c>
      <c r="AA510" s="123">
        <v>0.0</v>
      </c>
      <c r="AB510" s="123"/>
      <c r="AC510" s="123">
        <v>0.0</v>
      </c>
      <c r="AD510" s="44">
        <f t="shared" si="7"/>
        <v>0</v>
      </c>
      <c r="AE510" s="123">
        <v>0.0</v>
      </c>
    </row>
    <row r="511">
      <c r="A511" s="120">
        <v>2018.0</v>
      </c>
      <c r="B511" s="121">
        <v>3.0</v>
      </c>
      <c r="C511" s="122" t="s">
        <v>50</v>
      </c>
      <c r="D511" s="44"/>
      <c r="E511" s="123">
        <v>3519.49</v>
      </c>
      <c r="F511" s="44"/>
      <c r="G511" s="44"/>
      <c r="H511" s="123">
        <v>-685.22</v>
      </c>
      <c r="I511" s="44"/>
      <c r="J511" s="44"/>
      <c r="K511" s="44"/>
      <c r="L511" s="123">
        <v>-2948.63</v>
      </c>
      <c r="M511" s="44"/>
      <c r="N511" s="44"/>
      <c r="O511" s="123">
        <v>450641.0</v>
      </c>
      <c r="P511" s="52">
        <f t="shared" si="23"/>
        <v>450640.1</v>
      </c>
      <c r="Q511" s="124">
        <f t="shared" si="2"/>
        <v>0.9000000001</v>
      </c>
      <c r="R511" s="52">
        <f t="array" ref="R511">IFERROR(INDEX('Fund YTD Target Values'!$1:$1000, MATCH($C511,'Fund YTD Target Values'!$A:$A,0), MATCH($A511,'Fund YTD Target Values'!$1:$1,0)),0)</f>
        <v>635486.6433</v>
      </c>
      <c r="S511" s="52">
        <f>IFERROR(__xludf.DUMMYFUNCTION("IFERROR(sum(FILTER('Fund Data'!$V:$V, 'Fund Data'!$C:$C = $C511, 'Fund Data'!$A:$A &lt; $A511)),0) + IFERROR(sum(FILTER('Fund Data'!$V:$V, 'Fund Data'!$C:$C = $C511, 'Fund Data'!$A:$A = $A511, 'Fund Data'!$B:$B &lt;= $B511)),0)"),429067.24)</f>
        <v>429067.24</v>
      </c>
      <c r="T511" s="123">
        <v>413959.0</v>
      </c>
      <c r="U511" s="44">
        <f t="shared" si="53"/>
        <v>15108.24</v>
      </c>
      <c r="V511" s="44">
        <f t="shared" si="3"/>
        <v>0</v>
      </c>
      <c r="W511" s="123"/>
      <c r="X511" s="123"/>
      <c r="Y511" s="123">
        <v>0.0</v>
      </c>
      <c r="Z511" s="123">
        <v>0.0</v>
      </c>
      <c r="AA511" s="123">
        <v>0.0</v>
      </c>
      <c r="AB511" s="123"/>
      <c r="AC511" s="123">
        <v>0.0</v>
      </c>
      <c r="AD511" s="44">
        <f t="shared" si="7"/>
        <v>0</v>
      </c>
      <c r="AE511" s="123">
        <v>0.0</v>
      </c>
    </row>
    <row r="512">
      <c r="A512" s="120">
        <v>2018.0</v>
      </c>
      <c r="B512" s="121">
        <v>2.0</v>
      </c>
      <c r="C512" s="122" t="s">
        <v>50</v>
      </c>
      <c r="D512" s="44"/>
      <c r="E512" s="123">
        <v>3122.89</v>
      </c>
      <c r="F512" s="44"/>
      <c r="G512" s="44"/>
      <c r="H512" s="123">
        <v>-1118.74</v>
      </c>
      <c r="I512" s="44"/>
      <c r="J512" s="44"/>
      <c r="K512" s="44"/>
      <c r="L512" s="123">
        <v>193.4</v>
      </c>
      <c r="M512" s="44"/>
      <c r="N512" s="44"/>
      <c r="O512" s="123">
        <v>452952.0</v>
      </c>
      <c r="P512" s="52">
        <f t="shared" si="23"/>
        <v>452952.01</v>
      </c>
      <c r="Q512" s="124">
        <f t="shared" si="2"/>
        <v>-0.009999999893</v>
      </c>
      <c r="R512" s="52">
        <f t="array" ref="R512">IFERROR(INDEX('Fund YTD Target Values'!$1:$1000, MATCH($C512,'Fund YTD Target Values'!$A:$A,0), MATCH($A512,'Fund YTD Target Values'!$1:$1,0)),0)</f>
        <v>635486.6433</v>
      </c>
      <c r="S512" s="52">
        <f>IFERROR(__xludf.DUMMYFUNCTION("IFERROR(sum(FILTER('Fund Data'!$V:$V, 'Fund Data'!$C:$C = $C512, 'Fund Data'!$A:$A &lt; $A512)),0) + IFERROR(sum(FILTER('Fund Data'!$V:$V, 'Fund Data'!$C:$C = $C512, 'Fund Data'!$A:$A = $A512, 'Fund Data'!$B:$B &lt;= $B512)),0)"),429067.24)</f>
        <v>429067.24</v>
      </c>
      <c r="T512" s="123">
        <v>413959.0</v>
      </c>
      <c r="U512" s="44">
        <f t="shared" si="53"/>
        <v>15108.24</v>
      </c>
      <c r="V512" s="44">
        <f t="shared" si="3"/>
        <v>0</v>
      </c>
      <c r="W512" s="123"/>
      <c r="X512" s="123"/>
      <c r="Y512" s="123">
        <v>0.0</v>
      </c>
      <c r="Z512" s="123">
        <v>0.0</v>
      </c>
      <c r="AA512" s="123">
        <v>0.0</v>
      </c>
      <c r="AB512" s="123"/>
      <c r="AC512" s="123">
        <v>0.0</v>
      </c>
      <c r="AD512" s="44">
        <f t="shared" si="7"/>
        <v>0</v>
      </c>
      <c r="AE512" s="123">
        <v>0.0</v>
      </c>
    </row>
    <row r="513">
      <c r="A513" s="120">
        <v>2018.0</v>
      </c>
      <c r="B513" s="121">
        <v>1.0</v>
      </c>
      <c r="C513" s="122" t="s">
        <v>50</v>
      </c>
      <c r="D513" s="44"/>
      <c r="E513" s="123">
        <v>2787.81</v>
      </c>
      <c r="F513" s="44"/>
      <c r="G513" s="44"/>
      <c r="H513" s="123">
        <v>-885.38</v>
      </c>
      <c r="I513" s="44"/>
      <c r="J513" s="44"/>
      <c r="K513" s="44"/>
      <c r="L513" s="123">
        <v>14070.71</v>
      </c>
      <c r="M513" s="44"/>
      <c r="N513" s="44"/>
      <c r="O513" s="123">
        <v>466728.0</v>
      </c>
      <c r="P513" s="52">
        <f t="shared" si="23"/>
        <v>466727.6</v>
      </c>
      <c r="Q513" s="124">
        <f t="shared" si="2"/>
        <v>0.4000000001</v>
      </c>
      <c r="R513" s="52">
        <f t="array" ref="R513">IFERROR(INDEX('Fund YTD Target Values'!$1:$1000, MATCH($C513,'Fund YTD Target Values'!$A:$A,0), MATCH($A513,'Fund YTD Target Values'!$1:$1,0)),0)</f>
        <v>635486.6433</v>
      </c>
      <c r="S513" s="52">
        <f>IFERROR(__xludf.DUMMYFUNCTION("IFERROR(sum(FILTER('Fund Data'!$V:$V, 'Fund Data'!$C:$C = $C513, 'Fund Data'!$A:$A &lt; $A513)),0) + IFERROR(sum(FILTER('Fund Data'!$V:$V, 'Fund Data'!$C:$C = $C513, 'Fund Data'!$A:$A = $A513, 'Fund Data'!$B:$B &lt;= $B513)),0)"),429067.24)</f>
        <v>429067.24</v>
      </c>
      <c r="T513" s="123">
        <v>413959.0</v>
      </c>
      <c r="U513" s="44">
        <f t="shared" si="53"/>
        <v>15108.24</v>
      </c>
      <c r="V513" s="44">
        <f t="shared" si="3"/>
        <v>0</v>
      </c>
      <c r="W513" s="123"/>
      <c r="X513" s="123"/>
      <c r="Y513" s="123">
        <v>0.0</v>
      </c>
      <c r="Z513" s="123">
        <v>0.0</v>
      </c>
      <c r="AA513" s="123">
        <v>0.0</v>
      </c>
      <c r="AB513" s="123"/>
      <c r="AC513" s="123">
        <v>0.0</v>
      </c>
      <c r="AD513" s="44">
        <f t="shared" si="7"/>
        <v>0</v>
      </c>
      <c r="AE513" s="123">
        <v>0.0</v>
      </c>
    </row>
    <row r="514">
      <c r="A514" s="120">
        <v>2017.0</v>
      </c>
      <c r="B514" s="121">
        <v>12.0</v>
      </c>
      <c r="C514" s="122" t="s">
        <v>50</v>
      </c>
      <c r="D514" s="44"/>
      <c r="E514" s="123">
        <v>9778.25</v>
      </c>
      <c r="F514" s="123">
        <v>-30000.0</v>
      </c>
      <c r="G514" s="123"/>
      <c r="H514" s="123">
        <v>-2663.76</v>
      </c>
      <c r="I514" s="44"/>
      <c r="J514" s="123">
        <v>7124.54</v>
      </c>
      <c r="K514" s="44"/>
      <c r="L514" s="123">
        <v>48105.01</v>
      </c>
      <c r="M514" s="44"/>
      <c r="N514" s="44"/>
      <c r="O514" s="123">
        <v>450755.0</v>
      </c>
      <c r="P514" s="52">
        <f t="shared" si="23"/>
        <v>450754.46</v>
      </c>
      <c r="Q514" s="124">
        <f t="shared" si="2"/>
        <v>0.5400000002</v>
      </c>
      <c r="R514" s="52">
        <f t="array" ref="R514">IFERROR(INDEX('Fund YTD Target Values'!$1:$1000, MATCH($C514,'Fund YTD Target Values'!$A:$A,0), MATCH($A514,'Fund YTD Target Values'!$1:$1,0)),0)</f>
        <v>620333.8441</v>
      </c>
      <c r="S514" s="52">
        <f>IFERROR(__xludf.DUMMYFUNCTION("IFERROR(sum(FILTER('Fund Data'!$V:$V, 'Fund Data'!$C:$C = $C514, 'Fund Data'!$A:$A &lt; $A514)),0) + IFERROR(sum(FILTER('Fund Data'!$V:$V, 'Fund Data'!$C:$C = $C514, 'Fund Data'!$A:$A = $A514, 'Fund Data'!$B:$B &lt;= $B514)),0)"),429067.24)</f>
        <v>429067.24</v>
      </c>
      <c r="T514" s="123">
        <v>413959.0</v>
      </c>
      <c r="U514" s="44">
        <f t="shared" si="53"/>
        <v>15108.24</v>
      </c>
      <c r="V514" s="44">
        <f t="shared" si="3"/>
        <v>0</v>
      </c>
      <c r="W514" s="123"/>
      <c r="X514" s="123"/>
      <c r="Y514" s="123">
        <v>0.0</v>
      </c>
      <c r="Z514" s="123">
        <v>0.0</v>
      </c>
      <c r="AA514" s="123">
        <v>0.0</v>
      </c>
      <c r="AB514" s="123"/>
      <c r="AC514" s="123">
        <v>0.0</v>
      </c>
      <c r="AD514" s="44">
        <f t="shared" si="7"/>
        <v>-30000</v>
      </c>
      <c r="AE514" s="123">
        <v>0.0</v>
      </c>
    </row>
    <row r="515">
      <c r="A515" s="120">
        <v>2017.0</v>
      </c>
      <c r="B515" s="121">
        <v>11.0</v>
      </c>
      <c r="C515" s="122" t="s">
        <v>50</v>
      </c>
      <c r="D515" s="44"/>
      <c r="E515" s="123">
        <v>9144.49</v>
      </c>
      <c r="F515" s="123">
        <v>-30000.0</v>
      </c>
      <c r="G515" s="44"/>
      <c r="H515" s="123">
        <v>-2439.62</v>
      </c>
      <c r="I515" s="44"/>
      <c r="J515" s="123">
        <v>7124.54</v>
      </c>
      <c r="K515" s="44"/>
      <c r="L515" s="123">
        <v>45938.96</v>
      </c>
      <c r="M515" s="44"/>
      <c r="N515" s="44"/>
      <c r="O515" s="123">
        <v>448179.0</v>
      </c>
      <c r="P515" s="52">
        <f t="shared" si="23"/>
        <v>448178.79</v>
      </c>
      <c r="Q515" s="124">
        <f t="shared" si="2"/>
        <v>0.2100000001</v>
      </c>
      <c r="R515" s="52">
        <f t="array" ref="R515">IFERROR(INDEX('Fund YTD Target Values'!$1:$1000, MATCH($C515,'Fund YTD Target Values'!$A:$A,0), MATCH($A515,'Fund YTD Target Values'!$1:$1,0)),0)</f>
        <v>620333.8441</v>
      </c>
      <c r="S515" s="52">
        <f>IFERROR(__xludf.DUMMYFUNCTION("IFERROR(sum(FILTER('Fund Data'!$V:$V, 'Fund Data'!$C:$C = $C515, 'Fund Data'!$A:$A &lt; $A515)),0) + IFERROR(sum(FILTER('Fund Data'!$V:$V, 'Fund Data'!$C:$C = $C515, 'Fund Data'!$A:$A = $A515, 'Fund Data'!$B:$B &lt;= $B515)),0)"),429067.24)</f>
        <v>429067.24</v>
      </c>
      <c r="T515" s="123">
        <v>413959.0</v>
      </c>
      <c r="U515" s="44">
        <f t="shared" si="53"/>
        <v>15108.24</v>
      </c>
      <c r="V515" s="44">
        <f t="shared" si="3"/>
        <v>0</v>
      </c>
      <c r="W515" s="123"/>
      <c r="X515" s="123"/>
      <c r="Y515" s="123">
        <v>0.0</v>
      </c>
      <c r="Z515" s="123">
        <v>0.0</v>
      </c>
      <c r="AA515" s="123">
        <v>0.0</v>
      </c>
      <c r="AB515" s="123"/>
      <c r="AC515" s="123">
        <v>0.0</v>
      </c>
      <c r="AD515" s="44">
        <f t="shared" si="7"/>
        <v>-30000</v>
      </c>
      <c r="AE515" s="123">
        <v>0.0</v>
      </c>
    </row>
    <row r="516">
      <c r="A516" s="120">
        <v>2017.0</v>
      </c>
      <c r="B516" s="121">
        <v>10.0</v>
      </c>
      <c r="C516" s="122" t="s">
        <v>50</v>
      </c>
      <c r="D516" s="44"/>
      <c r="E516" s="123">
        <v>8834.85</v>
      </c>
      <c r="F516" s="123">
        <v>-16900.0</v>
      </c>
      <c r="G516" s="44"/>
      <c r="H516" s="123">
        <v>-2211.42</v>
      </c>
      <c r="I516" s="44"/>
      <c r="J516" s="123">
        <v>2862.44</v>
      </c>
      <c r="K516" s="44"/>
      <c r="L516" s="123">
        <v>45237.26</v>
      </c>
      <c r="M516" s="44"/>
      <c r="N516" s="44"/>
      <c r="O516" s="123">
        <v>456234.0</v>
      </c>
      <c r="P516" s="52">
        <f t="shared" si="23"/>
        <v>456233.55</v>
      </c>
      <c r="Q516" s="124">
        <f t="shared" si="2"/>
        <v>0.4500000001</v>
      </c>
      <c r="R516" s="52">
        <f t="array" ref="R516">IFERROR(INDEX('Fund YTD Target Values'!$1:$1000, MATCH($C516,'Fund YTD Target Values'!$A:$A,0), MATCH($A516,'Fund YTD Target Values'!$1:$1,0)),0)</f>
        <v>620333.8441</v>
      </c>
      <c r="S516" s="52">
        <f>IFERROR(__xludf.DUMMYFUNCTION("IFERROR(sum(FILTER('Fund Data'!$V:$V, 'Fund Data'!$C:$C = $C516, 'Fund Data'!$A:$A &lt; $A516)),0) + IFERROR(sum(FILTER('Fund Data'!$V:$V, 'Fund Data'!$C:$C = $C516, 'Fund Data'!$A:$A = $A516, 'Fund Data'!$B:$B &lt;= $B516)),0)"),429067.24)</f>
        <v>429067.24</v>
      </c>
      <c r="T516" s="123">
        <v>413959.0</v>
      </c>
      <c r="U516" s="44">
        <f t="shared" si="53"/>
        <v>15108.24</v>
      </c>
      <c r="V516" s="44">
        <f t="shared" si="3"/>
        <v>0</v>
      </c>
      <c r="W516" s="123"/>
      <c r="X516" s="123"/>
      <c r="Y516" s="123">
        <v>0.0</v>
      </c>
      <c r="Z516" s="123">
        <v>0.0</v>
      </c>
      <c r="AA516" s="123">
        <v>0.0</v>
      </c>
      <c r="AB516" s="123"/>
      <c r="AC516" s="123">
        <v>0.0</v>
      </c>
      <c r="AD516" s="44">
        <f t="shared" si="7"/>
        <v>-16900</v>
      </c>
      <c r="AE516" s="123">
        <v>0.0</v>
      </c>
    </row>
    <row r="517">
      <c r="A517" s="120">
        <v>2017.0</v>
      </c>
      <c r="B517" s="121">
        <v>9.0</v>
      </c>
      <c r="C517" s="122" t="s">
        <v>50</v>
      </c>
      <c r="D517" s="44"/>
      <c r="E517" s="123">
        <v>7878.67</v>
      </c>
      <c r="F517" s="123">
        <v>-6900.0</v>
      </c>
      <c r="G517" s="44"/>
      <c r="H517" s="123">
        <v>-1981.64</v>
      </c>
      <c r="I517" s="44"/>
      <c r="J517" s="123">
        <v>2862.44</v>
      </c>
      <c r="K517" s="44"/>
      <c r="L517" s="123">
        <v>39279.56</v>
      </c>
      <c r="M517" s="44"/>
      <c r="N517" s="44"/>
      <c r="O517" s="123">
        <v>459550.0</v>
      </c>
      <c r="P517" s="52">
        <f t="shared" si="23"/>
        <v>459549.45</v>
      </c>
      <c r="Q517" s="124">
        <f t="shared" si="2"/>
        <v>0.5500000002</v>
      </c>
      <c r="R517" s="52">
        <f t="array" ref="R517">IFERROR(INDEX('Fund YTD Target Values'!$1:$1000, MATCH($C517,'Fund YTD Target Values'!$A:$A,0), MATCH($A517,'Fund YTD Target Values'!$1:$1,0)),0)</f>
        <v>620333.8441</v>
      </c>
      <c r="S517" s="52">
        <f>IFERROR(__xludf.DUMMYFUNCTION("IFERROR(sum(FILTER('Fund Data'!$V:$V, 'Fund Data'!$C:$C = $C517, 'Fund Data'!$A:$A &lt; $A517)),0) + IFERROR(sum(FILTER('Fund Data'!$V:$V, 'Fund Data'!$C:$C = $C517, 'Fund Data'!$A:$A = $A517, 'Fund Data'!$B:$B &lt;= $B517)),0)"),429067.24)</f>
        <v>429067.24</v>
      </c>
      <c r="T517" s="123">
        <v>413959.0</v>
      </c>
      <c r="U517" s="44">
        <f t="shared" si="53"/>
        <v>15108.24</v>
      </c>
      <c r="V517" s="44">
        <f t="shared" si="3"/>
        <v>0</v>
      </c>
      <c r="W517" s="123"/>
      <c r="X517" s="123"/>
      <c r="Y517" s="123">
        <v>0.0</v>
      </c>
      <c r="Z517" s="123">
        <v>0.0</v>
      </c>
      <c r="AA517" s="123">
        <v>0.0</v>
      </c>
      <c r="AB517" s="123"/>
      <c r="AC517" s="123">
        <v>0.0</v>
      </c>
      <c r="AD517" s="44">
        <f t="shared" si="7"/>
        <v>-6900</v>
      </c>
      <c r="AE517" s="123">
        <v>0.0</v>
      </c>
    </row>
    <row r="518">
      <c r="A518" s="120">
        <v>2017.0</v>
      </c>
      <c r="B518" s="121">
        <v>8.0</v>
      </c>
      <c r="C518" s="122" t="s">
        <v>50</v>
      </c>
      <c r="D518" s="44"/>
      <c r="E518" s="123">
        <v>7306.52</v>
      </c>
      <c r="F518" s="123">
        <v>-6900.0</v>
      </c>
      <c r="G518" s="44"/>
      <c r="H518" s="123">
        <v>-1754.29</v>
      </c>
      <c r="I518" s="44"/>
      <c r="J518" s="44"/>
      <c r="K518" s="44"/>
      <c r="L518" s="123">
        <v>37637.15</v>
      </c>
      <c r="M518" s="44"/>
      <c r="N518" s="44"/>
      <c r="O518" s="123">
        <v>454700.0</v>
      </c>
      <c r="P518" s="52">
        <f t="shared" si="23"/>
        <v>454699.8</v>
      </c>
      <c r="Q518" s="124">
        <f t="shared" si="2"/>
        <v>0.2000000001</v>
      </c>
      <c r="R518" s="52">
        <f t="array" ref="R518">IFERROR(INDEX('Fund YTD Target Values'!$1:$1000, MATCH($C518,'Fund YTD Target Values'!$A:$A,0), MATCH($A518,'Fund YTD Target Values'!$1:$1,0)),0)</f>
        <v>620333.8441</v>
      </c>
      <c r="S518" s="52">
        <f>IFERROR(__xludf.DUMMYFUNCTION("IFERROR(sum(FILTER('Fund Data'!$V:$V, 'Fund Data'!$C:$C = $C518, 'Fund Data'!$A:$A &lt; $A518)),0) + IFERROR(sum(FILTER('Fund Data'!$V:$V, 'Fund Data'!$C:$C = $C518, 'Fund Data'!$A:$A = $A518, 'Fund Data'!$B:$B &lt;= $B518)),0)"),429067.24)</f>
        <v>429067.24</v>
      </c>
      <c r="T518" s="123">
        <v>413959.0</v>
      </c>
      <c r="U518" s="44">
        <f t="shared" si="53"/>
        <v>15108.24</v>
      </c>
      <c r="V518" s="44">
        <f t="shared" si="3"/>
        <v>0</v>
      </c>
      <c r="W518" s="123"/>
      <c r="X518" s="123"/>
      <c r="Y518" s="123">
        <v>0.0</v>
      </c>
      <c r="Z518" s="123">
        <v>0.0</v>
      </c>
      <c r="AA518" s="123">
        <v>0.0</v>
      </c>
      <c r="AB518" s="123"/>
      <c r="AC518" s="123">
        <v>0.0</v>
      </c>
      <c r="AD518" s="44">
        <f t="shared" si="7"/>
        <v>-6900</v>
      </c>
      <c r="AE518" s="123">
        <v>0.0</v>
      </c>
    </row>
    <row r="519">
      <c r="A519" s="120">
        <v>2017.0</v>
      </c>
      <c r="B519" s="121">
        <v>7.0</v>
      </c>
      <c r="C519" s="122" t="s">
        <v>50</v>
      </c>
      <c r="D519" s="44"/>
      <c r="E519" s="123">
        <v>6995.54</v>
      </c>
      <c r="F519" s="123">
        <v>-5000.0</v>
      </c>
      <c r="G519" s="44"/>
      <c r="H519" s="123">
        <v>-1526.63</v>
      </c>
      <c r="I519" s="44"/>
      <c r="J519" s="44"/>
      <c r="K519" s="44"/>
      <c r="L519" s="123">
        <v>36450.84</v>
      </c>
      <c r="M519" s="44"/>
      <c r="N519" s="44"/>
      <c r="O519" s="123">
        <v>455331.0</v>
      </c>
      <c r="P519" s="52">
        <f t="shared" si="23"/>
        <v>455330.17</v>
      </c>
      <c r="Q519" s="124">
        <f t="shared" si="2"/>
        <v>0.8300000001</v>
      </c>
      <c r="R519" s="52">
        <f t="array" ref="R519">IFERROR(INDEX('Fund YTD Target Values'!$1:$1000, MATCH($C519,'Fund YTD Target Values'!$A:$A,0), MATCH($A519,'Fund YTD Target Values'!$1:$1,0)),0)</f>
        <v>620333.8441</v>
      </c>
      <c r="S519" s="52">
        <f>IFERROR(__xludf.DUMMYFUNCTION("IFERROR(sum(FILTER('Fund Data'!$V:$V, 'Fund Data'!$C:$C = $C519, 'Fund Data'!$A:$A &lt; $A519)),0) + IFERROR(sum(FILTER('Fund Data'!$V:$V, 'Fund Data'!$C:$C = $C519, 'Fund Data'!$A:$A = $A519, 'Fund Data'!$B:$B &lt;= $B519)),0)"),429067.24)</f>
        <v>429067.24</v>
      </c>
      <c r="T519" s="123">
        <v>413959.0</v>
      </c>
      <c r="U519" s="44">
        <f t="shared" si="53"/>
        <v>15108.24</v>
      </c>
      <c r="V519" s="44">
        <f t="shared" si="3"/>
        <v>0</v>
      </c>
      <c r="W519" s="123"/>
      <c r="X519" s="123"/>
      <c r="Y519" s="123">
        <v>0.0</v>
      </c>
      <c r="Z519" s="123">
        <v>0.0</v>
      </c>
      <c r="AA519" s="123">
        <v>0.0</v>
      </c>
      <c r="AB519" s="123"/>
      <c r="AC519" s="123">
        <v>0.0</v>
      </c>
      <c r="AD519" s="44">
        <f t="shared" si="7"/>
        <v>-5000</v>
      </c>
      <c r="AE519" s="123">
        <v>0.0</v>
      </c>
    </row>
    <row r="520">
      <c r="A520" s="120">
        <v>2017.0</v>
      </c>
      <c r="B520" s="121">
        <v>6.0</v>
      </c>
      <c r="C520" s="122" t="s">
        <v>50</v>
      </c>
      <c r="D520" s="44"/>
      <c r="E520" s="123">
        <v>5567.76</v>
      </c>
      <c r="F520" s="123">
        <v>-5000.0</v>
      </c>
      <c r="G520" s="44"/>
      <c r="H520" s="123">
        <v>-1304.26</v>
      </c>
      <c r="I520" s="44"/>
      <c r="J520" s="44"/>
      <c r="K520" s="44"/>
      <c r="L520" s="123">
        <v>27069.65</v>
      </c>
      <c r="M520" s="44"/>
      <c r="N520" s="44"/>
      <c r="O520" s="123">
        <v>444744.0</v>
      </c>
      <c r="P520" s="52">
        <f t="shared" si="23"/>
        <v>444743.57</v>
      </c>
      <c r="Q520" s="124">
        <f t="shared" si="2"/>
        <v>0.4300000001</v>
      </c>
      <c r="R520" s="52">
        <f t="array" ref="R520">IFERROR(INDEX('Fund YTD Target Values'!$1:$1000, MATCH($C520,'Fund YTD Target Values'!$A:$A,0), MATCH($A520,'Fund YTD Target Values'!$1:$1,0)),0)</f>
        <v>620333.8441</v>
      </c>
      <c r="S520" s="52">
        <f>IFERROR(__xludf.DUMMYFUNCTION("IFERROR(sum(FILTER('Fund Data'!$V:$V, 'Fund Data'!$C:$C = $C520, 'Fund Data'!$A:$A &lt; $A520)),0) + IFERROR(sum(FILTER('Fund Data'!$V:$V, 'Fund Data'!$C:$C = $C520, 'Fund Data'!$A:$A = $A520, 'Fund Data'!$B:$B &lt;= $B520)),0)"),429067.24)</f>
        <v>429067.24</v>
      </c>
      <c r="T520" s="123">
        <v>413959.0</v>
      </c>
      <c r="U520" s="44">
        <f t="shared" si="53"/>
        <v>15108.24</v>
      </c>
      <c r="V520" s="44">
        <f t="shared" si="3"/>
        <v>0</v>
      </c>
      <c r="W520" s="123"/>
      <c r="X520" s="123"/>
      <c r="Y520" s="123">
        <v>0.0</v>
      </c>
      <c r="Z520" s="123">
        <v>0.0</v>
      </c>
      <c r="AA520" s="123">
        <v>0.0</v>
      </c>
      <c r="AB520" s="123"/>
      <c r="AC520" s="123">
        <v>0.0</v>
      </c>
      <c r="AD520" s="44">
        <f t="shared" si="7"/>
        <v>-5000</v>
      </c>
      <c r="AE520" s="123">
        <v>0.0</v>
      </c>
    </row>
    <row r="521">
      <c r="A521" s="168">
        <v>2017.0</v>
      </c>
      <c r="B521" s="169">
        <v>5.0</v>
      </c>
      <c r="C521" s="122" t="s">
        <v>50</v>
      </c>
      <c r="D521" s="44"/>
      <c r="E521" s="123">
        <v>5269.41</v>
      </c>
      <c r="F521" s="123">
        <v>-5000.0</v>
      </c>
      <c r="G521" s="44"/>
      <c r="H521" s="123">
        <v>-1082.41</v>
      </c>
      <c r="I521" s="44"/>
      <c r="J521" s="44"/>
      <c r="K521" s="44"/>
      <c r="L521" s="123">
        <v>26105.0</v>
      </c>
      <c r="M521" s="44"/>
      <c r="N521" s="44"/>
      <c r="O521" s="123">
        <v>443703.0</v>
      </c>
      <c r="P521" s="52">
        <f t="shared" si="23"/>
        <v>443702.42</v>
      </c>
      <c r="Q521" s="124">
        <f t="shared" si="2"/>
        <v>0.5800000001</v>
      </c>
      <c r="R521" s="52">
        <f t="array" ref="R521">IFERROR(INDEX('Fund YTD Target Values'!$1:$1000, MATCH($C521,'Fund YTD Target Values'!$A:$A,0), MATCH($A521,'Fund YTD Target Values'!$1:$1,0)),0)</f>
        <v>620333.8441</v>
      </c>
      <c r="S521" s="52">
        <f>IFERROR(__xludf.DUMMYFUNCTION("IFERROR(sum(FILTER('Fund Data'!$V:$V, 'Fund Data'!$C:$C = $C521, 'Fund Data'!$A:$A &lt; $A521)),0) + IFERROR(sum(FILTER('Fund Data'!$V:$V, 'Fund Data'!$C:$C = $C521, 'Fund Data'!$A:$A = $A521, 'Fund Data'!$B:$B &lt;= $B521)),0)"),429067.24)</f>
        <v>429067.24</v>
      </c>
      <c r="T521" s="123">
        <v>413959.0</v>
      </c>
      <c r="U521" s="44">
        <f t="shared" si="53"/>
        <v>15108.24</v>
      </c>
      <c r="V521" s="44">
        <f t="shared" si="3"/>
        <v>0</v>
      </c>
      <c r="W521" s="123"/>
      <c r="X521" s="123"/>
      <c r="Y521" s="123">
        <v>0.0</v>
      </c>
      <c r="Z521" s="123">
        <v>0.0</v>
      </c>
      <c r="AA521" s="123">
        <v>0.0</v>
      </c>
      <c r="AB521" s="123"/>
      <c r="AC521" s="123">
        <v>0.0</v>
      </c>
      <c r="AD521" s="44">
        <f t="shared" si="7"/>
        <v>-5000</v>
      </c>
      <c r="AE521" s="123">
        <v>0.0</v>
      </c>
    </row>
    <row r="522">
      <c r="A522" s="120">
        <v>2017.0</v>
      </c>
      <c r="B522" s="121">
        <v>4.0</v>
      </c>
      <c r="C522" s="122" t="s">
        <v>50</v>
      </c>
      <c r="D522" s="44"/>
      <c r="E522" s="123">
        <v>4981.32</v>
      </c>
      <c r="F522" s="44"/>
      <c r="G522" s="44"/>
      <c r="H522" s="123">
        <v>-860.59</v>
      </c>
      <c r="I522" s="44"/>
      <c r="J522" s="44"/>
      <c r="K522" s="44"/>
      <c r="L522" s="123">
        <v>21103.78</v>
      </c>
      <c r="M522" s="44"/>
      <c r="N522" s="44"/>
      <c r="O522" s="123">
        <v>443635.0</v>
      </c>
      <c r="P522" s="52">
        <f t="shared" si="23"/>
        <v>443634.93</v>
      </c>
      <c r="Q522" s="124">
        <f t="shared" si="2"/>
        <v>0.07000000012</v>
      </c>
      <c r="R522" s="52">
        <f t="array" ref="R522">IFERROR(INDEX('Fund YTD Target Values'!$1:$1000, MATCH($C522,'Fund YTD Target Values'!$A:$A,0), MATCH($A522,'Fund YTD Target Values'!$1:$1,0)),0)</f>
        <v>620333.8441</v>
      </c>
      <c r="S522" s="52">
        <f>IFERROR(__xludf.DUMMYFUNCTION("IFERROR(sum(FILTER('Fund Data'!$V:$V, 'Fund Data'!$C:$C = $C522, 'Fund Data'!$A:$A &lt; $A522)),0) + IFERROR(sum(FILTER('Fund Data'!$V:$V, 'Fund Data'!$C:$C = $C522, 'Fund Data'!$A:$A = $A522, 'Fund Data'!$B:$B &lt;= $B522)),0)"),429067.24)</f>
        <v>429067.24</v>
      </c>
      <c r="T522" s="123">
        <v>413959.0</v>
      </c>
      <c r="U522" s="44">
        <f t="shared" si="53"/>
        <v>15108.24</v>
      </c>
      <c r="V522" s="44">
        <f t="shared" si="3"/>
        <v>0</v>
      </c>
      <c r="W522" s="123"/>
      <c r="X522" s="123"/>
      <c r="Y522" s="123">
        <v>0.0</v>
      </c>
      <c r="Z522" s="123">
        <v>0.0</v>
      </c>
      <c r="AA522" s="123">
        <v>0.0</v>
      </c>
      <c r="AB522" s="123"/>
      <c r="AC522" s="123">
        <v>0.0</v>
      </c>
      <c r="AD522" s="44">
        <f t="shared" si="7"/>
        <v>0</v>
      </c>
      <c r="AE522" s="123">
        <v>0.0</v>
      </c>
    </row>
    <row r="523">
      <c r="A523" s="120">
        <v>2017.0</v>
      </c>
      <c r="B523" s="121">
        <v>3.0</v>
      </c>
      <c r="C523" s="122" t="s">
        <v>50</v>
      </c>
      <c r="D523" s="44"/>
      <c r="E523" s="123">
        <v>3769.61</v>
      </c>
      <c r="F523" s="44"/>
      <c r="G523" s="44"/>
      <c r="H523" s="123">
        <v>-641.49</v>
      </c>
      <c r="I523" s="44"/>
      <c r="J523" s="44"/>
      <c r="K523" s="44"/>
      <c r="L523" s="123">
        <v>16664.49</v>
      </c>
      <c r="M523" s="44"/>
      <c r="N523" s="44"/>
      <c r="O523" s="123">
        <v>438203.0</v>
      </c>
      <c r="P523" s="52">
        <f t="shared" si="23"/>
        <v>438203.03</v>
      </c>
      <c r="Q523" s="124">
        <f t="shared" si="2"/>
        <v>-0.02999999985</v>
      </c>
      <c r="R523" s="52">
        <f t="array" ref="R523">IFERROR(INDEX('Fund YTD Target Values'!$1:$1000, MATCH($C523,'Fund YTD Target Values'!$A:$A,0), MATCH($A523,'Fund YTD Target Values'!$1:$1,0)),0)</f>
        <v>620333.8441</v>
      </c>
      <c r="S523" s="52">
        <f>IFERROR(__xludf.DUMMYFUNCTION("IFERROR(sum(FILTER('Fund Data'!$V:$V, 'Fund Data'!$C:$C = $C523, 'Fund Data'!$A:$A &lt; $A523)),0) + IFERROR(sum(FILTER('Fund Data'!$V:$V, 'Fund Data'!$C:$C = $C523, 'Fund Data'!$A:$A = $A523, 'Fund Data'!$B:$B &lt;= $B523)),0)"),429067.24)</f>
        <v>429067.24</v>
      </c>
      <c r="T523" s="123">
        <v>413959.0</v>
      </c>
      <c r="U523" s="44">
        <f t="shared" si="53"/>
        <v>15108.24</v>
      </c>
      <c r="V523" s="44">
        <f t="shared" si="3"/>
        <v>0</v>
      </c>
      <c r="W523" s="123"/>
      <c r="X523" s="123"/>
      <c r="Y523" s="123">
        <v>0.0</v>
      </c>
      <c r="Z523" s="123">
        <v>0.0</v>
      </c>
      <c r="AA523" s="123">
        <v>0.0</v>
      </c>
      <c r="AB523" s="123"/>
      <c r="AC523" s="123">
        <v>0.0</v>
      </c>
      <c r="AD523" s="44">
        <f t="shared" si="7"/>
        <v>0</v>
      </c>
      <c r="AE523" s="123">
        <v>0.0</v>
      </c>
    </row>
    <row r="524">
      <c r="A524" s="168">
        <v>2017.0</v>
      </c>
      <c r="B524" s="169">
        <v>2.0</v>
      </c>
      <c r="C524" s="122" t="s">
        <v>50</v>
      </c>
      <c r="D524" s="44"/>
      <c r="E524" s="123">
        <v>3476.9</v>
      </c>
      <c r="F524" s="44"/>
      <c r="G524" s="44"/>
      <c r="H524" s="123">
        <v>-423.2</v>
      </c>
      <c r="I524" s="44"/>
      <c r="J524" s="44"/>
      <c r="K524" s="44"/>
      <c r="L524" s="123">
        <v>15103.56</v>
      </c>
      <c r="M524" s="44"/>
      <c r="N524" s="44"/>
      <c r="O524" s="123">
        <v>436568.0</v>
      </c>
      <c r="P524" s="52">
        <f t="shared" si="23"/>
        <v>436567.68</v>
      </c>
      <c r="Q524" s="124">
        <f t="shared" si="2"/>
        <v>0.3200000001</v>
      </c>
      <c r="R524" s="52">
        <f t="array" ref="R524">IFERROR(INDEX('Fund YTD Target Values'!$1:$1000, MATCH($C524,'Fund YTD Target Values'!$A:$A,0), MATCH($A524,'Fund YTD Target Values'!$1:$1,0)),0)</f>
        <v>620333.8441</v>
      </c>
      <c r="S524" s="52">
        <f>IFERROR(__xludf.DUMMYFUNCTION("IFERROR(sum(FILTER('Fund Data'!$V:$V, 'Fund Data'!$C:$C = $C524, 'Fund Data'!$A:$A &lt; $A524)),0) + IFERROR(sum(FILTER('Fund Data'!$V:$V, 'Fund Data'!$C:$C = $C524, 'Fund Data'!$A:$A = $A524, 'Fund Data'!$B:$B &lt;= $B524)),0)"),429067.24)</f>
        <v>429067.24</v>
      </c>
      <c r="T524" s="123">
        <v>413959.0</v>
      </c>
      <c r="U524" s="44">
        <f t="shared" si="53"/>
        <v>15108.24</v>
      </c>
      <c r="V524" s="44">
        <f t="shared" si="3"/>
        <v>0</v>
      </c>
      <c r="W524" s="123"/>
      <c r="X524" s="123"/>
      <c r="Y524" s="123">
        <v>0.0</v>
      </c>
      <c r="Z524" s="123">
        <v>0.0</v>
      </c>
      <c r="AA524" s="123">
        <v>0.0</v>
      </c>
      <c r="AB524" s="123"/>
      <c r="AC524" s="123">
        <v>0.0</v>
      </c>
      <c r="AD524" s="44">
        <f t="shared" si="7"/>
        <v>0</v>
      </c>
      <c r="AE524" s="123">
        <v>0.0</v>
      </c>
    </row>
    <row r="525">
      <c r="A525" s="168">
        <v>2017.0</v>
      </c>
      <c r="B525" s="169">
        <v>1.0</v>
      </c>
      <c r="C525" s="122" t="s">
        <v>50</v>
      </c>
      <c r="D525" s="44"/>
      <c r="E525" s="123">
        <v>3175.34</v>
      </c>
      <c r="F525" s="44"/>
      <c r="G525" s="44"/>
      <c r="H525" s="123">
        <v>-209.21</v>
      </c>
      <c r="I525" s="44"/>
      <c r="J525" s="44"/>
      <c r="K525" s="44"/>
      <c r="L525" s="123">
        <v>6602.74</v>
      </c>
      <c r="M525" s="44"/>
      <c r="N525" s="44"/>
      <c r="O525" s="123">
        <v>427980.0</v>
      </c>
      <c r="P525" s="52">
        <f t="shared" si="23"/>
        <v>427979.29</v>
      </c>
      <c r="Q525" s="124">
        <f t="shared" si="2"/>
        <v>0.7100000001</v>
      </c>
      <c r="R525" s="52">
        <f t="array" ref="R525">IFERROR(INDEX('Fund YTD Target Values'!$1:$1000, MATCH($C525,'Fund YTD Target Values'!$A:$A,0), MATCH($A525,'Fund YTD Target Values'!$1:$1,0)),0)</f>
        <v>620333.8441</v>
      </c>
      <c r="S525" s="52">
        <f>IFERROR(__xludf.DUMMYFUNCTION("IFERROR(sum(FILTER('Fund Data'!$V:$V, 'Fund Data'!$C:$C = $C525, 'Fund Data'!$A:$A &lt; $A525)),0) + IFERROR(sum(FILTER('Fund Data'!$V:$V, 'Fund Data'!$C:$C = $C525, 'Fund Data'!$A:$A = $A525, 'Fund Data'!$B:$B &lt;= $B525)),0)"),429067.24)</f>
        <v>429067.24</v>
      </c>
      <c r="T525" s="123">
        <v>413959.0</v>
      </c>
      <c r="U525" s="44">
        <f t="shared" si="53"/>
        <v>15108.24</v>
      </c>
      <c r="V525" s="44">
        <f t="shared" si="3"/>
        <v>0</v>
      </c>
      <c r="W525" s="123"/>
      <c r="X525" s="123"/>
      <c r="Y525" s="123">
        <v>0.0</v>
      </c>
      <c r="Z525" s="123">
        <v>0.0</v>
      </c>
      <c r="AA525" s="123">
        <v>0.0</v>
      </c>
      <c r="AB525" s="123"/>
      <c r="AC525" s="123">
        <v>0.0</v>
      </c>
      <c r="AD525" s="44">
        <f t="shared" si="7"/>
        <v>0</v>
      </c>
      <c r="AE525" s="123">
        <v>0.0</v>
      </c>
    </row>
    <row r="526">
      <c r="A526" s="120">
        <v>2016.0</v>
      </c>
      <c r="B526" s="121">
        <v>12.0</v>
      </c>
      <c r="C526" s="122" t="s">
        <v>50</v>
      </c>
      <c r="D526" s="44"/>
      <c r="E526" s="123">
        <v>9210.1</v>
      </c>
      <c r="F526" s="123">
        <v>-25000.0</v>
      </c>
      <c r="G526" s="123"/>
      <c r="H526" s="123">
        <v>-2532.51</v>
      </c>
      <c r="I526" s="44"/>
      <c r="J526" s="123">
        <v>4623.47</v>
      </c>
      <c r="K526" s="44"/>
      <c r="L526" s="123">
        <v>14208.38</v>
      </c>
      <c r="M526" s="44"/>
      <c r="N526" s="44"/>
      <c r="O526" s="123">
        <v>418411.0</v>
      </c>
      <c r="P526" s="52">
        <f t="shared" si="23"/>
        <v>418410.42</v>
      </c>
      <c r="Q526" s="124">
        <f t="shared" si="2"/>
        <v>0.5800000001</v>
      </c>
      <c r="R526" s="52">
        <f t="array" ref="R526">IFERROR(INDEX('Fund YTD Target Values'!$1:$1000, MATCH($C526,'Fund YTD Target Values'!$A:$A,0), MATCH($A526,'Fund YTD Target Values'!$1:$1,0)),0)</f>
        <v>607386.6986</v>
      </c>
      <c r="S526" s="52">
        <f>IFERROR(__xludf.DUMMYFUNCTION("IFERROR(sum(FILTER('Fund Data'!$V:$V, 'Fund Data'!$C:$C = $C526, 'Fund Data'!$A:$A &lt; $A526)),0) + IFERROR(sum(FILTER('Fund Data'!$V:$V, 'Fund Data'!$C:$C = $C526, 'Fund Data'!$A:$A = $A526, 'Fund Data'!$B:$B &lt;= $B526)),0)"),429067.24)</f>
        <v>429067.24</v>
      </c>
      <c r="T526" s="123">
        <v>413959.0</v>
      </c>
      <c r="U526" s="44">
        <f t="shared" si="53"/>
        <v>15108.24</v>
      </c>
      <c r="V526" s="44">
        <f t="shared" si="3"/>
        <v>0</v>
      </c>
      <c r="W526" s="123"/>
      <c r="X526" s="123"/>
      <c r="Y526" s="123">
        <v>0.0</v>
      </c>
      <c r="Z526" s="123">
        <v>0.0</v>
      </c>
      <c r="AA526" s="123">
        <v>0.0</v>
      </c>
      <c r="AB526" s="123"/>
      <c r="AC526" s="123">
        <v>0.0</v>
      </c>
      <c r="AD526" s="44">
        <f t="shared" si="7"/>
        <v>-25000</v>
      </c>
      <c r="AE526" s="123">
        <v>0.0</v>
      </c>
    </row>
    <row r="527">
      <c r="A527" s="120">
        <v>2015.0</v>
      </c>
      <c r="B527" s="121">
        <v>12.0</v>
      </c>
      <c r="C527" s="122" t="s">
        <v>50</v>
      </c>
      <c r="D527" s="44"/>
      <c r="E527" s="123">
        <v>10556.65</v>
      </c>
      <c r="F527" s="123">
        <v>-30000.0</v>
      </c>
      <c r="G527" s="123"/>
      <c r="H527" s="123">
        <v>-2679.7</v>
      </c>
      <c r="I527" s="44"/>
      <c r="J527" s="123">
        <v>4871.5</v>
      </c>
      <c r="K527" s="44"/>
      <c r="L527" s="123">
        <v>-23749.92</v>
      </c>
      <c r="M527" s="44"/>
      <c r="N527" s="44"/>
      <c r="O527" s="123">
        <v>417901.0</v>
      </c>
      <c r="P527" s="52">
        <f t="shared" si="23"/>
        <v>417900.98</v>
      </c>
      <c r="Q527" s="124">
        <f t="shared" si="2"/>
        <v>0.02000000014</v>
      </c>
      <c r="R527" s="52">
        <f t="array" ref="R527">IFERROR(INDEX('Fund YTD Target Values'!$1:$1000, MATCH($C527,'Fund YTD Target Values'!$A:$A,0), MATCH($A527,'Fund YTD Target Values'!$1:$1,0)),0)</f>
        <v>599817.933</v>
      </c>
      <c r="S527" s="52">
        <f>IFERROR(__xludf.DUMMYFUNCTION("IFERROR(sum(FILTER('Fund Data'!$V:$V, 'Fund Data'!$C:$C = $C527, 'Fund Data'!$A:$A &lt; $A527)),0) + IFERROR(sum(FILTER('Fund Data'!$V:$V, 'Fund Data'!$C:$C = $C527, 'Fund Data'!$A:$A = $A527, 'Fund Data'!$B:$B &lt;= $B527)),0)"),429067.24)</f>
        <v>429067.24</v>
      </c>
      <c r="T527" s="123">
        <v>413959.0</v>
      </c>
      <c r="U527" s="44">
        <f t="shared" si="53"/>
        <v>15108.24</v>
      </c>
      <c r="V527" s="44">
        <f t="shared" si="3"/>
        <v>0</v>
      </c>
      <c r="W527" s="123"/>
      <c r="X527" s="123"/>
      <c r="Y527" s="123">
        <v>0.0</v>
      </c>
      <c r="Z527" s="123">
        <v>0.0</v>
      </c>
      <c r="AA527" s="123">
        <v>0.0</v>
      </c>
      <c r="AB527" s="123"/>
      <c r="AC527" s="123">
        <v>0.0</v>
      </c>
      <c r="AD527" s="44">
        <f t="shared" si="7"/>
        <v>-30000</v>
      </c>
      <c r="AE527" s="123">
        <v>0.0</v>
      </c>
    </row>
    <row r="528">
      <c r="A528" s="120">
        <v>2014.0</v>
      </c>
      <c r="B528" s="121">
        <v>12.0</v>
      </c>
      <c r="C528" s="122" t="s">
        <v>50</v>
      </c>
      <c r="D528" s="44"/>
      <c r="E528" s="123">
        <v>8951.13</v>
      </c>
      <c r="F528" s="123">
        <v>-24000.0</v>
      </c>
      <c r="G528" s="123"/>
      <c r="H528" s="123">
        <v>-2872.76</v>
      </c>
      <c r="I528" s="44"/>
      <c r="J528" s="123">
        <v>3134.1</v>
      </c>
      <c r="K528" s="44"/>
      <c r="L528" s="123">
        <v>-782.25</v>
      </c>
      <c r="M528" s="44"/>
      <c r="N528" s="44"/>
      <c r="O528" s="123">
        <v>458903.0</v>
      </c>
      <c r="P528" s="52">
        <f t="shared" si="23"/>
        <v>458902.45</v>
      </c>
      <c r="Q528" s="124">
        <f t="shared" si="2"/>
        <v>0.5500000001</v>
      </c>
      <c r="R528" s="52">
        <f t="array" ref="R528">IFERROR(INDEX('Fund YTD Target Values'!$1:$1000, MATCH($C528,'Fund YTD Target Values'!$A:$A,0), MATCH($A528,'Fund YTD Target Values'!$1:$1,0)),0)</f>
        <v>599105.5991</v>
      </c>
      <c r="S528" s="52">
        <f>IFERROR(__xludf.DUMMYFUNCTION("IFERROR(sum(FILTER('Fund Data'!$V:$V, 'Fund Data'!$C:$C = $C528, 'Fund Data'!$A:$A &lt; $A528)),0) + IFERROR(sum(FILTER('Fund Data'!$V:$V, 'Fund Data'!$C:$C = $C528, 'Fund Data'!$A:$A = $A528, 'Fund Data'!$B:$B &lt;= $B528)),0)"),429067.24)</f>
        <v>429067.24</v>
      </c>
      <c r="T528" s="123">
        <v>413959.0</v>
      </c>
      <c r="U528" s="44">
        <f t="shared" si="53"/>
        <v>15108.24</v>
      </c>
      <c r="V528" s="44">
        <f t="shared" si="3"/>
        <v>0</v>
      </c>
      <c r="W528" s="123"/>
      <c r="X528" s="123"/>
      <c r="Y528" s="123">
        <v>0.0</v>
      </c>
      <c r="Z528" s="123">
        <v>0.0</v>
      </c>
      <c r="AA528" s="123">
        <v>0.0</v>
      </c>
      <c r="AB528" s="123"/>
      <c r="AC528" s="123">
        <v>0.0</v>
      </c>
      <c r="AD528" s="44">
        <f t="shared" si="7"/>
        <v>-24000</v>
      </c>
      <c r="AE528" s="123">
        <v>0.0</v>
      </c>
    </row>
    <row r="529">
      <c r="A529" s="120">
        <v>2013.0</v>
      </c>
      <c r="B529" s="121">
        <v>12.0</v>
      </c>
      <c r="C529" s="122" t="s">
        <v>50</v>
      </c>
      <c r="D529" s="44"/>
      <c r="E529" s="123">
        <v>9462.55</v>
      </c>
      <c r="F529" s="123">
        <v>-27000.0</v>
      </c>
      <c r="G529" s="123"/>
      <c r="H529" s="123">
        <v>-2758.94</v>
      </c>
      <c r="I529" s="44"/>
      <c r="J529" s="123">
        <v>4650.39</v>
      </c>
      <c r="K529" s="44"/>
      <c r="L529" s="123">
        <v>36286.51</v>
      </c>
      <c r="M529" s="44"/>
      <c r="N529" s="44"/>
      <c r="O529" s="123">
        <v>474473.0</v>
      </c>
      <c r="P529" s="52">
        <f t="shared" si="23"/>
        <v>474472.23</v>
      </c>
      <c r="Q529" s="124">
        <f t="shared" si="2"/>
        <v>0.7700000001</v>
      </c>
      <c r="R529" s="52">
        <f t="array" ref="R529">IFERROR(INDEX('Fund YTD Target Values'!$1:$1000, MATCH($C529,'Fund YTD Target Values'!$A:$A,0), MATCH($A529,'Fund YTD Target Values'!$1:$1,0)),0)</f>
        <v>589543.7605</v>
      </c>
      <c r="S529" s="52">
        <f>IFERROR(__xludf.DUMMYFUNCTION("IFERROR(sum(FILTER('Fund Data'!$V:$V, 'Fund Data'!$C:$C = $C529, 'Fund Data'!$A:$A &lt; $A529)),0) + IFERROR(sum(FILTER('Fund Data'!$V:$V, 'Fund Data'!$C:$C = $C529, 'Fund Data'!$A:$A = $A529, 'Fund Data'!$B:$B &lt;= $B529)),0)"),429067.24)</f>
        <v>429067.24</v>
      </c>
      <c r="T529" s="123">
        <v>413959.0</v>
      </c>
      <c r="U529" s="44">
        <f t="shared" si="53"/>
        <v>15108.24</v>
      </c>
      <c r="V529" s="44">
        <f t="shared" si="3"/>
        <v>0</v>
      </c>
      <c r="W529" s="123"/>
      <c r="X529" s="123"/>
      <c r="Y529" s="123">
        <v>0.0</v>
      </c>
      <c r="Z529" s="123">
        <v>0.0</v>
      </c>
      <c r="AA529" s="123">
        <v>0.0</v>
      </c>
      <c r="AB529" s="123"/>
      <c r="AC529" s="123">
        <v>0.0</v>
      </c>
      <c r="AD529" s="44">
        <f t="shared" si="7"/>
        <v>-27000</v>
      </c>
      <c r="AE529" s="123">
        <v>0.0</v>
      </c>
    </row>
    <row r="530">
      <c r="A530" s="120">
        <v>2012.0</v>
      </c>
      <c r="B530" s="121">
        <v>12.0</v>
      </c>
      <c r="C530" s="122" t="s">
        <v>50</v>
      </c>
      <c r="D530" s="44"/>
      <c r="E530" s="123">
        <v>9300.6</v>
      </c>
      <c r="F530" s="123">
        <v>-32000.0</v>
      </c>
      <c r="G530" s="123"/>
      <c r="H530" s="123">
        <v>-2750.28</v>
      </c>
      <c r="I530" s="44"/>
      <c r="J530" s="123">
        <v>5395.1</v>
      </c>
      <c r="K530" s="44"/>
      <c r="L530" s="123">
        <v>40139.97</v>
      </c>
      <c r="M530" s="44"/>
      <c r="N530" s="44"/>
      <c r="O530" s="123">
        <v>453832.0</v>
      </c>
      <c r="P530" s="52">
        <f t="shared" si="23"/>
        <v>453831.72</v>
      </c>
      <c r="Q530" s="124">
        <f t="shared" si="2"/>
        <v>0.2800000001</v>
      </c>
      <c r="R530" s="52">
        <f t="array" ref="R530">IFERROR(INDEX('Fund YTD Target Values'!$1:$1000, MATCH($C530,'Fund YTD Target Values'!$A:$A,0), MATCH($A530,'Fund YTD Target Values'!$1:$1,0)),0)</f>
        <v>581025.6597</v>
      </c>
      <c r="S530" s="52">
        <f>IFERROR(__xludf.DUMMYFUNCTION("IFERROR(sum(FILTER('Fund Data'!$V:$V, 'Fund Data'!$C:$C = $C530, 'Fund Data'!$A:$A &lt; $A530)),0) + IFERROR(sum(FILTER('Fund Data'!$V:$V, 'Fund Data'!$C:$C = $C530, 'Fund Data'!$A:$A = $A530, 'Fund Data'!$B:$B &lt;= $B530)),0)"),429067.24)</f>
        <v>429067.24</v>
      </c>
      <c r="T530" s="123">
        <v>413959.0</v>
      </c>
      <c r="U530" s="44">
        <f t="shared" si="53"/>
        <v>15108.24</v>
      </c>
      <c r="V530" s="44">
        <f t="shared" si="3"/>
        <v>0</v>
      </c>
      <c r="W530" s="123"/>
      <c r="X530" s="123"/>
      <c r="Y530" s="123">
        <v>0.0</v>
      </c>
      <c r="Z530" s="123">
        <v>0.0</v>
      </c>
      <c r="AA530" s="123">
        <v>0.0</v>
      </c>
      <c r="AB530" s="123"/>
      <c r="AC530" s="123">
        <v>0.0</v>
      </c>
      <c r="AD530" s="44">
        <f t="shared" si="7"/>
        <v>-32000</v>
      </c>
      <c r="AE530" s="123">
        <v>0.0</v>
      </c>
    </row>
    <row r="531">
      <c r="A531" s="120">
        <v>2011.0</v>
      </c>
      <c r="B531" s="121">
        <v>12.0</v>
      </c>
      <c r="C531" s="122" t="s">
        <v>50</v>
      </c>
      <c r="D531" s="44"/>
      <c r="E531" s="123">
        <v>8139.56</v>
      </c>
      <c r="F531" s="123">
        <v>-40000.0</v>
      </c>
      <c r="G531" s="123"/>
      <c r="H531" s="123">
        <v>-2897.34</v>
      </c>
      <c r="I531" s="44"/>
      <c r="J531" s="123">
        <v>6884.48</v>
      </c>
      <c r="K531" s="44"/>
      <c r="L531" s="123">
        <v>-34348.1</v>
      </c>
      <c r="M531" s="44"/>
      <c r="N531" s="44"/>
      <c r="O531" s="123">
        <v>433747.0</v>
      </c>
      <c r="P531" s="52">
        <f t="shared" si="23"/>
        <v>433746.33</v>
      </c>
      <c r="Q531" s="124">
        <f t="shared" si="2"/>
        <v>0.6700000002</v>
      </c>
      <c r="R531" s="52">
        <f t="array" ref="R531">IFERROR(INDEX('Fund YTD Target Values'!$1:$1000, MATCH($C531,'Fund YTD Target Values'!$A:$A,0), MATCH($A531,'Fund YTD Target Values'!$1:$1,0)),0)</f>
        <v>569224.538</v>
      </c>
      <c r="S531" s="52">
        <f>IFERROR(__xludf.DUMMYFUNCTION("IFERROR(sum(FILTER('Fund Data'!$V:$V, 'Fund Data'!$C:$C = $C531, 'Fund Data'!$A:$A &lt; $A531)),0) + IFERROR(sum(FILTER('Fund Data'!$V:$V, 'Fund Data'!$C:$C = $C531, 'Fund Data'!$A:$A = $A531, 'Fund Data'!$B:$B &lt;= $B531)),0)"),429067.24)</f>
        <v>429067.24</v>
      </c>
      <c r="T531" s="123">
        <v>413959.0</v>
      </c>
      <c r="U531" s="44">
        <f t="shared" si="53"/>
        <v>15108.24</v>
      </c>
      <c r="V531" s="44">
        <f t="shared" si="3"/>
        <v>0</v>
      </c>
      <c r="W531" s="123"/>
      <c r="X531" s="123"/>
      <c r="Y531" s="123">
        <v>0.0</v>
      </c>
      <c r="Z531" s="123">
        <v>0.0</v>
      </c>
      <c r="AA531" s="123">
        <v>0.0</v>
      </c>
      <c r="AB531" s="123"/>
      <c r="AC531" s="123">
        <v>0.0</v>
      </c>
      <c r="AD531" s="44">
        <f t="shared" si="7"/>
        <v>-40000</v>
      </c>
      <c r="AE531" s="123">
        <v>0.0</v>
      </c>
    </row>
    <row r="532">
      <c r="A532" s="120">
        <v>2010.0</v>
      </c>
      <c r="B532" s="121">
        <v>12.0</v>
      </c>
      <c r="C532" s="122" t="s">
        <v>50</v>
      </c>
      <c r="D532" s="44"/>
      <c r="E532" s="123">
        <v>9833.63</v>
      </c>
      <c r="F532" s="123">
        <v>-30000.0</v>
      </c>
      <c r="G532" s="123"/>
      <c r="H532" s="123">
        <v>-2787.43</v>
      </c>
      <c r="I532" s="44"/>
      <c r="J532" s="123">
        <v>1689.26</v>
      </c>
      <c r="K532" s="44"/>
      <c r="L532" s="123">
        <v>51836.03</v>
      </c>
      <c r="M532" s="44"/>
      <c r="N532" s="44"/>
      <c r="O532" s="123">
        <v>495968.0</v>
      </c>
      <c r="P532" s="52">
        <f t="shared" si="23"/>
        <v>495967.73</v>
      </c>
      <c r="Q532" s="124">
        <f t="shared" si="2"/>
        <v>0.2700000001</v>
      </c>
      <c r="R532" s="52">
        <f t="array" ref="R532">IFERROR(INDEX('Fund YTD Target Values'!$1:$1000, MATCH($C532,'Fund YTD Target Values'!$A:$A,0), MATCH($A532,'Fund YTD Target Values'!$1:$1,0)),0)</f>
        <v>551813.7042</v>
      </c>
      <c r="S532" s="52">
        <f>IFERROR(__xludf.DUMMYFUNCTION("IFERROR(sum(FILTER('Fund Data'!$V:$V, 'Fund Data'!$C:$C = $C532, 'Fund Data'!$A:$A &lt; $A532)),0) + IFERROR(sum(FILTER('Fund Data'!$V:$V, 'Fund Data'!$C:$C = $C532, 'Fund Data'!$A:$A = $A532, 'Fund Data'!$B:$B &lt;= $B532)),0)"),429067.24)</f>
        <v>429067.24</v>
      </c>
      <c r="T532" s="123">
        <v>413959.0</v>
      </c>
      <c r="U532" s="44">
        <f t="shared" si="53"/>
        <v>15108.24</v>
      </c>
      <c r="V532" s="44">
        <f t="shared" si="3"/>
        <v>0</v>
      </c>
      <c r="W532" s="123"/>
      <c r="X532" s="123"/>
      <c r="Y532" s="123">
        <v>0.0</v>
      </c>
      <c r="Z532" s="123">
        <v>0.0</v>
      </c>
      <c r="AA532" s="123">
        <v>0.0</v>
      </c>
      <c r="AB532" s="123"/>
      <c r="AC532" s="123">
        <v>0.0</v>
      </c>
      <c r="AD532" s="44">
        <f t="shared" si="7"/>
        <v>-30000</v>
      </c>
      <c r="AE532" s="123">
        <v>0.0</v>
      </c>
    </row>
    <row r="533">
      <c r="A533" s="120">
        <v>2009.0</v>
      </c>
      <c r="B533" s="121">
        <v>12.0</v>
      </c>
      <c r="C533" s="122" t="s">
        <v>50</v>
      </c>
      <c r="D533" s="44"/>
      <c r="E533" s="123">
        <v>12166.33</v>
      </c>
      <c r="F533" s="123">
        <v>-6500.0</v>
      </c>
      <c r="G533" s="123"/>
      <c r="H533" s="123">
        <v>-2463.48</v>
      </c>
      <c r="I533" s="44"/>
      <c r="J533" s="44"/>
      <c r="K533" s="123">
        <v>-264.16</v>
      </c>
      <c r="L533" s="123">
        <v>72548.86</v>
      </c>
      <c r="M533" s="44"/>
      <c r="N533" s="44"/>
      <c r="O533" s="123">
        <v>465397.0</v>
      </c>
      <c r="P533" s="52">
        <f t="shared" si="23"/>
        <v>465396.24</v>
      </c>
      <c r="Q533" s="124">
        <f t="shared" si="2"/>
        <v>0.7600000001</v>
      </c>
      <c r="R533" s="52">
        <f t="array" ref="R533">IFERROR(INDEX('Fund YTD Target Values'!$1:$1000, MATCH($C533,'Fund YTD Target Values'!$A:$A,0), MATCH($A533,'Fund YTD Target Values'!$1:$1,0)),0)</f>
        <v>542886.9088</v>
      </c>
      <c r="S533" s="52">
        <f>IFERROR(__xludf.DUMMYFUNCTION("IFERROR(sum(FILTER('Fund Data'!$V:$V, 'Fund Data'!$C:$C = $C533, 'Fund Data'!$A:$A &lt; $A533)),0) + IFERROR(sum(FILTER('Fund Data'!$V:$V, 'Fund Data'!$C:$C = $C533, 'Fund Data'!$A:$A = $A533, 'Fund Data'!$B:$B &lt;= $B533)),0)"),429067.24)</f>
        <v>429067.24</v>
      </c>
      <c r="T533" s="123">
        <v>413959.0</v>
      </c>
      <c r="U533" s="44">
        <f t="shared" si="53"/>
        <v>15108.24</v>
      </c>
      <c r="V533" s="44">
        <f t="shared" si="3"/>
        <v>0</v>
      </c>
      <c r="W533" s="123"/>
      <c r="X533" s="123"/>
      <c r="Y533" s="123">
        <v>0.0</v>
      </c>
      <c r="Z533" s="123">
        <v>0.0</v>
      </c>
      <c r="AA533" s="123">
        <v>0.0</v>
      </c>
      <c r="AB533" s="123"/>
      <c r="AC533" s="123">
        <v>0.0</v>
      </c>
      <c r="AD533" s="44">
        <f t="shared" si="7"/>
        <v>-6500</v>
      </c>
      <c r="AE533" s="123">
        <v>0.0</v>
      </c>
    </row>
    <row r="534">
      <c r="A534" s="120">
        <v>2008.0</v>
      </c>
      <c r="B534" s="121">
        <v>12.0</v>
      </c>
      <c r="C534" s="122" t="s">
        <v>50</v>
      </c>
      <c r="D534" s="123">
        <v>18000.0</v>
      </c>
      <c r="E534" s="123">
        <v>12319.3</v>
      </c>
      <c r="F534" s="123">
        <v>-35000.0</v>
      </c>
      <c r="G534" s="123"/>
      <c r="H534" s="123">
        <v>-2752.85</v>
      </c>
      <c r="I534" s="44"/>
      <c r="J534" s="123">
        <v>299.95</v>
      </c>
      <c r="K534" s="44"/>
      <c r="L534" s="123">
        <v>-126697.61</v>
      </c>
      <c r="M534" s="44"/>
      <c r="N534" s="44"/>
      <c r="O534" s="123">
        <v>389909.0</v>
      </c>
      <c r="P534" s="52">
        <f t="shared" si="23"/>
        <v>389908.69</v>
      </c>
      <c r="Q534" s="124">
        <f t="shared" si="2"/>
        <v>0.3100000001</v>
      </c>
      <c r="R534" s="52">
        <f t="array" ref="R534">IFERROR(INDEX('Fund YTD Target Values'!$1:$1000, MATCH($C534,'Fund YTD Target Values'!$A:$A,0), MATCH($A534,'Fund YTD Target Values'!$1:$1,0)),0)</f>
        <v>544726.9966</v>
      </c>
      <c r="S534" s="52">
        <f>IFERROR(__xludf.DUMMYFUNCTION("IFERROR(sum(FILTER('Fund Data'!$V:$V, 'Fund Data'!$C:$C = $C534, 'Fund Data'!$A:$A &lt; $A534)),0) + IFERROR(sum(FILTER('Fund Data'!$V:$V, 'Fund Data'!$C:$C = $C534, 'Fund Data'!$A:$A = $A534, 'Fund Data'!$B:$B &lt;= $B534)),0)"),429067.24)</f>
        <v>429067.24</v>
      </c>
      <c r="T534" s="123">
        <v>413959.0</v>
      </c>
      <c r="U534" s="44">
        <f t="shared" si="53"/>
        <v>15108.24</v>
      </c>
      <c r="V534" s="44">
        <f t="shared" si="3"/>
        <v>18000</v>
      </c>
      <c r="W534" s="123"/>
      <c r="X534" s="123"/>
      <c r="Y534" s="123">
        <v>0.0</v>
      </c>
      <c r="Z534" s="123">
        <v>0.0</v>
      </c>
      <c r="AA534" s="123">
        <v>0.0</v>
      </c>
      <c r="AB534" s="123"/>
      <c r="AC534" s="123">
        <v>0.0</v>
      </c>
      <c r="AD534" s="44">
        <f t="shared" si="7"/>
        <v>-35000</v>
      </c>
      <c r="AE534" s="123">
        <v>0.0</v>
      </c>
    </row>
    <row r="535">
      <c r="A535" s="120">
        <v>2007.0</v>
      </c>
      <c r="B535" s="121">
        <v>12.0</v>
      </c>
      <c r="C535" s="122" t="s">
        <v>50</v>
      </c>
      <c r="D535" s="123">
        <v>20000.0</v>
      </c>
      <c r="E535" s="123">
        <v>7938.48</v>
      </c>
      <c r="F535" s="123">
        <v>-25000.0</v>
      </c>
      <c r="G535" s="123"/>
      <c r="H535" s="123">
        <v>-2996.3</v>
      </c>
      <c r="I535" s="44"/>
      <c r="J535" s="123">
        <v>1185.68</v>
      </c>
      <c r="K535" s="44"/>
      <c r="L535" s="123">
        <v>39513.06</v>
      </c>
      <c r="M535" s="123">
        <v>-11.0</v>
      </c>
      <c r="N535" s="44"/>
      <c r="O535" s="123">
        <v>523740.0</v>
      </c>
      <c r="P535" s="52">
        <f t="shared" si="23"/>
        <v>523739.9</v>
      </c>
      <c r="Q535" s="124">
        <f t="shared" si="2"/>
        <v>0.1000000001</v>
      </c>
      <c r="R535" s="52">
        <f t="array" ref="R535">IFERROR(INDEX('Fund YTD Target Values'!$1:$1000, MATCH($C535,'Fund YTD Target Values'!$A:$A,0), MATCH($A535,'Fund YTD Target Values'!$1:$1,0)),0)</f>
        <v>507221.1338</v>
      </c>
      <c r="S535" s="52">
        <f>IFERROR(__xludf.DUMMYFUNCTION("IFERROR(sum(FILTER('Fund Data'!$V:$V, 'Fund Data'!$C:$C = $C535, 'Fund Data'!$A:$A &lt; $A535)),0) + IFERROR(sum(FILTER('Fund Data'!$V:$V, 'Fund Data'!$C:$C = $C535, 'Fund Data'!$A:$A = $A535, 'Fund Data'!$B:$B &lt;= $B535)),0)"),411067.24)</f>
        <v>411067.24</v>
      </c>
      <c r="T535" s="123">
        <v>395959.0</v>
      </c>
      <c r="U535" s="44">
        <f t="shared" si="53"/>
        <v>15108.24</v>
      </c>
      <c r="V535" s="44">
        <f t="shared" si="3"/>
        <v>20000</v>
      </c>
      <c r="W535" s="123"/>
      <c r="X535" s="123"/>
      <c r="Y535" s="123">
        <v>0.0</v>
      </c>
      <c r="Z535" s="123">
        <v>0.0</v>
      </c>
      <c r="AA535" s="123">
        <v>0.0</v>
      </c>
      <c r="AB535" s="123"/>
      <c r="AC535" s="123">
        <v>0.0</v>
      </c>
      <c r="AD535" s="44">
        <f t="shared" si="7"/>
        <v>-25000</v>
      </c>
      <c r="AE535" s="123">
        <v>0.0</v>
      </c>
    </row>
    <row r="536">
      <c r="A536" s="120">
        <v>2006.0</v>
      </c>
      <c r="B536" s="121">
        <v>12.0</v>
      </c>
      <c r="C536" s="122" t="s">
        <v>50</v>
      </c>
      <c r="D536" s="123">
        <v>42000.0</v>
      </c>
      <c r="E536" s="123">
        <v>7009.26</v>
      </c>
      <c r="F536" s="123">
        <v>-20000.0</v>
      </c>
      <c r="G536" s="123"/>
      <c r="H536" s="123">
        <v>-2637.23</v>
      </c>
      <c r="I536" s="44"/>
      <c r="J536" s="123">
        <v>648.33</v>
      </c>
      <c r="K536" s="44"/>
      <c r="L536" s="123">
        <v>37158.18</v>
      </c>
      <c r="M536" s="123">
        <v>-1183.87</v>
      </c>
      <c r="N536" s="44"/>
      <c r="O536" s="123">
        <v>483110.0</v>
      </c>
      <c r="P536" s="52">
        <f t="shared" si="23"/>
        <v>483109.98</v>
      </c>
      <c r="Q536" s="124">
        <f t="shared" si="2"/>
        <v>0.02000000002</v>
      </c>
      <c r="R536" s="52">
        <f t="array" ref="R536">IFERROR(INDEX('Fund YTD Target Values'!$1:$1000, MATCH($C536,'Fund YTD Target Values'!$A:$A,0), MATCH($A536,'Fund YTD Target Values'!$1:$1,0)),0)</f>
        <v>473709.2744</v>
      </c>
      <c r="S536" s="52">
        <f>IFERROR(__xludf.DUMMYFUNCTION("IFERROR(sum(FILTER('Fund Data'!$V:$V, 'Fund Data'!$C:$C = $C536, 'Fund Data'!$A:$A &lt; $A536)),0) + IFERROR(sum(FILTER('Fund Data'!$V:$V, 'Fund Data'!$C:$C = $C536, 'Fund Data'!$A:$A = $A536, 'Fund Data'!$B:$B &lt;= $B536)),0)"),391067.24)</f>
        <v>391067.24</v>
      </c>
      <c r="T536" s="123">
        <v>375959.0</v>
      </c>
      <c r="U536" s="44">
        <f t="shared" si="53"/>
        <v>15108.24</v>
      </c>
      <c r="V536" s="44">
        <f t="shared" si="3"/>
        <v>42000</v>
      </c>
      <c r="W536" s="123"/>
      <c r="X536" s="123"/>
      <c r="Y536" s="123">
        <v>0.0</v>
      </c>
      <c r="Z536" s="123">
        <v>0.0</v>
      </c>
      <c r="AA536" s="123">
        <v>0.0</v>
      </c>
      <c r="AB536" s="123"/>
      <c r="AC536" s="123">
        <v>0.0</v>
      </c>
      <c r="AD536" s="44">
        <f t="shared" si="7"/>
        <v>-20000</v>
      </c>
      <c r="AE536" s="123">
        <v>0.0</v>
      </c>
    </row>
    <row r="537">
      <c r="A537" s="120">
        <v>2005.0</v>
      </c>
      <c r="B537" s="121">
        <v>12.0</v>
      </c>
      <c r="C537" s="122" t="s">
        <v>50</v>
      </c>
      <c r="D537" s="123">
        <v>30000.0</v>
      </c>
      <c r="E537" s="123">
        <v>7953.02</v>
      </c>
      <c r="F537" s="123">
        <v>-5500.0</v>
      </c>
      <c r="G537" s="123"/>
      <c r="H537" s="123">
        <v>-2085.47</v>
      </c>
      <c r="I537" s="44"/>
      <c r="J537" s="123">
        <v>55042.62</v>
      </c>
      <c r="K537" s="44"/>
      <c r="L537" s="123">
        <v>-38409.18</v>
      </c>
      <c r="M537" s="123">
        <v>1182.59</v>
      </c>
      <c r="N537" s="44"/>
      <c r="O537" s="123">
        <v>420115.0</v>
      </c>
      <c r="P537" s="52">
        <f t="shared" si="23"/>
        <v>420115.31</v>
      </c>
      <c r="Q537" s="124">
        <f t="shared" si="2"/>
        <v>-0.3099999999</v>
      </c>
      <c r="R537" s="52">
        <f t="array" ref="R537">IFERROR(INDEX('Fund YTD Target Values'!$1:$1000, MATCH($C537,'Fund YTD Target Values'!$A:$A,0), MATCH($A537,'Fund YTD Target Values'!$1:$1,0)),0)</f>
        <v>418180.2238</v>
      </c>
      <c r="S537" s="52">
        <f>IFERROR(__xludf.DUMMYFUNCTION("IFERROR(sum(FILTER('Fund Data'!$V:$V, 'Fund Data'!$C:$C = $C537, 'Fund Data'!$A:$A &lt; $A537)),0) + IFERROR(sum(FILTER('Fund Data'!$V:$V, 'Fund Data'!$C:$C = $C537, 'Fund Data'!$A:$A = $A537, 'Fund Data'!$B:$B &lt;= $B537)),0)"),349067.24)</f>
        <v>349067.24</v>
      </c>
      <c r="T537" s="123">
        <v>333204.0</v>
      </c>
      <c r="U537" s="44">
        <f t="shared" si="53"/>
        <v>15863.24</v>
      </c>
      <c r="V537" s="44">
        <f t="shared" si="3"/>
        <v>30000</v>
      </c>
      <c r="W537" s="123"/>
      <c r="X537" s="123"/>
      <c r="Y537" s="123">
        <v>0.0</v>
      </c>
      <c r="Z537" s="123">
        <v>0.0</v>
      </c>
      <c r="AA537" s="123">
        <v>0.0</v>
      </c>
      <c r="AB537" s="123"/>
      <c r="AC537" s="123">
        <v>0.0</v>
      </c>
      <c r="AD537" s="44">
        <f t="shared" si="7"/>
        <v>-5500</v>
      </c>
      <c r="AE537" s="123">
        <v>0.0</v>
      </c>
    </row>
    <row r="538">
      <c r="A538" s="120">
        <v>2004.0</v>
      </c>
      <c r="B538" s="121">
        <v>12.0</v>
      </c>
      <c r="C538" s="122" t="s">
        <v>50</v>
      </c>
      <c r="D538" s="123">
        <v>20000.0</v>
      </c>
      <c r="E538" s="123">
        <v>10338.0</v>
      </c>
      <c r="F538" s="123">
        <v>-48500.0</v>
      </c>
      <c r="G538" s="123"/>
      <c r="H538" s="123">
        <v>-1610.0</v>
      </c>
      <c r="I538" s="123"/>
      <c r="J538" s="123">
        <v>8648.0</v>
      </c>
      <c r="K538" s="123">
        <v>-5237.0</v>
      </c>
      <c r="L538" s="123">
        <v>17269.0</v>
      </c>
      <c r="M538" s="123">
        <v>-8.0</v>
      </c>
      <c r="N538" s="123">
        <v>4214.0</v>
      </c>
      <c r="O538" s="123">
        <v>371931.0</v>
      </c>
      <c r="P538" s="52">
        <f t="shared" si="23"/>
        <v>371931.73</v>
      </c>
      <c r="Q538" s="124">
        <f t="shared" si="2"/>
        <v>-0.7299999999</v>
      </c>
      <c r="R538" s="52">
        <f t="array" ref="R538">IFERROR(INDEX('Fund YTD Target Values'!$1:$1000, MATCH($C538,'Fund YTD Target Values'!$A:$A,0), MATCH($A538,'Fund YTD Target Values'!$1:$1,0)),0)</f>
        <v>375451.1635</v>
      </c>
      <c r="S538" s="52">
        <f>IFERROR(__xludf.DUMMYFUNCTION("IFERROR(sum(FILTER('Fund Data'!$V:$V, 'Fund Data'!$C:$C = $C538, 'Fund Data'!$A:$A &lt; $A538)),0) + IFERROR(sum(FILTER('Fund Data'!$V:$V, 'Fund Data'!$C:$C = $C538, 'Fund Data'!$A:$A = $A538, 'Fund Data'!$B:$B &lt;= $B538)),0)"),319067.24)</f>
        <v>319067.24</v>
      </c>
      <c r="T538" s="123">
        <v>303204.0</v>
      </c>
      <c r="U538" s="44">
        <f t="shared" si="53"/>
        <v>15863.24</v>
      </c>
      <c r="V538" s="44">
        <f t="shared" si="3"/>
        <v>20000</v>
      </c>
      <c r="W538" s="123"/>
      <c r="X538" s="123"/>
      <c r="Y538" s="123">
        <v>0.0</v>
      </c>
      <c r="Z538" s="123">
        <v>0.0</v>
      </c>
      <c r="AA538" s="123">
        <v>0.0</v>
      </c>
      <c r="AB538" s="123"/>
      <c r="AC538" s="123">
        <v>0.0</v>
      </c>
      <c r="AD538" s="44">
        <f t="shared" si="7"/>
        <v>-48500</v>
      </c>
      <c r="AE538" s="123">
        <v>0.0</v>
      </c>
    </row>
    <row r="539">
      <c r="A539" s="120">
        <v>2003.0</v>
      </c>
      <c r="B539" s="121">
        <v>12.0</v>
      </c>
      <c r="C539" s="122" t="s">
        <v>50</v>
      </c>
      <c r="D539" s="123">
        <v>10000.0</v>
      </c>
      <c r="E539" s="123">
        <v>8487.11</v>
      </c>
      <c r="F539" s="123">
        <v>-43000.0</v>
      </c>
      <c r="G539" s="123"/>
      <c r="H539" s="123">
        <v>-1306.83</v>
      </c>
      <c r="I539" s="123"/>
      <c r="J539" s="123">
        <v>40980.56</v>
      </c>
      <c r="K539" s="123">
        <v>-1963.52</v>
      </c>
      <c r="L539" s="123">
        <v>36961.0</v>
      </c>
      <c r="M539" s="123">
        <v>13.93</v>
      </c>
      <c r="N539" s="123">
        <v>3465.09</v>
      </c>
      <c r="O539" s="123">
        <v>366817.0</v>
      </c>
      <c r="P539" s="52">
        <f t="shared" si="23"/>
        <v>366817.73</v>
      </c>
      <c r="Q539" s="124">
        <f t="shared" si="2"/>
        <v>-0.73</v>
      </c>
      <c r="R539" s="52">
        <f t="array" ref="R539">IFERROR(INDEX('Fund YTD Target Values'!$1:$1000, MATCH($C539,'Fund YTD Target Values'!$A:$A,0), MATCH($A539,'Fund YTD Target Values'!$1:$1,0)),0)</f>
        <v>346187.6597</v>
      </c>
      <c r="S539" s="52">
        <f>IFERROR(__xludf.DUMMYFUNCTION("IFERROR(sum(FILTER('Fund Data'!$V:$V, 'Fund Data'!$C:$C = $C539, 'Fund Data'!$A:$A &lt; $A539)),0) + IFERROR(sum(FILTER('Fund Data'!$V:$V, 'Fund Data'!$C:$C = $C539, 'Fund Data'!$A:$A = $A539, 'Fund Data'!$B:$B &lt;= $B539)),0)"),299067.24)</f>
        <v>299067.24</v>
      </c>
      <c r="T539" s="123">
        <v>283204.0</v>
      </c>
      <c r="U539" s="44">
        <f t="shared" si="53"/>
        <v>15863.24</v>
      </c>
      <c r="V539" s="44">
        <f t="shared" si="3"/>
        <v>10000</v>
      </c>
      <c r="W539" s="123"/>
      <c r="X539" s="123"/>
      <c r="Y539" s="123">
        <v>0.0</v>
      </c>
      <c r="Z539" s="123">
        <v>0.0</v>
      </c>
      <c r="AA539" s="123">
        <v>0.0</v>
      </c>
      <c r="AB539" s="123"/>
      <c r="AC539" s="123">
        <v>0.0</v>
      </c>
      <c r="AD539" s="44">
        <f t="shared" si="7"/>
        <v>-43000</v>
      </c>
      <c r="AE539" s="123">
        <v>0.0</v>
      </c>
    </row>
    <row r="540">
      <c r="A540" s="120">
        <v>2002.0</v>
      </c>
      <c r="B540" s="121">
        <v>12.0</v>
      </c>
      <c r="C540" s="122" t="s">
        <v>50</v>
      </c>
      <c r="D540" s="123">
        <v>10000.0</v>
      </c>
      <c r="E540" s="123">
        <v>8105.0</v>
      </c>
      <c r="F540" s="123">
        <v>-15000.0</v>
      </c>
      <c r="G540" s="123"/>
      <c r="H540" s="123">
        <v>-1123.0</v>
      </c>
      <c r="I540" s="123"/>
      <c r="J540" s="123">
        <v>1120.0</v>
      </c>
      <c r="K540" s="123">
        <v>-40012.0</v>
      </c>
      <c r="L540" s="123">
        <v>-16213.0</v>
      </c>
      <c r="M540" s="123">
        <v>-19.0</v>
      </c>
      <c r="N540" s="123">
        <v>4582.74</v>
      </c>
      <c r="O540" s="123">
        <v>313179.0</v>
      </c>
      <c r="P540" s="52">
        <f t="shared" si="23"/>
        <v>313180.39</v>
      </c>
      <c r="Q540" s="124">
        <f t="shared" si="2"/>
        <v>-1.39</v>
      </c>
      <c r="R540" s="52">
        <f t="array" ref="R540">IFERROR(INDEX('Fund YTD Target Values'!$1:$1000, MATCH($C540,'Fund YTD Target Values'!$A:$A,0), MATCH($A540,'Fund YTD Target Values'!$1:$1,0)),0)</f>
        <v>328718.296</v>
      </c>
      <c r="S540" s="52">
        <f>IFERROR(__xludf.DUMMYFUNCTION("IFERROR(sum(FILTER('Fund Data'!$V:$V, 'Fund Data'!$C:$C = $C540, 'Fund Data'!$A:$A &lt; $A540)),0) + IFERROR(sum(FILTER('Fund Data'!$V:$V, 'Fund Data'!$C:$C = $C540, 'Fund Data'!$A:$A = $A540, 'Fund Data'!$B:$B &lt;= $B540)),0)"),289067.24)</f>
        <v>289067.24</v>
      </c>
      <c r="T540" s="123">
        <v>273204.0</v>
      </c>
      <c r="U540" s="44">
        <f t="shared" si="53"/>
        <v>15863.24</v>
      </c>
      <c r="V540" s="44">
        <f t="shared" si="3"/>
        <v>10000</v>
      </c>
      <c r="W540" s="123"/>
      <c r="X540" s="123"/>
      <c r="Y540" s="123">
        <v>0.0</v>
      </c>
      <c r="Z540" s="123">
        <v>0.0</v>
      </c>
      <c r="AA540" s="123">
        <v>0.0</v>
      </c>
      <c r="AB540" s="123"/>
      <c r="AC540" s="123">
        <v>0.0</v>
      </c>
      <c r="AD540" s="44">
        <f t="shared" si="7"/>
        <v>-15000</v>
      </c>
      <c r="AE540" s="123">
        <v>0.0</v>
      </c>
    </row>
    <row r="541">
      <c r="A541" s="120">
        <v>2001.0</v>
      </c>
      <c r="B541" s="121">
        <v>12.0</v>
      </c>
      <c r="C541" s="122" t="s">
        <v>50</v>
      </c>
      <c r="D541" s="123">
        <v>10100.0</v>
      </c>
      <c r="E541" s="123">
        <v>9855.0</v>
      </c>
      <c r="F541" s="123">
        <v>-5000.0</v>
      </c>
      <c r="G541" s="123"/>
      <c r="H541" s="123">
        <v>-1089.0</v>
      </c>
      <c r="I541" s="123"/>
      <c r="J541" s="123">
        <v>4335.0</v>
      </c>
      <c r="K541" s="123">
        <v>-12589.0</v>
      </c>
      <c r="L541" s="123">
        <v>-13205.0</v>
      </c>
      <c r="M541" s="123">
        <v>-744.0</v>
      </c>
      <c r="N541" s="123">
        <v>1019.23</v>
      </c>
      <c r="O541" s="123">
        <v>361739.0</v>
      </c>
      <c r="P541" s="52">
        <f t="shared" si="23"/>
        <v>361739.65</v>
      </c>
      <c r="Q541" s="124">
        <f t="shared" si="2"/>
        <v>-0.6499999999</v>
      </c>
      <c r="R541" s="52">
        <f t="array" ref="R541">IFERROR(INDEX('Fund YTD Target Values'!$1:$1000, MATCH($C541,'Fund YTD Target Values'!$A:$A,0), MATCH($A541,'Fund YTD Target Values'!$1:$1,0)),0)</f>
        <v>313743.6012</v>
      </c>
      <c r="S541" s="52">
        <f>IFERROR(__xludf.DUMMYFUNCTION("IFERROR(sum(FILTER('Fund Data'!$V:$V, 'Fund Data'!$C:$C = $C541, 'Fund Data'!$A:$A &lt; $A541)),0) + IFERROR(sum(FILTER('Fund Data'!$V:$V, 'Fund Data'!$C:$C = $C541, 'Fund Data'!$A:$A = $A541, 'Fund Data'!$B:$B &lt;= $B541)),0)"),279067.24)</f>
        <v>279067.24</v>
      </c>
      <c r="T541" s="44"/>
      <c r="U541" s="44"/>
      <c r="V541" s="44">
        <f t="shared" si="3"/>
        <v>10100</v>
      </c>
      <c r="W541" s="123"/>
      <c r="X541" s="123"/>
      <c r="Y541" s="123">
        <v>0.0</v>
      </c>
      <c r="Z541" s="123">
        <v>0.0</v>
      </c>
      <c r="AA541" s="123">
        <v>0.0</v>
      </c>
      <c r="AB541" s="123"/>
      <c r="AC541" s="123">
        <v>0.0</v>
      </c>
      <c r="AD541" s="44">
        <f t="shared" si="7"/>
        <v>-5000</v>
      </c>
      <c r="AE541" s="123">
        <v>0.0</v>
      </c>
    </row>
    <row r="542">
      <c r="A542" s="120">
        <v>2000.0</v>
      </c>
      <c r="B542" s="121">
        <v>12.0</v>
      </c>
      <c r="C542" s="122" t="s">
        <v>50</v>
      </c>
      <c r="D542" s="123">
        <v>100.0</v>
      </c>
      <c r="E542" s="123">
        <v>7252.0</v>
      </c>
      <c r="F542" s="123">
        <v>-15000.0</v>
      </c>
      <c r="G542" s="123"/>
      <c r="H542" s="123">
        <v>-1146.0</v>
      </c>
      <c r="I542" s="123"/>
      <c r="J542" s="123">
        <v>409.0</v>
      </c>
      <c r="K542" s="123">
        <v>-1889.0</v>
      </c>
      <c r="L542" s="123">
        <v>-33639.0</v>
      </c>
      <c r="M542" s="123">
        <v>733.0</v>
      </c>
      <c r="N542" s="123">
        <v>31996.16</v>
      </c>
      <c r="O542" s="123">
        <v>369056.0</v>
      </c>
      <c r="P542" s="52">
        <f t="shared" si="23"/>
        <v>369057.42</v>
      </c>
      <c r="Q542" s="124">
        <f t="shared" si="2"/>
        <v>-1.42</v>
      </c>
      <c r="R542" s="52">
        <f t="array" ref="R542">IFERROR(INDEX('Fund YTD Target Values'!$1:$1000, MATCH($C542,'Fund YTD Target Values'!$A:$A,0), MATCH($A542,'Fund YTD Target Values'!$1:$1,0)),0)</f>
        <v>295282.0555</v>
      </c>
      <c r="S542" s="52">
        <f>IFERROR(__xludf.DUMMYFUNCTION("IFERROR(sum(FILTER('Fund Data'!$V:$V, 'Fund Data'!$C:$C = $C542, 'Fund Data'!$A:$A &lt; $A542)),0) + IFERROR(sum(FILTER('Fund Data'!$V:$V, 'Fund Data'!$C:$C = $C542, 'Fund Data'!$A:$A = $A542, 'Fund Data'!$B:$B &lt;= $B542)),0)"),268967.24)</f>
        <v>268967.24</v>
      </c>
      <c r="T542" s="44"/>
      <c r="U542" s="44"/>
      <c r="V542" s="44">
        <f t="shared" si="3"/>
        <v>100</v>
      </c>
      <c r="W542" s="123"/>
      <c r="X542" s="123"/>
      <c r="Y542" s="123">
        <v>0.0</v>
      </c>
      <c r="Z542" s="123">
        <v>0.0</v>
      </c>
      <c r="AA542" s="123">
        <v>0.0</v>
      </c>
      <c r="AB542" s="123"/>
      <c r="AC542" s="123">
        <v>0.0</v>
      </c>
      <c r="AD542" s="44">
        <f t="shared" si="7"/>
        <v>-15000</v>
      </c>
      <c r="AE542" s="123">
        <v>0.0</v>
      </c>
    </row>
    <row r="543">
      <c r="A543" s="120">
        <v>1999.0</v>
      </c>
      <c r="B543" s="121">
        <v>12.0</v>
      </c>
      <c r="C543" s="122" t="s">
        <v>50</v>
      </c>
      <c r="D543" s="44"/>
      <c r="E543" s="123">
        <v>9540.2</v>
      </c>
      <c r="F543" s="123">
        <v>-10000.0</v>
      </c>
      <c r="G543" s="123">
        <v>307.08</v>
      </c>
      <c r="H543" s="123">
        <v>-974.66</v>
      </c>
      <c r="I543" s="123"/>
      <c r="J543" s="123">
        <v>15208.51</v>
      </c>
      <c r="K543" s="123">
        <v>-1797.28</v>
      </c>
      <c r="L543" s="123">
        <v>-7102.64</v>
      </c>
      <c r="M543" s="123">
        <v>18.68</v>
      </c>
      <c r="N543" s="123">
        <v>21905.1</v>
      </c>
      <c r="O543" s="123">
        <v>380241.0</v>
      </c>
      <c r="P543" s="52">
        <f t="shared" si="23"/>
        <v>380241.26</v>
      </c>
      <c r="Q543" s="124">
        <f t="shared" si="2"/>
        <v>-0.26</v>
      </c>
      <c r="R543" s="52">
        <f t="array" ref="R543">IFERROR(INDEX('Fund YTD Target Values'!$1:$1000, MATCH($C543,'Fund YTD Target Values'!$A:$A,0), MATCH($A543,'Fund YTD Target Values'!$1:$1,0)),0)</f>
        <v>285542.0448</v>
      </c>
      <c r="S543" s="52">
        <f>IFERROR(__xludf.DUMMYFUNCTION("IFERROR(sum(FILTER('Fund Data'!$V:$V, 'Fund Data'!$C:$C = $C543, 'Fund Data'!$A:$A &lt; $A543)),0) + IFERROR(sum(FILTER('Fund Data'!$V:$V, 'Fund Data'!$C:$C = $C543, 'Fund Data'!$A:$A = $A543, 'Fund Data'!$B:$B &lt;= $B543)),0)"),268867.24)</f>
        <v>268867.24</v>
      </c>
      <c r="T543" s="44"/>
      <c r="U543" s="44"/>
      <c r="V543" s="44">
        <f t="shared" si="3"/>
        <v>0</v>
      </c>
      <c r="W543" s="123"/>
      <c r="X543" s="123"/>
      <c r="Y543" s="123">
        <v>0.0</v>
      </c>
      <c r="Z543" s="123">
        <v>0.0</v>
      </c>
      <c r="AA543" s="123">
        <v>0.0</v>
      </c>
      <c r="AB543" s="123"/>
      <c r="AC543" s="123">
        <v>0.0</v>
      </c>
      <c r="AD543" s="44">
        <f t="shared" si="7"/>
        <v>-10000</v>
      </c>
      <c r="AE543" s="123">
        <v>0.0</v>
      </c>
    </row>
    <row r="544">
      <c r="A544" s="120">
        <v>1998.0</v>
      </c>
      <c r="B544" s="121">
        <v>12.0</v>
      </c>
      <c r="C544" s="122" t="s">
        <v>50</v>
      </c>
      <c r="D544" s="44"/>
      <c r="E544" s="123">
        <v>10046.9</v>
      </c>
      <c r="F544" s="123">
        <v>-6000.0</v>
      </c>
      <c r="G544" s="123"/>
      <c r="H544" s="44"/>
      <c r="I544" s="123"/>
      <c r="J544" s="123">
        <v>7369.87</v>
      </c>
      <c r="K544" s="44"/>
      <c r="L544" s="123">
        <v>17393.07</v>
      </c>
      <c r="M544" s="123">
        <v>3.69</v>
      </c>
      <c r="N544" s="123">
        <v>12217.6</v>
      </c>
      <c r="O544" s="123">
        <v>353136.0</v>
      </c>
      <c r="P544" s="52">
        <f t="shared" si="23"/>
        <v>353136.27</v>
      </c>
      <c r="Q544" s="124">
        <f t="shared" si="2"/>
        <v>-0.27</v>
      </c>
      <c r="R544" s="52">
        <f t="array" ref="R544">IFERROR(INDEX('Fund YTD Target Values'!$1:$1000, MATCH($C544,'Fund YTD Target Values'!$A:$A,0), MATCH($A544,'Fund YTD Target Values'!$1:$1,0)),0)</f>
        <v>279432.6246</v>
      </c>
      <c r="S544" s="52">
        <f>IFERROR(__xludf.DUMMYFUNCTION("IFERROR(sum(FILTER('Fund Data'!$V:$V, 'Fund Data'!$C:$C = $C544, 'Fund Data'!$A:$A &lt; $A544)),0) + IFERROR(sum(FILTER('Fund Data'!$V:$V, 'Fund Data'!$C:$C = $C544, 'Fund Data'!$A:$A = $A544, 'Fund Data'!$B:$B &lt;= $B544)),0)"),268867.24)</f>
        <v>268867.24</v>
      </c>
      <c r="T544" s="44"/>
      <c r="U544" s="44"/>
      <c r="V544" s="44">
        <f t="shared" si="3"/>
        <v>0</v>
      </c>
      <c r="W544" s="123"/>
      <c r="X544" s="123"/>
      <c r="Y544" s="123">
        <v>0.0</v>
      </c>
      <c r="Z544" s="123">
        <v>0.0</v>
      </c>
      <c r="AA544" s="123">
        <v>0.0</v>
      </c>
      <c r="AB544" s="123"/>
      <c r="AC544" s="123">
        <v>0.0</v>
      </c>
      <c r="AD544" s="44">
        <f t="shared" si="7"/>
        <v>-6000</v>
      </c>
      <c r="AE544" s="123">
        <v>0.0</v>
      </c>
    </row>
    <row r="545">
      <c r="A545" s="120">
        <v>1997.0</v>
      </c>
      <c r="B545" s="121">
        <v>12.0</v>
      </c>
      <c r="C545" s="122" t="s">
        <v>50</v>
      </c>
      <c r="D545" s="44"/>
      <c r="E545" s="123">
        <v>10338.65</v>
      </c>
      <c r="F545" s="123">
        <v>-8300.0</v>
      </c>
      <c r="G545" s="123"/>
      <c r="H545" s="44"/>
      <c r="I545" s="123"/>
      <c r="J545" s="123">
        <v>383.46</v>
      </c>
      <c r="K545" s="123">
        <v>-604.06</v>
      </c>
      <c r="L545" s="123">
        <v>36419.0</v>
      </c>
      <c r="M545" s="123">
        <v>-13.0</v>
      </c>
      <c r="N545" s="123">
        <v>6535.09</v>
      </c>
      <c r="O545" s="123">
        <v>312105.0</v>
      </c>
      <c r="P545" s="52">
        <f t="shared" si="23"/>
        <v>312105.14</v>
      </c>
      <c r="Q545" s="124">
        <f t="shared" si="2"/>
        <v>-0.14</v>
      </c>
      <c r="R545" s="52">
        <f t="array" ref="R545">IFERROR(INDEX('Fund YTD Target Values'!$1:$1000, MATCH($C545,'Fund YTD Target Values'!$A:$A,0), MATCH($A545,'Fund YTD Target Values'!$1:$1,0)),0)</f>
        <v>275161.4389</v>
      </c>
      <c r="S545" s="52">
        <f>IFERROR(__xludf.DUMMYFUNCTION("IFERROR(sum(FILTER('Fund Data'!$V:$V, 'Fund Data'!$C:$C = $C545, 'Fund Data'!$A:$A &lt; $A545)),0) + IFERROR(sum(FILTER('Fund Data'!$V:$V, 'Fund Data'!$C:$C = $C545, 'Fund Data'!$A:$A = $A545, 'Fund Data'!$B:$B &lt;= $B545)),0)"),268867.24)</f>
        <v>268867.24</v>
      </c>
      <c r="T545" s="44"/>
      <c r="U545" s="44"/>
      <c r="V545" s="44">
        <f t="shared" si="3"/>
        <v>0</v>
      </c>
      <c r="W545" s="123"/>
      <c r="X545" s="123"/>
      <c r="Y545" s="123">
        <v>0.0</v>
      </c>
      <c r="Z545" s="123">
        <v>0.0</v>
      </c>
      <c r="AA545" s="123">
        <v>0.0</v>
      </c>
      <c r="AB545" s="123"/>
      <c r="AC545" s="123">
        <v>0.0</v>
      </c>
      <c r="AD545" s="44">
        <f t="shared" si="7"/>
        <v>-8300</v>
      </c>
      <c r="AE545" s="123">
        <v>0.0</v>
      </c>
    </row>
    <row r="546">
      <c r="A546" s="120">
        <v>1996.0</v>
      </c>
      <c r="B546" s="121">
        <v>12.0</v>
      </c>
      <c r="C546" s="122" t="s">
        <v>50</v>
      </c>
      <c r="D546" s="123">
        <v>268867.24</v>
      </c>
      <c r="E546" s="123">
        <v>15811.29</v>
      </c>
      <c r="F546" s="123">
        <v>-13000.0</v>
      </c>
      <c r="G546" s="123"/>
      <c r="H546" s="123">
        <v>-428.53</v>
      </c>
      <c r="I546" s="44"/>
      <c r="J546" s="44"/>
      <c r="K546" s="123">
        <v>-1691.0</v>
      </c>
      <c r="L546" s="123">
        <v>-2158.0</v>
      </c>
      <c r="M546" s="123">
        <v>-55.0</v>
      </c>
      <c r="N546" s="44"/>
      <c r="O546" s="123">
        <v>267346.0</v>
      </c>
      <c r="P546" s="52">
        <f t="shared" si="23"/>
        <v>267346</v>
      </c>
      <c r="Q546" s="124">
        <f t="shared" si="2"/>
        <v>0</v>
      </c>
      <c r="R546" s="52">
        <f t="array" ref="R546">IFERROR(INDEX('Fund YTD Target Values'!$1:$1000, MATCH($C546,'Fund YTD Target Values'!$A:$A,0), MATCH($A546,'Fund YTD Target Values'!$1:$1,0)),0)</f>
        <v>268867.24</v>
      </c>
      <c r="S546" s="52">
        <f>IFERROR(__xludf.DUMMYFUNCTION("IFERROR(sum(FILTER('Fund Data'!$V:$V, 'Fund Data'!$C:$C = $C546, 'Fund Data'!$A:$A &lt; $A546)),0) + IFERROR(sum(FILTER('Fund Data'!$V:$V, 'Fund Data'!$C:$C = $C546, 'Fund Data'!$A:$A = $A546, 'Fund Data'!$B:$B &lt;= $B546)),0)"),268867.24)</f>
        <v>268867.24</v>
      </c>
      <c r="T546" s="44"/>
      <c r="U546" s="44"/>
      <c r="V546" s="44">
        <f t="shared" si="3"/>
        <v>268867.24</v>
      </c>
      <c r="W546" s="123"/>
      <c r="X546" s="123"/>
      <c r="Y546" s="123">
        <v>0.0</v>
      </c>
      <c r="Z546" s="123">
        <v>0.0</v>
      </c>
      <c r="AA546" s="123">
        <v>0.0</v>
      </c>
      <c r="AB546" s="123"/>
      <c r="AC546" s="123">
        <v>0.0</v>
      </c>
      <c r="AD546" s="44">
        <f t="shared" si="7"/>
        <v>-13000</v>
      </c>
      <c r="AE546" s="123">
        <v>0.0</v>
      </c>
    </row>
    <row r="547">
      <c r="A547" s="120">
        <v>2019.0</v>
      </c>
      <c r="B547" s="121">
        <v>6.0</v>
      </c>
      <c r="C547" s="122" t="s">
        <v>67</v>
      </c>
      <c r="D547" s="44"/>
      <c r="E547" s="123">
        <v>17630.46</v>
      </c>
      <c r="F547" s="123">
        <v>-45000.0</v>
      </c>
      <c r="G547" s="44"/>
      <c r="H547" s="123">
        <v>-3963.84</v>
      </c>
      <c r="I547" s="44"/>
      <c r="J547" s="123">
        <v>11122.08</v>
      </c>
      <c r="K547" s="44"/>
      <c r="L547" s="123">
        <v>127907.62</v>
      </c>
      <c r="M547" s="44"/>
      <c r="N547" s="44"/>
      <c r="O547" s="123">
        <v>1438994.63</v>
      </c>
      <c r="P547" s="52">
        <f t="shared" si="23"/>
        <v>1438994.28</v>
      </c>
      <c r="Q547" s="124">
        <f t="shared" si="2"/>
        <v>0.3499999999</v>
      </c>
      <c r="R547" s="52">
        <f t="array" ref="R547">IFERROR(INDEX('Fund YTD Target Values'!$1:$1000, MATCH($C547,'Fund YTD Target Values'!$A:$A,0), MATCH($A547,'Fund YTD Target Values'!$1:$1,0)),0)</f>
        <v>2033589.294</v>
      </c>
      <c r="S547" s="52">
        <f>IFERROR(__xludf.DUMMYFUNCTION("IFERROR(sum(FILTER('Fund Data'!$V:$V, 'Fund Data'!$C:$C = $C547, 'Fund Data'!$A:$A &lt; $A547)),0) + IFERROR(sum(FILTER('Fund Data'!$V:$V, 'Fund Data'!$C:$C = $C547, 'Fund Data'!$A:$A = $A547, 'Fund Data'!$B:$B &lt;= $B547)),0)"),1456367.46)</f>
        <v>1456367.46</v>
      </c>
      <c r="T547" s="44"/>
      <c r="U547" s="44"/>
      <c r="V547" s="44">
        <f t="shared" si="3"/>
        <v>0</v>
      </c>
      <c r="W547" s="52">
        <f>IFERROR(__xludf.DUMMYFUNCTION("iFERROR((FILTER('Fund Data'!$Y:$Y, 'Fund Data'!$C:$C = $C547, 'Fund Data'!$A:$A = $A547 - 1, 'Fund Data'!$B:$B = 12) + FILTER('Fund Data'!$AA:$AA, 'Fund Data'!$C:$C = $C547, 'Fund Data'!$A:$A = $A547 - 1, 'Fund Data'!$B:$B = 12)) * (1 + AVERAGE(FILTER('In"&amp;"flation Data'!$C:$C,'Inflation Data'!$A:$A = ($A547 - 2)))) * 'Parameters and Distribution Sum'!$A$4,0)"),48393.90516981818)</f>
        <v>48393.90517</v>
      </c>
      <c r="X547" s="52">
        <f>IFERROR(__xludf.DUMMYFUNCTION("IFERROR((IFERROR(FILTER('Fund Data'!$P:$P,'Fund Data'!$C:$C = $C547,'Fund Data'!$A:$A = ($A547 - 2), 'Fund Data'!$B:$B = 12),0) - SUM(FILTER('Fund Data'!$V:$V, 'Fund Data'!$C:$C = $C547, 'Fund Data'!$A:$A = ($A547 - 2), 'Fund Data'!$B:$B &gt; 3)))  * 'Parame"&amp;"ters and Distribution Sum'!$B$4 * (1 - 'Parameters and Distribution Sum'!$A$4),0)"),20307.37014)</f>
        <v>20307.37014</v>
      </c>
      <c r="Y547" s="52">
        <f t="shared" ref="Y547:Y552" si="54">sum($W547:$X547)</f>
        <v>68701.27531</v>
      </c>
      <c r="Z547" s="52">
        <f>IFERROR(__xludf.DUMMYFUNCTION("((IFERROR((SUM(FILTER('Fund Data'!$V:$V, 'Fund Data'!$C:$C = $C547, 'Fund Data'!$A:$A = $A547 - 1, 'Fund Data'!$B:$B &gt;= 4, 'Fund Data'!$B:$B &lt;= ($B547 + 5))) / 12) * ($B547 - 3) * 'Parameters and Distribution Sum'!$B$4, 0) + IF($B547 &gt;= 9, IFERROR(SUM(FIL"&amp;"TER('Fund Data'!$V:$V, 'Fund Data'!$C:$C = $C547, 'Fund Data'!$A:$A = $A547, 'Fund Data'!$B:$B &lt;= 3)) * 'Parameters and Distribution Sum'!$B$4, 0),0)))"),0.0)</f>
        <v>0</v>
      </c>
      <c r="AA547" s="44">
        <f>IFERROR(__xludf.DUMMYFUNCTION("IFERROR(((IFERROR(SUM(FILTER('Fund Data'!$V:$V, 'Fund Data'!$C:$C = $C547, 'Fund Data'!$A:$A = $A547 - 2, 'Fund Data'!$B:$B &gt;= 4)) * 'Parameters and Distribution Sum'!$B$4,0) + IFERROR(SUM(FILTER('Fund Data'!$V:$V, 'Fund Data'!$C:$C = $C547, 'Fund Data'!$"&amp;"A:$A = $A547 - 1, 'Fund Data'!$B:$B &lt;= 3)) * 'Parameters and Distribution Sum'!$B$4,0))),0)"),450.0)</f>
        <v>450</v>
      </c>
      <c r="AB547" s="44">
        <f t="shared" ref="AB547:AB553" si="55">IFERROR(__xludf.DUMMYFUNCTION("IFERROR(FILTER($AE:$AE,$C:$C = $C547,$A:$A = $A547 - 1,$B:$B = 12),0)"),0.0)</f>
        <v>0</v>
      </c>
      <c r="AC547" s="44">
        <f t="shared" ref="AC547:AC553" si="56">sum($Y547:$AB547)</f>
        <v>69151.27531</v>
      </c>
      <c r="AD547" s="44">
        <f t="shared" si="7"/>
        <v>24151.27531</v>
      </c>
      <c r="AE547" s="44"/>
    </row>
    <row r="548">
      <c r="A548" s="120">
        <v>2019.0</v>
      </c>
      <c r="B548" s="121">
        <v>5.0</v>
      </c>
      <c r="C548" s="122" t="s">
        <v>67</v>
      </c>
      <c r="D548" s="44"/>
      <c r="E548" s="123">
        <v>16134.86</v>
      </c>
      <c r="F548" s="123">
        <v>-45000.0</v>
      </c>
      <c r="G548" s="44"/>
      <c r="H548" s="123">
        <v>-3310.68</v>
      </c>
      <c r="I548" s="44"/>
      <c r="J548" s="123">
        <v>11122.08</v>
      </c>
      <c r="K548" s="44"/>
      <c r="L548" s="123">
        <v>73023.4</v>
      </c>
      <c r="M548" s="44"/>
      <c r="N548" s="44"/>
      <c r="O548" s="123">
        <v>1383267.97</v>
      </c>
      <c r="P548" s="52">
        <f t="shared" si="23"/>
        <v>1383267.62</v>
      </c>
      <c r="Q548" s="124">
        <f t="shared" si="2"/>
        <v>0.3500000001</v>
      </c>
      <c r="R548" s="52">
        <f t="array" ref="R548">IFERROR(INDEX('Fund YTD Target Values'!$1:$1000, MATCH($C548,'Fund YTD Target Values'!$A:$A,0), MATCH($A548,'Fund YTD Target Values'!$1:$1,0)),0)</f>
        <v>2033589.294</v>
      </c>
      <c r="S548" s="52">
        <f>IFERROR(__xludf.DUMMYFUNCTION("IFERROR(sum(FILTER('Fund Data'!$V:$V, 'Fund Data'!$C:$C = $C548, 'Fund Data'!$A:$A &lt; $A548)),0) + IFERROR(sum(FILTER('Fund Data'!$V:$V, 'Fund Data'!$C:$C = $C548, 'Fund Data'!$A:$A = $A548, 'Fund Data'!$B:$B &lt;= $B548)),0)"),1456367.46)</f>
        <v>1456367.46</v>
      </c>
      <c r="T548" s="44"/>
      <c r="U548" s="44"/>
      <c r="V548" s="44">
        <f t="shared" si="3"/>
        <v>0</v>
      </c>
      <c r="W548" s="52">
        <f>IFERROR(__xludf.DUMMYFUNCTION("iFERROR((FILTER('Fund Data'!$Y:$Y, 'Fund Data'!$C:$C = $C548, 'Fund Data'!$A:$A = $A548 - 1, 'Fund Data'!$B:$B = 12) + FILTER('Fund Data'!$AA:$AA, 'Fund Data'!$C:$C = $C548, 'Fund Data'!$A:$A = $A548 - 1, 'Fund Data'!$B:$B = 12)) * (1 + AVERAGE(FILTER('In"&amp;"flation Data'!$C:$C,'Inflation Data'!$A:$A = ($A548 - 2)))) * 'Parameters and Distribution Sum'!$A$4,0)"),48393.90516981818)</f>
        <v>48393.90517</v>
      </c>
      <c r="X548" s="52">
        <f>IFERROR(__xludf.DUMMYFUNCTION("IFERROR((IFERROR(FILTER('Fund Data'!$P:$P,'Fund Data'!$C:$C = $C548,'Fund Data'!$A:$A = ($A548 - 2), 'Fund Data'!$B:$B = 12),0) - SUM(FILTER('Fund Data'!$V:$V, 'Fund Data'!$C:$C = $C548, 'Fund Data'!$A:$A = ($A548 - 2), 'Fund Data'!$B:$B &gt; 3)))  * 'Parame"&amp;"ters and Distribution Sum'!$B$4 * (1 - 'Parameters and Distribution Sum'!$A$4),0)"),20307.37014)</f>
        <v>20307.37014</v>
      </c>
      <c r="Y548" s="52">
        <f t="shared" si="54"/>
        <v>68701.27531</v>
      </c>
      <c r="Z548" s="52">
        <f>IFERROR(__xludf.DUMMYFUNCTION("((IFERROR((SUM(FILTER('Fund Data'!$V:$V, 'Fund Data'!$C:$C = $C548, 'Fund Data'!$A:$A = $A548 - 1, 'Fund Data'!$B:$B &gt;= 4, 'Fund Data'!$B:$B &lt;= ($B548 + 5))) / 12) * ($B548 - 3) * 'Parameters and Distribution Sum'!$B$4, 0) + IF($B548 &gt;= 9, IFERROR(SUM(FIL"&amp;"TER('Fund Data'!$V:$V, 'Fund Data'!$C:$C = $C548, 'Fund Data'!$A:$A = $A548, 'Fund Data'!$B:$B &lt;= 3)) * 'Parameters and Distribution Sum'!$B$4, 0),0)))"),0.0)</f>
        <v>0</v>
      </c>
      <c r="AA548" s="44">
        <f>IFERROR(__xludf.DUMMYFUNCTION("IFERROR(((IFERROR(SUM(FILTER('Fund Data'!$V:$V, 'Fund Data'!$C:$C = $C548, 'Fund Data'!$A:$A = $A548 - 2, 'Fund Data'!$B:$B &gt;= 4)) * 'Parameters and Distribution Sum'!$B$4,0) + IFERROR(SUM(FILTER('Fund Data'!$V:$V, 'Fund Data'!$C:$C = $C548, 'Fund Data'!$"&amp;"A:$A = $A548 - 1, 'Fund Data'!$B:$B &lt;= 3)) * 'Parameters and Distribution Sum'!$B$4,0))),0)"),450.0)</f>
        <v>450</v>
      </c>
      <c r="AB548" s="44">
        <f t="shared" si="55"/>
        <v>0</v>
      </c>
      <c r="AC548" s="44">
        <f t="shared" si="56"/>
        <v>69151.27531</v>
      </c>
      <c r="AD548" s="44">
        <f t="shared" si="7"/>
        <v>24151.27531</v>
      </c>
      <c r="AE548" s="44"/>
    </row>
    <row r="549">
      <c r="A549" s="120">
        <v>2019.0</v>
      </c>
      <c r="B549" s="121">
        <v>4.0</v>
      </c>
      <c r="C549" s="122" t="s">
        <v>67</v>
      </c>
      <c r="D549" s="44"/>
      <c r="E549" s="123">
        <v>14916.88</v>
      </c>
      <c r="F549" s="123">
        <v>-45000.0</v>
      </c>
      <c r="G549" s="44"/>
      <c r="H549" s="123">
        <v>-2639.36</v>
      </c>
      <c r="I549" s="44"/>
      <c r="J549" s="123">
        <v>11122.08</v>
      </c>
      <c r="K549" s="44"/>
      <c r="L549" s="123">
        <v>128474.31</v>
      </c>
      <c r="M549" s="44"/>
      <c r="N549" s="44"/>
      <c r="O549" s="123">
        <v>1438172.0</v>
      </c>
      <c r="P549" s="52">
        <f t="shared" si="23"/>
        <v>1438171.87</v>
      </c>
      <c r="Q549" s="124">
        <f t="shared" si="2"/>
        <v>0.1300000001</v>
      </c>
      <c r="R549" s="52">
        <f t="array" ref="R549">IFERROR(INDEX('Fund YTD Target Values'!$1:$1000, MATCH($C549,'Fund YTD Target Values'!$A:$A,0), MATCH($A549,'Fund YTD Target Values'!$1:$1,0)),0)</f>
        <v>2033589.294</v>
      </c>
      <c r="S549" s="52">
        <f>IFERROR(__xludf.DUMMYFUNCTION("IFERROR(sum(FILTER('Fund Data'!$V:$V, 'Fund Data'!$C:$C = $C549, 'Fund Data'!$A:$A &lt; $A549)),0) + IFERROR(sum(FILTER('Fund Data'!$V:$V, 'Fund Data'!$C:$C = $C549, 'Fund Data'!$A:$A = $A549, 'Fund Data'!$B:$B &lt;= $B549)),0)"),1456367.46)</f>
        <v>1456367.46</v>
      </c>
      <c r="T549" s="44"/>
      <c r="U549" s="44"/>
      <c r="V549" s="44">
        <f t="shared" si="3"/>
        <v>0</v>
      </c>
      <c r="W549" s="52">
        <f>IFERROR(__xludf.DUMMYFUNCTION("iFERROR((FILTER('Fund Data'!$Y:$Y, 'Fund Data'!$C:$C = $C549, 'Fund Data'!$A:$A = $A549 - 1, 'Fund Data'!$B:$B = 12) + FILTER('Fund Data'!$AA:$AA, 'Fund Data'!$C:$C = $C549, 'Fund Data'!$A:$A = $A549 - 1, 'Fund Data'!$B:$B = 12)) * (1 + AVERAGE(FILTER('In"&amp;"flation Data'!$C:$C,'Inflation Data'!$A:$A = ($A549 - 2)))) * 'Parameters and Distribution Sum'!$A$4,0)"),48393.90516981818)</f>
        <v>48393.90517</v>
      </c>
      <c r="X549" s="52">
        <f>IFERROR(__xludf.DUMMYFUNCTION("IFERROR((IFERROR(FILTER('Fund Data'!$P:$P,'Fund Data'!$C:$C = $C549,'Fund Data'!$A:$A = ($A549 - 2), 'Fund Data'!$B:$B = 12),0) - SUM(FILTER('Fund Data'!$V:$V, 'Fund Data'!$C:$C = $C549, 'Fund Data'!$A:$A = ($A549 - 2), 'Fund Data'!$B:$B &gt; 3)))  * 'Parame"&amp;"ters and Distribution Sum'!$B$4 * (1 - 'Parameters and Distribution Sum'!$A$4),0)"),20307.37014)</f>
        <v>20307.37014</v>
      </c>
      <c r="Y549" s="52">
        <f t="shared" si="54"/>
        <v>68701.27531</v>
      </c>
      <c r="Z549" s="52">
        <f>IFERROR(__xludf.DUMMYFUNCTION("((IFERROR((SUM(FILTER('Fund Data'!$V:$V, 'Fund Data'!$C:$C = $C549, 'Fund Data'!$A:$A = $A549 - 1, 'Fund Data'!$B:$B &gt;= 4, 'Fund Data'!$B:$B &lt;= ($B549 + 5))) / 12) * ($B549 - 3) * 'Parameters and Distribution Sum'!$B$4, 0) + IF($B549 &gt;= 9, IFERROR(SUM(FIL"&amp;"TER('Fund Data'!$V:$V, 'Fund Data'!$C:$C = $C549, 'Fund Data'!$A:$A = $A549, 'Fund Data'!$B:$B &lt;= 3)) * 'Parameters and Distribution Sum'!$B$4, 0),0)))"),0.0)</f>
        <v>0</v>
      </c>
      <c r="AA549" s="44">
        <f>IFERROR(__xludf.DUMMYFUNCTION("IFERROR(((IFERROR(SUM(FILTER('Fund Data'!$V:$V, 'Fund Data'!$C:$C = $C549, 'Fund Data'!$A:$A = $A549 - 2, 'Fund Data'!$B:$B &gt;= 4)) * 'Parameters and Distribution Sum'!$B$4,0) + IFERROR(SUM(FILTER('Fund Data'!$V:$V, 'Fund Data'!$C:$C = $C549, 'Fund Data'!$"&amp;"A:$A = $A549 - 1, 'Fund Data'!$B:$B &lt;= 3)) * 'Parameters and Distribution Sum'!$B$4,0))),0)"),450.0)</f>
        <v>450</v>
      </c>
      <c r="AB549" s="44">
        <f t="shared" si="55"/>
        <v>0</v>
      </c>
      <c r="AC549" s="44">
        <f t="shared" si="56"/>
        <v>69151.27531</v>
      </c>
      <c r="AD549" s="44">
        <f t="shared" si="7"/>
        <v>24151.27531</v>
      </c>
      <c r="AE549" s="44"/>
    </row>
    <row r="550">
      <c r="A550" s="120">
        <v>2019.0</v>
      </c>
      <c r="B550" s="121">
        <v>3.0</v>
      </c>
      <c r="C550" s="122" t="s">
        <v>67</v>
      </c>
      <c r="D550" s="44"/>
      <c r="E550" s="123">
        <v>11298.48</v>
      </c>
      <c r="F550" s="123">
        <v>-15000.0</v>
      </c>
      <c r="G550" s="44"/>
      <c r="H550" s="123">
        <v>-1967.5</v>
      </c>
      <c r="I550" s="44"/>
      <c r="J550" s="123">
        <v>1456.31</v>
      </c>
      <c r="K550" s="44"/>
      <c r="L550" s="123">
        <v>109852.66</v>
      </c>
      <c r="M550" s="44"/>
      <c r="N550" s="44"/>
      <c r="O550" s="123">
        <v>1436938.0</v>
      </c>
      <c r="P550" s="52">
        <f t="shared" si="23"/>
        <v>1436937.91</v>
      </c>
      <c r="Q550" s="124">
        <f t="shared" si="2"/>
        <v>0.09000000008</v>
      </c>
      <c r="R550" s="52">
        <f t="array" ref="R550">IFERROR(INDEX('Fund YTD Target Values'!$1:$1000, MATCH($C550,'Fund YTD Target Values'!$A:$A,0), MATCH($A550,'Fund YTD Target Values'!$1:$1,0)),0)</f>
        <v>2033589.294</v>
      </c>
      <c r="S550" s="52">
        <f>IFERROR(__xludf.DUMMYFUNCTION("IFERROR(sum(FILTER('Fund Data'!$V:$V, 'Fund Data'!$C:$C = $C550, 'Fund Data'!$A:$A &lt; $A550)),0) + IFERROR(sum(FILTER('Fund Data'!$V:$V, 'Fund Data'!$C:$C = $C550, 'Fund Data'!$A:$A = $A550, 'Fund Data'!$B:$B &lt;= $B550)),0)"),1456367.46)</f>
        <v>1456367.46</v>
      </c>
      <c r="T550" s="123"/>
      <c r="U550" s="44"/>
      <c r="V550" s="44">
        <f t="shared" si="3"/>
        <v>0</v>
      </c>
      <c r="W550" s="52">
        <f>IFERROR(__xludf.DUMMYFUNCTION("iFERROR((FILTER('Fund Data'!$Y:$Y, 'Fund Data'!$C:$C = $C550, 'Fund Data'!$A:$A = $A550 - 1, 'Fund Data'!$B:$B = 12) + FILTER('Fund Data'!$AA:$AA, 'Fund Data'!$C:$C = $C550, 'Fund Data'!$A:$A = $A550 - 1, 'Fund Data'!$B:$B = 12)) * (1 + AVERAGE(FILTER('In"&amp;"flation Data'!$C:$C,'Inflation Data'!$A:$A = ($A550 - 2)))) * 'Parameters and Distribution Sum'!$A$4,0)"),48393.90516981818)</f>
        <v>48393.90517</v>
      </c>
      <c r="X550" s="52">
        <f>IFERROR(__xludf.DUMMYFUNCTION("IFERROR((IFERROR(FILTER('Fund Data'!$P:$P,'Fund Data'!$C:$C = $C550,'Fund Data'!$A:$A = ($A550 - 2), 'Fund Data'!$B:$B = 12),0) - SUM(FILTER('Fund Data'!$V:$V, 'Fund Data'!$C:$C = $C550, 'Fund Data'!$A:$A = ($A550 - 2), 'Fund Data'!$B:$B &gt; 3)))  * 'Parame"&amp;"ters and Distribution Sum'!$B$4 * (1 - 'Parameters and Distribution Sum'!$A$4),0)"),20307.37014)</f>
        <v>20307.37014</v>
      </c>
      <c r="Y550" s="52">
        <f t="shared" si="54"/>
        <v>68701.27531</v>
      </c>
      <c r="Z550" s="52">
        <f>IFERROR(__xludf.DUMMYFUNCTION("((IFERROR((SUM(FILTER('Fund Data'!$V:$V, 'Fund Data'!$C:$C = $C550, 'Fund Data'!$A:$A = $A550 - 1, 'Fund Data'!$B:$B &gt;= 4, 'Fund Data'!$B:$B &lt;= ($B550 + 5))) / 12) * ($B550 - 3) * 'Parameters and Distribution Sum'!$B$4, 0) + IF($B550 &gt;= 9, IFERROR(SUM(FIL"&amp;"TER('Fund Data'!$V:$V, 'Fund Data'!$C:$C = $C550, 'Fund Data'!$A:$A = $A550, 'Fund Data'!$B:$B &lt;= 3)) * 'Parameters and Distribution Sum'!$B$4, 0),0)))"),0.0)</f>
        <v>0</v>
      </c>
      <c r="AA550" s="44">
        <f>IFERROR(__xludf.DUMMYFUNCTION("IFERROR(((IFERROR(SUM(FILTER('Fund Data'!$V:$V, 'Fund Data'!$C:$C = $C550, 'Fund Data'!$A:$A = $A550 - 2, 'Fund Data'!$B:$B &gt;= 4)) * 'Parameters and Distribution Sum'!$B$4,0) + IFERROR(SUM(FILTER('Fund Data'!$V:$V, 'Fund Data'!$C:$C = $C550, 'Fund Data'!$"&amp;"A:$A = $A550 - 1, 'Fund Data'!$B:$B &lt;= 3)) * 'Parameters and Distribution Sum'!$B$4,0))),0)"),450.0)</f>
        <v>450</v>
      </c>
      <c r="AB550" s="44">
        <f t="shared" si="55"/>
        <v>0</v>
      </c>
      <c r="AC550" s="44">
        <f t="shared" si="56"/>
        <v>69151.27531</v>
      </c>
      <c r="AD550" s="44">
        <f t="shared" si="7"/>
        <v>54151.27531</v>
      </c>
      <c r="AE550" s="44"/>
    </row>
    <row r="551">
      <c r="A551" s="120">
        <v>2019.0</v>
      </c>
      <c r="B551" s="121">
        <v>2.0</v>
      </c>
      <c r="C551" s="122" t="s">
        <v>67</v>
      </c>
      <c r="D551" s="44"/>
      <c r="E551" s="123">
        <v>9555.35</v>
      </c>
      <c r="F551" s="44"/>
      <c r="G551" s="44"/>
      <c r="H551" s="123">
        <v>-1292.95</v>
      </c>
      <c r="I551" s="44"/>
      <c r="J551" s="44"/>
      <c r="K551" s="44"/>
      <c r="L551" s="123">
        <v>103035.4</v>
      </c>
      <c r="M551" s="44"/>
      <c r="N551" s="44"/>
      <c r="O551" s="123">
        <v>1442596.0</v>
      </c>
      <c r="P551" s="52">
        <f t="shared" si="23"/>
        <v>1442595.76</v>
      </c>
      <c r="Q551" s="124">
        <f t="shared" si="2"/>
        <v>0.24</v>
      </c>
      <c r="R551" s="52">
        <f t="array" ref="R551">IFERROR(INDEX('Fund YTD Target Values'!$1:$1000, MATCH($C551,'Fund YTD Target Values'!$A:$A,0), MATCH($A551,'Fund YTD Target Values'!$1:$1,0)),0)</f>
        <v>2033589.294</v>
      </c>
      <c r="S551" s="52">
        <f>IFERROR(__xludf.DUMMYFUNCTION("IFERROR(sum(FILTER('Fund Data'!$V:$V, 'Fund Data'!$C:$C = $C551, 'Fund Data'!$A:$A &lt; $A551)),0) + IFERROR(sum(FILTER('Fund Data'!$V:$V, 'Fund Data'!$C:$C = $C551, 'Fund Data'!$A:$A = $A551, 'Fund Data'!$B:$B &lt;= $B551)),0)"),1456367.46)</f>
        <v>1456367.46</v>
      </c>
      <c r="T551" s="123">
        <v>1348955.0</v>
      </c>
      <c r="U551" s="44">
        <f t="shared" ref="U551:U591" si="57">S551-T551</f>
        <v>107412.46</v>
      </c>
      <c r="V551" s="44">
        <f t="shared" si="3"/>
        <v>0</v>
      </c>
      <c r="W551" s="52">
        <f>IFERROR(__xludf.DUMMYFUNCTION("iFERROR((FILTER('Fund Data'!$Y:$Y, 'Fund Data'!$C:$C = $C551, 'Fund Data'!$A:$A = $A551 - 1, 'Fund Data'!$B:$B = 12) + FILTER('Fund Data'!$AA:$AA, 'Fund Data'!$C:$C = $C551, 'Fund Data'!$A:$A = $A551 - 1, 'Fund Data'!$B:$B = 12)) * (1 + AVERAGE(FILTER('In"&amp;"flation Data'!$C:$C,'Inflation Data'!$A:$A = ($A551 - 2)))) * 'Parameters and Distribution Sum'!$A$4,0)"),48393.90516981818)</f>
        <v>48393.90517</v>
      </c>
      <c r="X551" s="52">
        <f>IFERROR(__xludf.DUMMYFUNCTION("IFERROR((IFERROR(FILTER('Fund Data'!$P:$P,'Fund Data'!$C:$C = $C551,'Fund Data'!$A:$A = ($A551 - 2), 'Fund Data'!$B:$B = 12),0) - SUM(FILTER('Fund Data'!$V:$V, 'Fund Data'!$C:$C = $C551, 'Fund Data'!$A:$A = ($A551 - 2), 'Fund Data'!$B:$B &gt; 3)))  * 'Parame"&amp;"ters and Distribution Sum'!$B$4 * (1 - 'Parameters and Distribution Sum'!$A$4),0)"),20307.37014)</f>
        <v>20307.37014</v>
      </c>
      <c r="Y551" s="52">
        <f t="shared" si="54"/>
        <v>68701.27531</v>
      </c>
      <c r="Z551" s="52">
        <f>IFERROR(__xludf.DUMMYFUNCTION("((IFERROR((SUM(FILTER('Fund Data'!$V:$V, 'Fund Data'!$C:$C = $C551, 'Fund Data'!$A:$A = $A551 - 1, 'Fund Data'!$B:$B &gt;= 4, 'Fund Data'!$B:$B &lt;= ($B551 + 5))) / 12) * ($B551 - 3) * 'Parameters and Distribution Sum'!$B$4, 0) + IF($B551 &gt;= 9, IFERROR(SUM(FIL"&amp;"TER('Fund Data'!$V:$V, 'Fund Data'!$C:$C = $C551, 'Fund Data'!$A:$A = $A551, 'Fund Data'!$B:$B &lt;= 3)) * 'Parameters and Distribution Sum'!$B$4, 0),0)))"),0.0)</f>
        <v>0</v>
      </c>
      <c r="AA551" s="44">
        <f>IFERROR(__xludf.DUMMYFUNCTION("IFERROR(((IFERROR(SUM(FILTER('Fund Data'!$V:$V, 'Fund Data'!$C:$C = $C551, 'Fund Data'!$A:$A = $A551 - 2, 'Fund Data'!$B:$B &gt;= 4)) * 'Parameters and Distribution Sum'!$B$4,0) + IFERROR(SUM(FILTER('Fund Data'!$V:$V, 'Fund Data'!$C:$C = $C551, 'Fund Data'!$"&amp;"A:$A = $A551 - 1, 'Fund Data'!$B:$B &lt;= 3)) * 'Parameters and Distribution Sum'!$B$4,0))),0)"),450.0)</f>
        <v>450</v>
      </c>
      <c r="AB551" s="44">
        <f t="shared" si="55"/>
        <v>0</v>
      </c>
      <c r="AC551" s="44">
        <f t="shared" si="56"/>
        <v>69151.27531</v>
      </c>
      <c r="AD551" s="44">
        <f t="shared" si="7"/>
        <v>69151.27531</v>
      </c>
      <c r="AE551" s="44"/>
    </row>
    <row r="552">
      <c r="A552" s="120">
        <v>2019.0</v>
      </c>
      <c r="B552" s="121">
        <v>1.0</v>
      </c>
      <c r="C552" s="122" t="s">
        <v>67</v>
      </c>
      <c r="D552" s="44"/>
      <c r="E552" s="123">
        <v>8843.46</v>
      </c>
      <c r="F552" s="44"/>
      <c r="G552" s="44"/>
      <c r="H552" s="123">
        <v>-628.13</v>
      </c>
      <c r="I552" s="44"/>
      <c r="J552" s="44"/>
      <c r="K552" s="44"/>
      <c r="L552" s="123">
        <v>79706.63</v>
      </c>
      <c r="M552" s="44"/>
      <c r="N552" s="44"/>
      <c r="O552" s="123">
        <v>1419220.0</v>
      </c>
      <c r="P552" s="52">
        <f t="shared" si="23"/>
        <v>1419219.92</v>
      </c>
      <c r="Q552" s="124">
        <f t="shared" si="2"/>
        <v>0.08000000007</v>
      </c>
      <c r="R552" s="52">
        <f t="array" ref="R552">IFERROR(INDEX('Fund YTD Target Values'!$1:$1000, MATCH($C552,'Fund YTD Target Values'!$A:$A,0), MATCH($A552,'Fund YTD Target Values'!$1:$1,0)),0)</f>
        <v>2033589.294</v>
      </c>
      <c r="S552" s="52">
        <f>IFERROR(__xludf.DUMMYFUNCTION("IFERROR(sum(FILTER('Fund Data'!$V:$V, 'Fund Data'!$C:$C = $C552, 'Fund Data'!$A:$A &lt; $A552)),0) + IFERROR(sum(FILTER('Fund Data'!$V:$V, 'Fund Data'!$C:$C = $C552, 'Fund Data'!$A:$A = $A552, 'Fund Data'!$B:$B &lt;= $B552)),0)"),1456367.46)</f>
        <v>1456367.46</v>
      </c>
      <c r="T552" s="123">
        <v>1348955.0</v>
      </c>
      <c r="U552" s="44">
        <f t="shared" si="57"/>
        <v>107412.46</v>
      </c>
      <c r="V552" s="44">
        <f t="shared" si="3"/>
        <v>0</v>
      </c>
      <c r="W552" s="52">
        <f>IFERROR(__xludf.DUMMYFUNCTION("iFERROR((FILTER('Fund Data'!$Y:$Y, 'Fund Data'!$C:$C = $C552, 'Fund Data'!$A:$A = $A552 - 1, 'Fund Data'!$B:$B = 12) + FILTER('Fund Data'!$AA:$AA, 'Fund Data'!$C:$C = $C552, 'Fund Data'!$A:$A = $A552 - 1, 'Fund Data'!$B:$B = 12)) * (1 + AVERAGE(FILTER('In"&amp;"flation Data'!$C:$C,'Inflation Data'!$A:$A = ($A552 - 2)))) * 'Parameters and Distribution Sum'!$A$4,0)"),48393.90516981818)</f>
        <v>48393.90517</v>
      </c>
      <c r="X552" s="52">
        <f>IFERROR(__xludf.DUMMYFUNCTION("IFERROR((IFERROR(FILTER('Fund Data'!$P:$P,'Fund Data'!$C:$C = $C552,'Fund Data'!$A:$A = ($A552 - 2), 'Fund Data'!$B:$B = 12),0) - SUM(FILTER('Fund Data'!$V:$V, 'Fund Data'!$C:$C = $C552, 'Fund Data'!$A:$A = ($A552 - 2), 'Fund Data'!$B:$B &gt; 3)))  * 'Parame"&amp;"ters and Distribution Sum'!$B$4 * (1 - 'Parameters and Distribution Sum'!$A$4),0)"),20307.37014)</f>
        <v>20307.37014</v>
      </c>
      <c r="Y552" s="52">
        <f t="shared" si="54"/>
        <v>68701.27531</v>
      </c>
      <c r="Z552" s="52">
        <f>IFERROR(__xludf.DUMMYFUNCTION("((IFERROR((SUM(FILTER('Fund Data'!$V:$V, 'Fund Data'!$C:$C = $C552, 'Fund Data'!$A:$A = $A552 - 1, 'Fund Data'!$B:$B &gt;= 4, 'Fund Data'!$B:$B &lt;= ($B552 + 5))) / 12) * ($B552 - 3) * 'Parameters and Distribution Sum'!$B$4, 0) + IF($B552 &gt;= 9, IFERROR(SUM(FIL"&amp;"TER('Fund Data'!$V:$V, 'Fund Data'!$C:$C = $C552, 'Fund Data'!$A:$A = $A552, 'Fund Data'!$B:$B &lt;= 3)) * 'Parameters and Distribution Sum'!$B$4, 0),0)))"),0.0)</f>
        <v>0</v>
      </c>
      <c r="AA552" s="44">
        <f>IFERROR(__xludf.DUMMYFUNCTION("IFERROR(((IFERROR(SUM(FILTER('Fund Data'!$V:$V, 'Fund Data'!$C:$C = $C552, 'Fund Data'!$A:$A = $A552 - 2, 'Fund Data'!$B:$B &gt;= 4)) * 'Parameters and Distribution Sum'!$B$4,0) + IFERROR(SUM(FILTER('Fund Data'!$V:$V, 'Fund Data'!$C:$C = $C552, 'Fund Data'!$"&amp;"A:$A = $A552 - 1, 'Fund Data'!$B:$B &lt;= 3)) * 'Parameters and Distribution Sum'!$B$4,0))),0)"),450.0)</f>
        <v>450</v>
      </c>
      <c r="AB552" s="44">
        <f t="shared" si="55"/>
        <v>0</v>
      </c>
      <c r="AC552" s="44">
        <f t="shared" si="56"/>
        <v>69151.27531</v>
      </c>
      <c r="AD552" s="44">
        <f t="shared" si="7"/>
        <v>69151.27531</v>
      </c>
      <c r="AE552" s="44"/>
    </row>
    <row r="553">
      <c r="A553" s="120">
        <v>2018.0</v>
      </c>
      <c r="B553" s="121">
        <v>12.0</v>
      </c>
      <c r="C553" s="122" t="s">
        <v>67</v>
      </c>
      <c r="D553" s="44"/>
      <c r="E553" s="123">
        <v>32070.8</v>
      </c>
      <c r="F553" s="123">
        <v>-71335.0</v>
      </c>
      <c r="G553" s="44"/>
      <c r="H553" s="123">
        <v>-8821.0</v>
      </c>
      <c r="I553" s="44"/>
      <c r="J553" s="123">
        <v>16367.8</v>
      </c>
      <c r="K553" s="44"/>
      <c r="L553" s="123">
        <v>-151234.28</v>
      </c>
      <c r="M553" s="44"/>
      <c r="N553" s="44"/>
      <c r="O553" s="123">
        <v>1331298.0</v>
      </c>
      <c r="P553" s="52">
        <f t="shared" si="23"/>
        <v>1331297.96</v>
      </c>
      <c r="Q553" s="124">
        <f t="shared" si="2"/>
        <v>0.0399999998</v>
      </c>
      <c r="R553" s="52">
        <f t="array" ref="R553">IFERROR(INDEX('Fund YTD Target Values'!$1:$1000, MATCH($C553,'Fund YTD Target Values'!$A:$A,0), MATCH($A553,'Fund YTD Target Values'!$1:$1,0)),0)</f>
        <v>1998729.212</v>
      </c>
      <c r="S553" s="52">
        <f>IFERROR(__xludf.DUMMYFUNCTION("IFERROR(sum(FILTER('Fund Data'!$V:$V, 'Fund Data'!$C:$C = $C553, 'Fund Data'!$A:$A &lt; $A553)),0) + IFERROR(sum(FILTER('Fund Data'!$V:$V, 'Fund Data'!$C:$C = $C553, 'Fund Data'!$A:$A = $A553, 'Fund Data'!$B:$B &lt;= $B553)),0)"),1456367.46)</f>
        <v>1456367.46</v>
      </c>
      <c r="T553" s="123">
        <v>1348955.0</v>
      </c>
      <c r="U553" s="44">
        <f t="shared" si="57"/>
        <v>107412.46</v>
      </c>
      <c r="V553" s="44">
        <f t="shared" si="3"/>
        <v>0</v>
      </c>
      <c r="W553" s="52"/>
      <c r="X553" s="52"/>
      <c r="Y553" s="52">
        <v>67691.23379999996</v>
      </c>
      <c r="Z553" s="123">
        <v>450.0</v>
      </c>
      <c r="AA553" s="123">
        <v>0.0</v>
      </c>
      <c r="AB553" s="44">
        <f t="shared" si="55"/>
        <v>0</v>
      </c>
      <c r="AC553" s="44">
        <f t="shared" si="56"/>
        <v>68141.2338</v>
      </c>
      <c r="AD553" s="44">
        <f t="shared" si="7"/>
        <v>-3193.7662</v>
      </c>
      <c r="AE553" s="123">
        <v>0.0</v>
      </c>
    </row>
    <row r="554">
      <c r="A554" s="120">
        <v>2018.0</v>
      </c>
      <c r="B554" s="121">
        <v>11.0</v>
      </c>
      <c r="C554" s="122" t="s">
        <v>67</v>
      </c>
      <c r="D554" s="44"/>
      <c r="E554" s="123">
        <v>30196.25</v>
      </c>
      <c r="F554" s="123">
        <v>-71335.0</v>
      </c>
      <c r="G554" s="44"/>
      <c r="H554" s="123">
        <v>-8160.05</v>
      </c>
      <c r="I554" s="44"/>
      <c r="J554" s="123">
        <v>16367.8</v>
      </c>
      <c r="K554" s="44"/>
      <c r="L554" s="123">
        <v>-72369.11</v>
      </c>
      <c r="M554" s="44"/>
      <c r="N554" s="44"/>
      <c r="O554" s="123">
        <v>1408950.0</v>
      </c>
      <c r="P554" s="52">
        <f t="shared" si="23"/>
        <v>1408949.53</v>
      </c>
      <c r="Q554" s="124">
        <f t="shared" si="2"/>
        <v>0.47</v>
      </c>
      <c r="R554" s="52">
        <f t="array" ref="R554">IFERROR(INDEX('Fund YTD Target Values'!$1:$1000, MATCH($C554,'Fund YTD Target Values'!$A:$A,0), MATCH($A554,'Fund YTD Target Values'!$1:$1,0)),0)</f>
        <v>1998729.212</v>
      </c>
      <c r="S554" s="52">
        <f>IFERROR(__xludf.DUMMYFUNCTION("IFERROR(sum(FILTER('Fund Data'!$V:$V, 'Fund Data'!$C:$C = $C554, 'Fund Data'!$A:$A &lt; $A554)),0) + IFERROR(sum(FILTER('Fund Data'!$V:$V, 'Fund Data'!$C:$C = $C554, 'Fund Data'!$A:$A = $A554, 'Fund Data'!$B:$B &lt;= $B554)),0)"),1456367.46)</f>
        <v>1456367.46</v>
      </c>
      <c r="T554" s="123">
        <v>1348955.0</v>
      </c>
      <c r="U554" s="44">
        <f t="shared" si="57"/>
        <v>107412.46</v>
      </c>
      <c r="V554" s="44">
        <f t="shared" si="3"/>
        <v>0</v>
      </c>
      <c r="W554" s="123"/>
      <c r="X554" s="123"/>
      <c r="Y554" s="123">
        <v>0.0</v>
      </c>
      <c r="Z554" s="123">
        <v>0.0</v>
      </c>
      <c r="AA554" s="123">
        <v>0.0</v>
      </c>
      <c r="AB554" s="123"/>
      <c r="AC554" s="123">
        <v>0.0</v>
      </c>
      <c r="AD554" s="44">
        <f t="shared" si="7"/>
        <v>-71335</v>
      </c>
      <c r="AE554" s="123">
        <v>0.0</v>
      </c>
    </row>
    <row r="555">
      <c r="A555" s="120">
        <v>2018.0</v>
      </c>
      <c r="B555" s="121">
        <v>10.0</v>
      </c>
      <c r="C555" s="135" t="s">
        <v>67</v>
      </c>
      <c r="D555" s="138"/>
      <c r="E555" s="137">
        <v>28940.62</v>
      </c>
      <c r="F555" s="136">
        <v>-67000.0</v>
      </c>
      <c r="G555" s="138"/>
      <c r="H555" s="137">
        <v>-6814.86</v>
      </c>
      <c r="I555" s="138"/>
      <c r="J555" s="136">
        <v>16087.47</v>
      </c>
      <c r="K555" s="138"/>
      <c r="L555" s="136">
        <v>-84279.82</v>
      </c>
      <c r="M555" s="44"/>
      <c r="N555" s="44"/>
      <c r="O555" s="136">
        <v>1401183.0</v>
      </c>
      <c r="P555" s="52">
        <f t="shared" si="23"/>
        <v>1401183.05</v>
      </c>
      <c r="Q555" s="124">
        <f t="shared" si="2"/>
        <v>-0.05000000005</v>
      </c>
      <c r="R555" s="52">
        <f t="array" ref="R555">IFERROR(INDEX('Fund YTD Target Values'!$1:$1000, MATCH($C555,'Fund YTD Target Values'!$A:$A,0), MATCH($A555,'Fund YTD Target Values'!$1:$1,0)),0)</f>
        <v>1998729.212</v>
      </c>
      <c r="S555" s="52">
        <f>IFERROR(__xludf.DUMMYFUNCTION("IFERROR(sum(FILTER('Fund Data'!$V:$V, 'Fund Data'!$C:$C = $C555, 'Fund Data'!$A:$A &lt; $A555)),0) + IFERROR(sum(FILTER('Fund Data'!$V:$V, 'Fund Data'!$C:$C = $C555, 'Fund Data'!$A:$A = $A555, 'Fund Data'!$B:$B &lt;= $B555)),0)"),1456367.46)</f>
        <v>1456367.46</v>
      </c>
      <c r="T555" s="123">
        <v>1348955.0</v>
      </c>
      <c r="U555" s="44">
        <f t="shared" si="57"/>
        <v>107412.46</v>
      </c>
      <c r="V555" s="44">
        <f t="shared" si="3"/>
        <v>0</v>
      </c>
      <c r="W555" s="123"/>
      <c r="X555" s="123"/>
      <c r="Y555" s="123">
        <v>0.0</v>
      </c>
      <c r="Z555" s="123">
        <v>0.0</v>
      </c>
      <c r="AA555" s="123">
        <v>0.0</v>
      </c>
      <c r="AB555" s="123"/>
      <c r="AC555" s="123">
        <v>0.0</v>
      </c>
      <c r="AD555" s="44">
        <f t="shared" si="7"/>
        <v>-67000</v>
      </c>
      <c r="AE555" s="123">
        <v>0.0</v>
      </c>
    </row>
    <row r="556">
      <c r="A556" s="120">
        <v>2018.0</v>
      </c>
      <c r="B556" s="121">
        <v>9.0</v>
      </c>
      <c r="C556" s="122" t="s">
        <v>67</v>
      </c>
      <c r="D556" s="123"/>
      <c r="E556" s="123">
        <v>24727.45</v>
      </c>
      <c r="F556" s="123">
        <v>-67000.0</v>
      </c>
      <c r="G556" s="44"/>
      <c r="H556" s="123">
        <v>-6814.86</v>
      </c>
      <c r="I556" s="44"/>
      <c r="J556" s="123">
        <v>16087.47</v>
      </c>
      <c r="K556" s="44"/>
      <c r="L556" s="123">
        <v>-9109.37</v>
      </c>
      <c r="M556" s="44"/>
      <c r="N556" s="44"/>
      <c r="O556" s="123">
        <v>1472141.0</v>
      </c>
      <c r="P556" s="52">
        <f t="shared" si="23"/>
        <v>1472140.33</v>
      </c>
      <c r="Q556" s="124">
        <f t="shared" si="2"/>
        <v>0.6699999999</v>
      </c>
      <c r="R556" s="52">
        <f t="array" ref="R556">IFERROR(INDEX('Fund YTD Target Values'!$1:$1000, MATCH($C556,'Fund YTD Target Values'!$A:$A,0), MATCH($A556,'Fund YTD Target Values'!$1:$1,0)),0)</f>
        <v>1998729.212</v>
      </c>
      <c r="S556" s="52">
        <f>IFERROR(__xludf.DUMMYFUNCTION("IFERROR(sum(FILTER('Fund Data'!$V:$V, 'Fund Data'!$C:$C = $C556, 'Fund Data'!$A:$A &lt; $A556)),0) + IFERROR(sum(FILTER('Fund Data'!$V:$V, 'Fund Data'!$C:$C = $C556, 'Fund Data'!$A:$A = $A556, 'Fund Data'!$B:$B &lt;= $B556)),0)"),1456367.46)</f>
        <v>1456367.46</v>
      </c>
      <c r="T556" s="123">
        <v>1348955.0</v>
      </c>
      <c r="U556" s="44">
        <f t="shared" si="57"/>
        <v>107412.46</v>
      </c>
      <c r="V556" s="44">
        <f t="shared" si="3"/>
        <v>0</v>
      </c>
      <c r="W556" s="123"/>
      <c r="X556" s="123"/>
      <c r="Y556" s="123">
        <v>0.0</v>
      </c>
      <c r="Z556" s="123">
        <v>0.0</v>
      </c>
      <c r="AA556" s="123">
        <v>0.0</v>
      </c>
      <c r="AB556" s="123"/>
      <c r="AC556" s="123">
        <v>0.0</v>
      </c>
      <c r="AD556" s="44">
        <f t="shared" si="7"/>
        <v>-67000</v>
      </c>
      <c r="AE556" s="123">
        <v>0.0</v>
      </c>
    </row>
    <row r="557">
      <c r="A557" s="120">
        <v>2018.0</v>
      </c>
      <c r="B557" s="121">
        <v>8.0</v>
      </c>
      <c r="C557" s="122" t="s">
        <v>67</v>
      </c>
      <c r="D557" s="44"/>
      <c r="E557" s="123">
        <v>23455.22</v>
      </c>
      <c r="F557" s="123">
        <v>-57400.0</v>
      </c>
      <c r="G557" s="44"/>
      <c r="H557" s="123">
        <v>-6071.46</v>
      </c>
      <c r="I557" s="44"/>
      <c r="J557" s="123">
        <v>12984.3</v>
      </c>
      <c r="K557" s="44"/>
      <c r="L557" s="123">
        <v>-586.28</v>
      </c>
      <c r="M557" s="44"/>
      <c r="N557" s="44"/>
      <c r="O557" s="123">
        <v>1486632.0</v>
      </c>
      <c r="P557" s="52">
        <f t="shared" si="23"/>
        <v>1486631.42</v>
      </c>
      <c r="Q557" s="124">
        <f t="shared" si="2"/>
        <v>0.5799999998</v>
      </c>
      <c r="R557" s="52">
        <f t="array" ref="R557">IFERROR(INDEX('Fund YTD Target Values'!$1:$1000, MATCH($C557,'Fund YTD Target Values'!$A:$A,0), MATCH($A557,'Fund YTD Target Values'!$1:$1,0)),0)</f>
        <v>1998729.212</v>
      </c>
      <c r="S557" s="52">
        <f>IFERROR(__xludf.DUMMYFUNCTION("IFERROR(sum(FILTER('Fund Data'!$V:$V, 'Fund Data'!$C:$C = $C557, 'Fund Data'!$A:$A &lt; $A557)),0) + IFERROR(sum(FILTER('Fund Data'!$V:$V, 'Fund Data'!$C:$C = $C557, 'Fund Data'!$A:$A = $A557, 'Fund Data'!$B:$B &lt;= $B557)),0)"),1456367.46)</f>
        <v>1456367.46</v>
      </c>
      <c r="T557" s="123">
        <v>1348955.0</v>
      </c>
      <c r="U557" s="44">
        <f t="shared" si="57"/>
        <v>107412.46</v>
      </c>
      <c r="V557" s="44">
        <f t="shared" si="3"/>
        <v>0</v>
      </c>
      <c r="W557" s="123"/>
      <c r="X557" s="123"/>
      <c r="Y557" s="123">
        <v>0.0</v>
      </c>
      <c r="Z557" s="123">
        <v>0.0</v>
      </c>
      <c r="AA557" s="123">
        <v>0.0</v>
      </c>
      <c r="AB557" s="123"/>
      <c r="AC557" s="123">
        <v>0.0</v>
      </c>
      <c r="AD557" s="44">
        <f t="shared" si="7"/>
        <v>-57400</v>
      </c>
      <c r="AE557" s="123">
        <v>0.0</v>
      </c>
    </row>
    <row r="558">
      <c r="A558" s="120">
        <v>2018.0</v>
      </c>
      <c r="B558" s="121">
        <v>7.0</v>
      </c>
      <c r="C558" s="122" t="s">
        <v>67</v>
      </c>
      <c r="D558" s="44"/>
      <c r="E558" s="123">
        <v>22208.6</v>
      </c>
      <c r="F558" s="123">
        <v>-27400.0</v>
      </c>
      <c r="G558" s="44"/>
      <c r="H558" s="123">
        <v>-5315.59</v>
      </c>
      <c r="I558" s="44"/>
      <c r="J558" s="123">
        <v>3197.33</v>
      </c>
      <c r="K558" s="44"/>
      <c r="L558" s="123">
        <v>4807.42</v>
      </c>
      <c r="M558" s="44"/>
      <c r="N558" s="44"/>
      <c r="O558" s="123">
        <v>1511748.0</v>
      </c>
      <c r="P558" s="52">
        <f t="shared" si="23"/>
        <v>1511747.4</v>
      </c>
      <c r="Q558" s="124">
        <f t="shared" si="2"/>
        <v>0.5999999999</v>
      </c>
      <c r="R558" s="52">
        <f t="array" ref="R558">IFERROR(INDEX('Fund YTD Target Values'!$1:$1000, MATCH($C558,'Fund YTD Target Values'!$A:$A,0), MATCH($A558,'Fund YTD Target Values'!$1:$1,0)),0)</f>
        <v>1998729.212</v>
      </c>
      <c r="S558" s="52">
        <f>IFERROR(__xludf.DUMMYFUNCTION("IFERROR(sum(FILTER('Fund Data'!$V:$V, 'Fund Data'!$C:$C = $C558, 'Fund Data'!$A:$A &lt; $A558)),0) + IFERROR(sum(FILTER('Fund Data'!$V:$V, 'Fund Data'!$C:$C = $C558, 'Fund Data'!$A:$A = $A558, 'Fund Data'!$B:$B &lt;= $B558)),0)"),1456367.46)</f>
        <v>1456367.46</v>
      </c>
      <c r="T558" s="123">
        <v>1348955.0</v>
      </c>
      <c r="U558" s="44">
        <f t="shared" si="57"/>
        <v>107412.46</v>
      </c>
      <c r="V558" s="44">
        <f t="shared" si="3"/>
        <v>0</v>
      </c>
      <c r="W558" s="123"/>
      <c r="X558" s="123"/>
      <c r="Y558" s="123">
        <v>0.0</v>
      </c>
      <c r="Z558" s="123">
        <v>0.0</v>
      </c>
      <c r="AA558" s="123">
        <v>0.0</v>
      </c>
      <c r="AB558" s="123"/>
      <c r="AC558" s="123">
        <v>0.0</v>
      </c>
      <c r="AD558" s="44">
        <f t="shared" si="7"/>
        <v>-27400</v>
      </c>
      <c r="AE558" s="123">
        <v>0.0</v>
      </c>
    </row>
    <row r="559">
      <c r="A559" s="120">
        <v>2018.0</v>
      </c>
      <c r="B559" s="121">
        <v>6.0</v>
      </c>
      <c r="C559" s="122" t="s">
        <v>67</v>
      </c>
      <c r="D559" s="44"/>
      <c r="E559" s="123">
        <v>18829.98</v>
      </c>
      <c r="F559" s="123">
        <v>-24000.0</v>
      </c>
      <c r="G559" s="44"/>
      <c r="H559" s="123">
        <v>-4571.64</v>
      </c>
      <c r="I559" s="44"/>
      <c r="J559" s="123">
        <v>3197.33</v>
      </c>
      <c r="K559" s="44"/>
      <c r="L559" s="123">
        <v>-19818.91</v>
      </c>
      <c r="M559" s="44"/>
      <c r="N559" s="44"/>
      <c r="O559" s="123">
        <v>1487887.0</v>
      </c>
      <c r="P559" s="52">
        <f t="shared" si="23"/>
        <v>1487886.4</v>
      </c>
      <c r="Q559" s="124">
        <f t="shared" si="2"/>
        <v>0.5999999999</v>
      </c>
      <c r="R559" s="52">
        <f t="array" ref="R559">IFERROR(INDEX('Fund YTD Target Values'!$1:$1000, MATCH($C559,'Fund YTD Target Values'!$A:$A,0), MATCH($A559,'Fund YTD Target Values'!$1:$1,0)),0)</f>
        <v>1998729.212</v>
      </c>
      <c r="S559" s="52">
        <f>IFERROR(__xludf.DUMMYFUNCTION("IFERROR(sum(FILTER('Fund Data'!$V:$V, 'Fund Data'!$C:$C = $C559, 'Fund Data'!$A:$A &lt; $A559)),0) + IFERROR(sum(FILTER('Fund Data'!$V:$V, 'Fund Data'!$C:$C = $C559, 'Fund Data'!$A:$A = $A559, 'Fund Data'!$B:$B &lt;= $B559)),0)"),1456367.46)</f>
        <v>1456367.46</v>
      </c>
      <c r="T559" s="123">
        <v>1348955.0</v>
      </c>
      <c r="U559" s="44">
        <f t="shared" si="57"/>
        <v>107412.46</v>
      </c>
      <c r="V559" s="44">
        <f t="shared" si="3"/>
        <v>0</v>
      </c>
      <c r="W559" s="123"/>
      <c r="X559" s="123"/>
      <c r="Y559" s="123">
        <v>0.0</v>
      </c>
      <c r="Z559" s="123">
        <v>0.0</v>
      </c>
      <c r="AA559" s="123">
        <v>0.0</v>
      </c>
      <c r="AB559" s="123"/>
      <c r="AC559" s="123">
        <v>0.0</v>
      </c>
      <c r="AD559" s="44">
        <f t="shared" si="7"/>
        <v>-24000</v>
      </c>
      <c r="AE559" s="123">
        <v>0.0</v>
      </c>
    </row>
    <row r="560">
      <c r="A560" s="120">
        <v>2018.0</v>
      </c>
      <c r="B560" s="121">
        <v>5.0</v>
      </c>
      <c r="C560" s="122" t="s">
        <v>67</v>
      </c>
      <c r="D560" s="44"/>
      <c r="E560" s="123">
        <v>16673.47</v>
      </c>
      <c r="F560" s="123">
        <v>-14000.0</v>
      </c>
      <c r="G560" s="44"/>
      <c r="H560" s="123">
        <v>-3817.82</v>
      </c>
      <c r="I560" s="44"/>
      <c r="J560" s="44"/>
      <c r="K560" s="44"/>
      <c r="L560" s="123">
        <v>-5477.53</v>
      </c>
      <c r="M560" s="44"/>
      <c r="N560" s="44"/>
      <c r="O560" s="123">
        <v>1507628.0</v>
      </c>
      <c r="P560" s="52">
        <f t="shared" si="23"/>
        <v>1507627.76</v>
      </c>
      <c r="Q560" s="124">
        <f t="shared" si="2"/>
        <v>0.2399999998</v>
      </c>
      <c r="R560" s="52">
        <f t="array" ref="R560">IFERROR(INDEX('Fund YTD Target Values'!$1:$1000, MATCH($C560,'Fund YTD Target Values'!$A:$A,0), MATCH($A560,'Fund YTD Target Values'!$1:$1,0)),0)</f>
        <v>1998729.212</v>
      </c>
      <c r="S560" s="52">
        <f>IFERROR(__xludf.DUMMYFUNCTION("IFERROR(sum(FILTER('Fund Data'!$V:$V, 'Fund Data'!$C:$C = $C560, 'Fund Data'!$A:$A &lt; $A560)),0) + IFERROR(sum(FILTER('Fund Data'!$V:$V, 'Fund Data'!$C:$C = $C560, 'Fund Data'!$A:$A = $A560, 'Fund Data'!$B:$B &lt;= $B560)),0)"),1456367.46)</f>
        <v>1456367.46</v>
      </c>
      <c r="T560" s="123">
        <v>1348955.0</v>
      </c>
      <c r="U560" s="44">
        <f t="shared" si="57"/>
        <v>107412.46</v>
      </c>
      <c r="V560" s="44">
        <f t="shared" si="3"/>
        <v>0</v>
      </c>
      <c r="W560" s="123"/>
      <c r="X560" s="123"/>
      <c r="Y560" s="123">
        <v>0.0</v>
      </c>
      <c r="Z560" s="123">
        <v>0.0</v>
      </c>
      <c r="AA560" s="123">
        <v>0.0</v>
      </c>
      <c r="AB560" s="123"/>
      <c r="AC560" s="123">
        <v>0.0</v>
      </c>
      <c r="AD560" s="44">
        <f t="shared" si="7"/>
        <v>-14000</v>
      </c>
      <c r="AE560" s="123">
        <v>0.0</v>
      </c>
    </row>
    <row r="561">
      <c r="A561" s="120">
        <v>2018.0</v>
      </c>
      <c r="B561" s="121">
        <v>4.0</v>
      </c>
      <c r="C561" s="122" t="s">
        <v>67</v>
      </c>
      <c r="D561" s="44"/>
      <c r="E561" s="123">
        <v>15476.18</v>
      </c>
      <c r="F561" s="44"/>
      <c r="G561" s="44"/>
      <c r="H561" s="123">
        <v>-3058.82</v>
      </c>
      <c r="I561" s="44"/>
      <c r="J561" s="44"/>
      <c r="K561" s="44"/>
      <c r="L561" s="123">
        <v>-8666.09</v>
      </c>
      <c r="M561" s="44"/>
      <c r="N561" s="44"/>
      <c r="O561" s="123">
        <v>1518001.0</v>
      </c>
      <c r="P561" s="52">
        <f t="shared" si="23"/>
        <v>1518000.91</v>
      </c>
      <c r="Q561" s="124">
        <f t="shared" si="2"/>
        <v>0.08999999985</v>
      </c>
      <c r="R561" s="52">
        <f t="array" ref="R561">IFERROR(INDEX('Fund YTD Target Values'!$1:$1000, MATCH($C561,'Fund YTD Target Values'!$A:$A,0), MATCH($A561,'Fund YTD Target Values'!$1:$1,0)),0)</f>
        <v>1998729.212</v>
      </c>
      <c r="S561" s="52">
        <f>IFERROR(__xludf.DUMMYFUNCTION("IFERROR(sum(FILTER('Fund Data'!$V:$V, 'Fund Data'!$C:$C = $C561, 'Fund Data'!$A:$A &lt; $A561)),0) + IFERROR(sum(FILTER('Fund Data'!$V:$V, 'Fund Data'!$C:$C = $C561, 'Fund Data'!$A:$A = $A561, 'Fund Data'!$B:$B &lt;= $B561)),0)"),1456367.46)</f>
        <v>1456367.46</v>
      </c>
      <c r="T561" s="123">
        <v>1348955.0</v>
      </c>
      <c r="U561" s="44">
        <f t="shared" si="57"/>
        <v>107412.46</v>
      </c>
      <c r="V561" s="44">
        <f t="shared" si="3"/>
        <v>0</v>
      </c>
      <c r="W561" s="123"/>
      <c r="X561" s="123"/>
      <c r="Y561" s="123">
        <v>0.0</v>
      </c>
      <c r="Z561" s="123">
        <v>0.0</v>
      </c>
      <c r="AA561" s="123">
        <v>0.0</v>
      </c>
      <c r="AB561" s="123"/>
      <c r="AC561" s="123">
        <v>0.0</v>
      </c>
      <c r="AD561" s="44">
        <f t="shared" si="7"/>
        <v>0</v>
      </c>
      <c r="AE561" s="123">
        <v>0.0</v>
      </c>
    </row>
    <row r="562">
      <c r="A562" s="120">
        <v>2018.0</v>
      </c>
      <c r="B562" s="121">
        <v>3.0</v>
      </c>
      <c r="C562" s="122" t="s">
        <v>67</v>
      </c>
      <c r="D562" s="44"/>
      <c r="E562" s="123">
        <v>11823.24</v>
      </c>
      <c r="F562" s="44"/>
      <c r="G562" s="44"/>
      <c r="H562" s="123">
        <v>-2301.89</v>
      </c>
      <c r="I562" s="44"/>
      <c r="J562" s="44"/>
      <c r="K562" s="44"/>
      <c r="L562" s="123">
        <v>-9905.53</v>
      </c>
      <c r="M562" s="44"/>
      <c r="N562" s="44"/>
      <c r="O562" s="123">
        <v>1513866.0</v>
      </c>
      <c r="P562" s="52">
        <f t="shared" si="23"/>
        <v>1513865.46</v>
      </c>
      <c r="Q562" s="124">
        <f t="shared" si="2"/>
        <v>0.5399999998</v>
      </c>
      <c r="R562" s="52">
        <f t="array" ref="R562">IFERROR(INDEX('Fund YTD Target Values'!$1:$1000, MATCH($C562,'Fund YTD Target Values'!$A:$A,0), MATCH($A562,'Fund YTD Target Values'!$1:$1,0)),0)</f>
        <v>1998729.212</v>
      </c>
      <c r="S562" s="52">
        <f>IFERROR(__xludf.DUMMYFUNCTION("IFERROR(sum(FILTER('Fund Data'!$V:$V, 'Fund Data'!$C:$C = $C562, 'Fund Data'!$A:$A &lt; $A562)),0) + IFERROR(sum(FILTER('Fund Data'!$V:$V, 'Fund Data'!$C:$C = $C562, 'Fund Data'!$A:$A = $A562, 'Fund Data'!$B:$B &lt;= $B562)),0)"),1456367.46)</f>
        <v>1456367.46</v>
      </c>
      <c r="T562" s="123">
        <v>1348955.0</v>
      </c>
      <c r="U562" s="44">
        <f t="shared" si="57"/>
        <v>107412.46</v>
      </c>
      <c r="V562" s="44">
        <f t="shared" si="3"/>
        <v>0</v>
      </c>
      <c r="W562" s="123"/>
      <c r="X562" s="123"/>
      <c r="Y562" s="123">
        <v>0.0</v>
      </c>
      <c r="Z562" s="123">
        <v>0.0</v>
      </c>
      <c r="AA562" s="123">
        <v>0.0</v>
      </c>
      <c r="AB562" s="123"/>
      <c r="AC562" s="123">
        <v>0.0</v>
      </c>
      <c r="AD562" s="44">
        <f t="shared" si="7"/>
        <v>0</v>
      </c>
      <c r="AE562" s="123">
        <v>0.0</v>
      </c>
    </row>
    <row r="563">
      <c r="A563" s="120">
        <v>2018.0</v>
      </c>
      <c r="B563" s="121">
        <v>2.0</v>
      </c>
      <c r="C563" s="122" t="s">
        <v>67</v>
      </c>
      <c r="D563" s="44"/>
      <c r="E563" s="123">
        <v>10490.91</v>
      </c>
      <c r="F563" s="44"/>
      <c r="G563" s="44"/>
      <c r="H563" s="123">
        <v>-3758.28</v>
      </c>
      <c r="I563" s="44"/>
      <c r="J563" s="44"/>
      <c r="K563" s="44"/>
      <c r="L563" s="123">
        <v>649.7</v>
      </c>
      <c r="M563" s="44"/>
      <c r="N563" s="44"/>
      <c r="O563" s="123">
        <v>1521632.0</v>
      </c>
      <c r="P563" s="52">
        <f t="shared" si="23"/>
        <v>1521631.97</v>
      </c>
      <c r="Q563" s="124">
        <f t="shared" si="2"/>
        <v>0.0299999998</v>
      </c>
      <c r="R563" s="52">
        <f t="array" ref="R563">IFERROR(INDEX('Fund YTD Target Values'!$1:$1000, MATCH($C563,'Fund YTD Target Values'!$A:$A,0), MATCH($A563,'Fund YTD Target Values'!$1:$1,0)),0)</f>
        <v>1998729.212</v>
      </c>
      <c r="S563" s="52">
        <f>IFERROR(__xludf.DUMMYFUNCTION("IFERROR(sum(FILTER('Fund Data'!$V:$V, 'Fund Data'!$C:$C = $C563, 'Fund Data'!$A:$A &lt; $A563)),0) + IFERROR(sum(FILTER('Fund Data'!$V:$V, 'Fund Data'!$C:$C = $C563, 'Fund Data'!$A:$A = $A563, 'Fund Data'!$B:$B &lt;= $B563)),0)"),1456367.46)</f>
        <v>1456367.46</v>
      </c>
      <c r="T563" s="123">
        <v>1348955.0</v>
      </c>
      <c r="U563" s="44">
        <f t="shared" si="57"/>
        <v>107412.46</v>
      </c>
      <c r="V563" s="44">
        <f t="shared" si="3"/>
        <v>0</v>
      </c>
      <c r="W563" s="123"/>
      <c r="X563" s="123"/>
      <c r="Y563" s="123">
        <v>0.0</v>
      </c>
      <c r="Z563" s="123">
        <v>0.0</v>
      </c>
      <c r="AA563" s="123">
        <v>0.0</v>
      </c>
      <c r="AB563" s="123"/>
      <c r="AC563" s="123">
        <v>0.0</v>
      </c>
      <c r="AD563" s="44">
        <f t="shared" si="7"/>
        <v>0</v>
      </c>
      <c r="AE563" s="123">
        <v>0.0</v>
      </c>
    </row>
    <row r="564">
      <c r="A564" s="120">
        <v>2018.0</v>
      </c>
      <c r="B564" s="121">
        <v>1.0</v>
      </c>
      <c r="C564" s="122" t="s">
        <v>67</v>
      </c>
      <c r="D564" s="44"/>
      <c r="E564" s="123">
        <v>9365.27</v>
      </c>
      <c r="F564" s="44"/>
      <c r="G564" s="44"/>
      <c r="H564" s="123">
        <v>-2974.33</v>
      </c>
      <c r="I564" s="44"/>
      <c r="J564" s="44"/>
      <c r="K564" s="44"/>
      <c r="L564" s="123">
        <v>47268.65</v>
      </c>
      <c r="M564" s="44"/>
      <c r="N564" s="44"/>
      <c r="O564" s="123">
        <v>1567910.0</v>
      </c>
      <c r="P564" s="52">
        <f t="shared" si="23"/>
        <v>1567909.23</v>
      </c>
      <c r="Q564" s="124">
        <f t="shared" si="2"/>
        <v>0.7699999998</v>
      </c>
      <c r="R564" s="52">
        <f t="array" ref="R564">IFERROR(INDEX('Fund YTD Target Values'!$1:$1000, MATCH($C564,'Fund YTD Target Values'!$A:$A,0), MATCH($A564,'Fund YTD Target Values'!$1:$1,0)),0)</f>
        <v>1998729.212</v>
      </c>
      <c r="S564" s="52">
        <f>IFERROR(__xludf.DUMMYFUNCTION("IFERROR(sum(FILTER('Fund Data'!$V:$V, 'Fund Data'!$C:$C = $C564, 'Fund Data'!$A:$A &lt; $A564)),0) + IFERROR(sum(FILTER('Fund Data'!$V:$V, 'Fund Data'!$C:$C = $C564, 'Fund Data'!$A:$A = $A564, 'Fund Data'!$B:$B &lt;= $B564)),0)"),1456367.46)</f>
        <v>1456367.46</v>
      </c>
      <c r="T564" s="123">
        <v>1348955.0</v>
      </c>
      <c r="U564" s="44">
        <f t="shared" si="57"/>
        <v>107412.46</v>
      </c>
      <c r="V564" s="44">
        <f t="shared" si="3"/>
        <v>0</v>
      </c>
      <c r="W564" s="123"/>
      <c r="X564" s="123"/>
      <c r="Y564" s="123">
        <v>0.0</v>
      </c>
      <c r="Z564" s="123">
        <v>0.0</v>
      </c>
      <c r="AA564" s="123">
        <v>0.0</v>
      </c>
      <c r="AB564" s="123"/>
      <c r="AC564" s="123">
        <v>0.0</v>
      </c>
      <c r="AD564" s="44">
        <f t="shared" si="7"/>
        <v>0</v>
      </c>
      <c r="AE564" s="123">
        <v>0.0</v>
      </c>
    </row>
    <row r="565">
      <c r="A565" s="120">
        <v>2017.0</v>
      </c>
      <c r="B565" s="121">
        <v>12.0</v>
      </c>
      <c r="C565" s="122" t="s">
        <v>67</v>
      </c>
      <c r="D565" s="123">
        <v>10000.0</v>
      </c>
      <c r="E565" s="123">
        <v>32129.94</v>
      </c>
      <c r="F565" s="123">
        <v>-75000.0</v>
      </c>
      <c r="G565" s="123"/>
      <c r="H565" s="123">
        <v>-8767.97</v>
      </c>
      <c r="I565" s="44"/>
      <c r="J565" s="123">
        <v>12221.83</v>
      </c>
      <c r="K565" s="44"/>
      <c r="L565" s="123">
        <v>169460.51</v>
      </c>
      <c r="M565" s="44"/>
      <c r="N565" s="44"/>
      <c r="O565" s="123">
        <v>1514250.0</v>
      </c>
      <c r="P565" s="52">
        <f t="shared" si="23"/>
        <v>1514249.64</v>
      </c>
      <c r="Q565" s="124">
        <f t="shared" si="2"/>
        <v>0.3600000003</v>
      </c>
      <c r="R565" s="52">
        <f t="array" ref="R565">IFERROR(INDEX('Fund YTD Target Values'!$1:$1000, MATCH($C565,'Fund YTD Target Values'!$A:$A,0), MATCH($A565,'Fund YTD Target Values'!$1:$1,0)),0)</f>
        <v>1951070.709</v>
      </c>
      <c r="S565" s="52">
        <f>IFERROR(__xludf.DUMMYFUNCTION("IFERROR(sum(FILTER('Fund Data'!$V:$V, 'Fund Data'!$C:$C = $C565, 'Fund Data'!$A:$A &lt; $A565)),0) + IFERROR(sum(FILTER('Fund Data'!$V:$V, 'Fund Data'!$C:$C = $C565, 'Fund Data'!$A:$A = $A565, 'Fund Data'!$B:$B &lt;= $B565)),0)"),1456367.46)</f>
        <v>1456367.46</v>
      </c>
      <c r="T565" s="123">
        <v>1348955.0</v>
      </c>
      <c r="U565" s="44">
        <f t="shared" si="57"/>
        <v>107412.46</v>
      </c>
      <c r="V565" s="44">
        <f t="shared" si="3"/>
        <v>0</v>
      </c>
      <c r="W565" s="123"/>
      <c r="X565" s="123"/>
      <c r="Y565" s="123">
        <v>0.0</v>
      </c>
      <c r="Z565" s="123">
        <v>0.0</v>
      </c>
      <c r="AA565" s="123">
        <v>0.0</v>
      </c>
      <c r="AB565" s="123"/>
      <c r="AC565" s="123">
        <v>0.0</v>
      </c>
      <c r="AD565" s="44">
        <f t="shared" si="7"/>
        <v>-75000</v>
      </c>
      <c r="AE565" s="123">
        <v>0.0</v>
      </c>
    </row>
    <row r="566">
      <c r="A566" s="120">
        <v>2017.0</v>
      </c>
      <c r="B566" s="121">
        <v>11.0</v>
      </c>
      <c r="C566" s="122" t="s">
        <v>67</v>
      </c>
      <c r="D566" s="123">
        <v>10000.0</v>
      </c>
      <c r="E566" s="123">
        <v>30003.43</v>
      </c>
      <c r="F566" s="123">
        <v>-75000.0</v>
      </c>
      <c r="G566" s="44"/>
      <c r="H566" s="123">
        <v>-8015.0</v>
      </c>
      <c r="I566" s="44"/>
      <c r="J566" s="123">
        <v>12221.83</v>
      </c>
      <c r="K566" s="44"/>
      <c r="L566" s="123">
        <v>162183.79</v>
      </c>
      <c r="M566" s="44"/>
      <c r="N566" s="44"/>
      <c r="O566" s="123">
        <v>1505600.0</v>
      </c>
      <c r="P566" s="52">
        <f t="shared" si="23"/>
        <v>1505599.38</v>
      </c>
      <c r="Q566" s="124">
        <f t="shared" si="2"/>
        <v>0.6200000003</v>
      </c>
      <c r="R566" s="52">
        <f t="array" ref="R566">IFERROR(INDEX('Fund YTD Target Values'!$1:$1000, MATCH($C566,'Fund YTD Target Values'!$A:$A,0), MATCH($A566,'Fund YTD Target Values'!$1:$1,0)),0)</f>
        <v>1951070.709</v>
      </c>
      <c r="S566" s="52">
        <f>IFERROR(__xludf.DUMMYFUNCTION("IFERROR(sum(FILTER('Fund Data'!$V:$V, 'Fund Data'!$C:$C = $C566, 'Fund Data'!$A:$A &lt; $A566)),0) + IFERROR(sum(FILTER('Fund Data'!$V:$V, 'Fund Data'!$C:$C = $C566, 'Fund Data'!$A:$A = $A566, 'Fund Data'!$B:$B &lt;= $B566)),0)"),1456367.46)</f>
        <v>1456367.46</v>
      </c>
      <c r="T566" s="123">
        <v>1348955.0</v>
      </c>
      <c r="U566" s="44">
        <f t="shared" si="57"/>
        <v>107412.46</v>
      </c>
      <c r="V566" s="44">
        <f t="shared" si="3"/>
        <v>0</v>
      </c>
      <c r="W566" s="123"/>
      <c r="X566" s="123"/>
      <c r="Y566" s="123">
        <v>0.0</v>
      </c>
      <c r="Z566" s="123">
        <v>0.0</v>
      </c>
      <c r="AA566" s="123">
        <v>0.0</v>
      </c>
      <c r="AB566" s="123"/>
      <c r="AC566" s="123">
        <v>0.0</v>
      </c>
      <c r="AD566" s="44">
        <f t="shared" si="7"/>
        <v>-75000</v>
      </c>
      <c r="AE566" s="123">
        <v>0.0</v>
      </c>
    </row>
    <row r="567">
      <c r="A567" s="120">
        <v>2017.0</v>
      </c>
      <c r="B567" s="121">
        <v>10.0</v>
      </c>
      <c r="C567" s="122" t="s">
        <v>67</v>
      </c>
      <c r="D567" s="123">
        <v>10000.0</v>
      </c>
      <c r="E567" s="123">
        <v>28980.43</v>
      </c>
      <c r="F567" s="123">
        <v>-50200.0</v>
      </c>
      <c r="G567" s="44"/>
      <c r="H567" s="123">
        <v>-7258.01</v>
      </c>
      <c r="I567" s="44"/>
      <c r="J567" s="123">
        <v>4172.86</v>
      </c>
      <c r="K567" s="44"/>
      <c r="L567" s="123">
        <v>153492.38</v>
      </c>
      <c r="M567" s="44"/>
      <c r="N567" s="44"/>
      <c r="O567" s="123">
        <v>1513393.0</v>
      </c>
      <c r="P567" s="52">
        <f t="shared" si="23"/>
        <v>1513392.99</v>
      </c>
      <c r="Q567" s="124">
        <f t="shared" si="2"/>
        <v>0.01000000047</v>
      </c>
      <c r="R567" s="52">
        <f t="array" ref="R567">IFERROR(INDEX('Fund YTD Target Values'!$1:$1000, MATCH($C567,'Fund YTD Target Values'!$A:$A,0), MATCH($A567,'Fund YTD Target Values'!$1:$1,0)),0)</f>
        <v>1951070.709</v>
      </c>
      <c r="S567" s="52">
        <f>IFERROR(__xludf.DUMMYFUNCTION("IFERROR(sum(FILTER('Fund Data'!$V:$V, 'Fund Data'!$C:$C = $C567, 'Fund Data'!$A:$A &lt; $A567)),0) + IFERROR(sum(FILTER('Fund Data'!$V:$V, 'Fund Data'!$C:$C = $C567, 'Fund Data'!$A:$A = $A567, 'Fund Data'!$B:$B &lt;= $B567)),0)"),1456367.46)</f>
        <v>1456367.46</v>
      </c>
      <c r="T567" s="123">
        <v>1348955.0</v>
      </c>
      <c r="U567" s="44">
        <f t="shared" si="57"/>
        <v>107412.46</v>
      </c>
      <c r="V567" s="44">
        <f t="shared" si="3"/>
        <v>0</v>
      </c>
      <c r="W567" s="123"/>
      <c r="X567" s="123"/>
      <c r="Y567" s="123">
        <v>0.0</v>
      </c>
      <c r="Z567" s="123">
        <v>0.0</v>
      </c>
      <c r="AA567" s="123">
        <v>0.0</v>
      </c>
      <c r="AB567" s="123"/>
      <c r="AC567" s="123">
        <v>0.0</v>
      </c>
      <c r="AD567" s="44">
        <f t="shared" si="7"/>
        <v>-50200</v>
      </c>
      <c r="AE567" s="123">
        <v>0.0</v>
      </c>
    </row>
    <row r="568">
      <c r="A568" s="120">
        <v>2017.0</v>
      </c>
      <c r="B568" s="121">
        <v>9.0</v>
      </c>
      <c r="C568" s="122" t="s">
        <v>67</v>
      </c>
      <c r="D568" s="123">
        <v>10000.0</v>
      </c>
      <c r="E568" s="123">
        <v>25853.31</v>
      </c>
      <c r="F568" s="123">
        <v>-40200.0</v>
      </c>
      <c r="G568" s="44"/>
      <c r="H568" s="123">
        <v>-6507.25</v>
      </c>
      <c r="I568" s="44"/>
      <c r="J568" s="123">
        <v>1793.99</v>
      </c>
      <c r="K568" s="44"/>
      <c r="L568" s="123">
        <v>136381.62</v>
      </c>
      <c r="M568" s="44"/>
      <c r="N568" s="44"/>
      <c r="O568" s="123">
        <v>1501527.0</v>
      </c>
      <c r="P568" s="52">
        <f t="shared" si="23"/>
        <v>1501527</v>
      </c>
      <c r="Q568" s="124">
        <f t="shared" si="2"/>
        <v>0.0000000004656612873</v>
      </c>
      <c r="R568" s="52">
        <f t="array" ref="R568">IFERROR(INDEX('Fund YTD Target Values'!$1:$1000, MATCH($C568,'Fund YTD Target Values'!$A:$A,0), MATCH($A568,'Fund YTD Target Values'!$1:$1,0)),0)</f>
        <v>1951070.709</v>
      </c>
      <c r="S568" s="52">
        <f>IFERROR(__xludf.DUMMYFUNCTION("IFERROR(sum(FILTER('Fund Data'!$V:$V, 'Fund Data'!$C:$C = $C568, 'Fund Data'!$A:$A &lt; $A568)),0) + IFERROR(sum(FILTER('Fund Data'!$V:$V, 'Fund Data'!$C:$C = $C568, 'Fund Data'!$A:$A = $A568, 'Fund Data'!$B:$B &lt;= $B568)),0)"),1456367.46)</f>
        <v>1456367.46</v>
      </c>
      <c r="T568" s="123">
        <v>1348955.0</v>
      </c>
      <c r="U568" s="44">
        <f t="shared" si="57"/>
        <v>107412.46</v>
      </c>
      <c r="V568" s="44">
        <f t="shared" si="3"/>
        <v>0</v>
      </c>
      <c r="W568" s="123"/>
      <c r="X568" s="123"/>
      <c r="Y568" s="123">
        <v>0.0</v>
      </c>
      <c r="Z568" s="123">
        <v>0.0</v>
      </c>
      <c r="AA568" s="123">
        <v>0.0</v>
      </c>
      <c r="AB568" s="123"/>
      <c r="AC568" s="123">
        <v>0.0</v>
      </c>
      <c r="AD568" s="44">
        <f t="shared" si="7"/>
        <v>-40200</v>
      </c>
      <c r="AE568" s="123">
        <v>0.0</v>
      </c>
    </row>
    <row r="569">
      <c r="A569" s="120">
        <v>2017.0</v>
      </c>
      <c r="B569" s="121">
        <v>8.0</v>
      </c>
      <c r="C569" s="122" t="s">
        <v>67</v>
      </c>
      <c r="D569" s="123">
        <v>10000.0</v>
      </c>
      <c r="E569" s="123">
        <v>23981.93</v>
      </c>
      <c r="F569" s="123">
        <v>-38800.0</v>
      </c>
      <c r="G569" s="44"/>
      <c r="H569" s="123">
        <v>-5763.72</v>
      </c>
      <c r="I569" s="44"/>
      <c r="J569" s="123">
        <v>1793.99</v>
      </c>
      <c r="K569" s="44"/>
      <c r="L569" s="123">
        <v>121648.34</v>
      </c>
      <c r="M569" s="44"/>
      <c r="N569" s="44"/>
      <c r="O569" s="123">
        <v>1487066.0</v>
      </c>
      <c r="P569" s="52">
        <f t="shared" si="23"/>
        <v>1487065.87</v>
      </c>
      <c r="Q569" s="124">
        <f t="shared" si="2"/>
        <v>0.1300000004</v>
      </c>
      <c r="R569" s="52">
        <f t="array" ref="R569">IFERROR(INDEX('Fund YTD Target Values'!$1:$1000, MATCH($C569,'Fund YTD Target Values'!$A:$A,0), MATCH($A569,'Fund YTD Target Values'!$1:$1,0)),0)</f>
        <v>1951070.709</v>
      </c>
      <c r="S569" s="52">
        <f>IFERROR(__xludf.DUMMYFUNCTION("IFERROR(sum(FILTER('Fund Data'!$V:$V, 'Fund Data'!$C:$C = $C569, 'Fund Data'!$A:$A &lt; $A569)),0) + IFERROR(sum(FILTER('Fund Data'!$V:$V, 'Fund Data'!$C:$C = $C569, 'Fund Data'!$A:$A = $A569, 'Fund Data'!$B:$B &lt;= $B569)),0)"),1456367.46)</f>
        <v>1456367.46</v>
      </c>
      <c r="T569" s="123">
        <v>1348955.0</v>
      </c>
      <c r="U569" s="44">
        <f t="shared" si="57"/>
        <v>107412.46</v>
      </c>
      <c r="V569" s="44">
        <f t="shared" si="3"/>
        <v>0</v>
      </c>
      <c r="W569" s="123"/>
      <c r="X569" s="123"/>
      <c r="Y569" s="123">
        <v>0.0</v>
      </c>
      <c r="Z569" s="123">
        <v>0.0</v>
      </c>
      <c r="AA569" s="123">
        <v>0.0</v>
      </c>
      <c r="AB569" s="123"/>
      <c r="AC569" s="123">
        <v>0.0</v>
      </c>
      <c r="AD569" s="44">
        <f t="shared" si="7"/>
        <v>-38800</v>
      </c>
      <c r="AE569" s="123">
        <v>0.0</v>
      </c>
    </row>
    <row r="570">
      <c r="A570" s="120">
        <v>2017.0</v>
      </c>
      <c r="B570" s="121">
        <v>7.0</v>
      </c>
      <c r="C570" s="122" t="s">
        <v>67</v>
      </c>
      <c r="D570" s="123">
        <v>10000.0</v>
      </c>
      <c r="E570" s="123">
        <v>22959.4</v>
      </c>
      <c r="F570" s="123">
        <v>-25000.0</v>
      </c>
      <c r="G570" s="44"/>
      <c r="H570" s="123">
        <v>-5015.36</v>
      </c>
      <c r="I570" s="44"/>
      <c r="J570" s="123">
        <v>1793.99</v>
      </c>
      <c r="K570" s="44"/>
      <c r="L570" s="123">
        <v>117768.47</v>
      </c>
      <c r="M570" s="44"/>
      <c r="N570" s="44"/>
      <c r="O570" s="123">
        <v>1496712.0</v>
      </c>
      <c r="P570" s="52">
        <f t="shared" si="23"/>
        <v>1496711.83</v>
      </c>
      <c r="Q570" s="124">
        <f t="shared" si="2"/>
        <v>0.1700000004</v>
      </c>
      <c r="R570" s="52">
        <f t="array" ref="R570">IFERROR(INDEX('Fund YTD Target Values'!$1:$1000, MATCH($C570,'Fund YTD Target Values'!$A:$A,0), MATCH($A570,'Fund YTD Target Values'!$1:$1,0)),0)</f>
        <v>1951070.709</v>
      </c>
      <c r="S570" s="52">
        <f>IFERROR(__xludf.DUMMYFUNCTION("IFERROR(sum(FILTER('Fund Data'!$V:$V, 'Fund Data'!$C:$C = $C570, 'Fund Data'!$A:$A &lt; $A570)),0) + IFERROR(sum(FILTER('Fund Data'!$V:$V, 'Fund Data'!$C:$C = $C570, 'Fund Data'!$A:$A = $A570, 'Fund Data'!$B:$B &lt;= $B570)),0)"),1456367.46)</f>
        <v>1456367.46</v>
      </c>
      <c r="T570" s="123">
        <v>1348955.0</v>
      </c>
      <c r="U570" s="44">
        <f t="shared" si="57"/>
        <v>107412.46</v>
      </c>
      <c r="V570" s="44">
        <f t="shared" si="3"/>
        <v>0</v>
      </c>
      <c r="W570" s="123"/>
      <c r="X570" s="123"/>
      <c r="Y570" s="123">
        <v>0.0</v>
      </c>
      <c r="Z570" s="123">
        <v>0.0</v>
      </c>
      <c r="AA570" s="123">
        <v>0.0</v>
      </c>
      <c r="AB570" s="123"/>
      <c r="AC570" s="123">
        <v>0.0</v>
      </c>
      <c r="AD570" s="44">
        <f t="shared" si="7"/>
        <v>-25000</v>
      </c>
      <c r="AE570" s="123">
        <v>0.0</v>
      </c>
    </row>
    <row r="571">
      <c r="A571" s="120">
        <v>2017.0</v>
      </c>
      <c r="B571" s="121">
        <v>6.0</v>
      </c>
      <c r="C571" s="122" t="s">
        <v>67</v>
      </c>
      <c r="D571" s="123">
        <v>10000.0</v>
      </c>
      <c r="E571" s="123">
        <v>18285.19</v>
      </c>
      <c r="F571" s="123">
        <v>-25000.0</v>
      </c>
      <c r="G571" s="44"/>
      <c r="H571" s="123">
        <v>-4284.31</v>
      </c>
      <c r="I571" s="44"/>
      <c r="J571" s="123">
        <v>1793.99</v>
      </c>
      <c r="K571" s="44"/>
      <c r="L571" s="123">
        <v>87086.88</v>
      </c>
      <c r="M571" s="44"/>
      <c r="N571" s="44"/>
      <c r="O571" s="123">
        <v>1462087.0</v>
      </c>
      <c r="P571" s="52">
        <f t="shared" si="23"/>
        <v>1462087.08</v>
      </c>
      <c r="Q571" s="124">
        <f t="shared" si="2"/>
        <v>-0.07999999961</v>
      </c>
      <c r="R571" s="52">
        <f t="array" ref="R571">IFERROR(INDEX('Fund YTD Target Values'!$1:$1000, MATCH($C571,'Fund YTD Target Values'!$A:$A,0), MATCH($A571,'Fund YTD Target Values'!$1:$1,0)),0)</f>
        <v>1951070.709</v>
      </c>
      <c r="S571" s="52">
        <f>IFERROR(__xludf.DUMMYFUNCTION("IFERROR(sum(FILTER('Fund Data'!$V:$V, 'Fund Data'!$C:$C = $C571, 'Fund Data'!$A:$A &lt; $A571)),0) + IFERROR(sum(FILTER('Fund Data'!$V:$V, 'Fund Data'!$C:$C = $C571, 'Fund Data'!$A:$A = $A571, 'Fund Data'!$B:$B &lt;= $B571)),0)"),1456367.46)</f>
        <v>1456367.46</v>
      </c>
      <c r="T571" s="123">
        <v>1348955.0</v>
      </c>
      <c r="U571" s="44">
        <f t="shared" si="57"/>
        <v>107412.46</v>
      </c>
      <c r="V571" s="44">
        <f t="shared" si="3"/>
        <v>0</v>
      </c>
      <c r="W571" s="123"/>
      <c r="X571" s="123"/>
      <c r="Y571" s="123">
        <v>0.0</v>
      </c>
      <c r="Z571" s="123">
        <v>0.0</v>
      </c>
      <c r="AA571" s="123">
        <v>0.0</v>
      </c>
      <c r="AB571" s="123"/>
      <c r="AC571" s="123">
        <v>0.0</v>
      </c>
      <c r="AD571" s="44">
        <f t="shared" si="7"/>
        <v>-25000</v>
      </c>
      <c r="AE571" s="123">
        <v>0.0</v>
      </c>
    </row>
    <row r="572">
      <c r="A572" s="168">
        <v>2017.0</v>
      </c>
      <c r="B572" s="169">
        <v>5.0</v>
      </c>
      <c r="C572" s="122" t="s">
        <v>67</v>
      </c>
      <c r="D572" s="123">
        <v>10000.0</v>
      </c>
      <c r="E572" s="123">
        <v>17306.52</v>
      </c>
      <c r="F572" s="123">
        <v>-25000.0</v>
      </c>
      <c r="G572" s="44"/>
      <c r="H572" s="123">
        <v>-3554.97</v>
      </c>
      <c r="I572" s="44"/>
      <c r="J572" s="123">
        <v>1793.99</v>
      </c>
      <c r="K572" s="44"/>
      <c r="L572" s="123">
        <v>83931.94</v>
      </c>
      <c r="M572" s="44"/>
      <c r="N572" s="44"/>
      <c r="O572" s="123">
        <v>1458683.0</v>
      </c>
      <c r="P572" s="52">
        <f t="shared" si="23"/>
        <v>1458682.81</v>
      </c>
      <c r="Q572" s="124">
        <f t="shared" si="2"/>
        <v>0.1900000004</v>
      </c>
      <c r="R572" s="52">
        <f t="array" ref="R572">IFERROR(INDEX('Fund YTD Target Values'!$1:$1000, MATCH($C572,'Fund YTD Target Values'!$A:$A,0), MATCH($A572,'Fund YTD Target Values'!$1:$1,0)),0)</f>
        <v>1951070.709</v>
      </c>
      <c r="S572" s="52">
        <f>IFERROR(__xludf.DUMMYFUNCTION("IFERROR(sum(FILTER('Fund Data'!$V:$V, 'Fund Data'!$C:$C = $C572, 'Fund Data'!$A:$A &lt; $A572)),0) + IFERROR(sum(FILTER('Fund Data'!$V:$V, 'Fund Data'!$C:$C = $C572, 'Fund Data'!$A:$A = $A572, 'Fund Data'!$B:$B &lt;= $B572)),0)"),1456367.46)</f>
        <v>1456367.46</v>
      </c>
      <c r="T572" s="123">
        <v>1348955.0</v>
      </c>
      <c r="U572" s="44">
        <f t="shared" si="57"/>
        <v>107412.46</v>
      </c>
      <c r="V572" s="44">
        <f t="shared" si="3"/>
        <v>10000</v>
      </c>
      <c r="W572" s="123"/>
      <c r="X572" s="123"/>
      <c r="Y572" s="123">
        <v>0.0</v>
      </c>
      <c r="Z572" s="123">
        <v>0.0</v>
      </c>
      <c r="AA572" s="123">
        <v>0.0</v>
      </c>
      <c r="AB572" s="123"/>
      <c r="AC572" s="123">
        <v>0.0</v>
      </c>
      <c r="AD572" s="44">
        <f t="shared" si="7"/>
        <v>-25000</v>
      </c>
      <c r="AE572" s="123">
        <v>0.0</v>
      </c>
    </row>
    <row r="573">
      <c r="A573" s="120">
        <v>2017.0</v>
      </c>
      <c r="B573" s="121">
        <v>4.0</v>
      </c>
      <c r="C573" s="122" t="s">
        <v>67</v>
      </c>
      <c r="D573" s="44"/>
      <c r="E573" s="123">
        <v>16360.34</v>
      </c>
      <c r="F573" s="44"/>
      <c r="G573" s="44"/>
      <c r="H573" s="123">
        <v>-2826.44</v>
      </c>
      <c r="I573" s="44"/>
      <c r="J573" s="44"/>
      <c r="K573" s="44"/>
      <c r="L573" s="123">
        <v>69312.05</v>
      </c>
      <c r="M573" s="44"/>
      <c r="N573" s="44"/>
      <c r="O573" s="123">
        <v>1457052.0</v>
      </c>
      <c r="P573" s="52">
        <f t="shared" si="23"/>
        <v>1457051.28</v>
      </c>
      <c r="Q573" s="124">
        <f t="shared" si="2"/>
        <v>0.7200000004</v>
      </c>
      <c r="R573" s="52">
        <f t="array" ref="R573">IFERROR(INDEX('Fund YTD Target Values'!$1:$1000, MATCH($C573,'Fund YTD Target Values'!$A:$A,0), MATCH($A573,'Fund YTD Target Values'!$1:$1,0)),0)</f>
        <v>1951070.709</v>
      </c>
      <c r="S573" s="52">
        <f>IFERROR(__xludf.DUMMYFUNCTION("IFERROR(sum(FILTER('Fund Data'!$V:$V, 'Fund Data'!$C:$C = $C573, 'Fund Data'!$A:$A &lt; $A573)),0) + IFERROR(sum(FILTER('Fund Data'!$V:$V, 'Fund Data'!$C:$C = $C573, 'Fund Data'!$A:$A = $A573, 'Fund Data'!$B:$B &lt;= $B573)),0)"),1446367.46)</f>
        <v>1446367.46</v>
      </c>
      <c r="T573" s="123">
        <v>1348955.0</v>
      </c>
      <c r="U573" s="44">
        <f t="shared" si="57"/>
        <v>97412.46</v>
      </c>
      <c r="V573" s="44">
        <f t="shared" si="3"/>
        <v>0</v>
      </c>
      <c r="W573" s="123"/>
      <c r="X573" s="123"/>
      <c r="Y573" s="123">
        <v>0.0</v>
      </c>
      <c r="Z573" s="123">
        <v>0.0</v>
      </c>
      <c r="AA573" s="123">
        <v>0.0</v>
      </c>
      <c r="AB573" s="123"/>
      <c r="AC573" s="123">
        <v>0.0</v>
      </c>
      <c r="AD573" s="44">
        <f t="shared" si="7"/>
        <v>0</v>
      </c>
      <c r="AE573" s="123">
        <v>0.0</v>
      </c>
    </row>
    <row r="574">
      <c r="A574" s="120">
        <v>2017.0</v>
      </c>
      <c r="B574" s="121">
        <v>3.0</v>
      </c>
      <c r="C574" s="122" t="s">
        <v>67</v>
      </c>
      <c r="D574" s="44"/>
      <c r="E574" s="123">
        <v>12380.67</v>
      </c>
      <c r="F574" s="44"/>
      <c r="G574" s="44"/>
      <c r="H574" s="123">
        <v>-2106.84</v>
      </c>
      <c r="I574" s="44"/>
      <c r="J574" s="44"/>
      <c r="K574" s="44"/>
      <c r="L574" s="123">
        <v>54731.91</v>
      </c>
      <c r="M574" s="44"/>
      <c r="N574" s="44"/>
      <c r="O574" s="123">
        <v>1439211.0</v>
      </c>
      <c r="P574" s="52">
        <f t="shared" si="23"/>
        <v>1439211.07</v>
      </c>
      <c r="Q574" s="124">
        <f t="shared" si="2"/>
        <v>-0.0699999996</v>
      </c>
      <c r="R574" s="52">
        <f t="array" ref="R574">IFERROR(INDEX('Fund YTD Target Values'!$1:$1000, MATCH($C574,'Fund YTD Target Values'!$A:$A,0), MATCH($A574,'Fund YTD Target Values'!$1:$1,0)),0)</f>
        <v>1951070.709</v>
      </c>
      <c r="S574" s="52">
        <f>IFERROR(__xludf.DUMMYFUNCTION("IFERROR(sum(FILTER('Fund Data'!$V:$V, 'Fund Data'!$C:$C = $C574, 'Fund Data'!$A:$A &lt; $A574)),0) + IFERROR(sum(FILTER('Fund Data'!$V:$V, 'Fund Data'!$C:$C = $C574, 'Fund Data'!$A:$A = $A574, 'Fund Data'!$B:$B &lt;= $B574)),0)"),1446367.46)</f>
        <v>1446367.46</v>
      </c>
      <c r="T574" s="123">
        <v>1348955.0</v>
      </c>
      <c r="U574" s="44">
        <f t="shared" si="57"/>
        <v>97412.46</v>
      </c>
      <c r="V574" s="44">
        <f t="shared" si="3"/>
        <v>0</v>
      </c>
      <c r="W574" s="123"/>
      <c r="X574" s="123"/>
      <c r="Y574" s="123">
        <v>0.0</v>
      </c>
      <c r="Z574" s="123">
        <v>0.0</v>
      </c>
      <c r="AA574" s="123">
        <v>0.0</v>
      </c>
      <c r="AB574" s="123"/>
      <c r="AC574" s="123">
        <v>0.0</v>
      </c>
      <c r="AD574" s="44">
        <f t="shared" si="7"/>
        <v>0</v>
      </c>
      <c r="AE574" s="123">
        <v>0.0</v>
      </c>
    </row>
    <row r="575">
      <c r="A575" s="168">
        <v>2017.0</v>
      </c>
      <c r="B575" s="169">
        <v>2.0</v>
      </c>
      <c r="C575" s="122" t="s">
        <v>67</v>
      </c>
      <c r="D575" s="44"/>
      <c r="E575" s="123">
        <v>11419.35</v>
      </c>
      <c r="F575" s="44"/>
      <c r="G575" s="44"/>
      <c r="H575" s="123">
        <v>-1389.92</v>
      </c>
      <c r="I575" s="44"/>
      <c r="J575" s="44"/>
      <c r="K575" s="44"/>
      <c r="L575" s="123">
        <v>49605.28</v>
      </c>
      <c r="M575" s="44"/>
      <c r="N575" s="44"/>
      <c r="O575" s="123">
        <v>1433840.0</v>
      </c>
      <c r="P575" s="52">
        <f t="shared" si="23"/>
        <v>1433840.04</v>
      </c>
      <c r="Q575" s="124">
        <f t="shared" si="2"/>
        <v>-0.03999999957</v>
      </c>
      <c r="R575" s="52">
        <f t="array" ref="R575">IFERROR(INDEX('Fund YTD Target Values'!$1:$1000, MATCH($C575,'Fund YTD Target Values'!$A:$A,0), MATCH($A575,'Fund YTD Target Values'!$1:$1,0)),0)</f>
        <v>1951070.709</v>
      </c>
      <c r="S575" s="52">
        <f>IFERROR(__xludf.DUMMYFUNCTION("IFERROR(sum(FILTER('Fund Data'!$V:$V, 'Fund Data'!$C:$C = $C575, 'Fund Data'!$A:$A &lt; $A575)),0) + IFERROR(sum(FILTER('Fund Data'!$V:$V, 'Fund Data'!$C:$C = $C575, 'Fund Data'!$A:$A = $A575, 'Fund Data'!$B:$B &lt;= $B575)),0)"),1446367.46)</f>
        <v>1446367.46</v>
      </c>
      <c r="T575" s="123">
        <v>1348955.0</v>
      </c>
      <c r="U575" s="44">
        <f t="shared" si="57"/>
        <v>97412.46</v>
      </c>
      <c r="V575" s="44">
        <f t="shared" si="3"/>
        <v>0</v>
      </c>
      <c r="W575" s="123"/>
      <c r="X575" s="123"/>
      <c r="Y575" s="123">
        <v>0.0</v>
      </c>
      <c r="Z575" s="123">
        <v>0.0</v>
      </c>
      <c r="AA575" s="123">
        <v>0.0</v>
      </c>
      <c r="AB575" s="123"/>
      <c r="AC575" s="123">
        <v>0.0</v>
      </c>
      <c r="AD575" s="44">
        <f t="shared" si="7"/>
        <v>0</v>
      </c>
      <c r="AE575" s="123">
        <v>0.0</v>
      </c>
    </row>
    <row r="576">
      <c r="A576" s="168">
        <v>2017.0</v>
      </c>
      <c r="B576" s="169">
        <v>1.0</v>
      </c>
      <c r="C576" s="122" t="s">
        <v>67</v>
      </c>
      <c r="D576" s="44"/>
      <c r="E576" s="123">
        <v>10428.91</v>
      </c>
      <c r="F576" s="44"/>
      <c r="G576" s="44"/>
      <c r="H576" s="123">
        <v>-687.1</v>
      </c>
      <c r="I576" s="44"/>
      <c r="J576" s="44"/>
      <c r="K576" s="44"/>
      <c r="L576" s="123">
        <v>21685.65</v>
      </c>
      <c r="M576" s="44"/>
      <c r="N576" s="44"/>
      <c r="O576" s="123">
        <v>1405633.0</v>
      </c>
      <c r="P576" s="52">
        <f t="shared" si="23"/>
        <v>1405632.79</v>
      </c>
      <c r="Q576" s="124">
        <f t="shared" si="2"/>
        <v>0.2100000004</v>
      </c>
      <c r="R576" s="52">
        <f t="array" ref="R576">IFERROR(INDEX('Fund YTD Target Values'!$1:$1000, MATCH($C576,'Fund YTD Target Values'!$A:$A,0), MATCH($A576,'Fund YTD Target Values'!$1:$1,0)),0)</f>
        <v>1951070.709</v>
      </c>
      <c r="S576" s="52">
        <f>IFERROR(__xludf.DUMMYFUNCTION("IFERROR(sum(FILTER('Fund Data'!$V:$V, 'Fund Data'!$C:$C = $C576, 'Fund Data'!$A:$A &lt; $A576)),0) + IFERROR(sum(FILTER('Fund Data'!$V:$V, 'Fund Data'!$C:$C = $C576, 'Fund Data'!$A:$A = $A576, 'Fund Data'!$B:$B &lt;= $B576)),0)"),1446367.46)</f>
        <v>1446367.46</v>
      </c>
      <c r="T576" s="123">
        <v>1348955.0</v>
      </c>
      <c r="U576" s="44">
        <f t="shared" si="57"/>
        <v>97412.46</v>
      </c>
      <c r="V576" s="44">
        <f t="shared" si="3"/>
        <v>0</v>
      </c>
      <c r="W576" s="123"/>
      <c r="X576" s="123"/>
      <c r="Y576" s="123">
        <v>0.0</v>
      </c>
      <c r="Z576" s="123">
        <v>0.0</v>
      </c>
      <c r="AA576" s="123">
        <v>0.0</v>
      </c>
      <c r="AB576" s="123"/>
      <c r="AC576" s="123">
        <v>0.0</v>
      </c>
      <c r="AD576" s="44">
        <f t="shared" si="7"/>
        <v>0</v>
      </c>
      <c r="AE576" s="123">
        <v>0.0</v>
      </c>
    </row>
    <row r="577">
      <c r="A577" s="120">
        <v>2016.0</v>
      </c>
      <c r="B577" s="121">
        <v>12.0</v>
      </c>
      <c r="C577" s="122" t="s">
        <v>67</v>
      </c>
      <c r="D577" s="44"/>
      <c r="E577" s="123">
        <v>29596.67</v>
      </c>
      <c r="F577" s="123">
        <v>-40000.0</v>
      </c>
      <c r="G577" s="123"/>
      <c r="H577" s="123">
        <v>-8147.81</v>
      </c>
      <c r="I577" s="44"/>
      <c r="J577" s="123">
        <v>4684.37</v>
      </c>
      <c r="K577" s="44"/>
      <c r="L577" s="123">
        <v>55149.94</v>
      </c>
      <c r="M577" s="44"/>
      <c r="N577" s="44"/>
      <c r="O577" s="123">
        <v>1374206.0</v>
      </c>
      <c r="P577" s="52">
        <f t="shared" si="23"/>
        <v>1374205.33</v>
      </c>
      <c r="Q577" s="124">
        <f t="shared" si="2"/>
        <v>0.6700000004</v>
      </c>
      <c r="R577" s="52">
        <f t="array" ref="R577">IFERROR(INDEX('Fund YTD Target Values'!$1:$1000, MATCH($C577,'Fund YTD Target Values'!$A:$A,0), MATCH($A577,'Fund YTD Target Values'!$1:$1,0)),0)</f>
        <v>1900558.128</v>
      </c>
      <c r="S577" s="52">
        <f>IFERROR(__xludf.DUMMYFUNCTION("IFERROR(sum(FILTER('Fund Data'!$V:$V, 'Fund Data'!$C:$C = $C577, 'Fund Data'!$A:$A &lt; $A577)),0) + IFERROR(sum(FILTER('Fund Data'!$V:$V, 'Fund Data'!$C:$C = $C577, 'Fund Data'!$A:$A = $A577, 'Fund Data'!$B:$B &lt;= $B577)),0)"),1446367.46)</f>
        <v>1446367.46</v>
      </c>
      <c r="T577" s="123">
        <v>1348955.0</v>
      </c>
      <c r="U577" s="44">
        <f t="shared" si="57"/>
        <v>97412.46</v>
      </c>
      <c r="V577" s="44">
        <f t="shared" si="3"/>
        <v>0</v>
      </c>
      <c r="W577" s="123"/>
      <c r="X577" s="123"/>
      <c r="Y577" s="123">
        <v>0.0</v>
      </c>
      <c r="Z577" s="123">
        <v>0.0</v>
      </c>
      <c r="AA577" s="123">
        <v>0.0</v>
      </c>
      <c r="AB577" s="123"/>
      <c r="AC577" s="123">
        <v>0.0</v>
      </c>
      <c r="AD577" s="44">
        <f t="shared" si="7"/>
        <v>-40000</v>
      </c>
      <c r="AE577" s="123">
        <v>0.0</v>
      </c>
    </row>
    <row r="578">
      <c r="A578" s="120">
        <v>2015.0</v>
      </c>
      <c r="B578" s="121">
        <v>12.0</v>
      </c>
      <c r="C578" s="122" t="s">
        <v>67</v>
      </c>
      <c r="D578" s="44"/>
      <c r="E578" s="123">
        <v>33535.25</v>
      </c>
      <c r="F578" s="123">
        <v>-75000.0</v>
      </c>
      <c r="G578" s="123"/>
      <c r="H578" s="123">
        <v>-8536.04</v>
      </c>
      <c r="I578" s="44"/>
      <c r="J578" s="123">
        <v>13538.05</v>
      </c>
      <c r="K578" s="44"/>
      <c r="L578" s="123">
        <v>-74741.91</v>
      </c>
      <c r="M578" s="44"/>
      <c r="N578" s="44"/>
      <c r="O578" s="123">
        <v>1332923.0</v>
      </c>
      <c r="P578" s="52">
        <f t="shared" si="23"/>
        <v>1332922.16</v>
      </c>
      <c r="Q578" s="124">
        <f t="shared" si="2"/>
        <v>0.8399999999</v>
      </c>
      <c r="R578" s="52">
        <f t="array" ref="R578">IFERROR(INDEX('Fund YTD Target Values'!$1:$1000, MATCH($C578,'Fund YTD Target Values'!$A:$A,0), MATCH($A578,'Fund YTD Target Values'!$1:$1,0)),0)</f>
        <v>1876874.898</v>
      </c>
      <c r="S578" s="52">
        <f>IFERROR(__xludf.DUMMYFUNCTION("IFERROR(sum(FILTER('Fund Data'!$V:$V, 'Fund Data'!$C:$C = $C578, 'Fund Data'!$A:$A &lt; $A578)),0) + IFERROR(sum(FILTER('Fund Data'!$V:$V, 'Fund Data'!$C:$C = $C578, 'Fund Data'!$A:$A = $A578, 'Fund Data'!$B:$B &lt;= $B578)),0)"),1446367.46)</f>
        <v>1446367.46</v>
      </c>
      <c r="T578" s="123">
        <v>1348955.0</v>
      </c>
      <c r="U578" s="44">
        <f t="shared" si="57"/>
        <v>97412.46</v>
      </c>
      <c r="V578" s="44">
        <f t="shared" si="3"/>
        <v>0</v>
      </c>
      <c r="W578" s="123"/>
      <c r="X578" s="123"/>
      <c r="Y578" s="123">
        <v>0.0</v>
      </c>
      <c r="Z578" s="123">
        <v>0.0</v>
      </c>
      <c r="AA578" s="123">
        <v>0.0</v>
      </c>
      <c r="AB578" s="123"/>
      <c r="AC578" s="123">
        <v>0.0</v>
      </c>
      <c r="AD578" s="44">
        <f t="shared" si="7"/>
        <v>-75000</v>
      </c>
      <c r="AE578" s="123">
        <v>0.0</v>
      </c>
    </row>
    <row r="579">
      <c r="A579" s="120">
        <v>2014.0</v>
      </c>
      <c r="B579" s="121">
        <v>12.0</v>
      </c>
      <c r="C579" s="122" t="s">
        <v>67</v>
      </c>
      <c r="D579" s="44"/>
      <c r="E579" s="123">
        <v>28663.59</v>
      </c>
      <c r="F579" s="123">
        <v>-110000.0</v>
      </c>
      <c r="G579" s="123"/>
      <c r="H579" s="123">
        <v>-9155.85</v>
      </c>
      <c r="I579" s="44"/>
      <c r="J579" s="123">
        <v>24313.26</v>
      </c>
      <c r="K579" s="44"/>
      <c r="L579" s="123">
        <v>-15574.83</v>
      </c>
      <c r="M579" s="44"/>
      <c r="N579" s="44"/>
      <c r="O579" s="123">
        <v>1444127.0</v>
      </c>
      <c r="P579" s="52">
        <f t="shared" si="23"/>
        <v>1444126.81</v>
      </c>
      <c r="Q579" s="124">
        <f t="shared" si="2"/>
        <v>0.1899999999</v>
      </c>
      <c r="R579" s="52">
        <f t="array" ref="R579">IFERROR(INDEX('Fund YTD Target Values'!$1:$1000, MATCH($C579,'Fund YTD Target Values'!$A:$A,0), MATCH($A579,'Fund YTD Target Values'!$1:$1,0)),0)</f>
        <v>1874645.952</v>
      </c>
      <c r="S579" s="52">
        <f>IFERROR(__xludf.DUMMYFUNCTION("IFERROR(sum(FILTER('Fund Data'!$V:$V, 'Fund Data'!$C:$C = $C579, 'Fund Data'!$A:$A &lt; $A579)),0) + IFERROR(sum(FILTER('Fund Data'!$V:$V, 'Fund Data'!$C:$C = $C579, 'Fund Data'!$A:$A = $A579, 'Fund Data'!$B:$B &lt;= $B579)),0)"),1446367.46)</f>
        <v>1446367.46</v>
      </c>
      <c r="T579" s="123">
        <v>1348955.0</v>
      </c>
      <c r="U579" s="44">
        <f t="shared" si="57"/>
        <v>97412.46</v>
      </c>
      <c r="V579" s="44">
        <f t="shared" si="3"/>
        <v>0</v>
      </c>
      <c r="W579" s="123"/>
      <c r="X579" s="123"/>
      <c r="Y579" s="123">
        <v>0.0</v>
      </c>
      <c r="Z579" s="123">
        <v>0.0</v>
      </c>
      <c r="AA579" s="123">
        <v>0.0</v>
      </c>
      <c r="AB579" s="123"/>
      <c r="AC579" s="123">
        <v>0.0</v>
      </c>
      <c r="AD579" s="44">
        <f t="shared" si="7"/>
        <v>-110000</v>
      </c>
      <c r="AE579" s="123">
        <v>0.0</v>
      </c>
    </row>
    <row r="580">
      <c r="A580" s="120">
        <v>2013.0</v>
      </c>
      <c r="B580" s="121">
        <v>12.0</v>
      </c>
      <c r="C580" s="122" t="s">
        <v>67</v>
      </c>
      <c r="D580" s="44"/>
      <c r="E580" s="123">
        <v>31256.94</v>
      </c>
      <c r="F580" s="123">
        <v>-82500.0</v>
      </c>
      <c r="G580" s="123"/>
      <c r="H580" s="123">
        <v>-8976.65</v>
      </c>
      <c r="I580" s="44"/>
      <c r="J580" s="123">
        <v>10907.82</v>
      </c>
      <c r="K580" s="44"/>
      <c r="L580" s="123">
        <v>121577.88</v>
      </c>
      <c r="M580" s="44"/>
      <c r="N580" s="44"/>
      <c r="O580" s="123">
        <v>1525881.0</v>
      </c>
      <c r="P580" s="52">
        <f t="shared" si="23"/>
        <v>1525880.64</v>
      </c>
      <c r="Q580" s="124">
        <f t="shared" si="2"/>
        <v>0.3600000001</v>
      </c>
      <c r="R580" s="52">
        <f t="array" ref="R580">IFERROR(INDEX('Fund YTD Target Values'!$1:$1000, MATCH($C580,'Fund YTD Target Values'!$A:$A,0), MATCH($A580,'Fund YTD Target Values'!$1:$1,0)),0)</f>
        <v>1844726.249</v>
      </c>
      <c r="S580" s="52">
        <f>IFERROR(__xludf.DUMMYFUNCTION("IFERROR(sum(FILTER('Fund Data'!$V:$V, 'Fund Data'!$C:$C = $C580, 'Fund Data'!$A:$A &lt; $A580)),0) + IFERROR(sum(FILTER('Fund Data'!$V:$V, 'Fund Data'!$C:$C = $C580, 'Fund Data'!$A:$A = $A580, 'Fund Data'!$B:$B &lt;= $B580)),0)"),1446367.46)</f>
        <v>1446367.46</v>
      </c>
      <c r="T580" s="123">
        <v>1348955.0</v>
      </c>
      <c r="U580" s="44">
        <f t="shared" si="57"/>
        <v>97412.46</v>
      </c>
      <c r="V580" s="44">
        <f t="shared" si="3"/>
        <v>0</v>
      </c>
      <c r="W580" s="123"/>
      <c r="X580" s="123"/>
      <c r="Y580" s="123">
        <v>0.0</v>
      </c>
      <c r="Z580" s="123">
        <v>0.0</v>
      </c>
      <c r="AA580" s="123">
        <v>0.0</v>
      </c>
      <c r="AB580" s="123"/>
      <c r="AC580" s="123">
        <v>0.0</v>
      </c>
      <c r="AD580" s="44">
        <f t="shared" si="7"/>
        <v>-82500</v>
      </c>
      <c r="AE580" s="123">
        <v>0.0</v>
      </c>
    </row>
    <row r="581">
      <c r="A581" s="120">
        <v>2012.0</v>
      </c>
      <c r="B581" s="121">
        <v>12.0</v>
      </c>
      <c r="C581" s="122" t="s">
        <v>67</v>
      </c>
      <c r="D581" s="44"/>
      <c r="E581" s="123">
        <v>29333.5</v>
      </c>
      <c r="F581" s="123">
        <v>-62000.0</v>
      </c>
      <c r="G581" s="123"/>
      <c r="H581" s="123">
        <v>-8635.11</v>
      </c>
      <c r="I581" s="44"/>
      <c r="J581" s="123">
        <v>5824.04</v>
      </c>
      <c r="K581" s="44"/>
      <c r="L581" s="123">
        <v>137546.96</v>
      </c>
      <c r="M581" s="44"/>
      <c r="N581" s="44"/>
      <c r="O581" s="123">
        <v>1453615.0</v>
      </c>
      <c r="P581" s="52">
        <f t="shared" si="23"/>
        <v>1453614.65</v>
      </c>
      <c r="Q581" s="124">
        <f t="shared" si="2"/>
        <v>0.3500000003</v>
      </c>
      <c r="R581" s="52">
        <f t="array" ref="R581">IFERROR(INDEX('Fund YTD Target Values'!$1:$1000, MATCH($C581,'Fund YTD Target Values'!$A:$A,0), MATCH($A581,'Fund YTD Target Values'!$1:$1,0)),0)</f>
        <v>1818072.478</v>
      </c>
      <c r="S581" s="52">
        <f>IFERROR(__xludf.DUMMYFUNCTION("IFERROR(sum(FILTER('Fund Data'!$V:$V, 'Fund Data'!$C:$C = $C581, 'Fund Data'!$A:$A &lt; $A581)),0) + IFERROR(sum(FILTER('Fund Data'!$V:$V, 'Fund Data'!$C:$C = $C581, 'Fund Data'!$A:$A = $A581, 'Fund Data'!$B:$B &lt;= $B581)),0)"),1446367.46)</f>
        <v>1446367.46</v>
      </c>
      <c r="T581" s="123">
        <v>1348955.0</v>
      </c>
      <c r="U581" s="44">
        <f t="shared" si="57"/>
        <v>97412.46</v>
      </c>
      <c r="V581" s="44">
        <f t="shared" si="3"/>
        <v>0</v>
      </c>
      <c r="W581" s="123"/>
      <c r="X581" s="123"/>
      <c r="Y581" s="123">
        <v>0.0</v>
      </c>
      <c r="Z581" s="123">
        <v>0.0</v>
      </c>
      <c r="AA581" s="123">
        <v>0.0</v>
      </c>
      <c r="AB581" s="123"/>
      <c r="AC581" s="123">
        <v>0.0</v>
      </c>
      <c r="AD581" s="44">
        <f t="shared" si="7"/>
        <v>-62000</v>
      </c>
      <c r="AE581" s="123">
        <v>0.0</v>
      </c>
    </row>
    <row r="582">
      <c r="A582" s="120">
        <v>2011.0</v>
      </c>
      <c r="B582" s="121">
        <v>12.0</v>
      </c>
      <c r="C582" s="122" t="s">
        <v>67</v>
      </c>
      <c r="D582" s="44"/>
      <c r="E582" s="123">
        <v>24758.17</v>
      </c>
      <c r="F582" s="123">
        <v>-47000.0</v>
      </c>
      <c r="G582" s="123"/>
      <c r="H582" s="123">
        <v>-8781.18</v>
      </c>
      <c r="I582" s="44"/>
      <c r="J582" s="123">
        <v>6593.97</v>
      </c>
      <c r="K582" s="44"/>
      <c r="L582" s="123">
        <v>-96196.11</v>
      </c>
      <c r="M582" s="44"/>
      <c r="N582" s="44"/>
      <c r="O582" s="123">
        <v>1351546.0</v>
      </c>
      <c r="P582" s="52">
        <f t="shared" si="23"/>
        <v>1351545.26</v>
      </c>
      <c r="Q582" s="124">
        <f t="shared" si="2"/>
        <v>0.7399999998</v>
      </c>
      <c r="R582" s="52">
        <f t="array" ref="R582">IFERROR(INDEX('Fund YTD Target Values'!$1:$1000, MATCH($C582,'Fund YTD Target Values'!$A:$A,0), MATCH($A582,'Fund YTD Target Values'!$1:$1,0)),0)</f>
        <v>1781145.891</v>
      </c>
      <c r="S582" s="52">
        <f>IFERROR(__xludf.DUMMYFUNCTION("IFERROR(sum(FILTER('Fund Data'!$V:$V, 'Fund Data'!$C:$C = $C582, 'Fund Data'!$A:$A &lt; $A582)),0) + IFERROR(sum(FILTER('Fund Data'!$V:$V, 'Fund Data'!$C:$C = $C582, 'Fund Data'!$A:$A = $A582, 'Fund Data'!$B:$B &lt;= $B582)),0)"),1446367.46)</f>
        <v>1446367.46</v>
      </c>
      <c r="T582" s="123">
        <v>1348955.0</v>
      </c>
      <c r="U582" s="44">
        <f t="shared" si="57"/>
        <v>97412.46</v>
      </c>
      <c r="V582" s="44">
        <f t="shared" si="3"/>
        <v>0</v>
      </c>
      <c r="W582" s="123"/>
      <c r="X582" s="123"/>
      <c r="Y582" s="123">
        <v>0.0</v>
      </c>
      <c r="Z582" s="123">
        <v>0.0</v>
      </c>
      <c r="AA582" s="123">
        <v>0.0</v>
      </c>
      <c r="AB582" s="123"/>
      <c r="AC582" s="123">
        <v>0.0</v>
      </c>
      <c r="AD582" s="44">
        <f t="shared" si="7"/>
        <v>-47000</v>
      </c>
      <c r="AE582" s="123">
        <v>0.0</v>
      </c>
    </row>
    <row r="583">
      <c r="A583" s="120">
        <v>2010.0</v>
      </c>
      <c r="B583" s="121">
        <v>12.0</v>
      </c>
      <c r="C583" s="122" t="s">
        <v>67</v>
      </c>
      <c r="D583" s="44"/>
      <c r="E583" s="123">
        <v>29737.9</v>
      </c>
      <c r="F583" s="123">
        <v>-105000.0</v>
      </c>
      <c r="G583" s="123"/>
      <c r="H583" s="123">
        <v>-8430.06</v>
      </c>
      <c r="I583" s="44"/>
      <c r="J583" s="123">
        <v>4331.17</v>
      </c>
      <c r="K583" s="123">
        <v>-137.01</v>
      </c>
      <c r="L583" s="123">
        <v>157807.81</v>
      </c>
      <c r="M583" s="44"/>
      <c r="N583" s="44"/>
      <c r="O583" s="123">
        <v>1472171.0</v>
      </c>
      <c r="P583" s="52">
        <f t="shared" si="23"/>
        <v>1472170.41</v>
      </c>
      <c r="Q583" s="124">
        <f t="shared" si="2"/>
        <v>0.5900000003</v>
      </c>
      <c r="R583" s="52">
        <f t="array" ref="R583">IFERROR(INDEX('Fund YTD Target Values'!$1:$1000, MATCH($C583,'Fund YTD Target Values'!$A:$A,0), MATCH($A583,'Fund YTD Target Values'!$1:$1,0)),0)</f>
        <v>1726666.098</v>
      </c>
      <c r="S583" s="52">
        <f>IFERROR(__xludf.DUMMYFUNCTION("IFERROR(sum(FILTER('Fund Data'!$V:$V, 'Fund Data'!$C:$C = $C583, 'Fund Data'!$A:$A &lt; $A583)),0) + IFERROR(sum(FILTER('Fund Data'!$V:$V, 'Fund Data'!$C:$C = $C583, 'Fund Data'!$A:$A = $A583, 'Fund Data'!$B:$B &lt;= $B583)),0)"),1446367.46)</f>
        <v>1446367.46</v>
      </c>
      <c r="T583" s="123">
        <v>1348955.0</v>
      </c>
      <c r="U583" s="44">
        <f t="shared" si="57"/>
        <v>97412.46</v>
      </c>
      <c r="V583" s="44">
        <f t="shared" si="3"/>
        <v>0</v>
      </c>
      <c r="W583" s="123"/>
      <c r="X583" s="123"/>
      <c r="Y583" s="123">
        <v>0.0</v>
      </c>
      <c r="Z583" s="123">
        <v>0.0</v>
      </c>
      <c r="AA583" s="123">
        <v>0.0</v>
      </c>
      <c r="AB583" s="123"/>
      <c r="AC583" s="123">
        <v>0.0</v>
      </c>
      <c r="AD583" s="44">
        <f t="shared" si="7"/>
        <v>-105000</v>
      </c>
      <c r="AE583" s="123">
        <v>0.0</v>
      </c>
    </row>
    <row r="584">
      <c r="A584" s="120">
        <v>2009.0</v>
      </c>
      <c r="B584" s="121">
        <v>12.0</v>
      </c>
      <c r="C584" s="122" t="s">
        <v>67</v>
      </c>
      <c r="D584" s="44"/>
      <c r="E584" s="123">
        <v>36140.47</v>
      </c>
      <c r="F584" s="123">
        <v>-5000.0</v>
      </c>
      <c r="G584" s="123"/>
      <c r="H584" s="123">
        <v>-7311.69</v>
      </c>
      <c r="I584" s="44"/>
      <c r="J584" s="44"/>
      <c r="K584" s="123">
        <v>-192.8</v>
      </c>
      <c r="L584" s="123">
        <v>215356.01</v>
      </c>
      <c r="M584" s="44"/>
      <c r="N584" s="44"/>
      <c r="O584" s="123">
        <v>1393861.0</v>
      </c>
      <c r="P584" s="52">
        <f t="shared" si="23"/>
        <v>1393860.6</v>
      </c>
      <c r="Q584" s="124">
        <f t="shared" si="2"/>
        <v>0.4000000004</v>
      </c>
      <c r="R584" s="52">
        <f t="array" ref="R584">IFERROR(INDEX('Fund YTD Target Values'!$1:$1000, MATCH($C584,'Fund YTD Target Values'!$A:$A,0), MATCH($A584,'Fund YTD Target Values'!$1:$1,0)),0)</f>
        <v>1698733.491</v>
      </c>
      <c r="S584" s="52">
        <f>IFERROR(__xludf.DUMMYFUNCTION("IFERROR(sum(FILTER('Fund Data'!$V:$V, 'Fund Data'!$C:$C = $C584, 'Fund Data'!$A:$A &lt; $A584)),0) + IFERROR(sum(FILTER('Fund Data'!$V:$V, 'Fund Data'!$C:$C = $C584, 'Fund Data'!$A:$A = $A584, 'Fund Data'!$B:$B &lt;= $B584)),0)"),1446367.46)</f>
        <v>1446367.46</v>
      </c>
      <c r="T584" s="123">
        <v>1348955.0</v>
      </c>
      <c r="U584" s="44">
        <f t="shared" si="57"/>
        <v>97412.46</v>
      </c>
      <c r="V584" s="44">
        <f t="shared" si="3"/>
        <v>0</v>
      </c>
      <c r="W584" s="123"/>
      <c r="X584" s="123"/>
      <c r="Y584" s="123">
        <v>0.0</v>
      </c>
      <c r="Z584" s="123">
        <v>0.0</v>
      </c>
      <c r="AA584" s="123">
        <v>0.0</v>
      </c>
      <c r="AB584" s="123"/>
      <c r="AC584" s="123">
        <v>0.0</v>
      </c>
      <c r="AD584" s="44">
        <f t="shared" si="7"/>
        <v>-5000</v>
      </c>
      <c r="AE584" s="123">
        <v>0.0</v>
      </c>
    </row>
    <row r="585">
      <c r="A585" s="120">
        <v>2008.0</v>
      </c>
      <c r="B585" s="121">
        <v>12.0</v>
      </c>
      <c r="C585" s="122" t="s">
        <v>67</v>
      </c>
      <c r="D585" s="44"/>
      <c r="E585" s="123">
        <v>37463.24</v>
      </c>
      <c r="F585" s="123">
        <v>-75000.0</v>
      </c>
      <c r="G585" s="123"/>
      <c r="H585" s="123">
        <v>-8395.49</v>
      </c>
      <c r="I585" s="44"/>
      <c r="J585" s="123">
        <v>5441.46</v>
      </c>
      <c r="K585" s="44"/>
      <c r="L585" s="123">
        <v>-390376.3</v>
      </c>
      <c r="M585" s="44"/>
      <c r="N585" s="44"/>
      <c r="O585" s="123">
        <v>1154869.0</v>
      </c>
      <c r="P585" s="52">
        <f t="shared" si="23"/>
        <v>1154868.61</v>
      </c>
      <c r="Q585" s="124">
        <f t="shared" si="2"/>
        <v>0.3900000001</v>
      </c>
      <c r="R585" s="52">
        <f t="array" ref="R585">IFERROR(INDEX('Fund YTD Target Values'!$1:$1000, MATCH($C585,'Fund YTD Target Values'!$A:$A,0), MATCH($A585,'Fund YTD Target Values'!$1:$1,0)),0)</f>
        <v>1704491.263</v>
      </c>
      <c r="S585" s="52">
        <f>IFERROR(__xludf.DUMMYFUNCTION("IFERROR(sum(FILTER('Fund Data'!$V:$V, 'Fund Data'!$C:$C = $C585, 'Fund Data'!$A:$A &lt; $A585)),0) + IFERROR(sum(FILTER('Fund Data'!$V:$V, 'Fund Data'!$C:$C = $C585, 'Fund Data'!$A:$A = $A585, 'Fund Data'!$B:$B &lt;= $B585)),0)"),1446367.46)</f>
        <v>1446367.46</v>
      </c>
      <c r="T585" s="123">
        <v>1348955.0</v>
      </c>
      <c r="U585" s="44">
        <f t="shared" si="57"/>
        <v>97412.46</v>
      </c>
      <c r="V585" s="44">
        <f t="shared" si="3"/>
        <v>0</v>
      </c>
      <c r="W585" s="123"/>
      <c r="X585" s="123"/>
      <c r="Y585" s="123">
        <v>0.0</v>
      </c>
      <c r="Z585" s="123">
        <v>0.0</v>
      </c>
      <c r="AA585" s="123">
        <v>0.0</v>
      </c>
      <c r="AB585" s="123"/>
      <c r="AC585" s="123">
        <v>0.0</v>
      </c>
      <c r="AD585" s="44">
        <f t="shared" si="7"/>
        <v>-75000</v>
      </c>
      <c r="AE585" s="123">
        <v>0.0</v>
      </c>
    </row>
    <row r="586">
      <c r="A586" s="120">
        <v>2007.0</v>
      </c>
      <c r="B586" s="121">
        <v>12.0</v>
      </c>
      <c r="C586" s="122" t="s">
        <v>67</v>
      </c>
      <c r="D586" s="123">
        <v>78500.0</v>
      </c>
      <c r="E586" s="123">
        <v>24467.48</v>
      </c>
      <c r="F586" s="123">
        <v>-120000.0</v>
      </c>
      <c r="G586" s="123"/>
      <c r="H586" s="123">
        <v>-9251.26</v>
      </c>
      <c r="I586" s="44"/>
      <c r="J586" s="123">
        <v>11527.81</v>
      </c>
      <c r="K586" s="44"/>
      <c r="L586" s="123">
        <v>117754.93</v>
      </c>
      <c r="M586" s="123">
        <v>-99.0</v>
      </c>
      <c r="N586" s="44"/>
      <c r="O586" s="123">
        <v>1585736.0</v>
      </c>
      <c r="P586" s="52">
        <f t="shared" si="23"/>
        <v>1585735.7</v>
      </c>
      <c r="Q586" s="124">
        <f t="shared" si="2"/>
        <v>0.3000000003</v>
      </c>
      <c r="R586" s="52">
        <f t="array" ref="R586">IFERROR(INDEX('Fund YTD Target Values'!$1:$1000, MATCH($C586,'Fund YTD Target Values'!$A:$A,0), MATCH($A586,'Fund YTD Target Values'!$1:$1,0)),0)</f>
        <v>1641370.191</v>
      </c>
      <c r="S586" s="52">
        <f>IFERROR(__xludf.DUMMYFUNCTION("IFERROR(sum(FILTER('Fund Data'!$V:$V, 'Fund Data'!$C:$C = $C586, 'Fund Data'!$A:$A &lt; $A586)),0) + IFERROR(sum(FILTER('Fund Data'!$V:$V, 'Fund Data'!$C:$C = $C586, 'Fund Data'!$A:$A = $A586, 'Fund Data'!$B:$B &lt;= $B586)),0)"),1446367.46)</f>
        <v>1446367.46</v>
      </c>
      <c r="T586" s="123">
        <v>1348955.0</v>
      </c>
      <c r="U586" s="44">
        <f t="shared" si="57"/>
        <v>97412.46</v>
      </c>
      <c r="V586" s="44">
        <f t="shared" si="3"/>
        <v>78500</v>
      </c>
      <c r="W586" s="123"/>
      <c r="X586" s="123"/>
      <c r="Y586" s="123">
        <v>0.0</v>
      </c>
      <c r="Z586" s="123">
        <v>0.0</v>
      </c>
      <c r="AA586" s="123">
        <v>0.0</v>
      </c>
      <c r="AB586" s="123"/>
      <c r="AC586" s="123">
        <v>0.0</v>
      </c>
      <c r="AD586" s="44">
        <f t="shared" si="7"/>
        <v>-120000</v>
      </c>
      <c r="AE586" s="123">
        <v>0.0</v>
      </c>
    </row>
    <row r="587">
      <c r="A587" s="120">
        <v>2006.0</v>
      </c>
      <c r="B587" s="121">
        <v>12.0</v>
      </c>
      <c r="C587" s="122" t="s">
        <v>67</v>
      </c>
      <c r="D587" s="123">
        <v>76100.0</v>
      </c>
      <c r="E587" s="123">
        <v>22618.36</v>
      </c>
      <c r="F587" s="123">
        <v>-100000.0</v>
      </c>
      <c r="G587" s="123"/>
      <c r="H587" s="123">
        <v>-8430.79</v>
      </c>
      <c r="I587" s="44"/>
      <c r="J587" s="123">
        <v>597.03</v>
      </c>
      <c r="K587" s="44"/>
      <c r="L587" s="123">
        <v>119663.5</v>
      </c>
      <c r="M587" s="123">
        <v>-3803.54</v>
      </c>
      <c r="N587" s="44"/>
      <c r="O587" s="123">
        <v>1482836.0</v>
      </c>
      <c r="P587" s="52">
        <f t="shared" si="23"/>
        <v>1482835.74</v>
      </c>
      <c r="Q587" s="124">
        <f t="shared" si="2"/>
        <v>0.2600000002</v>
      </c>
      <c r="R587" s="52">
        <f t="array" ref="R587">IFERROR(INDEX('Fund YTD Target Values'!$1:$1000, MATCH($C587,'Fund YTD Target Values'!$A:$A,0), MATCH($A587,'Fund YTD Target Values'!$1:$1,0)),0)</f>
        <v>1519527.896</v>
      </c>
      <c r="S587" s="52">
        <f>IFERROR(__xludf.DUMMYFUNCTION("IFERROR(sum(FILTER('Fund Data'!$V:$V, 'Fund Data'!$C:$C = $C587, 'Fund Data'!$A:$A &lt; $A587)),0) + IFERROR(sum(FILTER('Fund Data'!$V:$V, 'Fund Data'!$C:$C = $C587, 'Fund Data'!$A:$A = $A587, 'Fund Data'!$B:$B &lt;= $B587)),0)"),1367867.46)</f>
        <v>1367867.46</v>
      </c>
      <c r="T587" s="123">
        <v>1270455.0</v>
      </c>
      <c r="U587" s="44">
        <f t="shared" si="57"/>
        <v>97412.46</v>
      </c>
      <c r="V587" s="44">
        <f t="shared" si="3"/>
        <v>76100</v>
      </c>
      <c r="W587" s="123"/>
      <c r="X587" s="123"/>
      <c r="Y587" s="123">
        <v>0.0</v>
      </c>
      <c r="Z587" s="123">
        <v>0.0</v>
      </c>
      <c r="AA587" s="123">
        <v>0.0</v>
      </c>
      <c r="AB587" s="123"/>
      <c r="AC587" s="123">
        <v>0.0</v>
      </c>
      <c r="AD587" s="44">
        <f t="shared" si="7"/>
        <v>-100000</v>
      </c>
      <c r="AE587" s="123">
        <v>0.0</v>
      </c>
    </row>
    <row r="588">
      <c r="A588" s="120">
        <v>2005.0</v>
      </c>
      <c r="B588" s="121">
        <v>12.0</v>
      </c>
      <c r="C588" s="122" t="s">
        <v>67</v>
      </c>
      <c r="D588" s="123">
        <v>36000.0</v>
      </c>
      <c r="E588" s="123">
        <v>27259.7</v>
      </c>
      <c r="F588" s="123">
        <v>-129500.0</v>
      </c>
      <c r="G588" s="123"/>
      <c r="H588" s="123">
        <v>-7087.85</v>
      </c>
      <c r="I588" s="44"/>
      <c r="J588" s="123">
        <v>179857.24</v>
      </c>
      <c r="K588" s="44"/>
      <c r="L588" s="123">
        <v>-126075.15</v>
      </c>
      <c r="M588" s="123">
        <v>3872.13</v>
      </c>
      <c r="N588" s="44"/>
      <c r="O588" s="123">
        <v>1376091.0</v>
      </c>
      <c r="P588" s="52">
        <f t="shared" si="23"/>
        <v>1376091.18</v>
      </c>
      <c r="Q588" s="124">
        <f t="shared" si="2"/>
        <v>-0.1799999999</v>
      </c>
      <c r="R588" s="52">
        <f t="array" ref="R588">IFERROR(INDEX('Fund YTD Target Values'!$1:$1000, MATCH($C588,'Fund YTD Target Values'!$A:$A,0), MATCH($A588,'Fund YTD Target Values'!$1:$1,0)),0)</f>
        <v>1398193.266</v>
      </c>
      <c r="S588" s="52">
        <f>IFERROR(__xludf.DUMMYFUNCTION("IFERROR(sum(FILTER('Fund Data'!$V:$V, 'Fund Data'!$C:$C = $C588, 'Fund Data'!$A:$A &lt; $A588)),0) + IFERROR(sum(FILTER('Fund Data'!$V:$V, 'Fund Data'!$C:$C = $C588, 'Fund Data'!$A:$A = $A588, 'Fund Data'!$B:$B &lt;= $B588)),0)"),1291767.46)</f>
        <v>1291767.46</v>
      </c>
      <c r="T588" s="123">
        <v>1194355.0</v>
      </c>
      <c r="U588" s="44">
        <f t="shared" si="57"/>
        <v>97412.46</v>
      </c>
      <c r="V588" s="44">
        <f t="shared" si="3"/>
        <v>36000</v>
      </c>
      <c r="W588" s="123"/>
      <c r="X588" s="123"/>
      <c r="Y588" s="123">
        <v>0.0</v>
      </c>
      <c r="Z588" s="123">
        <v>0.0</v>
      </c>
      <c r="AA588" s="123">
        <v>0.0</v>
      </c>
      <c r="AB588" s="123"/>
      <c r="AC588" s="123">
        <v>0.0</v>
      </c>
      <c r="AD588" s="44">
        <f t="shared" si="7"/>
        <v>-129500</v>
      </c>
      <c r="AE588" s="123">
        <v>0.0</v>
      </c>
    </row>
    <row r="589">
      <c r="A589" s="120">
        <v>2004.0</v>
      </c>
      <c r="B589" s="121">
        <v>12.0</v>
      </c>
      <c r="C589" s="122" t="s">
        <v>67</v>
      </c>
      <c r="D589" s="123">
        <v>240000.0</v>
      </c>
      <c r="E589" s="123">
        <v>39623.0</v>
      </c>
      <c r="F589" s="123">
        <v>-105000.0</v>
      </c>
      <c r="G589" s="123"/>
      <c r="H589" s="123">
        <v>-5646.0</v>
      </c>
      <c r="I589" s="123"/>
      <c r="J589" s="123">
        <v>24408.0</v>
      </c>
      <c r="K589" s="123">
        <v>-14719.0</v>
      </c>
      <c r="L589" s="123">
        <v>70036.0</v>
      </c>
      <c r="M589" s="123">
        <v>-37.0</v>
      </c>
      <c r="N589" s="123">
        <v>15530.0</v>
      </c>
      <c r="O589" s="123">
        <v>1391766.0</v>
      </c>
      <c r="P589" s="52">
        <f t="shared" si="23"/>
        <v>1391765.11</v>
      </c>
      <c r="Q589" s="124">
        <f t="shared" si="2"/>
        <v>0.8900000004</v>
      </c>
      <c r="R589" s="52">
        <f t="array" ref="R589">IFERROR(INDEX('Fund YTD Target Values'!$1:$1000, MATCH($C589,'Fund YTD Target Values'!$A:$A,0), MATCH($A589,'Fund YTD Target Values'!$1:$1,0)),0)</f>
        <v>1317524.736</v>
      </c>
      <c r="S589" s="52">
        <f>IFERROR(__xludf.DUMMYFUNCTION("IFERROR(sum(FILTER('Fund Data'!$V:$V, 'Fund Data'!$C:$C = $C589, 'Fund Data'!$A:$A &lt; $A589)),0) + IFERROR(sum(FILTER('Fund Data'!$V:$V, 'Fund Data'!$C:$C = $C589, 'Fund Data'!$A:$A = $A589, 'Fund Data'!$B:$B &lt;= $B589)),0)"),1255767.46)</f>
        <v>1255767.46</v>
      </c>
      <c r="T589" s="123">
        <v>1258355.0</v>
      </c>
      <c r="U589" s="44">
        <f t="shared" si="57"/>
        <v>-2587.54</v>
      </c>
      <c r="V589" s="44">
        <f t="shared" si="3"/>
        <v>240000</v>
      </c>
      <c r="W589" s="123"/>
      <c r="X589" s="123"/>
      <c r="Y589" s="123">
        <v>0.0</v>
      </c>
      <c r="Z589" s="123">
        <v>0.0</v>
      </c>
      <c r="AA589" s="123">
        <v>0.0</v>
      </c>
      <c r="AB589" s="123"/>
      <c r="AC589" s="123">
        <v>0.0</v>
      </c>
      <c r="AD589" s="44">
        <f t="shared" si="7"/>
        <v>-105000</v>
      </c>
      <c r="AE589" s="123">
        <v>0.0</v>
      </c>
    </row>
    <row r="590">
      <c r="A590" s="120">
        <v>2003.0</v>
      </c>
      <c r="B590" s="121">
        <v>12.0</v>
      </c>
      <c r="C590" s="122" t="s">
        <v>67</v>
      </c>
      <c r="D590" s="123">
        <v>230000.0</v>
      </c>
      <c r="E590" s="123">
        <v>22274.26</v>
      </c>
      <c r="F590" s="123">
        <v>-30000.0</v>
      </c>
      <c r="G590" s="123"/>
      <c r="H590" s="123">
        <v>-3237.88</v>
      </c>
      <c r="I590" s="123"/>
      <c r="J590" s="123">
        <v>96290.43</v>
      </c>
      <c r="K590" s="123">
        <v>-4468.15</v>
      </c>
      <c r="L590" s="123">
        <v>101952.0</v>
      </c>
      <c r="M590" s="123">
        <v>34.47</v>
      </c>
      <c r="N590" s="123">
        <v>9029.03</v>
      </c>
      <c r="O590" s="123">
        <v>1127571.0</v>
      </c>
      <c r="P590" s="52">
        <f t="shared" si="23"/>
        <v>1127570.11</v>
      </c>
      <c r="Q590" s="124">
        <f t="shared" si="2"/>
        <v>0.8900000001</v>
      </c>
      <c r="R590" s="52">
        <f t="array" ref="R590">IFERROR(INDEX('Fund YTD Target Values'!$1:$1000, MATCH($C590,'Fund YTD Target Values'!$A:$A,0), MATCH($A590,'Fund YTD Target Values'!$1:$1,0)),0)</f>
        <v>1049443.088</v>
      </c>
      <c r="S590" s="52">
        <f>IFERROR(__xludf.DUMMYFUNCTION("IFERROR(sum(FILTER('Fund Data'!$V:$V, 'Fund Data'!$C:$C = $C590, 'Fund Data'!$A:$A &lt; $A590)),0) + IFERROR(sum(FILTER('Fund Data'!$V:$V, 'Fund Data'!$C:$C = $C590, 'Fund Data'!$A:$A = $A590, 'Fund Data'!$B:$B &lt;= $B590)),0)"),1015767.4600000001)</f>
        <v>1015767.46</v>
      </c>
      <c r="T590" s="123">
        <v>1018355.0</v>
      </c>
      <c r="U590" s="44">
        <f t="shared" si="57"/>
        <v>-2587.54</v>
      </c>
      <c r="V590" s="44">
        <f t="shared" si="3"/>
        <v>230000</v>
      </c>
      <c r="W590" s="123"/>
      <c r="X590" s="123"/>
      <c r="Y590" s="123">
        <v>0.0</v>
      </c>
      <c r="Z590" s="123">
        <v>0.0</v>
      </c>
      <c r="AA590" s="123">
        <v>0.0</v>
      </c>
      <c r="AB590" s="123"/>
      <c r="AC590" s="123">
        <v>0.0</v>
      </c>
      <c r="AD590" s="44">
        <f t="shared" si="7"/>
        <v>-30000</v>
      </c>
      <c r="AE590" s="123">
        <v>0.0</v>
      </c>
    </row>
    <row r="591">
      <c r="A591" s="120">
        <v>2002.0</v>
      </c>
      <c r="B591" s="121">
        <v>12.0</v>
      </c>
      <c r="C591" s="122" t="s">
        <v>67</v>
      </c>
      <c r="D591" s="123">
        <v>304321.65</v>
      </c>
      <c r="E591" s="123">
        <v>15055.62</v>
      </c>
      <c r="F591" s="44"/>
      <c r="G591" s="123"/>
      <c r="H591" s="123">
        <v>-2019.51</v>
      </c>
      <c r="I591" s="123"/>
      <c r="J591" s="123">
        <v>1398.97</v>
      </c>
      <c r="K591" s="123">
        <v>-71366.53</v>
      </c>
      <c r="L591" s="123">
        <v>-17216.14</v>
      </c>
      <c r="M591" s="123">
        <v>-112.81</v>
      </c>
      <c r="N591" s="123">
        <v>7048.53</v>
      </c>
      <c r="O591" s="123">
        <v>705697.0</v>
      </c>
      <c r="P591" s="52">
        <f t="shared" si="23"/>
        <v>705695.95</v>
      </c>
      <c r="Q591" s="124">
        <f t="shared" si="2"/>
        <v>1.05</v>
      </c>
      <c r="R591" s="52">
        <f t="array" ref="R591">IFERROR(INDEX('Fund YTD Target Values'!$1:$1000, MATCH($C591,'Fund YTD Target Values'!$A:$A,0), MATCH($A591,'Fund YTD Target Values'!$1:$1,0)),0)</f>
        <v>801236.8319</v>
      </c>
      <c r="S591" s="52">
        <f>IFERROR(__xludf.DUMMYFUNCTION("IFERROR(sum(FILTER('Fund Data'!$V:$V, 'Fund Data'!$C:$C = $C591, 'Fund Data'!$A:$A &lt; $A591)),0) + IFERROR(sum(FILTER('Fund Data'!$V:$V, 'Fund Data'!$C:$C = $C591, 'Fund Data'!$A:$A = $A591, 'Fund Data'!$B:$B &lt;= $B591)),0)"),785767.46)</f>
        <v>785767.46</v>
      </c>
      <c r="T591" s="123">
        <v>793355.0</v>
      </c>
      <c r="U591" s="44">
        <f t="shared" si="57"/>
        <v>-7587.54</v>
      </c>
      <c r="V591" s="44">
        <f t="shared" si="3"/>
        <v>304321.65</v>
      </c>
      <c r="W591" s="123"/>
      <c r="X591" s="123"/>
      <c r="Y591" s="123">
        <v>0.0</v>
      </c>
      <c r="Z591" s="123">
        <v>0.0</v>
      </c>
      <c r="AA591" s="123">
        <v>0.0</v>
      </c>
      <c r="AB591" s="123"/>
      <c r="AC591" s="123">
        <v>0.0</v>
      </c>
      <c r="AD591" s="44">
        <f t="shared" si="7"/>
        <v>0</v>
      </c>
      <c r="AE591" s="123">
        <v>0.0</v>
      </c>
    </row>
    <row r="592">
      <c r="A592" s="120">
        <v>2001.0</v>
      </c>
      <c r="B592" s="121">
        <v>12.0</v>
      </c>
      <c r="C592" s="122" t="s">
        <v>67</v>
      </c>
      <c r="D592" s="123">
        <v>276485.17</v>
      </c>
      <c r="E592" s="123">
        <v>9343.2</v>
      </c>
      <c r="F592" s="44"/>
      <c r="G592" s="123"/>
      <c r="H592" s="123">
        <v>-937.66</v>
      </c>
      <c r="I592" s="123"/>
      <c r="J592" s="123">
        <v>62.51</v>
      </c>
      <c r="K592" s="123">
        <v>-16974.99</v>
      </c>
      <c r="L592" s="123">
        <v>-3560.31</v>
      </c>
      <c r="M592" s="123">
        <v>-398.22</v>
      </c>
      <c r="N592" s="123">
        <v>967.8</v>
      </c>
      <c r="O592" s="123">
        <v>468587.0</v>
      </c>
      <c r="P592" s="52">
        <f t="shared" si="23"/>
        <v>468586.17</v>
      </c>
      <c r="Q592" s="124">
        <f t="shared" si="2"/>
        <v>0.8299999999</v>
      </c>
      <c r="R592" s="52">
        <f t="array" ref="R592">IFERROR(INDEX('Fund YTD Target Values'!$1:$1000, MATCH($C592,'Fund YTD Target Values'!$A:$A,0), MATCH($A592,'Fund YTD Target Values'!$1:$1,0)),0)</f>
        <v>489159.1122</v>
      </c>
      <c r="S592" s="52">
        <f>IFERROR(__xludf.DUMMYFUNCTION("IFERROR(sum(FILTER('Fund Data'!$V:$V, 'Fund Data'!$C:$C = $C592, 'Fund Data'!$A:$A &lt; $A592)),0) + IFERROR(sum(FILTER('Fund Data'!$V:$V, 'Fund Data'!$C:$C = $C592, 'Fund Data'!$A:$A = $A592, 'Fund Data'!$B:$B &lt;= $B592)),0)"),481445.81)</f>
        <v>481445.81</v>
      </c>
      <c r="T592" s="44"/>
      <c r="U592" s="44"/>
      <c r="V592" s="44">
        <f t="shared" si="3"/>
        <v>276485.17</v>
      </c>
      <c r="W592" s="123"/>
      <c r="X592" s="123"/>
      <c r="Y592" s="123">
        <v>0.0</v>
      </c>
      <c r="Z592" s="123">
        <v>0.0</v>
      </c>
      <c r="AA592" s="123">
        <v>0.0</v>
      </c>
      <c r="AB592" s="123"/>
      <c r="AC592" s="123">
        <v>0.0</v>
      </c>
      <c r="AD592" s="44">
        <f t="shared" si="7"/>
        <v>0</v>
      </c>
      <c r="AE592" s="123">
        <v>0.0</v>
      </c>
    </row>
    <row r="593">
      <c r="A593" s="120">
        <v>2000.0</v>
      </c>
      <c r="B593" s="121">
        <v>12.0</v>
      </c>
      <c r="C593" s="122" t="s">
        <v>67</v>
      </c>
      <c r="D593" s="123">
        <v>149960.64</v>
      </c>
      <c r="E593" s="123">
        <v>2838.14</v>
      </c>
      <c r="F593" s="44"/>
      <c r="G593" s="123"/>
      <c r="H593" s="123">
        <v>-354.89</v>
      </c>
      <c r="I593" s="123"/>
      <c r="J593" s="44"/>
      <c r="K593" s="123">
        <v>-215.53</v>
      </c>
      <c r="L593" s="123">
        <v>-19085.52</v>
      </c>
      <c r="M593" s="123">
        <v>543.2</v>
      </c>
      <c r="N593" s="123">
        <v>14730.63</v>
      </c>
      <c r="O593" s="123">
        <v>203599.0</v>
      </c>
      <c r="P593" s="52">
        <f t="shared" si="23"/>
        <v>203598.67</v>
      </c>
      <c r="Q593" s="124">
        <f t="shared" si="2"/>
        <v>0.33</v>
      </c>
      <c r="R593" s="52">
        <f t="array" ref="R593">IFERROR(INDEX('Fund YTD Target Values'!$1:$1000, MATCH($C593,'Fund YTD Target Values'!$A:$A,0), MATCH($A593,'Fund YTD Target Values'!$1:$1,0)),0)</f>
        <v>206817.4614</v>
      </c>
      <c r="S593" s="52">
        <f>IFERROR(__xludf.DUMMYFUNCTION("IFERROR(sum(FILTER('Fund Data'!$V:$V, 'Fund Data'!$C:$C = $C593, 'Fund Data'!$A:$A &lt; $A593)),0) + IFERROR(sum(FILTER('Fund Data'!$V:$V, 'Fund Data'!$C:$C = $C593, 'Fund Data'!$A:$A = $A593, 'Fund Data'!$B:$B &lt;= $B593)),0)"),204960.64)</f>
        <v>204960.64</v>
      </c>
      <c r="T593" s="44"/>
      <c r="U593" s="44"/>
      <c r="V593" s="44">
        <f t="shared" si="3"/>
        <v>149960.64</v>
      </c>
      <c r="W593" s="123"/>
      <c r="X593" s="123"/>
      <c r="Y593" s="123">
        <v>0.0</v>
      </c>
      <c r="Z593" s="123">
        <v>0.0</v>
      </c>
      <c r="AA593" s="123">
        <v>0.0</v>
      </c>
      <c r="AB593" s="123"/>
      <c r="AC593" s="123">
        <v>0.0</v>
      </c>
      <c r="AD593" s="44">
        <f t="shared" si="7"/>
        <v>0</v>
      </c>
      <c r="AE593" s="123">
        <v>0.0</v>
      </c>
    </row>
    <row r="594">
      <c r="A594" s="120">
        <v>1999.0</v>
      </c>
      <c r="B594" s="121">
        <v>12.0</v>
      </c>
      <c r="C594" s="122" t="s">
        <v>67</v>
      </c>
      <c r="D594" s="123">
        <v>55000.0</v>
      </c>
      <c r="E594" s="123">
        <v>0.0</v>
      </c>
      <c r="F594" s="44"/>
      <c r="G594" s="123"/>
      <c r="H594" s="123">
        <v>0.0</v>
      </c>
      <c r="I594" s="44"/>
      <c r="J594" s="44"/>
      <c r="K594" s="44"/>
      <c r="L594" s="123">
        <v>182.0</v>
      </c>
      <c r="M594" s="44"/>
      <c r="N594" s="44"/>
      <c r="O594" s="123">
        <v>55182.0</v>
      </c>
      <c r="P594" s="52">
        <f t="shared" si="23"/>
        <v>55182</v>
      </c>
      <c r="Q594" s="124">
        <f t="shared" si="2"/>
        <v>0</v>
      </c>
      <c r="R594" s="52">
        <f t="array" ref="R594">IFERROR(INDEX('Fund YTD Target Values'!$1:$1000, MATCH($C594,'Fund YTD Target Values'!$A:$A,0), MATCH($A594,'Fund YTD Target Values'!$1:$1,0)),0)</f>
        <v>55000</v>
      </c>
      <c r="S594" s="52">
        <f>IFERROR(__xludf.DUMMYFUNCTION("IFERROR(sum(FILTER('Fund Data'!$V:$V, 'Fund Data'!$C:$C = $C594, 'Fund Data'!$A:$A &lt; $A594)),0) + IFERROR(sum(FILTER('Fund Data'!$V:$V, 'Fund Data'!$C:$C = $C594, 'Fund Data'!$A:$A = $A594, 'Fund Data'!$B:$B &lt;= $B594)),0)"),55000.0)</f>
        <v>55000</v>
      </c>
      <c r="T594" s="44"/>
      <c r="U594" s="44"/>
      <c r="V594" s="44">
        <f t="shared" si="3"/>
        <v>55000</v>
      </c>
      <c r="W594" s="123"/>
      <c r="X594" s="123"/>
      <c r="Y594" s="123">
        <v>0.0</v>
      </c>
      <c r="Z594" s="123">
        <v>0.0</v>
      </c>
      <c r="AA594" s="123">
        <v>0.0</v>
      </c>
      <c r="AB594" s="123"/>
      <c r="AC594" s="123">
        <v>0.0</v>
      </c>
      <c r="AD594" s="44">
        <f t="shared" si="7"/>
        <v>0</v>
      </c>
      <c r="AE594" s="123">
        <v>0.0</v>
      </c>
    </row>
    <row r="595">
      <c r="A595" s="120">
        <v>2019.0</v>
      </c>
      <c r="B595" s="121">
        <v>6.0</v>
      </c>
      <c r="C595" s="122" t="s">
        <v>31</v>
      </c>
      <c r="D595" s="123">
        <v>100.0</v>
      </c>
      <c r="E595" s="123">
        <v>2209.3</v>
      </c>
      <c r="F595" s="123">
        <v>-8700.0</v>
      </c>
      <c r="G595" s="44"/>
      <c r="H595" s="123">
        <v>-499.1</v>
      </c>
      <c r="I595" s="44"/>
      <c r="J595" s="123">
        <v>2106.81</v>
      </c>
      <c r="K595" s="44"/>
      <c r="L595" s="123">
        <v>15129.47</v>
      </c>
      <c r="M595" s="44"/>
      <c r="N595" s="44"/>
      <c r="O595" s="123">
        <v>175944.19</v>
      </c>
      <c r="P595" s="52">
        <f t="shared" si="23"/>
        <v>175944.2</v>
      </c>
      <c r="Q595" s="124">
        <f t="shared" si="2"/>
        <v>-0.01000000001</v>
      </c>
      <c r="R595" s="52">
        <f t="array" ref="R595">IFERROR(INDEX('Fund YTD Target Values'!$1:$1000, MATCH($C595,'Fund YTD Target Values'!$A:$A,0), MATCH($A595,'Fund YTD Target Values'!$1:$1,0)),0)</f>
        <v>214227.4836</v>
      </c>
      <c r="S595" s="52">
        <f>IFERROR(__xludf.DUMMYFUNCTION("IFERROR(sum(FILTER('Fund Data'!$V:$V, 'Fund Data'!$C:$C = $C595, 'Fund Data'!$A:$A &lt; $A595)),0) + IFERROR(sum(FILTER('Fund Data'!$V:$V, 'Fund Data'!$C:$C = $C595, 'Fund Data'!$A:$A = $A595, 'Fund Data'!$B:$B &lt;= $B595)),0)"),158200.0)</f>
        <v>158200</v>
      </c>
      <c r="T595" s="44"/>
      <c r="U595" s="44"/>
      <c r="V595" s="44">
        <f t="shared" si="3"/>
        <v>100</v>
      </c>
      <c r="W595" s="52">
        <f>IFERROR(__xludf.DUMMYFUNCTION("iFERROR((FILTER('Fund Data'!$Y:$Y, 'Fund Data'!$C:$C = $C595, 'Fund Data'!$A:$A = $A595 - 1, 'Fund Data'!$B:$B = 12) + FILTER('Fund Data'!$AA:$AA, 'Fund Data'!$C:$C = $C595, 'Fund Data'!$A:$A = $A595 - 1, 'Fund Data'!$B:$B = 12)) * (1 + AVERAGE(FILTER('In"&amp;"flation Data'!$C:$C,'Inflation Data'!$A:$A = ($A595 - 2)))) * 'Parameters and Distribution Sum'!$A$4,0)"),6185.263738478203)</f>
        <v>6185.263738</v>
      </c>
      <c r="X595" s="52">
        <f>IFERROR(__xludf.DUMMYFUNCTION("IFERROR((IFERROR(FILTER('Fund Data'!$P:$P,'Fund Data'!$C:$C = $C595,'Fund Data'!$A:$A = ($A595 - 2), 'Fund Data'!$B:$B = 12),0) - SUM(FILTER('Fund Data'!$V:$V, 'Fund Data'!$C:$C = $C595, 'Fund Data'!$A:$A = ($A595 - 2), 'Fund Data'!$B:$B &gt; 3)))  * 'Parame"&amp;"ters and Distribution Sum'!$B$4 * (1 - 'Parameters and Distribution Sum'!$A$4),0)"),2555.001225)</f>
        <v>2555.001225</v>
      </c>
      <c r="Y595" s="52">
        <f t="shared" ref="Y595:Y600" si="58">sum($W595:$X595)</f>
        <v>8740.264963</v>
      </c>
      <c r="Z595" s="52">
        <f>IFERROR(__xludf.DUMMYFUNCTION("((IFERROR((SUM(FILTER('Fund Data'!$V:$V, 'Fund Data'!$C:$C = $C595, 'Fund Data'!$A:$A = $A595 - 1, 'Fund Data'!$B:$B &gt;= 4, 'Fund Data'!$B:$B &lt;= ($B595 + 5))) / 12) * ($B595 - 3) * 'Parameters and Distribution Sum'!$B$4, 0) + IF($B595 &gt;= 9, IFERROR(SUM(FIL"&amp;"TER('Fund Data'!$V:$V, 'Fund Data'!$C:$C = $C595, 'Fund Data'!$A:$A = $A595, 'Fund Data'!$B:$B &lt;= 3)) * 'Parameters and Distribution Sum'!$B$4, 0),0)))"),0.0)</f>
        <v>0</v>
      </c>
      <c r="AA595" s="44">
        <f>IFERROR(__xludf.DUMMYFUNCTION("IFERROR(((IFERROR(SUM(FILTER('Fund Data'!$V:$V, 'Fund Data'!$C:$C = $C595, 'Fund Data'!$A:$A = $A595 - 2, 'Fund Data'!$B:$B &gt;= 4)) * 'Parameters and Distribution Sum'!$B$4,0) + IFERROR(SUM(FILTER('Fund Data'!$V:$V, 'Fund Data'!$C:$C = $C595, 'Fund Data'!$"&amp;"A:$A = $A595 - 1, 'Fund Data'!$B:$B &lt;= 3)) * 'Parameters and Distribution Sum'!$B$4,0))),0)"),0.0)</f>
        <v>0</v>
      </c>
      <c r="AB595" s="44">
        <f t="shared" ref="AB595:AB601" si="59">IFERROR(__xludf.DUMMYFUNCTION("IFERROR(FILTER($AE:$AE,$C:$C = $C595,$A:$A = $A595 - 1,$B:$B = 12),0)"),0.0)</f>
        <v>0</v>
      </c>
      <c r="AC595" s="44">
        <f t="shared" ref="AC595:AC601" si="60">sum($Y595:$AB595)</f>
        <v>8740.264963</v>
      </c>
      <c r="AD595" s="44">
        <f t="shared" si="7"/>
        <v>40.26496348</v>
      </c>
      <c r="AE595" s="44"/>
    </row>
    <row r="596">
      <c r="A596" s="120">
        <v>2019.0</v>
      </c>
      <c r="B596" s="121">
        <v>5.0</v>
      </c>
      <c r="C596" s="122" t="s">
        <v>31</v>
      </c>
      <c r="D596" s="44"/>
      <c r="E596" s="123">
        <v>2015.72</v>
      </c>
      <c r="F596" s="44"/>
      <c r="G596" s="44"/>
      <c r="H596" s="123">
        <v>-415.26</v>
      </c>
      <c r="I596" s="44"/>
      <c r="J596" s="44"/>
      <c r="K596" s="44"/>
      <c r="L596" s="123">
        <v>10354.24</v>
      </c>
      <c r="M596" s="44"/>
      <c r="N596" s="44"/>
      <c r="O596" s="123">
        <v>177552.41</v>
      </c>
      <c r="P596" s="52">
        <f t="shared" si="23"/>
        <v>177552.42</v>
      </c>
      <c r="Q596" s="124">
        <f t="shared" si="2"/>
        <v>-0.01000000001</v>
      </c>
      <c r="R596" s="52">
        <f t="array" ref="R596">IFERROR(INDEX('Fund YTD Target Values'!$1:$1000, MATCH($C596,'Fund YTD Target Values'!$A:$A,0), MATCH($A596,'Fund YTD Target Values'!$1:$1,0)),0)</f>
        <v>214227.4836</v>
      </c>
      <c r="S596" s="52">
        <f>IFERROR(__xludf.DUMMYFUNCTION("IFERROR(sum(FILTER('Fund Data'!$V:$V, 'Fund Data'!$C:$C = $C596, 'Fund Data'!$A:$A &lt; $A596)),0) + IFERROR(sum(FILTER('Fund Data'!$V:$V, 'Fund Data'!$C:$C = $C596, 'Fund Data'!$A:$A = $A596, 'Fund Data'!$B:$B &lt;= $B596)),0)"),158100.0)</f>
        <v>158100</v>
      </c>
      <c r="T596" s="44"/>
      <c r="U596" s="44"/>
      <c r="V596" s="44">
        <f t="shared" si="3"/>
        <v>0</v>
      </c>
      <c r="W596" s="52">
        <f>IFERROR(__xludf.DUMMYFUNCTION("iFERROR((FILTER('Fund Data'!$Y:$Y, 'Fund Data'!$C:$C = $C596, 'Fund Data'!$A:$A = $A596 - 1, 'Fund Data'!$B:$B = 12) + FILTER('Fund Data'!$AA:$AA, 'Fund Data'!$C:$C = $C596, 'Fund Data'!$A:$A = $A596 - 1, 'Fund Data'!$B:$B = 12)) * (1 + AVERAGE(FILTER('In"&amp;"flation Data'!$C:$C,'Inflation Data'!$A:$A = ($A596 - 2)))) * 'Parameters and Distribution Sum'!$A$4,0)"),6185.263738478203)</f>
        <v>6185.263738</v>
      </c>
      <c r="X596" s="52">
        <f>IFERROR(__xludf.DUMMYFUNCTION("IFERROR((IFERROR(FILTER('Fund Data'!$P:$P,'Fund Data'!$C:$C = $C596,'Fund Data'!$A:$A = ($A596 - 2), 'Fund Data'!$B:$B = 12),0) - SUM(FILTER('Fund Data'!$V:$V, 'Fund Data'!$C:$C = $C596, 'Fund Data'!$A:$A = ($A596 - 2), 'Fund Data'!$B:$B &gt; 3)))  * 'Parame"&amp;"ters and Distribution Sum'!$B$4 * (1 - 'Parameters and Distribution Sum'!$A$4),0)"),2555.001225)</f>
        <v>2555.001225</v>
      </c>
      <c r="Y596" s="52">
        <f t="shared" si="58"/>
        <v>8740.264963</v>
      </c>
      <c r="Z596" s="52">
        <f>IFERROR(__xludf.DUMMYFUNCTION("((IFERROR((SUM(FILTER('Fund Data'!$V:$V, 'Fund Data'!$C:$C = $C596, 'Fund Data'!$A:$A = $A596 - 1, 'Fund Data'!$B:$B &gt;= 4, 'Fund Data'!$B:$B &lt;= ($B596 + 5))) / 12) * ($B596 - 3) * 'Parameters and Distribution Sum'!$B$4, 0) + IF($B596 &gt;= 9, IFERROR(SUM(FIL"&amp;"TER('Fund Data'!$V:$V, 'Fund Data'!$C:$C = $C596, 'Fund Data'!$A:$A = $A596, 'Fund Data'!$B:$B &lt;= 3)) * 'Parameters and Distribution Sum'!$B$4, 0),0)))"),0.0)</f>
        <v>0</v>
      </c>
      <c r="AA596" s="44">
        <f>IFERROR(__xludf.DUMMYFUNCTION("IFERROR(((IFERROR(SUM(FILTER('Fund Data'!$V:$V, 'Fund Data'!$C:$C = $C596, 'Fund Data'!$A:$A = $A596 - 2, 'Fund Data'!$B:$B &gt;= 4)) * 'Parameters and Distribution Sum'!$B$4,0) + IFERROR(SUM(FILTER('Fund Data'!$V:$V, 'Fund Data'!$C:$C = $C596, 'Fund Data'!$"&amp;"A:$A = $A596 - 1, 'Fund Data'!$B:$B &lt;= 3)) * 'Parameters and Distribution Sum'!$B$4,0))),0)"),0.0)</f>
        <v>0</v>
      </c>
      <c r="AB596" s="44">
        <f t="shared" si="59"/>
        <v>0</v>
      </c>
      <c r="AC596" s="44">
        <f t="shared" si="60"/>
        <v>8740.264963</v>
      </c>
      <c r="AD596" s="44">
        <f t="shared" si="7"/>
        <v>8740.264963</v>
      </c>
      <c r="AE596" s="44"/>
    </row>
    <row r="597">
      <c r="A597" s="120">
        <v>2019.0</v>
      </c>
      <c r="B597" s="121">
        <v>4.0</v>
      </c>
      <c r="C597" s="122" t="s">
        <v>31</v>
      </c>
      <c r="D597" s="44"/>
      <c r="E597" s="123">
        <v>1857.74</v>
      </c>
      <c r="F597" s="44"/>
      <c r="G597" s="44"/>
      <c r="H597" s="123">
        <v>-329.13</v>
      </c>
      <c r="I597" s="44"/>
      <c r="J597" s="44"/>
      <c r="K597" s="44"/>
      <c r="L597" s="123">
        <v>17396.62</v>
      </c>
      <c r="M597" s="44"/>
      <c r="N597" s="44"/>
      <c r="O597" s="123">
        <v>184523.0</v>
      </c>
      <c r="P597" s="52">
        <f t="shared" si="23"/>
        <v>184522.95</v>
      </c>
      <c r="Q597" s="124">
        <f t="shared" si="2"/>
        <v>0.04999999999</v>
      </c>
      <c r="R597" s="52">
        <f t="array" ref="R597">IFERROR(INDEX('Fund YTD Target Values'!$1:$1000, MATCH($C597,'Fund YTD Target Values'!$A:$A,0), MATCH($A597,'Fund YTD Target Values'!$1:$1,0)),0)</f>
        <v>214227.4836</v>
      </c>
      <c r="S597" s="52">
        <f>IFERROR(__xludf.DUMMYFUNCTION("IFERROR(sum(FILTER('Fund Data'!$V:$V, 'Fund Data'!$C:$C = $C597, 'Fund Data'!$A:$A &lt; $A597)),0) + IFERROR(sum(FILTER('Fund Data'!$V:$V, 'Fund Data'!$C:$C = $C597, 'Fund Data'!$A:$A = $A597, 'Fund Data'!$B:$B &lt;= $B597)),0)"),158100.0)</f>
        <v>158100</v>
      </c>
      <c r="T597" s="44"/>
      <c r="U597" s="44"/>
      <c r="V597" s="44">
        <f t="shared" si="3"/>
        <v>0</v>
      </c>
      <c r="W597" s="52">
        <f>IFERROR(__xludf.DUMMYFUNCTION("iFERROR((FILTER('Fund Data'!$Y:$Y, 'Fund Data'!$C:$C = $C597, 'Fund Data'!$A:$A = $A597 - 1, 'Fund Data'!$B:$B = 12) + FILTER('Fund Data'!$AA:$AA, 'Fund Data'!$C:$C = $C597, 'Fund Data'!$A:$A = $A597 - 1, 'Fund Data'!$B:$B = 12)) * (1 + AVERAGE(FILTER('In"&amp;"flation Data'!$C:$C,'Inflation Data'!$A:$A = ($A597 - 2)))) * 'Parameters and Distribution Sum'!$A$4,0)"),6185.263738478203)</f>
        <v>6185.263738</v>
      </c>
      <c r="X597" s="52">
        <f>IFERROR(__xludf.DUMMYFUNCTION("IFERROR((IFERROR(FILTER('Fund Data'!$P:$P,'Fund Data'!$C:$C = $C597,'Fund Data'!$A:$A = ($A597 - 2), 'Fund Data'!$B:$B = 12),0) - SUM(FILTER('Fund Data'!$V:$V, 'Fund Data'!$C:$C = $C597, 'Fund Data'!$A:$A = ($A597 - 2), 'Fund Data'!$B:$B &gt; 3)))  * 'Parame"&amp;"ters and Distribution Sum'!$B$4 * (1 - 'Parameters and Distribution Sum'!$A$4),0)"),2555.001225)</f>
        <v>2555.001225</v>
      </c>
      <c r="Y597" s="52">
        <f t="shared" si="58"/>
        <v>8740.264963</v>
      </c>
      <c r="Z597" s="52">
        <f>IFERROR(__xludf.DUMMYFUNCTION("((IFERROR((SUM(FILTER('Fund Data'!$V:$V, 'Fund Data'!$C:$C = $C597, 'Fund Data'!$A:$A = $A597 - 1, 'Fund Data'!$B:$B &gt;= 4, 'Fund Data'!$B:$B &lt;= ($B597 + 5))) / 12) * ($B597 - 3) * 'Parameters and Distribution Sum'!$B$4, 0) + IF($B597 &gt;= 9, IFERROR(SUM(FIL"&amp;"TER('Fund Data'!$V:$V, 'Fund Data'!$C:$C = $C597, 'Fund Data'!$A:$A = $A597, 'Fund Data'!$B:$B &lt;= 3)) * 'Parameters and Distribution Sum'!$B$4, 0),0)))"),0.0)</f>
        <v>0</v>
      </c>
      <c r="AA597" s="44">
        <f>IFERROR(__xludf.DUMMYFUNCTION("IFERROR(((IFERROR(SUM(FILTER('Fund Data'!$V:$V, 'Fund Data'!$C:$C = $C597, 'Fund Data'!$A:$A = $A597 - 2, 'Fund Data'!$B:$B &gt;= 4)) * 'Parameters and Distribution Sum'!$B$4,0) + IFERROR(SUM(FILTER('Fund Data'!$V:$V, 'Fund Data'!$C:$C = $C597, 'Fund Data'!$"&amp;"A:$A = $A597 - 1, 'Fund Data'!$B:$B &lt;= 3)) * 'Parameters and Distribution Sum'!$B$4,0))),0)"),0.0)</f>
        <v>0</v>
      </c>
      <c r="AB597" s="44">
        <f t="shared" si="59"/>
        <v>0</v>
      </c>
      <c r="AC597" s="44">
        <f t="shared" si="60"/>
        <v>8740.264963</v>
      </c>
      <c r="AD597" s="44">
        <f t="shared" si="7"/>
        <v>8740.264963</v>
      </c>
      <c r="AE597" s="44"/>
    </row>
    <row r="598">
      <c r="A598" s="120">
        <v>2019.0</v>
      </c>
      <c r="B598" s="121">
        <v>3.0</v>
      </c>
      <c r="C598" s="122" t="s">
        <v>31</v>
      </c>
      <c r="D598" s="44"/>
      <c r="E598" s="123">
        <v>1403.96</v>
      </c>
      <c r="F598" s="44"/>
      <c r="G598" s="44"/>
      <c r="H598" s="123">
        <v>-244.7</v>
      </c>
      <c r="I598" s="44"/>
      <c r="J598" s="44"/>
      <c r="K598" s="44"/>
      <c r="L598" s="123">
        <v>13804.06</v>
      </c>
      <c r="M598" s="44"/>
      <c r="N598" s="44"/>
      <c r="O598" s="123">
        <v>180561.0</v>
      </c>
      <c r="P598" s="52">
        <f t="shared" si="23"/>
        <v>180561.04</v>
      </c>
      <c r="Q598" s="124">
        <f t="shared" si="2"/>
        <v>-0.04000000001</v>
      </c>
      <c r="R598" s="52">
        <f t="array" ref="R598">IFERROR(INDEX('Fund YTD Target Values'!$1:$1000, MATCH($C598,'Fund YTD Target Values'!$A:$A,0), MATCH($A598,'Fund YTD Target Values'!$1:$1,0)),0)</f>
        <v>214227.4836</v>
      </c>
      <c r="S598" s="52">
        <f>IFERROR(__xludf.DUMMYFUNCTION("IFERROR(sum(FILTER('Fund Data'!$V:$V, 'Fund Data'!$C:$C = $C598, 'Fund Data'!$A:$A &lt; $A598)),0) + IFERROR(sum(FILTER('Fund Data'!$V:$V, 'Fund Data'!$C:$C = $C598, 'Fund Data'!$A:$A = $A598, 'Fund Data'!$B:$B &lt;= $B598)),0)"),158100.0)</f>
        <v>158100</v>
      </c>
      <c r="T598" s="123">
        <v>156850.0</v>
      </c>
      <c r="U598" s="44">
        <f t="shared" ref="U598:U639" si="61">S598-T598</f>
        <v>1250</v>
      </c>
      <c r="V598" s="44">
        <f t="shared" si="3"/>
        <v>0</v>
      </c>
      <c r="W598" s="52">
        <f>IFERROR(__xludf.DUMMYFUNCTION("iFERROR((FILTER('Fund Data'!$Y:$Y, 'Fund Data'!$C:$C = $C598, 'Fund Data'!$A:$A = $A598 - 1, 'Fund Data'!$B:$B = 12) + FILTER('Fund Data'!$AA:$AA, 'Fund Data'!$C:$C = $C598, 'Fund Data'!$A:$A = $A598 - 1, 'Fund Data'!$B:$B = 12)) * (1 + AVERAGE(FILTER('In"&amp;"flation Data'!$C:$C,'Inflation Data'!$A:$A = ($A598 - 2)))) * 'Parameters and Distribution Sum'!$A$4,0)"),6185.263738478203)</f>
        <v>6185.263738</v>
      </c>
      <c r="X598" s="52">
        <f>IFERROR(__xludf.DUMMYFUNCTION("IFERROR((IFERROR(FILTER('Fund Data'!$P:$P,'Fund Data'!$C:$C = $C598,'Fund Data'!$A:$A = ($A598 - 2), 'Fund Data'!$B:$B = 12),0) - SUM(FILTER('Fund Data'!$V:$V, 'Fund Data'!$C:$C = $C598, 'Fund Data'!$A:$A = ($A598 - 2), 'Fund Data'!$B:$B &gt; 3)))  * 'Parame"&amp;"ters and Distribution Sum'!$B$4 * (1 - 'Parameters and Distribution Sum'!$A$4),0)"),2555.001225)</f>
        <v>2555.001225</v>
      </c>
      <c r="Y598" s="52">
        <f t="shared" si="58"/>
        <v>8740.264963</v>
      </c>
      <c r="Z598" s="52">
        <f>IFERROR(__xludf.DUMMYFUNCTION("((IFERROR((SUM(FILTER('Fund Data'!$V:$V, 'Fund Data'!$C:$C = $C598, 'Fund Data'!$A:$A = $A598 - 1, 'Fund Data'!$B:$B &gt;= 4, 'Fund Data'!$B:$B &lt;= ($B598 + 5))) / 12) * ($B598 - 3) * 'Parameters and Distribution Sum'!$B$4, 0) + IF($B598 &gt;= 9, IFERROR(SUM(FIL"&amp;"TER('Fund Data'!$V:$V, 'Fund Data'!$C:$C = $C598, 'Fund Data'!$A:$A = $A598, 'Fund Data'!$B:$B &lt;= 3)) * 'Parameters and Distribution Sum'!$B$4, 0),0)))"),0.0)</f>
        <v>0</v>
      </c>
      <c r="AA598" s="44">
        <f>IFERROR(__xludf.DUMMYFUNCTION("IFERROR(((IFERROR(SUM(FILTER('Fund Data'!$V:$V, 'Fund Data'!$C:$C = $C598, 'Fund Data'!$A:$A = $A598 - 2, 'Fund Data'!$B:$B &gt;= 4)) * 'Parameters and Distribution Sum'!$B$4,0) + IFERROR(SUM(FILTER('Fund Data'!$V:$V, 'Fund Data'!$C:$C = $C598, 'Fund Data'!$"&amp;"A:$A = $A598 - 1, 'Fund Data'!$B:$B &lt;= 3)) * 'Parameters and Distribution Sum'!$B$4,0))),0)"),0.0)</f>
        <v>0</v>
      </c>
      <c r="AB598" s="44">
        <f t="shared" si="59"/>
        <v>0</v>
      </c>
      <c r="AC598" s="44">
        <f t="shared" si="60"/>
        <v>8740.264963</v>
      </c>
      <c r="AD598" s="44">
        <f t="shared" si="7"/>
        <v>8740.264963</v>
      </c>
      <c r="AE598" s="44"/>
    </row>
    <row r="599">
      <c r="A599" s="120">
        <v>2019.0</v>
      </c>
      <c r="B599" s="121">
        <v>2.0</v>
      </c>
      <c r="C599" s="122" t="s">
        <v>31</v>
      </c>
      <c r="D599" s="44"/>
      <c r="E599" s="123">
        <v>1186.91</v>
      </c>
      <c r="F599" s="44"/>
      <c r="G599" s="44"/>
      <c r="H599" s="123">
        <v>-160.81</v>
      </c>
      <c r="I599" s="44"/>
      <c r="J599" s="44"/>
      <c r="K599" s="44"/>
      <c r="L599" s="123">
        <v>12778.47</v>
      </c>
      <c r="M599" s="44"/>
      <c r="N599" s="44"/>
      <c r="O599" s="123">
        <v>179402.0</v>
      </c>
      <c r="P599" s="52">
        <f t="shared" si="23"/>
        <v>179402.29</v>
      </c>
      <c r="Q599" s="124">
        <f t="shared" si="2"/>
        <v>-0.29</v>
      </c>
      <c r="R599" s="52">
        <f t="array" ref="R599">IFERROR(INDEX('Fund YTD Target Values'!$1:$1000, MATCH($C599,'Fund YTD Target Values'!$A:$A,0), MATCH($A599,'Fund YTD Target Values'!$1:$1,0)),0)</f>
        <v>214227.4836</v>
      </c>
      <c r="S599" s="52">
        <f>IFERROR(__xludf.DUMMYFUNCTION("IFERROR(sum(FILTER('Fund Data'!$V:$V, 'Fund Data'!$C:$C = $C599, 'Fund Data'!$A:$A &lt; $A599)),0) + IFERROR(sum(FILTER('Fund Data'!$V:$V, 'Fund Data'!$C:$C = $C599, 'Fund Data'!$A:$A = $A599, 'Fund Data'!$B:$B &lt;= $B599)),0)"),158100.0)</f>
        <v>158100</v>
      </c>
      <c r="T599" s="123">
        <v>156850.0</v>
      </c>
      <c r="U599" s="44">
        <f t="shared" si="61"/>
        <v>1250</v>
      </c>
      <c r="V599" s="44">
        <f t="shared" si="3"/>
        <v>0</v>
      </c>
      <c r="W599" s="52">
        <f>IFERROR(__xludf.DUMMYFUNCTION("iFERROR((FILTER('Fund Data'!$Y:$Y, 'Fund Data'!$C:$C = $C599, 'Fund Data'!$A:$A = $A599 - 1, 'Fund Data'!$B:$B = 12) + FILTER('Fund Data'!$AA:$AA, 'Fund Data'!$C:$C = $C599, 'Fund Data'!$A:$A = $A599 - 1, 'Fund Data'!$B:$B = 12)) * (1 + AVERAGE(FILTER('In"&amp;"flation Data'!$C:$C,'Inflation Data'!$A:$A = ($A599 - 2)))) * 'Parameters and Distribution Sum'!$A$4,0)"),6185.263738478203)</f>
        <v>6185.263738</v>
      </c>
      <c r="X599" s="52">
        <f>IFERROR(__xludf.DUMMYFUNCTION("IFERROR((IFERROR(FILTER('Fund Data'!$P:$P,'Fund Data'!$C:$C = $C599,'Fund Data'!$A:$A = ($A599 - 2), 'Fund Data'!$B:$B = 12),0) - SUM(FILTER('Fund Data'!$V:$V, 'Fund Data'!$C:$C = $C599, 'Fund Data'!$A:$A = ($A599 - 2), 'Fund Data'!$B:$B &gt; 3)))  * 'Parame"&amp;"ters and Distribution Sum'!$B$4 * (1 - 'Parameters and Distribution Sum'!$A$4),0)"),2555.001225)</f>
        <v>2555.001225</v>
      </c>
      <c r="Y599" s="52">
        <f t="shared" si="58"/>
        <v>8740.264963</v>
      </c>
      <c r="Z599" s="52">
        <f>IFERROR(__xludf.DUMMYFUNCTION("((IFERROR((SUM(FILTER('Fund Data'!$V:$V, 'Fund Data'!$C:$C = $C599, 'Fund Data'!$A:$A = $A599 - 1, 'Fund Data'!$B:$B &gt;= 4, 'Fund Data'!$B:$B &lt;= ($B599 + 5))) / 12) * ($B599 - 3) * 'Parameters and Distribution Sum'!$B$4, 0) + IF($B599 &gt;= 9, IFERROR(SUM(FIL"&amp;"TER('Fund Data'!$V:$V, 'Fund Data'!$C:$C = $C599, 'Fund Data'!$A:$A = $A599, 'Fund Data'!$B:$B &lt;= 3)) * 'Parameters and Distribution Sum'!$B$4, 0),0)))"),0.0)</f>
        <v>0</v>
      </c>
      <c r="AA599" s="44">
        <f>IFERROR(__xludf.DUMMYFUNCTION("IFERROR(((IFERROR(SUM(FILTER('Fund Data'!$V:$V, 'Fund Data'!$C:$C = $C599, 'Fund Data'!$A:$A = $A599 - 2, 'Fund Data'!$B:$B &gt;= 4)) * 'Parameters and Distribution Sum'!$B$4,0) + IFERROR(SUM(FILTER('Fund Data'!$V:$V, 'Fund Data'!$C:$C = $C599, 'Fund Data'!$"&amp;"A:$A = $A599 - 1, 'Fund Data'!$B:$B &lt;= 3)) * 'Parameters and Distribution Sum'!$B$4,0))),0)"),0.0)</f>
        <v>0</v>
      </c>
      <c r="AB599" s="44">
        <f t="shared" si="59"/>
        <v>0</v>
      </c>
      <c r="AC599" s="44">
        <f t="shared" si="60"/>
        <v>8740.264963</v>
      </c>
      <c r="AD599" s="44">
        <f t="shared" si="7"/>
        <v>8740.264963</v>
      </c>
      <c r="AE599" s="44"/>
    </row>
    <row r="600">
      <c r="A600" s="120">
        <v>2019.0</v>
      </c>
      <c r="B600" s="121">
        <v>1.0</v>
      </c>
      <c r="C600" s="122" t="s">
        <v>31</v>
      </c>
      <c r="D600" s="44"/>
      <c r="E600" s="123">
        <v>1097.67</v>
      </c>
      <c r="F600" s="44"/>
      <c r="G600" s="44"/>
      <c r="H600" s="123">
        <v>-78.13</v>
      </c>
      <c r="I600" s="44"/>
      <c r="J600" s="44"/>
      <c r="K600" s="44"/>
      <c r="L600" s="123">
        <v>9885.23</v>
      </c>
      <c r="M600" s="44"/>
      <c r="N600" s="44"/>
      <c r="O600" s="123">
        <v>176502.0</v>
      </c>
      <c r="P600" s="52">
        <f t="shared" si="23"/>
        <v>176502.49</v>
      </c>
      <c r="Q600" s="124">
        <f t="shared" si="2"/>
        <v>-0.49</v>
      </c>
      <c r="R600" s="52">
        <f t="array" ref="R600">IFERROR(INDEX('Fund YTD Target Values'!$1:$1000, MATCH($C600,'Fund YTD Target Values'!$A:$A,0), MATCH($A600,'Fund YTD Target Values'!$1:$1,0)),0)</f>
        <v>214227.4836</v>
      </c>
      <c r="S600" s="52">
        <f>IFERROR(__xludf.DUMMYFUNCTION("IFERROR(sum(FILTER('Fund Data'!$V:$V, 'Fund Data'!$C:$C = $C600, 'Fund Data'!$A:$A &lt; $A600)),0) + IFERROR(sum(FILTER('Fund Data'!$V:$V, 'Fund Data'!$C:$C = $C600, 'Fund Data'!$A:$A = $A600, 'Fund Data'!$B:$B &lt;= $B600)),0)"),158100.0)</f>
        <v>158100</v>
      </c>
      <c r="T600" s="123">
        <v>156850.0</v>
      </c>
      <c r="U600" s="44">
        <f t="shared" si="61"/>
        <v>1250</v>
      </c>
      <c r="V600" s="44">
        <f t="shared" si="3"/>
        <v>0</v>
      </c>
      <c r="W600" s="52">
        <f>IFERROR(__xludf.DUMMYFUNCTION("iFERROR((FILTER('Fund Data'!$Y:$Y, 'Fund Data'!$C:$C = $C600, 'Fund Data'!$A:$A = $A600 - 1, 'Fund Data'!$B:$B = 12) + FILTER('Fund Data'!$AA:$AA, 'Fund Data'!$C:$C = $C600, 'Fund Data'!$A:$A = $A600 - 1, 'Fund Data'!$B:$B = 12)) * (1 + AVERAGE(FILTER('In"&amp;"flation Data'!$C:$C,'Inflation Data'!$A:$A = ($A600 - 2)))) * 'Parameters and Distribution Sum'!$A$4,0)"),6185.263738478203)</f>
        <v>6185.263738</v>
      </c>
      <c r="X600" s="52">
        <f>IFERROR(__xludf.DUMMYFUNCTION("IFERROR((IFERROR(FILTER('Fund Data'!$P:$P,'Fund Data'!$C:$C = $C600,'Fund Data'!$A:$A = ($A600 - 2), 'Fund Data'!$B:$B = 12),0) - SUM(FILTER('Fund Data'!$V:$V, 'Fund Data'!$C:$C = $C600, 'Fund Data'!$A:$A = ($A600 - 2), 'Fund Data'!$B:$B &gt; 3)))  * 'Parame"&amp;"ters and Distribution Sum'!$B$4 * (1 - 'Parameters and Distribution Sum'!$A$4),0)"),2555.001225)</f>
        <v>2555.001225</v>
      </c>
      <c r="Y600" s="52">
        <f t="shared" si="58"/>
        <v>8740.264963</v>
      </c>
      <c r="Z600" s="52">
        <f>IFERROR(__xludf.DUMMYFUNCTION("((IFERROR((SUM(FILTER('Fund Data'!$V:$V, 'Fund Data'!$C:$C = $C600, 'Fund Data'!$A:$A = $A600 - 1, 'Fund Data'!$B:$B &gt;= 4, 'Fund Data'!$B:$B &lt;= ($B600 + 5))) / 12) * ($B600 - 3) * 'Parameters and Distribution Sum'!$B$4, 0) + IF($B600 &gt;= 9, IFERROR(SUM(FIL"&amp;"TER('Fund Data'!$V:$V, 'Fund Data'!$C:$C = $C600, 'Fund Data'!$A:$A = $A600, 'Fund Data'!$B:$B &lt;= 3)) * 'Parameters and Distribution Sum'!$B$4, 0),0)))"),0.0)</f>
        <v>0</v>
      </c>
      <c r="AA600" s="44">
        <f>IFERROR(__xludf.DUMMYFUNCTION("IFERROR(((IFERROR(SUM(FILTER('Fund Data'!$V:$V, 'Fund Data'!$C:$C = $C600, 'Fund Data'!$A:$A = $A600 - 2, 'Fund Data'!$B:$B &gt;= 4)) * 'Parameters and Distribution Sum'!$B$4,0) + IFERROR(SUM(FILTER('Fund Data'!$V:$V, 'Fund Data'!$C:$C = $C600, 'Fund Data'!$"&amp;"A:$A = $A600 - 1, 'Fund Data'!$B:$B &lt;= 3)) * 'Parameters and Distribution Sum'!$B$4,0))),0)"),0.0)</f>
        <v>0</v>
      </c>
      <c r="AB600" s="44">
        <f t="shared" si="59"/>
        <v>0</v>
      </c>
      <c r="AC600" s="44">
        <f t="shared" si="60"/>
        <v>8740.264963</v>
      </c>
      <c r="AD600" s="44">
        <f t="shared" si="7"/>
        <v>8740.264963</v>
      </c>
      <c r="AE600" s="44"/>
    </row>
    <row r="601">
      <c r="A601" s="120">
        <v>2018.0</v>
      </c>
      <c r="B601" s="121">
        <v>12.0</v>
      </c>
      <c r="C601" s="122" t="s">
        <v>31</v>
      </c>
      <c r="D601" s="44"/>
      <c r="E601" s="123">
        <v>4005.99</v>
      </c>
      <c r="F601" s="123">
        <v>-9800.0</v>
      </c>
      <c r="G601" s="44"/>
      <c r="H601" s="123">
        <v>-1101.7</v>
      </c>
      <c r="I601" s="44"/>
      <c r="J601" s="123">
        <v>2485.83</v>
      </c>
      <c r="K601" s="44"/>
      <c r="L601" s="123">
        <v>-19251.75</v>
      </c>
      <c r="M601" s="44"/>
      <c r="N601" s="44"/>
      <c r="O601" s="123">
        <v>165598.0</v>
      </c>
      <c r="P601" s="52">
        <f t="shared" si="23"/>
        <v>165597.72</v>
      </c>
      <c r="Q601" s="124">
        <f t="shared" si="2"/>
        <v>0.28</v>
      </c>
      <c r="R601" s="52">
        <f t="array" ref="R601">IFERROR(INDEX('Fund YTD Target Values'!$1:$1000, MATCH($C601,'Fund YTD Target Values'!$A:$A,0), MATCH($A601,'Fund YTD Target Values'!$1:$1,0)),0)</f>
        <v>210555.1651</v>
      </c>
      <c r="S601" s="52">
        <f>IFERROR(__xludf.DUMMYFUNCTION("IFERROR(sum(FILTER('Fund Data'!$V:$V, 'Fund Data'!$C:$C = $C601, 'Fund Data'!$A:$A &lt; $A601)),0) + IFERROR(sum(FILTER('Fund Data'!$V:$V, 'Fund Data'!$C:$C = $C601, 'Fund Data'!$A:$A = $A601, 'Fund Data'!$B:$B &lt;= $B601)),0)"),158100.0)</f>
        <v>158100</v>
      </c>
      <c r="T601" s="123">
        <v>156850.0</v>
      </c>
      <c r="U601" s="44">
        <f t="shared" si="61"/>
        <v>1250</v>
      </c>
      <c r="V601" s="44">
        <f t="shared" si="3"/>
        <v>0</v>
      </c>
      <c r="W601" s="52"/>
      <c r="X601" s="52"/>
      <c r="Y601" s="52">
        <v>8516.670750000001</v>
      </c>
      <c r="Z601" s="123">
        <v>0.0</v>
      </c>
      <c r="AA601" s="123">
        <v>135.0</v>
      </c>
      <c r="AB601" s="44">
        <f t="shared" si="59"/>
        <v>0</v>
      </c>
      <c r="AC601" s="44">
        <f t="shared" si="60"/>
        <v>8651.67075</v>
      </c>
      <c r="AD601" s="44">
        <f t="shared" si="7"/>
        <v>-1148.32925</v>
      </c>
      <c r="AE601" s="123">
        <v>0.0</v>
      </c>
    </row>
    <row r="602">
      <c r="A602" s="120">
        <v>2018.0</v>
      </c>
      <c r="B602" s="121">
        <v>11.0</v>
      </c>
      <c r="C602" s="122" t="s">
        <v>31</v>
      </c>
      <c r="D602" s="44"/>
      <c r="E602" s="123">
        <v>3772.61</v>
      </c>
      <c r="F602" s="123">
        <v>-9800.0</v>
      </c>
      <c r="G602" s="44"/>
      <c r="H602" s="123">
        <v>-1019.5</v>
      </c>
      <c r="I602" s="44"/>
      <c r="J602" s="123">
        <v>2485.83</v>
      </c>
      <c r="K602" s="44"/>
      <c r="L602" s="123">
        <v>-9470.88</v>
      </c>
      <c r="M602" s="44"/>
      <c r="N602" s="44"/>
      <c r="O602" s="123">
        <v>175227.0</v>
      </c>
      <c r="P602" s="52">
        <f t="shared" si="23"/>
        <v>175227.41</v>
      </c>
      <c r="Q602" s="124">
        <f t="shared" si="2"/>
        <v>-0.41</v>
      </c>
      <c r="R602" s="52">
        <f t="array" ref="R602">IFERROR(INDEX('Fund YTD Target Values'!$1:$1000, MATCH($C602,'Fund YTD Target Values'!$A:$A,0), MATCH($A602,'Fund YTD Target Values'!$1:$1,0)),0)</f>
        <v>210555.1651</v>
      </c>
      <c r="S602" s="52">
        <f>IFERROR(__xludf.DUMMYFUNCTION("IFERROR(sum(FILTER('Fund Data'!$V:$V, 'Fund Data'!$C:$C = $C602, 'Fund Data'!$A:$A &lt; $A602)),0) + IFERROR(sum(FILTER('Fund Data'!$V:$V, 'Fund Data'!$C:$C = $C602, 'Fund Data'!$A:$A = $A602, 'Fund Data'!$B:$B &lt;= $B602)),0)"),158100.0)</f>
        <v>158100</v>
      </c>
      <c r="T602" s="123">
        <v>156850.0</v>
      </c>
      <c r="U602" s="44">
        <f t="shared" si="61"/>
        <v>1250</v>
      </c>
      <c r="V602" s="44">
        <f t="shared" si="3"/>
        <v>0</v>
      </c>
      <c r="W602" s="123"/>
      <c r="X602" s="123"/>
      <c r="Y602" s="123">
        <v>0.0</v>
      </c>
      <c r="Z602" s="123">
        <v>0.0</v>
      </c>
      <c r="AA602" s="123">
        <v>0.0</v>
      </c>
      <c r="AB602" s="123"/>
      <c r="AC602" s="123">
        <v>0.0</v>
      </c>
      <c r="AD602" s="44">
        <f t="shared" si="7"/>
        <v>-9800</v>
      </c>
      <c r="AE602" s="123">
        <v>0.0</v>
      </c>
    </row>
    <row r="603">
      <c r="A603" s="120">
        <v>2018.0</v>
      </c>
      <c r="B603" s="121">
        <v>10.0</v>
      </c>
      <c r="C603" s="135" t="s">
        <v>31</v>
      </c>
      <c r="D603" s="138"/>
      <c r="E603" s="137">
        <v>3616.87</v>
      </c>
      <c r="F603" s="136">
        <v>-9800.0</v>
      </c>
      <c r="G603" s="138"/>
      <c r="H603" s="137">
        <v>-852.72</v>
      </c>
      <c r="I603" s="138"/>
      <c r="J603" s="136">
        <v>2485.83</v>
      </c>
      <c r="K603" s="138"/>
      <c r="L603" s="136">
        <v>-10982.27</v>
      </c>
      <c r="M603" s="44"/>
      <c r="N603" s="44"/>
      <c r="O603" s="136">
        <v>173727.0</v>
      </c>
      <c r="P603" s="52">
        <f t="shared" si="23"/>
        <v>173727.06</v>
      </c>
      <c r="Q603" s="124">
        <f t="shared" si="2"/>
        <v>-0.06</v>
      </c>
      <c r="R603" s="52">
        <f t="array" ref="R603">IFERROR(INDEX('Fund YTD Target Values'!$1:$1000, MATCH($C603,'Fund YTD Target Values'!$A:$A,0), MATCH($A603,'Fund YTD Target Values'!$1:$1,0)),0)</f>
        <v>210555.1651</v>
      </c>
      <c r="S603" s="52">
        <f>IFERROR(__xludf.DUMMYFUNCTION("IFERROR(sum(FILTER('Fund Data'!$V:$V, 'Fund Data'!$C:$C = $C603, 'Fund Data'!$A:$A &lt; $A603)),0) + IFERROR(sum(FILTER('Fund Data'!$V:$V, 'Fund Data'!$C:$C = $C603, 'Fund Data'!$A:$A = $A603, 'Fund Data'!$B:$B &lt;= $B603)),0)"),158100.0)</f>
        <v>158100</v>
      </c>
      <c r="T603" s="123">
        <v>156850.0</v>
      </c>
      <c r="U603" s="44">
        <f t="shared" si="61"/>
        <v>1250</v>
      </c>
      <c r="V603" s="44">
        <f t="shared" si="3"/>
        <v>0</v>
      </c>
      <c r="W603" s="123"/>
      <c r="X603" s="123"/>
      <c r="Y603" s="123">
        <v>0.0</v>
      </c>
      <c r="Z603" s="123">
        <v>0.0</v>
      </c>
      <c r="AA603" s="123">
        <v>0.0</v>
      </c>
      <c r="AB603" s="123"/>
      <c r="AC603" s="123">
        <v>0.0</v>
      </c>
      <c r="AD603" s="44">
        <f t="shared" si="7"/>
        <v>-9800</v>
      </c>
      <c r="AE603" s="123">
        <v>0.0</v>
      </c>
    </row>
    <row r="604">
      <c r="A604" s="120">
        <v>2018.0</v>
      </c>
      <c r="B604" s="121">
        <v>9.0</v>
      </c>
      <c r="C604" s="122" t="s">
        <v>31</v>
      </c>
      <c r="D604" s="123"/>
      <c r="E604" s="123">
        <v>3094.71</v>
      </c>
      <c r="F604" s="123">
        <v>-9800.0</v>
      </c>
      <c r="G604" s="44"/>
      <c r="H604" s="123">
        <v>-852.72</v>
      </c>
      <c r="I604" s="44"/>
      <c r="J604" s="123">
        <v>2485.83</v>
      </c>
      <c r="K604" s="44"/>
      <c r="L604" s="123">
        <v>-1665.61</v>
      </c>
      <c r="M604" s="44"/>
      <c r="N604" s="44"/>
      <c r="O604" s="123">
        <v>182522.0</v>
      </c>
      <c r="P604" s="52">
        <f t="shared" si="23"/>
        <v>182521.56</v>
      </c>
      <c r="Q604" s="124">
        <f t="shared" si="2"/>
        <v>0.44</v>
      </c>
      <c r="R604" s="52">
        <f t="array" ref="R604">IFERROR(INDEX('Fund YTD Target Values'!$1:$1000, MATCH($C604,'Fund YTD Target Values'!$A:$A,0), MATCH($A604,'Fund YTD Target Values'!$1:$1,0)),0)</f>
        <v>210555.1651</v>
      </c>
      <c r="S604" s="52">
        <f>IFERROR(__xludf.DUMMYFUNCTION("IFERROR(sum(FILTER('Fund Data'!$V:$V, 'Fund Data'!$C:$C = $C604, 'Fund Data'!$A:$A &lt; $A604)),0) + IFERROR(sum(FILTER('Fund Data'!$V:$V, 'Fund Data'!$C:$C = $C604, 'Fund Data'!$A:$A = $A604, 'Fund Data'!$B:$B &lt;= $B604)),0)"),158100.0)</f>
        <v>158100</v>
      </c>
      <c r="T604" s="123">
        <v>156850.0</v>
      </c>
      <c r="U604" s="44">
        <f t="shared" si="61"/>
        <v>1250</v>
      </c>
      <c r="V604" s="44">
        <f t="shared" si="3"/>
        <v>0</v>
      </c>
      <c r="W604" s="123"/>
      <c r="X604" s="123"/>
      <c r="Y604" s="123">
        <v>0.0</v>
      </c>
      <c r="Z604" s="123">
        <v>0.0</v>
      </c>
      <c r="AA604" s="123">
        <v>0.0</v>
      </c>
      <c r="AB604" s="123"/>
      <c r="AC604" s="123">
        <v>0.0</v>
      </c>
      <c r="AD604" s="44">
        <f t="shared" si="7"/>
        <v>-9800</v>
      </c>
      <c r="AE604" s="123">
        <v>0.0</v>
      </c>
    </row>
    <row r="605">
      <c r="A605" s="120">
        <v>2018.0</v>
      </c>
      <c r="B605" s="121">
        <v>8.0</v>
      </c>
      <c r="C605" s="122" t="s">
        <v>31</v>
      </c>
      <c r="D605" s="44"/>
      <c r="E605" s="123">
        <v>2937.0</v>
      </c>
      <c r="F605" s="123">
        <v>-9800.0</v>
      </c>
      <c r="G605" s="44"/>
      <c r="H605" s="123">
        <v>-761.15</v>
      </c>
      <c r="I605" s="44"/>
      <c r="J605" s="123">
        <v>2485.83</v>
      </c>
      <c r="K605" s="44"/>
      <c r="L605" s="123">
        <v>-999.88</v>
      </c>
      <c r="M605" s="44"/>
      <c r="N605" s="44"/>
      <c r="O605" s="123">
        <v>183121.0</v>
      </c>
      <c r="P605" s="52">
        <f t="shared" si="23"/>
        <v>183121.15</v>
      </c>
      <c r="Q605" s="124">
        <f t="shared" si="2"/>
        <v>-0.15</v>
      </c>
      <c r="R605" s="52">
        <f t="array" ref="R605">IFERROR(INDEX('Fund YTD Target Values'!$1:$1000, MATCH($C605,'Fund YTD Target Values'!$A:$A,0), MATCH($A605,'Fund YTD Target Values'!$1:$1,0)),0)</f>
        <v>210555.1651</v>
      </c>
      <c r="S605" s="52">
        <f>IFERROR(__xludf.DUMMYFUNCTION("IFERROR(sum(FILTER('Fund Data'!$V:$V, 'Fund Data'!$C:$C = $C605, 'Fund Data'!$A:$A &lt; $A605)),0) + IFERROR(sum(FILTER('Fund Data'!$V:$V, 'Fund Data'!$C:$C = $C605, 'Fund Data'!$A:$A = $A605, 'Fund Data'!$B:$B &lt;= $B605)),0)"),158100.0)</f>
        <v>158100</v>
      </c>
      <c r="T605" s="123">
        <v>156850.0</v>
      </c>
      <c r="U605" s="44">
        <f t="shared" si="61"/>
        <v>1250</v>
      </c>
      <c r="V605" s="44">
        <f t="shared" si="3"/>
        <v>0</v>
      </c>
      <c r="W605" s="123"/>
      <c r="X605" s="123"/>
      <c r="Y605" s="123">
        <v>0.0</v>
      </c>
      <c r="Z605" s="123">
        <v>0.0</v>
      </c>
      <c r="AA605" s="123">
        <v>0.0</v>
      </c>
      <c r="AB605" s="123"/>
      <c r="AC605" s="123">
        <v>0.0</v>
      </c>
      <c r="AD605" s="44">
        <f t="shared" si="7"/>
        <v>-9800</v>
      </c>
      <c r="AE605" s="123">
        <v>0.0</v>
      </c>
    </row>
    <row r="606">
      <c r="A606" s="120">
        <v>2018.0</v>
      </c>
      <c r="B606" s="121">
        <v>7.0</v>
      </c>
      <c r="C606" s="122" t="s">
        <v>31</v>
      </c>
      <c r="D606" s="44"/>
      <c r="E606" s="123">
        <v>2780.05</v>
      </c>
      <c r="F606" s="123">
        <v>-1800.0</v>
      </c>
      <c r="G606" s="44"/>
      <c r="H606" s="123">
        <v>-665.86</v>
      </c>
      <c r="I606" s="44"/>
      <c r="J606" s="44"/>
      <c r="K606" s="44"/>
      <c r="L606" s="123">
        <v>1001.93</v>
      </c>
      <c r="M606" s="44"/>
      <c r="N606" s="44"/>
      <c r="O606" s="123">
        <v>190575.0</v>
      </c>
      <c r="P606" s="52">
        <f t="shared" si="23"/>
        <v>190575.47</v>
      </c>
      <c r="Q606" s="124">
        <f t="shared" si="2"/>
        <v>-0.47</v>
      </c>
      <c r="R606" s="52">
        <f t="array" ref="R606">IFERROR(INDEX('Fund YTD Target Values'!$1:$1000, MATCH($C606,'Fund YTD Target Values'!$A:$A,0), MATCH($A606,'Fund YTD Target Values'!$1:$1,0)),0)</f>
        <v>210555.1651</v>
      </c>
      <c r="S606" s="52">
        <f>IFERROR(__xludf.DUMMYFUNCTION("IFERROR(sum(FILTER('Fund Data'!$V:$V, 'Fund Data'!$C:$C = $C606, 'Fund Data'!$A:$A &lt; $A606)),0) + IFERROR(sum(FILTER('Fund Data'!$V:$V, 'Fund Data'!$C:$C = $C606, 'Fund Data'!$A:$A = $A606, 'Fund Data'!$B:$B &lt;= $B606)),0)"),158100.0)</f>
        <v>158100</v>
      </c>
      <c r="T606" s="123">
        <v>156850.0</v>
      </c>
      <c r="U606" s="44">
        <f t="shared" si="61"/>
        <v>1250</v>
      </c>
      <c r="V606" s="44">
        <f t="shared" si="3"/>
        <v>0</v>
      </c>
      <c r="W606" s="123"/>
      <c r="X606" s="123"/>
      <c r="Y606" s="123">
        <v>0.0</v>
      </c>
      <c r="Z606" s="123">
        <v>0.0</v>
      </c>
      <c r="AA606" s="123">
        <v>0.0</v>
      </c>
      <c r="AB606" s="123"/>
      <c r="AC606" s="123">
        <v>0.0</v>
      </c>
      <c r="AD606" s="44">
        <f t="shared" si="7"/>
        <v>-1800</v>
      </c>
      <c r="AE606" s="123">
        <v>0.0</v>
      </c>
    </row>
    <row r="607">
      <c r="A607" s="120">
        <v>2018.0</v>
      </c>
      <c r="B607" s="121">
        <v>6.0</v>
      </c>
      <c r="C607" s="122" t="s">
        <v>31</v>
      </c>
      <c r="D607" s="44"/>
      <c r="E607" s="123">
        <v>2354.27</v>
      </c>
      <c r="F607" s="123">
        <v>-1800.0</v>
      </c>
      <c r="G607" s="44"/>
      <c r="H607" s="123">
        <v>-572.28</v>
      </c>
      <c r="I607" s="44"/>
      <c r="J607" s="44"/>
      <c r="K607" s="44"/>
      <c r="L607" s="123">
        <v>-2095.06</v>
      </c>
      <c r="M607" s="44"/>
      <c r="N607" s="44"/>
      <c r="O607" s="123">
        <v>187146.0</v>
      </c>
      <c r="P607" s="52">
        <f t="shared" si="23"/>
        <v>187146.28</v>
      </c>
      <c r="Q607" s="124">
        <f t="shared" si="2"/>
        <v>-0.28</v>
      </c>
      <c r="R607" s="52">
        <f t="array" ref="R607">IFERROR(INDEX('Fund YTD Target Values'!$1:$1000, MATCH($C607,'Fund YTD Target Values'!$A:$A,0), MATCH($A607,'Fund YTD Target Values'!$1:$1,0)),0)</f>
        <v>210555.1651</v>
      </c>
      <c r="S607" s="52">
        <f>IFERROR(__xludf.DUMMYFUNCTION("IFERROR(sum(FILTER('Fund Data'!$V:$V, 'Fund Data'!$C:$C = $C607, 'Fund Data'!$A:$A &lt; $A607)),0) + IFERROR(sum(FILTER('Fund Data'!$V:$V, 'Fund Data'!$C:$C = $C607, 'Fund Data'!$A:$A = $A607, 'Fund Data'!$B:$B &lt;= $B607)),0)"),158100.0)</f>
        <v>158100</v>
      </c>
      <c r="T607" s="123">
        <v>156850.0</v>
      </c>
      <c r="U607" s="44">
        <f t="shared" si="61"/>
        <v>1250</v>
      </c>
      <c r="V607" s="44">
        <f t="shared" si="3"/>
        <v>0</v>
      </c>
      <c r="W607" s="123"/>
      <c r="X607" s="123"/>
      <c r="Y607" s="123">
        <v>0.0</v>
      </c>
      <c r="Z607" s="123">
        <v>0.0</v>
      </c>
      <c r="AA607" s="123">
        <v>0.0</v>
      </c>
      <c r="AB607" s="123"/>
      <c r="AC607" s="123">
        <v>0.0</v>
      </c>
      <c r="AD607" s="44">
        <f t="shared" si="7"/>
        <v>-1800</v>
      </c>
      <c r="AE607" s="123">
        <v>0.0</v>
      </c>
    </row>
    <row r="608">
      <c r="A608" s="120">
        <v>2018.0</v>
      </c>
      <c r="B608" s="121">
        <v>5.0</v>
      </c>
      <c r="C608" s="122" t="s">
        <v>31</v>
      </c>
      <c r="D608" s="44"/>
      <c r="E608" s="123">
        <v>2083.96</v>
      </c>
      <c r="F608" s="44"/>
      <c r="G608" s="44"/>
      <c r="H608" s="123">
        <v>-477.19</v>
      </c>
      <c r="I608" s="44"/>
      <c r="J608" s="44"/>
      <c r="K608" s="44"/>
      <c r="L608" s="123">
        <v>-684.61</v>
      </c>
      <c r="M608" s="44"/>
      <c r="N608" s="44"/>
      <c r="O608" s="123">
        <v>190182.0</v>
      </c>
      <c r="P608" s="52">
        <f t="shared" si="23"/>
        <v>190181.51</v>
      </c>
      <c r="Q608" s="124">
        <f t="shared" si="2"/>
        <v>0.49</v>
      </c>
      <c r="R608" s="52">
        <f t="array" ref="R608">IFERROR(INDEX('Fund YTD Target Values'!$1:$1000, MATCH($C608,'Fund YTD Target Values'!$A:$A,0), MATCH($A608,'Fund YTD Target Values'!$1:$1,0)),0)</f>
        <v>210555.1651</v>
      </c>
      <c r="S608" s="52">
        <f>IFERROR(__xludf.DUMMYFUNCTION("IFERROR(sum(FILTER('Fund Data'!$V:$V, 'Fund Data'!$C:$C = $C608, 'Fund Data'!$A:$A &lt; $A608)),0) + IFERROR(sum(FILTER('Fund Data'!$V:$V, 'Fund Data'!$C:$C = $C608, 'Fund Data'!$A:$A = $A608, 'Fund Data'!$B:$B &lt;= $B608)),0)"),158100.0)</f>
        <v>158100</v>
      </c>
      <c r="T608" s="123">
        <v>156850.0</v>
      </c>
      <c r="U608" s="44">
        <f t="shared" si="61"/>
        <v>1250</v>
      </c>
      <c r="V608" s="44">
        <f t="shared" si="3"/>
        <v>0</v>
      </c>
      <c r="W608" s="123"/>
      <c r="X608" s="123"/>
      <c r="Y608" s="123">
        <v>0.0</v>
      </c>
      <c r="Z608" s="123">
        <v>0.0</v>
      </c>
      <c r="AA608" s="123">
        <v>0.0</v>
      </c>
      <c r="AB608" s="123"/>
      <c r="AC608" s="123">
        <v>0.0</v>
      </c>
      <c r="AD608" s="44">
        <f t="shared" si="7"/>
        <v>0</v>
      </c>
      <c r="AE608" s="123">
        <v>0.0</v>
      </c>
    </row>
    <row r="609">
      <c r="A609" s="120">
        <v>2018.0</v>
      </c>
      <c r="B609" s="121">
        <v>4.0</v>
      </c>
      <c r="C609" s="122" t="s">
        <v>31</v>
      </c>
      <c r="D609" s="44"/>
      <c r="E609" s="123">
        <v>1934.32</v>
      </c>
      <c r="F609" s="44"/>
      <c r="G609" s="44"/>
      <c r="H609" s="123">
        <v>-382.32</v>
      </c>
      <c r="I609" s="44"/>
      <c r="J609" s="44"/>
      <c r="K609" s="44"/>
      <c r="L609" s="123">
        <v>-1083.13</v>
      </c>
      <c r="M609" s="44"/>
      <c r="N609" s="44"/>
      <c r="O609" s="123">
        <v>189728.0</v>
      </c>
      <c r="P609" s="52">
        <f t="shared" si="23"/>
        <v>189728.22</v>
      </c>
      <c r="Q609" s="124">
        <f t="shared" si="2"/>
        <v>-0.22</v>
      </c>
      <c r="R609" s="52">
        <f t="array" ref="R609">IFERROR(INDEX('Fund YTD Target Values'!$1:$1000, MATCH($C609,'Fund YTD Target Values'!$A:$A,0), MATCH($A609,'Fund YTD Target Values'!$1:$1,0)),0)</f>
        <v>210555.1651</v>
      </c>
      <c r="S609" s="52">
        <f>IFERROR(__xludf.DUMMYFUNCTION("IFERROR(sum(FILTER('Fund Data'!$V:$V, 'Fund Data'!$C:$C = $C609, 'Fund Data'!$A:$A &lt; $A609)),0) + IFERROR(sum(FILTER('Fund Data'!$V:$V, 'Fund Data'!$C:$C = $C609, 'Fund Data'!$A:$A = $A609, 'Fund Data'!$B:$B &lt;= $B609)),0)"),158100.0)</f>
        <v>158100</v>
      </c>
      <c r="T609" s="123">
        <v>156850.0</v>
      </c>
      <c r="U609" s="44">
        <f t="shared" si="61"/>
        <v>1250</v>
      </c>
      <c r="V609" s="44">
        <f t="shared" si="3"/>
        <v>0</v>
      </c>
      <c r="W609" s="123"/>
      <c r="X609" s="123"/>
      <c r="Y609" s="123">
        <v>0.0</v>
      </c>
      <c r="Z609" s="123">
        <v>0.0</v>
      </c>
      <c r="AA609" s="123">
        <v>0.0</v>
      </c>
      <c r="AB609" s="123"/>
      <c r="AC609" s="123">
        <v>0.0</v>
      </c>
      <c r="AD609" s="44">
        <f t="shared" si="7"/>
        <v>0</v>
      </c>
      <c r="AE609" s="123">
        <v>0.0</v>
      </c>
    </row>
    <row r="610">
      <c r="A610" s="120">
        <v>2018.0</v>
      </c>
      <c r="B610" s="121">
        <v>3.0</v>
      </c>
      <c r="C610" s="122" t="s">
        <v>31</v>
      </c>
      <c r="D610" s="44"/>
      <c r="E610" s="123">
        <v>1477.75</v>
      </c>
      <c r="F610" s="44"/>
      <c r="G610" s="44"/>
      <c r="H610" s="123">
        <v>-287.71</v>
      </c>
      <c r="I610" s="44"/>
      <c r="J610" s="44"/>
      <c r="K610" s="44"/>
      <c r="L610" s="123">
        <v>-1238.04</v>
      </c>
      <c r="M610" s="44"/>
      <c r="N610" s="44"/>
      <c r="O610" s="123">
        <v>189211.0</v>
      </c>
      <c r="P610" s="52">
        <f t="shared" si="23"/>
        <v>189211.35</v>
      </c>
      <c r="Q610" s="124">
        <f t="shared" si="2"/>
        <v>-0.35</v>
      </c>
      <c r="R610" s="52">
        <f t="array" ref="R610">IFERROR(INDEX('Fund YTD Target Values'!$1:$1000, MATCH($C610,'Fund YTD Target Values'!$A:$A,0), MATCH($A610,'Fund YTD Target Values'!$1:$1,0)),0)</f>
        <v>210555.1651</v>
      </c>
      <c r="S610" s="52">
        <f>IFERROR(__xludf.DUMMYFUNCTION("IFERROR(sum(FILTER('Fund Data'!$V:$V, 'Fund Data'!$C:$C = $C610, 'Fund Data'!$A:$A &lt; $A610)),0) + IFERROR(sum(FILTER('Fund Data'!$V:$V, 'Fund Data'!$C:$C = $C610, 'Fund Data'!$A:$A = $A610, 'Fund Data'!$B:$B &lt;= $B610)),0)"),158100.0)</f>
        <v>158100</v>
      </c>
      <c r="T610" s="123">
        <v>156850.0</v>
      </c>
      <c r="U610" s="44">
        <f t="shared" si="61"/>
        <v>1250</v>
      </c>
      <c r="V610" s="44">
        <f t="shared" si="3"/>
        <v>0</v>
      </c>
      <c r="W610" s="123"/>
      <c r="X610" s="123"/>
      <c r="Y610" s="123">
        <v>0.0</v>
      </c>
      <c r="Z610" s="123">
        <v>0.0</v>
      </c>
      <c r="AA610" s="123">
        <v>0.0</v>
      </c>
      <c r="AB610" s="123"/>
      <c r="AC610" s="123">
        <v>0.0</v>
      </c>
      <c r="AD610" s="44">
        <f t="shared" si="7"/>
        <v>0</v>
      </c>
      <c r="AE610" s="123">
        <v>0.0</v>
      </c>
    </row>
    <row r="611">
      <c r="A611" s="120">
        <v>2018.0</v>
      </c>
      <c r="B611" s="121">
        <v>2.0</v>
      </c>
      <c r="C611" s="122" t="s">
        <v>31</v>
      </c>
      <c r="D611" s="44"/>
      <c r="E611" s="123">
        <v>1311.22</v>
      </c>
      <c r="F611" s="44"/>
      <c r="G611" s="44"/>
      <c r="H611" s="123">
        <v>-469.74</v>
      </c>
      <c r="I611" s="44"/>
      <c r="J611" s="44"/>
      <c r="K611" s="44"/>
      <c r="L611" s="123">
        <v>81.21</v>
      </c>
      <c r="M611" s="44"/>
      <c r="N611" s="44"/>
      <c r="O611" s="123">
        <v>190182.0</v>
      </c>
      <c r="P611" s="52">
        <f t="shared" si="23"/>
        <v>190182.04</v>
      </c>
      <c r="Q611" s="124">
        <f t="shared" si="2"/>
        <v>-0.04000000001</v>
      </c>
      <c r="R611" s="52">
        <f t="array" ref="R611">IFERROR(INDEX('Fund YTD Target Values'!$1:$1000, MATCH($C611,'Fund YTD Target Values'!$A:$A,0), MATCH($A611,'Fund YTD Target Values'!$1:$1,0)),0)</f>
        <v>210555.1651</v>
      </c>
      <c r="S611" s="52">
        <f>IFERROR(__xludf.DUMMYFUNCTION("IFERROR(sum(FILTER('Fund Data'!$V:$V, 'Fund Data'!$C:$C = $C611, 'Fund Data'!$A:$A &lt; $A611)),0) + IFERROR(sum(FILTER('Fund Data'!$V:$V, 'Fund Data'!$C:$C = $C611, 'Fund Data'!$A:$A = $A611, 'Fund Data'!$B:$B &lt;= $B611)),0)"),158100.0)</f>
        <v>158100</v>
      </c>
      <c r="T611" s="123">
        <v>156850.0</v>
      </c>
      <c r="U611" s="44">
        <f t="shared" si="61"/>
        <v>1250</v>
      </c>
      <c r="V611" s="44">
        <f t="shared" si="3"/>
        <v>0</v>
      </c>
      <c r="W611" s="123"/>
      <c r="X611" s="123"/>
      <c r="Y611" s="123">
        <v>0.0</v>
      </c>
      <c r="Z611" s="123">
        <v>0.0</v>
      </c>
      <c r="AA611" s="123">
        <v>0.0</v>
      </c>
      <c r="AB611" s="123"/>
      <c r="AC611" s="123">
        <v>0.0</v>
      </c>
      <c r="AD611" s="44">
        <f t="shared" si="7"/>
        <v>0</v>
      </c>
      <c r="AE611" s="123">
        <v>0.0</v>
      </c>
    </row>
    <row r="612">
      <c r="A612" s="120">
        <v>2018.0</v>
      </c>
      <c r="B612" s="121">
        <v>1.0</v>
      </c>
      <c r="C612" s="122" t="s">
        <v>31</v>
      </c>
      <c r="D612" s="44"/>
      <c r="E612" s="123">
        <v>1170.53</v>
      </c>
      <c r="F612" s="44"/>
      <c r="G612" s="44"/>
      <c r="H612" s="123">
        <v>-371.75</v>
      </c>
      <c r="I612" s="44"/>
      <c r="J612" s="44"/>
      <c r="K612" s="44"/>
      <c r="L612" s="123">
        <v>5907.9</v>
      </c>
      <c r="M612" s="44"/>
      <c r="N612" s="44"/>
      <c r="O612" s="123">
        <v>195966.0</v>
      </c>
      <c r="P612" s="52">
        <f t="shared" si="23"/>
        <v>195966.03</v>
      </c>
      <c r="Q612" s="124">
        <f t="shared" si="2"/>
        <v>-0.03</v>
      </c>
      <c r="R612" s="52">
        <f t="array" ref="R612">IFERROR(INDEX('Fund YTD Target Values'!$1:$1000, MATCH($C612,'Fund YTD Target Values'!$A:$A,0), MATCH($A612,'Fund YTD Target Values'!$1:$1,0)),0)</f>
        <v>210555.1651</v>
      </c>
      <c r="S612" s="52">
        <f>IFERROR(__xludf.DUMMYFUNCTION("IFERROR(sum(FILTER('Fund Data'!$V:$V, 'Fund Data'!$C:$C = $C612, 'Fund Data'!$A:$A &lt; $A612)),0) + IFERROR(sum(FILTER('Fund Data'!$V:$V, 'Fund Data'!$C:$C = $C612, 'Fund Data'!$A:$A = $A612, 'Fund Data'!$B:$B &lt;= $B612)),0)"),158100.0)</f>
        <v>158100</v>
      </c>
      <c r="T612" s="123">
        <v>156850.0</v>
      </c>
      <c r="U612" s="44">
        <f t="shared" si="61"/>
        <v>1250</v>
      </c>
      <c r="V612" s="44">
        <f t="shared" si="3"/>
        <v>0</v>
      </c>
      <c r="W612" s="123"/>
      <c r="X612" s="123"/>
      <c r="Y612" s="123">
        <v>0.0</v>
      </c>
      <c r="Z612" s="123">
        <v>0.0</v>
      </c>
      <c r="AA612" s="123">
        <v>0.0</v>
      </c>
      <c r="AB612" s="123"/>
      <c r="AC612" s="123">
        <v>0.0</v>
      </c>
      <c r="AD612" s="44">
        <f t="shared" si="7"/>
        <v>0</v>
      </c>
      <c r="AE612" s="123">
        <v>0.0</v>
      </c>
    </row>
    <row r="613">
      <c r="A613" s="120">
        <v>2017.0</v>
      </c>
      <c r="B613" s="121">
        <v>12.0</v>
      </c>
      <c r="C613" s="122" t="s">
        <v>31</v>
      </c>
      <c r="D613" s="123">
        <v>1250.0</v>
      </c>
      <c r="E613" s="123">
        <v>4045.34</v>
      </c>
      <c r="F613" s="123">
        <v>-10000.0</v>
      </c>
      <c r="G613" s="123"/>
      <c r="H613" s="123">
        <v>-1108.18</v>
      </c>
      <c r="I613" s="44"/>
      <c r="J613" s="123">
        <v>1842.16</v>
      </c>
      <c r="K613" s="44"/>
      <c r="L613" s="123">
        <v>20985.49</v>
      </c>
      <c r="M613" s="44"/>
      <c r="N613" s="44"/>
      <c r="O613" s="123">
        <v>189259.0</v>
      </c>
      <c r="P613" s="52">
        <f t="shared" si="23"/>
        <v>189259.35</v>
      </c>
      <c r="Q613" s="124">
        <f t="shared" si="2"/>
        <v>-0.35</v>
      </c>
      <c r="R613" s="52">
        <f t="array" ref="R613">IFERROR(INDEX('Fund YTD Target Values'!$1:$1000, MATCH($C613,'Fund YTD Target Values'!$A:$A,0), MATCH($A613,'Fund YTD Target Values'!$1:$1,0)),0)</f>
        <v>205534.6031</v>
      </c>
      <c r="S613" s="52">
        <f>IFERROR(__xludf.DUMMYFUNCTION("IFERROR(sum(FILTER('Fund Data'!$V:$V, 'Fund Data'!$C:$C = $C613, 'Fund Data'!$A:$A &lt; $A613)),0) + IFERROR(sum(FILTER('Fund Data'!$V:$V, 'Fund Data'!$C:$C = $C613, 'Fund Data'!$A:$A = $A613, 'Fund Data'!$B:$B &lt;= $B613)),0)"),158100.0)</f>
        <v>158100</v>
      </c>
      <c r="T613" s="123">
        <v>156850.0</v>
      </c>
      <c r="U613" s="44">
        <f t="shared" si="61"/>
        <v>1250</v>
      </c>
      <c r="V613" s="44">
        <f t="shared" si="3"/>
        <v>0</v>
      </c>
      <c r="W613" s="123"/>
      <c r="X613" s="123"/>
      <c r="Y613" s="123">
        <v>0.0</v>
      </c>
      <c r="Z613" s="123">
        <v>0.0</v>
      </c>
      <c r="AA613" s="123">
        <v>0.0</v>
      </c>
      <c r="AB613" s="123"/>
      <c r="AC613" s="123">
        <v>0.0</v>
      </c>
      <c r="AD613" s="44">
        <f t="shared" si="7"/>
        <v>-10000</v>
      </c>
      <c r="AE613" s="123">
        <v>0.0</v>
      </c>
    </row>
    <row r="614">
      <c r="A614" s="120">
        <v>2017.0</v>
      </c>
      <c r="B614" s="121">
        <v>11.0</v>
      </c>
      <c r="C614" s="122" t="s">
        <v>31</v>
      </c>
      <c r="D614" s="123">
        <v>1250.0</v>
      </c>
      <c r="E614" s="123">
        <v>3778.96</v>
      </c>
      <c r="F614" s="123">
        <v>-10000.0</v>
      </c>
      <c r="G614" s="44"/>
      <c r="H614" s="123">
        <v>-1014.07</v>
      </c>
      <c r="I614" s="44"/>
      <c r="J614" s="123">
        <v>1842.16</v>
      </c>
      <c r="K614" s="44"/>
      <c r="L614" s="123">
        <v>20076.01</v>
      </c>
      <c r="M614" s="44"/>
      <c r="N614" s="44"/>
      <c r="O614" s="123">
        <v>188178.0</v>
      </c>
      <c r="P614" s="52">
        <f t="shared" si="23"/>
        <v>188177.6</v>
      </c>
      <c r="Q614" s="124">
        <f t="shared" si="2"/>
        <v>0.4</v>
      </c>
      <c r="R614" s="52">
        <f t="array" ref="R614">IFERROR(INDEX('Fund YTD Target Values'!$1:$1000, MATCH($C614,'Fund YTD Target Values'!$A:$A,0), MATCH($A614,'Fund YTD Target Values'!$1:$1,0)),0)</f>
        <v>205534.6031</v>
      </c>
      <c r="S614" s="52">
        <f>IFERROR(__xludf.DUMMYFUNCTION("IFERROR(sum(FILTER('Fund Data'!$V:$V, 'Fund Data'!$C:$C = $C614, 'Fund Data'!$A:$A &lt; $A614)),0) + IFERROR(sum(FILTER('Fund Data'!$V:$V, 'Fund Data'!$C:$C = $C614, 'Fund Data'!$A:$A = $A614, 'Fund Data'!$B:$B &lt;= $B614)),0)"),158100.0)</f>
        <v>158100</v>
      </c>
      <c r="T614" s="123">
        <v>156850.0</v>
      </c>
      <c r="U614" s="44">
        <f t="shared" si="61"/>
        <v>1250</v>
      </c>
      <c r="V614" s="44">
        <f t="shared" si="3"/>
        <v>0</v>
      </c>
      <c r="W614" s="123"/>
      <c r="X614" s="123"/>
      <c r="Y614" s="123">
        <v>0.0</v>
      </c>
      <c r="Z614" s="123">
        <v>0.0</v>
      </c>
      <c r="AA614" s="123">
        <v>0.0</v>
      </c>
      <c r="AB614" s="123"/>
      <c r="AC614" s="123">
        <v>0.0</v>
      </c>
      <c r="AD614" s="44">
        <f t="shared" si="7"/>
        <v>-10000</v>
      </c>
      <c r="AE614" s="123">
        <v>0.0</v>
      </c>
    </row>
    <row r="615">
      <c r="A615" s="120">
        <v>2017.0</v>
      </c>
      <c r="B615" s="121">
        <v>10.0</v>
      </c>
      <c r="C615" s="122" t="s">
        <v>31</v>
      </c>
      <c r="D615" s="123">
        <v>1250.0</v>
      </c>
      <c r="E615" s="123">
        <v>3649.26</v>
      </c>
      <c r="F615" s="123">
        <v>-3800.0</v>
      </c>
      <c r="G615" s="44"/>
      <c r="H615" s="123">
        <v>-917.94</v>
      </c>
      <c r="I615" s="44"/>
      <c r="J615" s="44"/>
      <c r="K615" s="44"/>
      <c r="L615" s="123">
        <v>19834.85</v>
      </c>
      <c r="M615" s="44"/>
      <c r="N615" s="44"/>
      <c r="O615" s="123">
        <v>192261.0</v>
      </c>
      <c r="P615" s="52">
        <f t="shared" si="23"/>
        <v>192260.71</v>
      </c>
      <c r="Q615" s="124">
        <f t="shared" si="2"/>
        <v>0.29</v>
      </c>
      <c r="R615" s="52">
        <f t="array" ref="R615">IFERROR(INDEX('Fund YTD Target Values'!$1:$1000, MATCH($C615,'Fund YTD Target Values'!$A:$A,0), MATCH($A615,'Fund YTD Target Values'!$1:$1,0)),0)</f>
        <v>205534.6031</v>
      </c>
      <c r="S615" s="52">
        <f>IFERROR(__xludf.DUMMYFUNCTION("IFERROR(sum(FILTER('Fund Data'!$V:$V, 'Fund Data'!$C:$C = $C615, 'Fund Data'!$A:$A &lt; $A615)),0) + IFERROR(sum(FILTER('Fund Data'!$V:$V, 'Fund Data'!$C:$C = $C615, 'Fund Data'!$A:$A = $A615, 'Fund Data'!$B:$B &lt;= $B615)),0)"),158100.0)</f>
        <v>158100</v>
      </c>
      <c r="T615" s="123">
        <v>156850.0</v>
      </c>
      <c r="U615" s="44">
        <f t="shared" si="61"/>
        <v>1250</v>
      </c>
      <c r="V615" s="44">
        <f t="shared" si="3"/>
        <v>0</v>
      </c>
      <c r="W615" s="123"/>
      <c r="X615" s="123"/>
      <c r="Y615" s="123">
        <v>0.0</v>
      </c>
      <c r="Z615" s="123">
        <v>0.0</v>
      </c>
      <c r="AA615" s="123">
        <v>0.0</v>
      </c>
      <c r="AB615" s="123"/>
      <c r="AC615" s="123">
        <v>0.0</v>
      </c>
      <c r="AD615" s="44">
        <f t="shared" si="7"/>
        <v>-3800</v>
      </c>
      <c r="AE615" s="123">
        <v>0.0</v>
      </c>
    </row>
    <row r="616">
      <c r="A616" s="120">
        <v>2017.0</v>
      </c>
      <c r="B616" s="121">
        <v>9.0</v>
      </c>
      <c r="C616" s="122" t="s">
        <v>31</v>
      </c>
      <c r="D616" s="123">
        <v>1250.0</v>
      </c>
      <c r="E616" s="123">
        <v>3254.97</v>
      </c>
      <c r="F616" s="123">
        <v>-3800.0</v>
      </c>
      <c r="G616" s="44"/>
      <c r="H616" s="123">
        <v>-823.19</v>
      </c>
      <c r="I616" s="44"/>
      <c r="J616" s="44"/>
      <c r="K616" s="44"/>
      <c r="L616" s="123">
        <v>17377.38</v>
      </c>
      <c r="M616" s="44"/>
      <c r="N616" s="44"/>
      <c r="O616" s="123">
        <v>189504.0</v>
      </c>
      <c r="P616" s="52">
        <f t="shared" si="23"/>
        <v>189503.7</v>
      </c>
      <c r="Q616" s="124">
        <f t="shared" si="2"/>
        <v>0.3</v>
      </c>
      <c r="R616" s="52">
        <f t="array" ref="R616">IFERROR(INDEX('Fund YTD Target Values'!$1:$1000, MATCH($C616,'Fund YTD Target Values'!$A:$A,0), MATCH($A616,'Fund YTD Target Values'!$1:$1,0)),0)</f>
        <v>205534.6031</v>
      </c>
      <c r="S616" s="52">
        <f>IFERROR(__xludf.DUMMYFUNCTION("IFERROR(sum(FILTER('Fund Data'!$V:$V, 'Fund Data'!$C:$C = $C616, 'Fund Data'!$A:$A &lt; $A616)),0) + IFERROR(sum(FILTER('Fund Data'!$V:$V, 'Fund Data'!$C:$C = $C616, 'Fund Data'!$A:$A = $A616, 'Fund Data'!$B:$B &lt;= $B616)),0)"),158100.0)</f>
        <v>158100</v>
      </c>
      <c r="T616" s="123">
        <v>156850.0</v>
      </c>
      <c r="U616" s="44">
        <f t="shared" si="61"/>
        <v>1250</v>
      </c>
      <c r="V616" s="44">
        <f t="shared" si="3"/>
        <v>0</v>
      </c>
      <c r="W616" s="123"/>
      <c r="X616" s="123"/>
      <c r="Y616" s="123">
        <v>0.0</v>
      </c>
      <c r="Z616" s="123">
        <v>0.0</v>
      </c>
      <c r="AA616" s="123">
        <v>0.0</v>
      </c>
      <c r="AB616" s="123"/>
      <c r="AC616" s="123">
        <v>0.0</v>
      </c>
      <c r="AD616" s="44">
        <f t="shared" si="7"/>
        <v>-3800</v>
      </c>
      <c r="AE616" s="123">
        <v>0.0</v>
      </c>
    </row>
    <row r="617">
      <c r="A617" s="120">
        <v>2017.0</v>
      </c>
      <c r="B617" s="121">
        <v>8.0</v>
      </c>
      <c r="C617" s="122" t="s">
        <v>31</v>
      </c>
      <c r="D617" s="123">
        <v>1250.0</v>
      </c>
      <c r="E617" s="123">
        <v>3018.96</v>
      </c>
      <c r="F617" s="123">
        <v>-3800.0</v>
      </c>
      <c r="G617" s="44"/>
      <c r="H617" s="123">
        <v>-729.44</v>
      </c>
      <c r="I617" s="44"/>
      <c r="J617" s="44"/>
      <c r="K617" s="44"/>
      <c r="L617" s="123">
        <v>15519.79</v>
      </c>
      <c r="M617" s="44"/>
      <c r="N617" s="44"/>
      <c r="O617" s="123">
        <v>187504.0</v>
      </c>
      <c r="P617" s="52">
        <f t="shared" si="23"/>
        <v>187503.85</v>
      </c>
      <c r="Q617" s="124">
        <f t="shared" si="2"/>
        <v>0.15</v>
      </c>
      <c r="R617" s="52">
        <f t="array" ref="R617">IFERROR(INDEX('Fund YTD Target Values'!$1:$1000, MATCH($C617,'Fund YTD Target Values'!$A:$A,0), MATCH($A617,'Fund YTD Target Values'!$1:$1,0)),0)</f>
        <v>205534.6031</v>
      </c>
      <c r="S617" s="52">
        <f>IFERROR(__xludf.DUMMYFUNCTION("IFERROR(sum(FILTER('Fund Data'!$V:$V, 'Fund Data'!$C:$C = $C617, 'Fund Data'!$A:$A &lt; $A617)),0) + IFERROR(sum(FILTER('Fund Data'!$V:$V, 'Fund Data'!$C:$C = $C617, 'Fund Data'!$A:$A = $A617, 'Fund Data'!$B:$B &lt;= $B617)),0)"),158100.0)</f>
        <v>158100</v>
      </c>
      <c r="T617" s="123">
        <v>156850.0</v>
      </c>
      <c r="U617" s="44">
        <f t="shared" si="61"/>
        <v>1250</v>
      </c>
      <c r="V617" s="44">
        <f t="shared" si="3"/>
        <v>0</v>
      </c>
      <c r="W617" s="123"/>
      <c r="X617" s="123"/>
      <c r="Y617" s="123">
        <v>0.0</v>
      </c>
      <c r="Z617" s="123">
        <v>0.0</v>
      </c>
      <c r="AA617" s="123">
        <v>0.0</v>
      </c>
      <c r="AB617" s="123"/>
      <c r="AC617" s="123">
        <v>0.0</v>
      </c>
      <c r="AD617" s="44">
        <f t="shared" si="7"/>
        <v>-3800</v>
      </c>
      <c r="AE617" s="123">
        <v>0.0</v>
      </c>
    </row>
    <row r="618">
      <c r="A618" s="120">
        <v>2017.0</v>
      </c>
      <c r="B618" s="121">
        <v>7.0</v>
      </c>
      <c r="C618" s="122" t="s">
        <v>31</v>
      </c>
      <c r="D618" s="123">
        <v>1250.0</v>
      </c>
      <c r="E618" s="123">
        <v>2888.55</v>
      </c>
      <c r="F618" s="44"/>
      <c r="G618" s="44"/>
      <c r="H618" s="123">
        <v>-634.05</v>
      </c>
      <c r="I618" s="44"/>
      <c r="J618" s="44"/>
      <c r="K618" s="44"/>
      <c r="L618" s="123">
        <v>15030.61</v>
      </c>
      <c r="M618" s="44"/>
      <c r="N618" s="44"/>
      <c r="O618" s="123">
        <v>190780.0</v>
      </c>
      <c r="P618" s="52">
        <f t="shared" si="23"/>
        <v>190779.65</v>
      </c>
      <c r="Q618" s="124">
        <f t="shared" si="2"/>
        <v>0.35</v>
      </c>
      <c r="R618" s="52">
        <f t="array" ref="R618">IFERROR(INDEX('Fund YTD Target Values'!$1:$1000, MATCH($C618,'Fund YTD Target Values'!$A:$A,0), MATCH($A618,'Fund YTD Target Values'!$1:$1,0)),0)</f>
        <v>205534.6031</v>
      </c>
      <c r="S618" s="52">
        <f>IFERROR(__xludf.DUMMYFUNCTION("IFERROR(sum(FILTER('Fund Data'!$V:$V, 'Fund Data'!$C:$C = $C618, 'Fund Data'!$A:$A &lt; $A618)),0) + IFERROR(sum(FILTER('Fund Data'!$V:$V, 'Fund Data'!$C:$C = $C618, 'Fund Data'!$A:$A = $A618, 'Fund Data'!$B:$B &lt;= $B618)),0)"),158100.0)</f>
        <v>158100</v>
      </c>
      <c r="T618" s="123">
        <v>156850.0</v>
      </c>
      <c r="U618" s="44">
        <f t="shared" si="61"/>
        <v>1250</v>
      </c>
      <c r="V618" s="44">
        <f t="shared" si="3"/>
        <v>0</v>
      </c>
      <c r="W618" s="123"/>
      <c r="X618" s="123"/>
      <c r="Y618" s="123">
        <v>0.0</v>
      </c>
      <c r="Z618" s="123">
        <v>0.0</v>
      </c>
      <c r="AA618" s="123">
        <v>0.0</v>
      </c>
      <c r="AB618" s="123"/>
      <c r="AC618" s="123">
        <v>0.0</v>
      </c>
      <c r="AD618" s="44">
        <f t="shared" si="7"/>
        <v>0</v>
      </c>
      <c r="AE618" s="123">
        <v>0.0</v>
      </c>
    </row>
    <row r="619">
      <c r="A619" s="120">
        <v>2017.0</v>
      </c>
      <c r="B619" s="121">
        <v>6.0</v>
      </c>
      <c r="C619" s="122" t="s">
        <v>31</v>
      </c>
      <c r="D619" s="123">
        <v>1250.0</v>
      </c>
      <c r="E619" s="123">
        <v>2297.97</v>
      </c>
      <c r="F619" s="44"/>
      <c r="G619" s="44"/>
      <c r="H619" s="123">
        <v>-540.85</v>
      </c>
      <c r="I619" s="44"/>
      <c r="J619" s="44"/>
      <c r="K619" s="44"/>
      <c r="L619" s="123">
        <v>11162.25</v>
      </c>
      <c r="M619" s="44"/>
      <c r="N619" s="44"/>
      <c r="O619" s="123">
        <v>186414.0</v>
      </c>
      <c r="P619" s="52">
        <f t="shared" si="23"/>
        <v>186413.91</v>
      </c>
      <c r="Q619" s="124">
        <f t="shared" si="2"/>
        <v>0.09</v>
      </c>
      <c r="R619" s="52">
        <f t="array" ref="R619">IFERROR(INDEX('Fund YTD Target Values'!$1:$1000, MATCH($C619,'Fund YTD Target Values'!$A:$A,0), MATCH($A619,'Fund YTD Target Values'!$1:$1,0)),0)</f>
        <v>205534.6031</v>
      </c>
      <c r="S619" s="52">
        <f>IFERROR(__xludf.DUMMYFUNCTION("IFERROR(sum(FILTER('Fund Data'!$V:$V, 'Fund Data'!$C:$C = $C619, 'Fund Data'!$A:$A &lt; $A619)),0) + IFERROR(sum(FILTER('Fund Data'!$V:$V, 'Fund Data'!$C:$C = $C619, 'Fund Data'!$A:$A = $A619, 'Fund Data'!$B:$B &lt;= $B619)),0)"),158100.0)</f>
        <v>158100</v>
      </c>
      <c r="T619" s="123">
        <v>156850.0</v>
      </c>
      <c r="U619" s="44">
        <f t="shared" si="61"/>
        <v>1250</v>
      </c>
      <c r="V619" s="44">
        <f t="shared" si="3"/>
        <v>0</v>
      </c>
      <c r="W619" s="123"/>
      <c r="X619" s="123"/>
      <c r="Y619" s="123">
        <v>0.0</v>
      </c>
      <c r="Z619" s="123">
        <v>0.0</v>
      </c>
      <c r="AA619" s="123">
        <v>0.0</v>
      </c>
      <c r="AB619" s="123"/>
      <c r="AC619" s="123">
        <v>0.0</v>
      </c>
      <c r="AD619" s="44">
        <f t="shared" si="7"/>
        <v>0</v>
      </c>
      <c r="AE619" s="123">
        <v>0.0</v>
      </c>
    </row>
    <row r="620">
      <c r="A620" s="120">
        <v>2017.0</v>
      </c>
      <c r="B620" s="121">
        <v>5.0</v>
      </c>
      <c r="C620" s="122" t="s">
        <v>31</v>
      </c>
      <c r="D620" s="123">
        <v>1250.0</v>
      </c>
      <c r="E620" s="123">
        <v>2174.1</v>
      </c>
      <c r="F620" s="44"/>
      <c r="G620" s="44"/>
      <c r="H620" s="123">
        <v>-447.86</v>
      </c>
      <c r="I620" s="44"/>
      <c r="J620" s="44"/>
      <c r="K620" s="44"/>
      <c r="L620" s="123">
        <v>10764.47</v>
      </c>
      <c r="M620" s="44"/>
      <c r="N620" s="44"/>
      <c r="O620" s="123">
        <v>185985.0</v>
      </c>
      <c r="P620" s="52">
        <f t="shared" si="23"/>
        <v>185985.25</v>
      </c>
      <c r="Q620" s="124">
        <f t="shared" si="2"/>
        <v>-0.25</v>
      </c>
      <c r="R620" s="52">
        <f t="array" ref="R620">IFERROR(INDEX('Fund YTD Target Values'!$1:$1000, MATCH($C620,'Fund YTD Target Values'!$A:$A,0), MATCH($A620,'Fund YTD Target Values'!$1:$1,0)),0)</f>
        <v>205534.6031</v>
      </c>
      <c r="S620" s="52">
        <f>IFERROR(__xludf.DUMMYFUNCTION("IFERROR(sum(FILTER('Fund Data'!$V:$V, 'Fund Data'!$C:$C = $C620, 'Fund Data'!$A:$A &lt; $A620)),0) + IFERROR(sum(FILTER('Fund Data'!$V:$V, 'Fund Data'!$C:$C = $C620, 'Fund Data'!$A:$A = $A620, 'Fund Data'!$B:$B &lt;= $B620)),0)"),158100.0)</f>
        <v>158100</v>
      </c>
      <c r="T620" s="123">
        <v>156850.0</v>
      </c>
      <c r="U620" s="44">
        <f t="shared" si="61"/>
        <v>1250</v>
      </c>
      <c r="V620" s="44">
        <f t="shared" si="3"/>
        <v>0</v>
      </c>
      <c r="W620" s="123"/>
      <c r="X620" s="123"/>
      <c r="Y620" s="123">
        <v>0.0</v>
      </c>
      <c r="Z620" s="123">
        <v>0.0</v>
      </c>
      <c r="AA620" s="123">
        <v>0.0</v>
      </c>
      <c r="AB620" s="123"/>
      <c r="AC620" s="123">
        <v>0.0</v>
      </c>
      <c r="AD620" s="44">
        <f t="shared" si="7"/>
        <v>0</v>
      </c>
      <c r="AE620" s="123">
        <v>0.0</v>
      </c>
    </row>
    <row r="621">
      <c r="A621" s="120">
        <v>2017.0</v>
      </c>
      <c r="B621" s="121">
        <v>4.0</v>
      </c>
      <c r="C621" s="122" t="s">
        <v>31</v>
      </c>
      <c r="D621" s="123">
        <v>1250.0</v>
      </c>
      <c r="E621" s="123">
        <v>2054.83</v>
      </c>
      <c r="F621" s="44"/>
      <c r="G621" s="44"/>
      <c r="H621" s="123">
        <v>-355.91</v>
      </c>
      <c r="I621" s="44"/>
      <c r="J621" s="44"/>
      <c r="K621" s="44"/>
      <c r="L621" s="123">
        <v>8702.2</v>
      </c>
      <c r="M621" s="44"/>
      <c r="N621" s="44"/>
      <c r="O621" s="123">
        <v>183896.0</v>
      </c>
      <c r="P621" s="52">
        <f t="shared" si="23"/>
        <v>183895.66</v>
      </c>
      <c r="Q621" s="124">
        <f t="shared" si="2"/>
        <v>0.34</v>
      </c>
      <c r="R621" s="52">
        <f t="array" ref="R621">IFERROR(INDEX('Fund YTD Target Values'!$1:$1000, MATCH($C621,'Fund YTD Target Values'!$A:$A,0), MATCH($A621,'Fund YTD Target Values'!$1:$1,0)),0)</f>
        <v>205534.6031</v>
      </c>
      <c r="S621" s="52">
        <f>IFERROR(__xludf.DUMMYFUNCTION("IFERROR(sum(FILTER('Fund Data'!$V:$V, 'Fund Data'!$C:$C = $C621, 'Fund Data'!$A:$A &lt; $A621)),0) + IFERROR(sum(FILTER('Fund Data'!$V:$V, 'Fund Data'!$C:$C = $C621, 'Fund Data'!$A:$A = $A621, 'Fund Data'!$B:$B &lt;= $B621)),0)"),158100.0)</f>
        <v>158100</v>
      </c>
      <c r="T621" s="123">
        <v>156850.0</v>
      </c>
      <c r="U621" s="44">
        <f t="shared" si="61"/>
        <v>1250</v>
      </c>
      <c r="V621" s="44">
        <f t="shared" si="3"/>
        <v>0</v>
      </c>
      <c r="W621" s="123"/>
      <c r="X621" s="123"/>
      <c r="Y621" s="123">
        <v>0.0</v>
      </c>
      <c r="Z621" s="123">
        <v>0.0</v>
      </c>
      <c r="AA621" s="123">
        <v>0.0</v>
      </c>
      <c r="AB621" s="123"/>
      <c r="AC621" s="123">
        <v>0.0</v>
      </c>
      <c r="AD621" s="44">
        <f t="shared" si="7"/>
        <v>0</v>
      </c>
      <c r="AE621" s="123">
        <v>0.0</v>
      </c>
    </row>
    <row r="622">
      <c r="A622" s="120">
        <v>2017.0</v>
      </c>
      <c r="B622" s="121">
        <v>3.0</v>
      </c>
      <c r="C622" s="122" t="s">
        <v>31</v>
      </c>
      <c r="D622" s="123">
        <v>1250.0</v>
      </c>
      <c r="E622" s="123">
        <v>1554.77</v>
      </c>
      <c r="F622" s="44"/>
      <c r="G622" s="44"/>
      <c r="H622" s="123">
        <v>-265.08</v>
      </c>
      <c r="I622" s="44"/>
      <c r="J622" s="44"/>
      <c r="K622" s="44"/>
      <c r="L622" s="123">
        <v>6871.65</v>
      </c>
      <c r="M622" s="44"/>
      <c r="N622" s="44"/>
      <c r="O622" s="123">
        <v>181656.0</v>
      </c>
      <c r="P622" s="52">
        <f t="shared" si="23"/>
        <v>181655.88</v>
      </c>
      <c r="Q622" s="124">
        <f t="shared" si="2"/>
        <v>0.12</v>
      </c>
      <c r="R622" s="52">
        <f t="array" ref="R622">IFERROR(INDEX('Fund YTD Target Values'!$1:$1000, MATCH($C622,'Fund YTD Target Values'!$A:$A,0), MATCH($A622,'Fund YTD Target Values'!$1:$1,0)),0)</f>
        <v>205534.6031</v>
      </c>
      <c r="S622" s="52">
        <f>IFERROR(__xludf.DUMMYFUNCTION("IFERROR(sum(FILTER('Fund Data'!$V:$V, 'Fund Data'!$C:$C = $C622, 'Fund Data'!$A:$A &lt; $A622)),0) + IFERROR(sum(FILTER('Fund Data'!$V:$V, 'Fund Data'!$C:$C = $C622, 'Fund Data'!$A:$A = $A622, 'Fund Data'!$B:$B &lt;= $B622)),0)"),158100.0)</f>
        <v>158100</v>
      </c>
      <c r="T622" s="123">
        <v>156850.0</v>
      </c>
      <c r="U622" s="44">
        <f t="shared" si="61"/>
        <v>1250</v>
      </c>
      <c r="V622" s="44">
        <f t="shared" si="3"/>
        <v>0</v>
      </c>
      <c r="W622" s="123"/>
      <c r="X622" s="123"/>
      <c r="Y622" s="123">
        <v>0.0</v>
      </c>
      <c r="Z622" s="123">
        <v>0.0</v>
      </c>
      <c r="AA622" s="123">
        <v>0.0</v>
      </c>
      <c r="AB622" s="123"/>
      <c r="AC622" s="123">
        <v>0.0</v>
      </c>
      <c r="AD622" s="44">
        <f t="shared" si="7"/>
        <v>0</v>
      </c>
      <c r="AE622" s="123">
        <v>0.0</v>
      </c>
    </row>
    <row r="623">
      <c r="A623" s="120">
        <v>2017.0</v>
      </c>
      <c r="B623" s="121">
        <v>2.0</v>
      </c>
      <c r="C623" s="122" t="s">
        <v>31</v>
      </c>
      <c r="D623" s="123">
        <v>1250.0</v>
      </c>
      <c r="E623" s="123">
        <v>1433.75</v>
      </c>
      <c r="F623" s="44"/>
      <c r="G623" s="44"/>
      <c r="H623" s="123">
        <v>-174.59</v>
      </c>
      <c r="I623" s="44"/>
      <c r="J623" s="44"/>
      <c r="K623" s="44"/>
      <c r="L623" s="123">
        <v>6228.0</v>
      </c>
      <c r="M623" s="44"/>
      <c r="N623" s="44"/>
      <c r="O623" s="123">
        <v>180982.0</v>
      </c>
      <c r="P623" s="52">
        <f t="shared" si="23"/>
        <v>180981.7</v>
      </c>
      <c r="Q623" s="124">
        <f t="shared" si="2"/>
        <v>0.3</v>
      </c>
      <c r="R623" s="52">
        <f t="array" ref="R623">IFERROR(INDEX('Fund YTD Target Values'!$1:$1000, MATCH($C623,'Fund YTD Target Values'!$A:$A,0), MATCH($A623,'Fund YTD Target Values'!$1:$1,0)),0)</f>
        <v>205534.6031</v>
      </c>
      <c r="S623" s="52">
        <f>IFERROR(__xludf.DUMMYFUNCTION("IFERROR(sum(FILTER('Fund Data'!$V:$V, 'Fund Data'!$C:$C = $C623, 'Fund Data'!$A:$A &lt; $A623)),0) + IFERROR(sum(FILTER('Fund Data'!$V:$V, 'Fund Data'!$C:$C = $C623, 'Fund Data'!$A:$A = $A623, 'Fund Data'!$B:$B &lt;= $B623)),0)"),158100.0)</f>
        <v>158100</v>
      </c>
      <c r="T623" s="123">
        <v>156850.0</v>
      </c>
      <c r="U623" s="44">
        <f t="shared" si="61"/>
        <v>1250</v>
      </c>
      <c r="V623" s="44">
        <f t="shared" si="3"/>
        <v>500</v>
      </c>
      <c r="W623" s="123"/>
      <c r="X623" s="123"/>
      <c r="Y623" s="123">
        <v>0.0</v>
      </c>
      <c r="Z623" s="123">
        <v>0.0</v>
      </c>
      <c r="AA623" s="123">
        <v>0.0</v>
      </c>
      <c r="AB623" s="123"/>
      <c r="AC623" s="123">
        <v>0.0</v>
      </c>
      <c r="AD623" s="44">
        <f t="shared" si="7"/>
        <v>0</v>
      </c>
      <c r="AE623" s="123">
        <v>0.0</v>
      </c>
    </row>
    <row r="624">
      <c r="A624" s="120">
        <v>2017.0</v>
      </c>
      <c r="B624" s="121">
        <v>1.0</v>
      </c>
      <c r="C624" s="122" t="s">
        <v>31</v>
      </c>
      <c r="D624" s="123">
        <v>750.0</v>
      </c>
      <c r="E624" s="123">
        <v>1309.31</v>
      </c>
      <c r="F624" s="44"/>
      <c r="G624" s="44"/>
      <c r="H624" s="123">
        <v>-86.12</v>
      </c>
      <c r="I624" s="44"/>
      <c r="J624" s="44"/>
      <c r="K624" s="44"/>
      <c r="L624" s="123">
        <v>2722.65</v>
      </c>
      <c r="M624" s="44"/>
      <c r="N624" s="44"/>
      <c r="O624" s="123">
        <v>176940.0</v>
      </c>
      <c r="P624" s="52">
        <f t="shared" si="23"/>
        <v>176940.38</v>
      </c>
      <c r="Q624" s="124">
        <f t="shared" si="2"/>
        <v>-0.38</v>
      </c>
      <c r="R624" s="52">
        <f t="array" ref="R624">IFERROR(INDEX('Fund YTD Target Values'!$1:$1000, MATCH($C624,'Fund YTD Target Values'!$A:$A,0), MATCH($A624,'Fund YTD Target Values'!$1:$1,0)),0)</f>
        <v>205534.6031</v>
      </c>
      <c r="S624" s="52">
        <f>IFERROR(__xludf.DUMMYFUNCTION("IFERROR(sum(FILTER('Fund Data'!$V:$V, 'Fund Data'!$C:$C = $C624, 'Fund Data'!$A:$A &lt; $A624)),0) + IFERROR(sum(FILTER('Fund Data'!$V:$V, 'Fund Data'!$C:$C = $C624, 'Fund Data'!$A:$A = $A624, 'Fund Data'!$B:$B &lt;= $B624)),0)"),157600.0)</f>
        <v>157600</v>
      </c>
      <c r="T624" s="123">
        <v>156850.0</v>
      </c>
      <c r="U624" s="44">
        <f t="shared" si="61"/>
        <v>750</v>
      </c>
      <c r="V624" s="44">
        <f t="shared" si="3"/>
        <v>750</v>
      </c>
      <c r="W624" s="123"/>
      <c r="X624" s="123"/>
      <c r="Y624" s="123">
        <v>0.0</v>
      </c>
      <c r="Z624" s="123">
        <v>0.0</v>
      </c>
      <c r="AA624" s="123">
        <v>0.0</v>
      </c>
      <c r="AB624" s="123"/>
      <c r="AC624" s="123">
        <v>0.0</v>
      </c>
      <c r="AD624" s="44">
        <f t="shared" si="7"/>
        <v>0</v>
      </c>
      <c r="AE624" s="123">
        <v>0.0</v>
      </c>
    </row>
    <row r="625">
      <c r="A625" s="120">
        <v>2016.0</v>
      </c>
      <c r="B625" s="121">
        <v>12.0</v>
      </c>
      <c r="C625" s="122" t="s">
        <v>31</v>
      </c>
      <c r="D625" s="123">
        <v>1750.0</v>
      </c>
      <c r="E625" s="123">
        <v>3818.49</v>
      </c>
      <c r="F625" s="123">
        <v>-12000.0</v>
      </c>
      <c r="G625" s="123">
        <v>-1250.0</v>
      </c>
      <c r="H625" s="123">
        <v>-1044.68</v>
      </c>
      <c r="I625" s="44"/>
      <c r="J625" s="123">
        <v>2124.24</v>
      </c>
      <c r="K625" s="44"/>
      <c r="L625" s="123">
        <v>5645.82</v>
      </c>
      <c r="M625" s="44"/>
      <c r="N625" s="44"/>
      <c r="O625" s="123">
        <v>172245.0</v>
      </c>
      <c r="P625" s="52">
        <f t="shared" si="23"/>
        <v>172244.54</v>
      </c>
      <c r="Q625" s="124">
        <f t="shared" si="2"/>
        <v>0.46</v>
      </c>
      <c r="R625" s="52">
        <f t="array" ref="R625">IFERROR(INDEX('Fund YTD Target Values'!$1:$1000, MATCH($C625,'Fund YTD Target Values'!$A:$A,0), MATCH($A625,'Fund YTD Target Values'!$1:$1,0)),0)</f>
        <v>200020.9272</v>
      </c>
      <c r="S625" s="52">
        <f>IFERROR(__xludf.DUMMYFUNCTION("IFERROR(sum(FILTER('Fund Data'!$V:$V, 'Fund Data'!$C:$C = $C625, 'Fund Data'!$A:$A &lt; $A625)),0) + IFERROR(sum(FILTER('Fund Data'!$V:$V, 'Fund Data'!$C:$C = $C625, 'Fund Data'!$A:$A = $A625, 'Fund Data'!$B:$B &lt;= $B625)),0)"),156850.0)</f>
        <v>156850</v>
      </c>
      <c r="T625" s="123">
        <v>156850.0</v>
      </c>
      <c r="U625" s="44">
        <f t="shared" si="61"/>
        <v>0</v>
      </c>
      <c r="V625" s="44">
        <f t="shared" si="3"/>
        <v>1750</v>
      </c>
      <c r="W625" s="123"/>
      <c r="X625" s="123"/>
      <c r="Y625" s="123">
        <v>0.0</v>
      </c>
      <c r="Z625" s="123">
        <v>0.0</v>
      </c>
      <c r="AA625" s="123">
        <v>0.0</v>
      </c>
      <c r="AB625" s="123"/>
      <c r="AC625" s="123">
        <v>0.0</v>
      </c>
      <c r="AD625" s="44">
        <f t="shared" si="7"/>
        <v>-12000</v>
      </c>
      <c r="AE625" s="123">
        <v>0.0</v>
      </c>
    </row>
    <row r="626">
      <c r="A626" s="120">
        <v>2015.0</v>
      </c>
      <c r="B626" s="121">
        <v>12.0</v>
      </c>
      <c r="C626" s="122" t="s">
        <v>31</v>
      </c>
      <c r="D626" s="123"/>
      <c r="E626" s="123">
        <v>4385.06</v>
      </c>
      <c r="F626" s="123">
        <v>-12000.0</v>
      </c>
      <c r="G626" s="123">
        <v>500.0</v>
      </c>
      <c r="H626" s="123">
        <v>-1118.28</v>
      </c>
      <c r="I626" s="44"/>
      <c r="J626" s="123">
        <v>637.96</v>
      </c>
      <c r="K626" s="44"/>
      <c r="L626" s="123">
        <v>-8688.35</v>
      </c>
      <c r="M626" s="44"/>
      <c r="N626" s="44"/>
      <c r="O626" s="123">
        <v>173201.0</v>
      </c>
      <c r="P626" s="52">
        <f t="shared" si="23"/>
        <v>173200.67</v>
      </c>
      <c r="Q626" s="124">
        <f t="shared" si="2"/>
        <v>0.33</v>
      </c>
      <c r="R626" s="52">
        <f t="array" ref="R626">IFERROR(INDEX('Fund YTD Target Values'!$1:$1000, MATCH($C626,'Fund YTD Target Values'!$A:$A,0), MATCH($A626,'Fund YTD Target Values'!$1:$1,0)),0)</f>
        <v>195800.234</v>
      </c>
      <c r="S626" s="52">
        <f>IFERROR(__xludf.DUMMYFUNCTION("IFERROR(sum(FILTER('Fund Data'!$V:$V, 'Fund Data'!$C:$C = $C626, 'Fund Data'!$A:$A &lt; $A626)),0) + IFERROR(sum(FILTER('Fund Data'!$V:$V, 'Fund Data'!$C:$C = $C626, 'Fund Data'!$A:$A = $A626, 'Fund Data'!$B:$B &lt;= $B626)),0)"),155100.0)</f>
        <v>155100</v>
      </c>
      <c r="T626" s="123">
        <v>155100.0</v>
      </c>
      <c r="U626" s="44">
        <f t="shared" si="61"/>
        <v>0</v>
      </c>
      <c r="V626" s="44">
        <f t="shared" si="3"/>
        <v>0</v>
      </c>
      <c r="W626" s="123"/>
      <c r="X626" s="123"/>
      <c r="Y626" s="123">
        <v>0.0</v>
      </c>
      <c r="Z626" s="123">
        <v>0.0</v>
      </c>
      <c r="AA626" s="123">
        <v>0.0</v>
      </c>
      <c r="AB626" s="123"/>
      <c r="AC626" s="123">
        <v>0.0</v>
      </c>
      <c r="AD626" s="44">
        <f t="shared" si="7"/>
        <v>-12000</v>
      </c>
      <c r="AE626" s="123">
        <v>0.0</v>
      </c>
    </row>
    <row r="627">
      <c r="A627" s="120">
        <v>2014.0</v>
      </c>
      <c r="B627" s="121">
        <v>12.0</v>
      </c>
      <c r="C627" s="122" t="s">
        <v>31</v>
      </c>
      <c r="D627" s="123">
        <v>1000.0</v>
      </c>
      <c r="E627" s="123">
        <v>3582.89</v>
      </c>
      <c r="F627" s="123">
        <v>-5000.0</v>
      </c>
      <c r="G627" s="123"/>
      <c r="H627" s="123">
        <v>-1163.57</v>
      </c>
      <c r="I627" s="44"/>
      <c r="J627" s="44"/>
      <c r="K627" s="44"/>
      <c r="L627" s="123">
        <v>778.37</v>
      </c>
      <c r="M627" s="44"/>
      <c r="N627" s="44"/>
      <c r="O627" s="123">
        <v>189484.0</v>
      </c>
      <c r="P627" s="52">
        <f t="shared" si="23"/>
        <v>189484.28</v>
      </c>
      <c r="Q627" s="124">
        <f t="shared" si="2"/>
        <v>-0.28</v>
      </c>
      <c r="R627" s="52">
        <f t="array" ref="R627">IFERROR(INDEX('Fund YTD Target Values'!$1:$1000, MATCH($C627,'Fund YTD Target Values'!$A:$A,0), MATCH($A627,'Fund YTD Target Values'!$1:$1,0)),0)</f>
        <v>195567.7048</v>
      </c>
      <c r="S627" s="52">
        <f>IFERROR(__xludf.DUMMYFUNCTION("IFERROR(sum(FILTER('Fund Data'!$V:$V, 'Fund Data'!$C:$C = $C627, 'Fund Data'!$A:$A &lt; $A627)),0) + IFERROR(sum(FILTER('Fund Data'!$V:$V, 'Fund Data'!$C:$C = $C627, 'Fund Data'!$A:$A = $A627, 'Fund Data'!$B:$B &lt;= $B627)),0)"),155100.0)</f>
        <v>155100</v>
      </c>
      <c r="T627" s="123">
        <v>155100.0</v>
      </c>
      <c r="U627" s="44">
        <f t="shared" si="61"/>
        <v>0</v>
      </c>
      <c r="V627" s="44">
        <f t="shared" si="3"/>
        <v>1000</v>
      </c>
      <c r="W627" s="123"/>
      <c r="X627" s="123"/>
      <c r="Y627" s="123">
        <v>0.0</v>
      </c>
      <c r="Z627" s="123">
        <v>0.0</v>
      </c>
      <c r="AA627" s="123">
        <v>0.0</v>
      </c>
      <c r="AB627" s="123"/>
      <c r="AC627" s="123">
        <v>0.0</v>
      </c>
      <c r="AD627" s="44">
        <f t="shared" si="7"/>
        <v>-5000</v>
      </c>
      <c r="AE627" s="123">
        <v>0.0</v>
      </c>
    </row>
    <row r="628">
      <c r="A628" s="120">
        <v>2013.0</v>
      </c>
      <c r="B628" s="121">
        <v>12.0</v>
      </c>
      <c r="C628" s="122" t="s">
        <v>31</v>
      </c>
      <c r="D628" s="123">
        <v>1000.0</v>
      </c>
      <c r="E628" s="123">
        <v>3762.81</v>
      </c>
      <c r="F628" s="123">
        <v>-10000.0</v>
      </c>
      <c r="G628" s="123">
        <v>500.0</v>
      </c>
      <c r="H628" s="123">
        <v>-1102.91</v>
      </c>
      <c r="I628" s="44"/>
      <c r="J628" s="123">
        <v>2324.63</v>
      </c>
      <c r="K628" s="44"/>
      <c r="L628" s="123">
        <v>13999.57</v>
      </c>
      <c r="M628" s="44"/>
      <c r="N628" s="44"/>
      <c r="O628" s="123">
        <v>190287.0</v>
      </c>
      <c r="P628" s="52">
        <f t="shared" si="23"/>
        <v>190286.59</v>
      </c>
      <c r="Q628" s="124">
        <f t="shared" si="2"/>
        <v>0.41</v>
      </c>
      <c r="R628" s="52">
        <f t="array" ref="R628">IFERROR(INDEX('Fund YTD Target Values'!$1:$1000, MATCH($C628,'Fund YTD Target Values'!$A:$A,0), MATCH($A628,'Fund YTD Target Values'!$1:$1,0)),0)</f>
        <v>191462.3675</v>
      </c>
      <c r="S628" s="52">
        <f>IFERROR(__xludf.DUMMYFUNCTION("IFERROR(sum(FILTER('Fund Data'!$V:$V, 'Fund Data'!$C:$C = $C628, 'Fund Data'!$A:$A &lt; $A628)),0) + IFERROR(sum(FILTER('Fund Data'!$V:$V, 'Fund Data'!$C:$C = $C628, 'Fund Data'!$A:$A = $A628, 'Fund Data'!$B:$B &lt;= $B628)),0)"),154100.0)</f>
        <v>154100</v>
      </c>
      <c r="T628" s="123">
        <v>154100.0</v>
      </c>
      <c r="U628" s="44">
        <f t="shared" si="61"/>
        <v>0</v>
      </c>
      <c r="V628" s="44">
        <f t="shared" si="3"/>
        <v>1000</v>
      </c>
      <c r="W628" s="123"/>
      <c r="X628" s="123"/>
      <c r="Y628" s="123">
        <v>0.0</v>
      </c>
      <c r="Z628" s="123">
        <v>0.0</v>
      </c>
      <c r="AA628" s="123">
        <v>0.0</v>
      </c>
      <c r="AB628" s="123"/>
      <c r="AC628" s="123">
        <v>0.0</v>
      </c>
      <c r="AD628" s="44">
        <f t="shared" si="7"/>
        <v>-10000</v>
      </c>
      <c r="AE628" s="123">
        <v>0.0</v>
      </c>
    </row>
    <row r="629">
      <c r="A629" s="120">
        <v>2012.0</v>
      </c>
      <c r="B629" s="121">
        <v>12.0</v>
      </c>
      <c r="C629" s="122" t="s">
        <v>31</v>
      </c>
      <c r="D629" s="123">
        <v>1750.0</v>
      </c>
      <c r="E629" s="123">
        <v>3576.21</v>
      </c>
      <c r="F629" s="123">
        <v>-9000.0</v>
      </c>
      <c r="G629" s="123">
        <v>-500.0</v>
      </c>
      <c r="H629" s="123">
        <v>-1068.53</v>
      </c>
      <c r="I629" s="44"/>
      <c r="J629" s="123">
        <v>770.42</v>
      </c>
      <c r="K629" s="44"/>
      <c r="L629" s="123">
        <v>16662.83</v>
      </c>
      <c r="M629" s="44"/>
      <c r="N629" s="44"/>
      <c r="O629" s="123">
        <v>179802.0</v>
      </c>
      <c r="P629" s="52">
        <f t="shared" si="23"/>
        <v>179802.49</v>
      </c>
      <c r="Q629" s="124">
        <f t="shared" si="2"/>
        <v>-0.49</v>
      </c>
      <c r="R629" s="52">
        <f t="array" ref="R629">IFERROR(INDEX('Fund YTD Target Values'!$1:$1000, MATCH($C629,'Fund YTD Target Values'!$A:$A,0), MATCH($A629,'Fund YTD Target Values'!$1:$1,0)),0)</f>
        <v>187710.4469</v>
      </c>
      <c r="S629" s="52">
        <f>IFERROR(__xludf.DUMMYFUNCTION("IFERROR(sum(FILTER('Fund Data'!$V:$V, 'Fund Data'!$C:$C = $C629, 'Fund Data'!$A:$A &lt; $A629)),0) + IFERROR(sum(FILTER('Fund Data'!$V:$V, 'Fund Data'!$C:$C = $C629, 'Fund Data'!$A:$A = $A629, 'Fund Data'!$B:$B &lt;= $B629)),0)"),153100.0)</f>
        <v>153100</v>
      </c>
      <c r="T629" s="123">
        <v>153100.0</v>
      </c>
      <c r="U629" s="44">
        <f t="shared" si="61"/>
        <v>0</v>
      </c>
      <c r="V629" s="44">
        <f t="shared" si="3"/>
        <v>1750</v>
      </c>
      <c r="W629" s="123"/>
      <c r="X629" s="123"/>
      <c r="Y629" s="123">
        <v>0.0</v>
      </c>
      <c r="Z629" s="123">
        <v>0.0</v>
      </c>
      <c r="AA629" s="123">
        <v>0.0</v>
      </c>
      <c r="AB629" s="123"/>
      <c r="AC629" s="123">
        <v>0.0</v>
      </c>
      <c r="AD629" s="44">
        <f t="shared" si="7"/>
        <v>-9000</v>
      </c>
      <c r="AE629" s="123">
        <v>0.0</v>
      </c>
    </row>
    <row r="630">
      <c r="A630" s="120">
        <v>2011.0</v>
      </c>
      <c r="B630" s="121">
        <v>12.0</v>
      </c>
      <c r="C630" s="122" t="s">
        <v>31</v>
      </c>
      <c r="D630" s="123">
        <v>1000.0</v>
      </c>
      <c r="E630" s="123">
        <v>3206.96</v>
      </c>
      <c r="F630" s="123">
        <v>-17000.0</v>
      </c>
      <c r="G630" s="123"/>
      <c r="H630" s="123">
        <v>-1150.69</v>
      </c>
      <c r="I630" s="44"/>
      <c r="J630" s="123">
        <v>2280.39</v>
      </c>
      <c r="K630" s="44"/>
      <c r="L630" s="123">
        <v>-13503.02</v>
      </c>
      <c r="M630" s="44"/>
      <c r="N630" s="44"/>
      <c r="O630" s="123">
        <v>167611.0</v>
      </c>
      <c r="P630" s="52">
        <f t="shared" si="23"/>
        <v>167611.56</v>
      </c>
      <c r="Q630" s="124">
        <f t="shared" si="2"/>
        <v>-0.56</v>
      </c>
      <c r="R630" s="52">
        <f t="array" ref="R630">IFERROR(INDEX('Fund YTD Target Values'!$1:$1000, MATCH($C630,'Fund YTD Target Values'!$A:$A,0), MATCH($A630,'Fund YTD Target Values'!$1:$1,0)),0)</f>
        <v>182183.4332</v>
      </c>
      <c r="S630" s="52">
        <f>IFERROR(__xludf.DUMMYFUNCTION("IFERROR(sum(FILTER('Fund Data'!$V:$V, 'Fund Data'!$C:$C = $C630, 'Fund Data'!$A:$A &lt; $A630)),0) + IFERROR(sum(FILTER('Fund Data'!$V:$V, 'Fund Data'!$C:$C = $C630, 'Fund Data'!$A:$A = $A630, 'Fund Data'!$B:$B &lt;= $B630)),0)"),151350.0)</f>
        <v>151350</v>
      </c>
      <c r="T630" s="123">
        <v>150850.0</v>
      </c>
      <c r="U630" s="44">
        <f t="shared" si="61"/>
        <v>500</v>
      </c>
      <c r="V630" s="44">
        <f t="shared" si="3"/>
        <v>1000</v>
      </c>
      <c r="W630" s="123"/>
      <c r="X630" s="123"/>
      <c r="Y630" s="123">
        <v>0.0</v>
      </c>
      <c r="Z630" s="123">
        <v>0.0</v>
      </c>
      <c r="AA630" s="123">
        <v>0.0</v>
      </c>
      <c r="AB630" s="123"/>
      <c r="AC630" s="123">
        <v>0.0</v>
      </c>
      <c r="AD630" s="44">
        <f t="shared" si="7"/>
        <v>-17000</v>
      </c>
      <c r="AE630" s="123">
        <v>0.0</v>
      </c>
    </row>
    <row r="631">
      <c r="A631" s="120">
        <v>2010.0</v>
      </c>
      <c r="B631" s="121">
        <v>12.0</v>
      </c>
      <c r="C631" s="122" t="s">
        <v>31</v>
      </c>
      <c r="D631" s="123">
        <v>1000.0</v>
      </c>
      <c r="E631" s="123">
        <v>3796.21</v>
      </c>
      <c r="F631" s="123">
        <v>-10000.0</v>
      </c>
      <c r="G631" s="123">
        <v>-500.0</v>
      </c>
      <c r="H631" s="123">
        <v>-1082.4</v>
      </c>
      <c r="I631" s="44"/>
      <c r="J631" s="123">
        <v>567.38</v>
      </c>
      <c r="K631" s="44"/>
      <c r="L631" s="123">
        <v>20061.25</v>
      </c>
      <c r="M631" s="44"/>
      <c r="N631" s="44"/>
      <c r="O631" s="123">
        <v>192777.0</v>
      </c>
      <c r="P631" s="52">
        <f t="shared" si="23"/>
        <v>192777.92</v>
      </c>
      <c r="Q631" s="124">
        <f t="shared" si="2"/>
        <v>-0.92</v>
      </c>
      <c r="R631" s="52">
        <f t="array" ref="R631">IFERROR(INDEX('Fund YTD Target Values'!$1:$1000, MATCH($C631,'Fund YTD Target Values'!$A:$A,0), MATCH($A631,'Fund YTD Target Values'!$1:$1,0)),0)</f>
        <v>175641.5873</v>
      </c>
      <c r="S631" s="52">
        <f>IFERROR(__xludf.DUMMYFUNCTION("IFERROR(sum(FILTER('Fund Data'!$V:$V, 'Fund Data'!$C:$C = $C631, 'Fund Data'!$A:$A &lt; $A631)),0) + IFERROR(sum(FILTER('Fund Data'!$V:$V, 'Fund Data'!$C:$C = $C631, 'Fund Data'!$A:$A = $A631, 'Fund Data'!$B:$B &lt;= $B631)),0)"),150350.0)</f>
        <v>150350</v>
      </c>
      <c r="T631" s="123">
        <v>150350.0</v>
      </c>
      <c r="U631" s="44">
        <f t="shared" si="61"/>
        <v>0</v>
      </c>
      <c r="V631" s="44">
        <f t="shared" si="3"/>
        <v>1000</v>
      </c>
      <c r="W631" s="123"/>
      <c r="X631" s="123"/>
      <c r="Y631" s="123">
        <v>0.0</v>
      </c>
      <c r="Z631" s="123">
        <v>0.0</v>
      </c>
      <c r="AA631" s="123">
        <v>0.0</v>
      </c>
      <c r="AB631" s="123"/>
      <c r="AC631" s="123">
        <v>0.0</v>
      </c>
      <c r="AD631" s="44">
        <f t="shared" si="7"/>
        <v>-10000</v>
      </c>
      <c r="AE631" s="123">
        <v>0.0</v>
      </c>
    </row>
    <row r="632">
      <c r="A632" s="120">
        <v>2009.0</v>
      </c>
      <c r="B632" s="121">
        <v>12.0</v>
      </c>
      <c r="C632" s="122" t="s">
        <v>31</v>
      </c>
      <c r="D632" s="123">
        <v>750.0</v>
      </c>
      <c r="E632" s="123">
        <v>4753.4</v>
      </c>
      <c r="F632" s="123">
        <v>-7000.0</v>
      </c>
      <c r="G632" s="123"/>
      <c r="H632" s="123">
        <v>-965.91</v>
      </c>
      <c r="I632" s="44"/>
      <c r="J632" s="44"/>
      <c r="K632" s="123">
        <v>-98.05</v>
      </c>
      <c r="L632" s="123">
        <v>28462.15</v>
      </c>
      <c r="M632" s="44"/>
      <c r="N632" s="44"/>
      <c r="O632" s="123">
        <v>178935.0</v>
      </c>
      <c r="P632" s="52">
        <f t="shared" si="23"/>
        <v>178935.48</v>
      </c>
      <c r="Q632" s="124">
        <f t="shared" si="2"/>
        <v>-0.48</v>
      </c>
      <c r="R632" s="52">
        <f t="array" ref="R632">IFERROR(INDEX('Fund YTD Target Values'!$1:$1000, MATCH($C632,'Fund YTD Target Values'!$A:$A,0), MATCH($A632,'Fund YTD Target Values'!$1:$1,0)),0)</f>
        <v>171816.3771</v>
      </c>
      <c r="S632" s="52">
        <f>IFERROR(__xludf.DUMMYFUNCTION("IFERROR(sum(FILTER('Fund Data'!$V:$V, 'Fund Data'!$C:$C = $C632, 'Fund Data'!$A:$A &lt; $A632)),0) + IFERROR(sum(FILTER('Fund Data'!$V:$V, 'Fund Data'!$C:$C = $C632, 'Fund Data'!$A:$A = $A632, 'Fund Data'!$B:$B &lt;= $B632)),0)"),149350.0)</f>
        <v>149350</v>
      </c>
      <c r="T632" s="123">
        <v>149350.0</v>
      </c>
      <c r="U632" s="44">
        <f t="shared" si="61"/>
        <v>0</v>
      </c>
      <c r="V632" s="44">
        <f t="shared" si="3"/>
        <v>750</v>
      </c>
      <c r="W632" s="123"/>
      <c r="X632" s="123"/>
      <c r="Y632" s="123">
        <v>0.0</v>
      </c>
      <c r="Z632" s="123">
        <v>0.0</v>
      </c>
      <c r="AA632" s="123">
        <v>0.0</v>
      </c>
      <c r="AB632" s="123"/>
      <c r="AC632" s="123">
        <v>0.0</v>
      </c>
      <c r="AD632" s="44">
        <f t="shared" si="7"/>
        <v>-7000</v>
      </c>
      <c r="AE632" s="123">
        <v>0.0</v>
      </c>
    </row>
    <row r="633">
      <c r="A633" s="120">
        <v>2008.0</v>
      </c>
      <c r="B633" s="121">
        <v>12.0</v>
      </c>
      <c r="C633" s="122" t="s">
        <v>31</v>
      </c>
      <c r="D633" s="123">
        <v>500.0</v>
      </c>
      <c r="E633" s="123">
        <v>4849.92</v>
      </c>
      <c r="F633" s="44"/>
      <c r="G633" s="123"/>
      <c r="H633" s="123">
        <v>-1090.55</v>
      </c>
      <c r="I633" s="44"/>
      <c r="J633" s="44"/>
      <c r="K633" s="44"/>
      <c r="L633" s="123">
        <v>-49952.02</v>
      </c>
      <c r="M633" s="44"/>
      <c r="N633" s="44"/>
      <c r="O633" s="123">
        <v>153033.0</v>
      </c>
      <c r="P633" s="52">
        <f t="shared" si="23"/>
        <v>153033.89</v>
      </c>
      <c r="Q633" s="124">
        <f t="shared" si="2"/>
        <v>-0.89</v>
      </c>
      <c r="R633" s="52">
        <f t="array" ref="R633">IFERROR(INDEX('Fund YTD Target Values'!$1:$1000, MATCH($C633,'Fund YTD Target Values'!$A:$A,0), MATCH($A633,'Fund YTD Target Values'!$1:$1,0)),0)</f>
        <v>171646.1979</v>
      </c>
      <c r="S633" s="52">
        <f>IFERROR(__xludf.DUMMYFUNCTION("IFERROR(sum(FILTER('Fund Data'!$V:$V, 'Fund Data'!$C:$C = $C633, 'Fund Data'!$A:$A &lt; $A633)),0) + IFERROR(sum(FILTER('Fund Data'!$V:$V, 'Fund Data'!$C:$C = $C633, 'Fund Data'!$A:$A = $A633, 'Fund Data'!$B:$B &lt;= $B633)),0)"),148600.0)</f>
        <v>148600</v>
      </c>
      <c r="T633" s="123">
        <v>148600.0</v>
      </c>
      <c r="U633" s="44">
        <f t="shared" si="61"/>
        <v>0</v>
      </c>
      <c r="V633" s="44">
        <f t="shared" si="3"/>
        <v>500</v>
      </c>
      <c r="W633" s="123"/>
      <c r="X633" s="123"/>
      <c r="Y633" s="123">
        <v>0.0</v>
      </c>
      <c r="Z633" s="123">
        <v>0.0</v>
      </c>
      <c r="AA633" s="123">
        <v>0.0</v>
      </c>
      <c r="AB633" s="123"/>
      <c r="AC633" s="123">
        <v>0.0</v>
      </c>
      <c r="AD633" s="44">
        <f t="shared" si="7"/>
        <v>0</v>
      </c>
      <c r="AE633" s="123">
        <v>0.0</v>
      </c>
    </row>
    <row r="634">
      <c r="A634" s="120">
        <v>2007.0</v>
      </c>
      <c r="B634" s="121">
        <v>12.0</v>
      </c>
      <c r="C634" s="122" t="s">
        <v>31</v>
      </c>
      <c r="D634" s="123">
        <v>500.0</v>
      </c>
      <c r="E634" s="123">
        <v>3201.61</v>
      </c>
      <c r="F634" s="123">
        <v>-20000.0</v>
      </c>
      <c r="G634" s="123"/>
      <c r="H634" s="123">
        <v>-1204.78</v>
      </c>
      <c r="I634" s="44"/>
      <c r="J634" s="123">
        <v>2821.71</v>
      </c>
      <c r="K634" s="44"/>
      <c r="L634" s="123">
        <v>14211.32</v>
      </c>
      <c r="M634" s="123">
        <v>-8.0</v>
      </c>
      <c r="N634" s="44"/>
      <c r="O634" s="123">
        <v>198726.0</v>
      </c>
      <c r="P634" s="52">
        <f t="shared" si="23"/>
        <v>198726.54</v>
      </c>
      <c r="Q634" s="124">
        <f t="shared" si="2"/>
        <v>-0.54</v>
      </c>
      <c r="R634" s="52">
        <f t="array" ref="R634">IFERROR(INDEX('Fund YTD Target Values'!$1:$1000, MATCH($C634,'Fund YTD Target Values'!$A:$A,0), MATCH($A634,'Fund YTD Target Values'!$1:$1,0)),0)</f>
        <v>164808.2766</v>
      </c>
      <c r="S634" s="52">
        <f>IFERROR(__xludf.DUMMYFUNCTION("IFERROR(sum(FILTER('Fund Data'!$V:$V, 'Fund Data'!$C:$C = $C634, 'Fund Data'!$A:$A &lt; $A634)),0) + IFERROR(sum(FILTER('Fund Data'!$V:$V, 'Fund Data'!$C:$C = $C634, 'Fund Data'!$A:$A = $A634, 'Fund Data'!$B:$B &lt;= $B634)),0)"),148100.0)</f>
        <v>148100</v>
      </c>
      <c r="T634" s="123">
        <v>148100.0</v>
      </c>
      <c r="U634" s="44">
        <f t="shared" si="61"/>
        <v>0</v>
      </c>
      <c r="V634" s="44">
        <f t="shared" si="3"/>
        <v>500</v>
      </c>
      <c r="W634" s="123"/>
      <c r="X634" s="123"/>
      <c r="Y634" s="123">
        <v>0.0</v>
      </c>
      <c r="Z634" s="123">
        <v>0.0</v>
      </c>
      <c r="AA634" s="123">
        <v>0.0</v>
      </c>
      <c r="AB634" s="123"/>
      <c r="AC634" s="123">
        <v>0.0</v>
      </c>
      <c r="AD634" s="44">
        <f t="shared" si="7"/>
        <v>-20000</v>
      </c>
      <c r="AE634" s="123">
        <v>0.0</v>
      </c>
    </row>
    <row r="635">
      <c r="A635" s="120">
        <v>2006.0</v>
      </c>
      <c r="B635" s="121">
        <v>12.0</v>
      </c>
      <c r="C635" s="122" t="s">
        <v>31</v>
      </c>
      <c r="D635" s="123">
        <v>46300.0</v>
      </c>
      <c r="E635" s="123">
        <v>2392.03</v>
      </c>
      <c r="F635" s="123">
        <v>-10000.0</v>
      </c>
      <c r="G635" s="123"/>
      <c r="H635" s="123">
        <v>-873.32</v>
      </c>
      <c r="I635" s="44"/>
      <c r="J635" s="123">
        <v>450.23</v>
      </c>
      <c r="K635" s="44"/>
      <c r="L635" s="123">
        <v>16153.3</v>
      </c>
      <c r="M635" s="123">
        <v>-403.15</v>
      </c>
      <c r="N635" s="44"/>
      <c r="O635" s="123">
        <v>199204.0</v>
      </c>
      <c r="P635" s="52">
        <f t="shared" si="23"/>
        <v>199204.68</v>
      </c>
      <c r="Q635" s="124">
        <f t="shared" si="2"/>
        <v>-0.68</v>
      </c>
      <c r="R635" s="52">
        <f t="array" ref="R635">IFERROR(INDEX('Fund YTD Target Values'!$1:$1000, MATCH($C635,'Fund YTD Target Values'!$A:$A,0), MATCH($A635,'Fund YTD Target Values'!$1:$1,0)),0)</f>
        <v>159751.5976</v>
      </c>
      <c r="S635" s="52">
        <f>IFERROR(__xludf.DUMMYFUNCTION("IFERROR(sum(FILTER('Fund Data'!$V:$V, 'Fund Data'!$C:$C = $C635, 'Fund Data'!$A:$A &lt; $A635)),0) + IFERROR(sum(FILTER('Fund Data'!$V:$V, 'Fund Data'!$C:$C = $C635, 'Fund Data'!$A:$A = $A635, 'Fund Data'!$B:$B &lt;= $B635)),0)"),147600.0)</f>
        <v>147600</v>
      </c>
      <c r="T635" s="123">
        <v>147600.0</v>
      </c>
      <c r="U635" s="44">
        <f t="shared" si="61"/>
        <v>0</v>
      </c>
      <c r="V635" s="44">
        <f t="shared" si="3"/>
        <v>46300</v>
      </c>
      <c r="W635" s="123"/>
      <c r="X635" s="123"/>
      <c r="Y635" s="123">
        <v>0.0</v>
      </c>
      <c r="Z635" s="123">
        <v>0.0</v>
      </c>
      <c r="AA635" s="123">
        <v>0.0</v>
      </c>
      <c r="AB635" s="123"/>
      <c r="AC635" s="123">
        <v>0.0</v>
      </c>
      <c r="AD635" s="44">
        <f t="shared" si="7"/>
        <v>-10000</v>
      </c>
      <c r="AE635" s="123">
        <v>0.0</v>
      </c>
    </row>
    <row r="636">
      <c r="A636" s="120">
        <v>2005.0</v>
      </c>
      <c r="B636" s="121">
        <v>12.0</v>
      </c>
      <c r="C636" s="122" t="s">
        <v>31</v>
      </c>
      <c r="D636" s="123">
        <v>500.0</v>
      </c>
      <c r="E636" s="123">
        <v>2836.72</v>
      </c>
      <c r="F636" s="123">
        <v>-500.0</v>
      </c>
      <c r="G636" s="123"/>
      <c r="H636" s="123">
        <v>-747.03</v>
      </c>
      <c r="I636" s="44"/>
      <c r="J636" s="123">
        <v>19866.18</v>
      </c>
      <c r="K636" s="44"/>
      <c r="L636" s="123">
        <v>-14132.97</v>
      </c>
      <c r="M636" s="123">
        <v>406.73</v>
      </c>
      <c r="N636" s="44"/>
      <c r="O636" s="123">
        <v>145185.0</v>
      </c>
      <c r="P636" s="52">
        <f t="shared" si="23"/>
        <v>145185.59</v>
      </c>
      <c r="Q636" s="124">
        <f t="shared" si="2"/>
        <v>-0.59</v>
      </c>
      <c r="R636" s="52">
        <f t="array" ref="R636">IFERROR(INDEX('Fund YTD Target Values'!$1:$1000, MATCH($C636,'Fund YTD Target Values'!$A:$A,0), MATCH($A636,'Fund YTD Target Values'!$1:$1,0)),0)</f>
        <v>109896.2132</v>
      </c>
      <c r="S636" s="52">
        <f>IFERROR(__xludf.DUMMYFUNCTION("IFERROR(sum(FILTER('Fund Data'!$V:$V, 'Fund Data'!$C:$C = $C636, 'Fund Data'!$A:$A &lt; $A636)),0) + IFERROR(sum(FILTER('Fund Data'!$V:$V, 'Fund Data'!$C:$C = $C636, 'Fund Data'!$A:$A = $A636, 'Fund Data'!$B:$B &lt;= $B636)),0)"),101300.0)</f>
        <v>101300</v>
      </c>
      <c r="T636" s="123">
        <v>101300.0</v>
      </c>
      <c r="U636" s="44">
        <f t="shared" si="61"/>
        <v>0</v>
      </c>
      <c r="V636" s="44">
        <f t="shared" si="3"/>
        <v>500</v>
      </c>
      <c r="W636" s="123"/>
      <c r="X636" s="123"/>
      <c r="Y636" s="123">
        <v>0.0</v>
      </c>
      <c r="Z636" s="123">
        <v>0.0</v>
      </c>
      <c r="AA636" s="123">
        <v>0.0</v>
      </c>
      <c r="AB636" s="123"/>
      <c r="AC636" s="123">
        <v>0.0</v>
      </c>
      <c r="AD636" s="44">
        <f t="shared" si="7"/>
        <v>-500</v>
      </c>
      <c r="AE636" s="123">
        <v>0.0</v>
      </c>
    </row>
    <row r="637">
      <c r="A637" s="120">
        <v>2004.0</v>
      </c>
      <c r="B637" s="121">
        <v>12.0</v>
      </c>
      <c r="C637" s="122" t="s">
        <v>31</v>
      </c>
      <c r="D637" s="123">
        <v>800.0</v>
      </c>
      <c r="E637" s="123">
        <v>4012.0</v>
      </c>
      <c r="F637" s="123">
        <v>-4500.0</v>
      </c>
      <c r="G637" s="123"/>
      <c r="H637" s="123">
        <v>-576.0</v>
      </c>
      <c r="I637" s="123"/>
      <c r="J637" s="123">
        <v>2528.0</v>
      </c>
      <c r="K637" s="123">
        <v>-1298.0</v>
      </c>
      <c r="L637" s="123">
        <v>6754.0</v>
      </c>
      <c r="M637" s="123">
        <v>-7.0</v>
      </c>
      <c r="N637" s="123">
        <v>1414.0</v>
      </c>
      <c r="O637" s="123">
        <v>136956.0</v>
      </c>
      <c r="P637" s="52">
        <f t="shared" si="23"/>
        <v>136955.96</v>
      </c>
      <c r="Q637" s="124">
        <f t="shared" si="2"/>
        <v>0.03999999998</v>
      </c>
      <c r="R637" s="52">
        <f t="array" ref="R637">IFERROR(INDEX('Fund YTD Target Values'!$1:$1000, MATCH($C637,'Fund YTD Target Values'!$A:$A,0), MATCH($A637,'Fund YTD Target Values'!$1:$1,0)),0)</f>
        <v>105808.9337</v>
      </c>
      <c r="S637" s="52">
        <f>IFERROR(__xludf.DUMMYFUNCTION("IFERROR(sum(FILTER('Fund Data'!$V:$V, 'Fund Data'!$C:$C = $C637, 'Fund Data'!$A:$A &lt; $A637)),0) + IFERROR(sum(FILTER('Fund Data'!$V:$V, 'Fund Data'!$C:$C = $C637, 'Fund Data'!$A:$A = $A637, 'Fund Data'!$B:$B &lt;= $B637)),0)"),100800.0)</f>
        <v>100800</v>
      </c>
      <c r="T637" s="123">
        <v>100800.0</v>
      </c>
      <c r="U637" s="44">
        <f t="shared" si="61"/>
        <v>0</v>
      </c>
      <c r="V637" s="44">
        <f t="shared" si="3"/>
        <v>800</v>
      </c>
      <c r="W637" s="123"/>
      <c r="X637" s="123"/>
      <c r="Y637" s="123">
        <v>0.0</v>
      </c>
      <c r="Z637" s="123">
        <v>0.0</v>
      </c>
      <c r="AA637" s="123">
        <v>0.0</v>
      </c>
      <c r="AB637" s="123"/>
      <c r="AC637" s="123">
        <v>0.0</v>
      </c>
      <c r="AD637" s="44">
        <f t="shared" si="7"/>
        <v>-4500</v>
      </c>
      <c r="AE637" s="123">
        <v>0.0</v>
      </c>
    </row>
    <row r="638">
      <c r="A638" s="120">
        <v>2003.0</v>
      </c>
      <c r="B638" s="121">
        <v>12.0</v>
      </c>
      <c r="C638" s="122" t="s">
        <v>31</v>
      </c>
      <c r="D638" s="44"/>
      <c r="E638" s="123">
        <v>2988.66</v>
      </c>
      <c r="F638" s="123">
        <v>-5000.0</v>
      </c>
      <c r="G638" s="123"/>
      <c r="H638" s="123">
        <v>-507.59</v>
      </c>
      <c r="I638" s="123"/>
      <c r="J638" s="123">
        <v>20721.45</v>
      </c>
      <c r="K638" s="44"/>
      <c r="L638" s="123">
        <v>4638.0</v>
      </c>
      <c r="M638" s="123">
        <v>8.99</v>
      </c>
      <c r="N638" s="123">
        <v>1082.45</v>
      </c>
      <c r="O638" s="123">
        <v>127829.0</v>
      </c>
      <c r="P638" s="52">
        <f t="shared" si="23"/>
        <v>127828.96</v>
      </c>
      <c r="Q638" s="124">
        <f t="shared" si="2"/>
        <v>0.03999999999</v>
      </c>
      <c r="R638" s="52">
        <f t="array" ref="R638">IFERROR(INDEX('Fund YTD Target Values'!$1:$1000, MATCH($C638,'Fund YTD Target Values'!$A:$A,0), MATCH($A638,'Fund YTD Target Values'!$1:$1,0)),0)</f>
        <v>102272.2689</v>
      </c>
      <c r="S638" s="52">
        <f>IFERROR(__xludf.DUMMYFUNCTION("IFERROR(sum(FILTER('Fund Data'!$V:$V, 'Fund Data'!$C:$C = $C638, 'Fund Data'!$A:$A &lt; $A638)),0) + IFERROR(sum(FILTER('Fund Data'!$V:$V, 'Fund Data'!$C:$C = $C638, 'Fund Data'!$A:$A = $A638, 'Fund Data'!$B:$B &lt;= $B638)),0)"),100000.0)</f>
        <v>100000</v>
      </c>
      <c r="T638" s="123">
        <v>100000.0</v>
      </c>
      <c r="U638" s="44">
        <f t="shared" si="61"/>
        <v>0</v>
      </c>
      <c r="V638" s="44">
        <f t="shared" si="3"/>
        <v>0</v>
      </c>
      <c r="W638" s="123"/>
      <c r="X638" s="123"/>
      <c r="Y638" s="123">
        <v>0.0</v>
      </c>
      <c r="Z638" s="123">
        <v>0.0</v>
      </c>
      <c r="AA638" s="123">
        <v>0.0</v>
      </c>
      <c r="AB638" s="123"/>
      <c r="AC638" s="123">
        <v>0.0</v>
      </c>
      <c r="AD638" s="44">
        <f t="shared" si="7"/>
        <v>-5000</v>
      </c>
      <c r="AE638" s="123">
        <v>0.0</v>
      </c>
    </row>
    <row r="639">
      <c r="A639" s="120">
        <v>2002.0</v>
      </c>
      <c r="B639" s="121">
        <v>12.0</v>
      </c>
      <c r="C639" s="122" t="s">
        <v>31</v>
      </c>
      <c r="D639" s="123">
        <v>100000.0</v>
      </c>
      <c r="E639" s="123">
        <v>752.0</v>
      </c>
      <c r="F639" s="44"/>
      <c r="G639" s="123"/>
      <c r="H639" s="123">
        <v>-93.0</v>
      </c>
      <c r="I639" s="44"/>
      <c r="J639" s="123">
        <v>571.0</v>
      </c>
      <c r="K639" s="44"/>
      <c r="L639" s="123">
        <v>2665.0</v>
      </c>
      <c r="M639" s="123">
        <v>2.0</v>
      </c>
      <c r="N639" s="44"/>
      <c r="O639" s="123">
        <v>103897.0</v>
      </c>
      <c r="P639" s="52">
        <f t="shared" si="23"/>
        <v>103897</v>
      </c>
      <c r="Q639" s="124">
        <f t="shared" si="2"/>
        <v>0</v>
      </c>
      <c r="R639" s="52">
        <f t="array" ref="R639">IFERROR(INDEX('Fund YTD Target Values'!$1:$1000, MATCH($C639,'Fund YTD Target Values'!$A:$A,0), MATCH($A639,'Fund YTD Target Values'!$1:$1,0)),0)</f>
        <v>100000</v>
      </c>
      <c r="S639" s="52">
        <f>IFERROR(__xludf.DUMMYFUNCTION("IFERROR(sum(FILTER('Fund Data'!$V:$V, 'Fund Data'!$C:$C = $C639, 'Fund Data'!$A:$A &lt; $A639)),0) + IFERROR(sum(FILTER('Fund Data'!$V:$V, 'Fund Data'!$C:$C = $C639, 'Fund Data'!$A:$A = $A639, 'Fund Data'!$B:$B &lt;= $B639)),0)"),100000.0)</f>
        <v>100000</v>
      </c>
      <c r="T639" s="123">
        <v>100000.0</v>
      </c>
      <c r="U639" s="44">
        <f t="shared" si="61"/>
        <v>0</v>
      </c>
      <c r="V639" s="44">
        <f t="shared" si="3"/>
        <v>100000</v>
      </c>
      <c r="W639" s="123"/>
      <c r="X639" s="123"/>
      <c r="Y639" s="123">
        <v>0.0</v>
      </c>
      <c r="Z639" s="123">
        <v>0.0</v>
      </c>
      <c r="AA639" s="123">
        <v>0.0</v>
      </c>
      <c r="AB639" s="123"/>
      <c r="AC639" s="123">
        <v>0.0</v>
      </c>
      <c r="AD639" s="44">
        <f t="shared" si="7"/>
        <v>0</v>
      </c>
      <c r="AE639" s="123">
        <v>0.0</v>
      </c>
    </row>
    <row r="640">
      <c r="A640" s="120">
        <v>2019.0</v>
      </c>
      <c r="B640" s="121">
        <v>6.0</v>
      </c>
      <c r="C640" s="122" t="s">
        <v>51</v>
      </c>
      <c r="D640" s="44"/>
      <c r="E640" s="123">
        <v>2266.43</v>
      </c>
      <c r="F640" s="123">
        <v>-8700.0</v>
      </c>
      <c r="G640" s="44"/>
      <c r="H640" s="123">
        <v>-510.93</v>
      </c>
      <c r="I640" s="44"/>
      <c r="J640" s="44"/>
      <c r="K640" s="123">
        <v>-184.92</v>
      </c>
      <c r="L640" s="123">
        <v>18100.61</v>
      </c>
      <c r="M640" s="44"/>
      <c r="N640" s="44"/>
      <c r="O640" s="123">
        <v>181791.45</v>
      </c>
      <c r="P640" s="52">
        <f t="shared" si="23"/>
        <v>181791.45</v>
      </c>
      <c r="Q640" s="124">
        <f t="shared" si="2"/>
        <v>0</v>
      </c>
      <c r="R640" s="52">
        <f t="array" ref="R640">IFERROR(INDEX('Fund YTD Target Values'!$1:$1000, MATCH($C640,'Fund YTD Target Values'!$A:$A,0), MATCH($A640,'Fund YTD Target Values'!$1:$1,0)),0)</f>
        <v>188108.0943</v>
      </c>
      <c r="S640" s="52">
        <f>IFERROR(__xludf.DUMMYFUNCTION("IFERROR(sum(FILTER('Fund Data'!$V:$V, 'Fund Data'!$C:$C = $C640, 'Fund Data'!$A:$A &lt; $A640)),0) + IFERROR(sum(FILTER('Fund Data'!$V:$V, 'Fund Data'!$C:$C = $C640, 'Fund Data'!$A:$A = $A640, 'Fund Data'!$B:$B &lt;= $B640)),0)"),170000.0)</f>
        <v>170000</v>
      </c>
      <c r="T640" s="44"/>
      <c r="U640" s="44"/>
      <c r="V640" s="44">
        <f t="shared" si="3"/>
        <v>0</v>
      </c>
      <c r="W640" s="52">
        <f>IFERROR(__xludf.DUMMYFUNCTION("iFERROR((FILTER('Fund Data'!$Y:$Y, 'Fund Data'!$C:$C = $C640, 'Fund Data'!$A:$A = $A640 - 1, 'Fund Data'!$B:$B = 12) + FILTER('Fund Data'!$AA:$AA, 'Fund Data'!$C:$C = $C640, 'Fund Data'!$A:$A = $A640 - 1, 'Fund Data'!$B:$B = 12)) * (1 + AVERAGE(FILTER('In"&amp;"flation Data'!$C:$C,'Inflation Data'!$A:$A = ($A640 - 2)))) * 'Parameters and Distribution Sum'!$A$4,0)"),5335.081378121052)</f>
        <v>5335.081378</v>
      </c>
      <c r="X640" s="52">
        <f>IFERROR(__xludf.DUMMYFUNCTION("IFERROR((IFERROR(FILTER('Fund Data'!$P:$P,'Fund Data'!$C:$C = $C640,'Fund Data'!$A:$A = ($A640 - 2), 'Fund Data'!$B:$B = 12),0) - SUM(FILTER('Fund Data'!$V:$V, 'Fund Data'!$C:$C = $C640, 'Fund Data'!$A:$A = ($A640 - 2), 'Fund Data'!$B:$B &gt; 3)))  * 'Parame"&amp;"ters and Distribution Sum'!$B$4 * (1 - 'Parameters and Distribution Sum'!$A$4),0)"),2223.764010000001)</f>
        <v>2223.76401</v>
      </c>
      <c r="Y640" s="52">
        <f t="shared" ref="Y640:Y645" si="62">sum($W640:$X640)</f>
        <v>7558.845388</v>
      </c>
      <c r="Z640" s="52">
        <f>IFERROR(__xludf.DUMMYFUNCTION("((IFERROR((SUM(FILTER('Fund Data'!$V:$V, 'Fund Data'!$C:$C = $C640, 'Fund Data'!$A:$A = $A640 - 1, 'Fund Data'!$B:$B &gt;= 4, 'Fund Data'!$B:$B &lt;= ($B640 + 5))) / 12) * ($B640 - 3) * 'Parameters and Distribution Sum'!$B$4, 0) + IF($B640 &gt;= 9, IFERROR(SUM(FIL"&amp;"TER('Fund Data'!$V:$V, 'Fund Data'!$C:$C = $C640, 'Fund Data'!$A:$A = $A640, 'Fund Data'!$B:$B &lt;= 3)) * 'Parameters and Distribution Sum'!$B$4, 0),0)))"),168.75)</f>
        <v>168.75</v>
      </c>
      <c r="AA640" s="44">
        <f>IFERROR(__xludf.DUMMYFUNCTION("IFERROR(((IFERROR(SUM(FILTER('Fund Data'!$V:$V, 'Fund Data'!$C:$C = $C640, 'Fund Data'!$A:$A = $A640 - 2, 'Fund Data'!$B:$B &gt;= 4)) * 'Parameters and Distribution Sum'!$B$4,0) + IFERROR(SUM(FILTER('Fund Data'!$V:$V, 'Fund Data'!$C:$C = $C640, 'Fund Data'!$"&amp;"A:$A = $A640 - 1, 'Fund Data'!$B:$B &lt;= 3)) * 'Parameters and Distribution Sum'!$B$4,0))),0)"),675.0)</f>
        <v>675</v>
      </c>
      <c r="AB640" s="44">
        <f t="shared" ref="AB640:AB646" si="63">IFERROR(__xludf.DUMMYFUNCTION("IFERROR(FILTER($AE:$AE,$C:$C = $C640,$A:$A = $A640 - 1,$B:$B = 12),0)"),0.0)</f>
        <v>0</v>
      </c>
      <c r="AC640" s="44">
        <f t="shared" ref="AC640:AC646" si="64">sum($Y640:$AB640)</f>
        <v>8402.595388</v>
      </c>
      <c r="AD640" s="44">
        <f t="shared" si="7"/>
        <v>-297.4046119</v>
      </c>
      <c r="AE640" s="44"/>
    </row>
    <row r="641">
      <c r="A641" s="120">
        <v>2019.0</v>
      </c>
      <c r="B641" s="121">
        <v>5.0</v>
      </c>
      <c r="C641" s="122" t="s">
        <v>51</v>
      </c>
      <c r="D641" s="44"/>
      <c r="E641" s="123">
        <v>2077.14</v>
      </c>
      <c r="F641" s="123">
        <v>-8700.0</v>
      </c>
      <c r="G641" s="44"/>
      <c r="H641" s="123">
        <v>-428.42</v>
      </c>
      <c r="I641" s="44"/>
      <c r="J641" s="44"/>
      <c r="K641" s="123">
        <v>-184.92</v>
      </c>
      <c r="L641" s="123">
        <v>11152.79</v>
      </c>
      <c r="M641" s="44"/>
      <c r="N641" s="44"/>
      <c r="O641" s="123">
        <v>174736.85</v>
      </c>
      <c r="P641" s="52">
        <f t="shared" si="23"/>
        <v>174736.85</v>
      </c>
      <c r="Q641" s="124">
        <f t="shared" si="2"/>
        <v>0</v>
      </c>
      <c r="R641" s="52">
        <f t="array" ref="R641">IFERROR(INDEX('Fund YTD Target Values'!$1:$1000, MATCH($C641,'Fund YTD Target Values'!$A:$A,0), MATCH($A641,'Fund YTD Target Values'!$1:$1,0)),0)</f>
        <v>188108.0943</v>
      </c>
      <c r="S641" s="52">
        <f>IFERROR(__xludf.DUMMYFUNCTION("IFERROR(sum(FILTER('Fund Data'!$V:$V, 'Fund Data'!$C:$C = $C641, 'Fund Data'!$A:$A &lt; $A641)),0) + IFERROR(sum(FILTER('Fund Data'!$V:$V, 'Fund Data'!$C:$C = $C641, 'Fund Data'!$A:$A = $A641, 'Fund Data'!$B:$B &lt;= $B641)),0)"),170000.0)</f>
        <v>170000</v>
      </c>
      <c r="T641" s="44"/>
      <c r="U641" s="44"/>
      <c r="V641" s="44">
        <f t="shared" si="3"/>
        <v>0</v>
      </c>
      <c r="W641" s="52">
        <f>IFERROR(__xludf.DUMMYFUNCTION("iFERROR((FILTER('Fund Data'!$Y:$Y, 'Fund Data'!$C:$C = $C641, 'Fund Data'!$A:$A = $A641 - 1, 'Fund Data'!$B:$B = 12) + FILTER('Fund Data'!$AA:$AA, 'Fund Data'!$C:$C = $C641, 'Fund Data'!$A:$A = $A641 - 1, 'Fund Data'!$B:$B = 12)) * (1 + AVERAGE(FILTER('In"&amp;"flation Data'!$C:$C,'Inflation Data'!$A:$A = ($A641 - 2)))) * 'Parameters and Distribution Sum'!$A$4,0)"),5335.081378121052)</f>
        <v>5335.081378</v>
      </c>
      <c r="X641" s="52">
        <f>IFERROR(__xludf.DUMMYFUNCTION("IFERROR((IFERROR(FILTER('Fund Data'!$P:$P,'Fund Data'!$C:$C = $C641,'Fund Data'!$A:$A = ($A641 - 2), 'Fund Data'!$B:$B = 12),0) - SUM(FILTER('Fund Data'!$V:$V, 'Fund Data'!$C:$C = $C641, 'Fund Data'!$A:$A = ($A641 - 2), 'Fund Data'!$B:$B &gt; 3)))  * 'Parame"&amp;"ters and Distribution Sum'!$B$4 * (1 - 'Parameters and Distribution Sum'!$A$4),0)"),2223.764010000001)</f>
        <v>2223.76401</v>
      </c>
      <c r="Y641" s="52">
        <f t="shared" si="62"/>
        <v>7558.845388</v>
      </c>
      <c r="Z641" s="52">
        <f>IFERROR(__xludf.DUMMYFUNCTION("((IFERROR((SUM(FILTER('Fund Data'!$V:$V, 'Fund Data'!$C:$C = $C641, 'Fund Data'!$A:$A = $A641 - 1, 'Fund Data'!$B:$B &gt;= 4, 'Fund Data'!$B:$B &lt;= ($B641 + 5))) / 12) * ($B641 - 3) * 'Parameters and Distribution Sum'!$B$4, 0) + IF($B641 &gt;= 9, IFERROR(SUM(FIL"&amp;"TER('Fund Data'!$V:$V, 'Fund Data'!$C:$C = $C641, 'Fund Data'!$A:$A = $A641, 'Fund Data'!$B:$B &lt;= 3)) * 'Parameters and Distribution Sum'!$B$4, 0),0)))"),112.5)</f>
        <v>112.5</v>
      </c>
      <c r="AA641" s="44">
        <f>IFERROR(__xludf.DUMMYFUNCTION("IFERROR(((IFERROR(SUM(FILTER('Fund Data'!$V:$V, 'Fund Data'!$C:$C = $C641, 'Fund Data'!$A:$A = $A641 - 2, 'Fund Data'!$B:$B &gt;= 4)) * 'Parameters and Distribution Sum'!$B$4,0) + IFERROR(SUM(FILTER('Fund Data'!$V:$V, 'Fund Data'!$C:$C = $C641, 'Fund Data'!$"&amp;"A:$A = $A641 - 1, 'Fund Data'!$B:$B &lt;= 3)) * 'Parameters and Distribution Sum'!$B$4,0))),0)"),675.0)</f>
        <v>675</v>
      </c>
      <c r="AB641" s="44">
        <f t="shared" si="63"/>
        <v>0</v>
      </c>
      <c r="AC641" s="44">
        <f t="shared" si="64"/>
        <v>8346.345388</v>
      </c>
      <c r="AD641" s="44">
        <f t="shared" si="7"/>
        <v>-353.6546119</v>
      </c>
      <c r="AE641" s="44"/>
    </row>
    <row r="642">
      <c r="A642" s="120">
        <v>2019.0</v>
      </c>
      <c r="B642" s="121">
        <v>4.0</v>
      </c>
      <c r="C642" s="122" t="s">
        <v>51</v>
      </c>
      <c r="D642" s="44"/>
      <c r="E642" s="123">
        <v>1917.82</v>
      </c>
      <c r="F642" s="44"/>
      <c r="G642" s="44"/>
      <c r="H642" s="123">
        <v>-339.55</v>
      </c>
      <c r="I642" s="44"/>
      <c r="J642" s="44"/>
      <c r="K642" s="44"/>
      <c r="L642" s="123">
        <v>17987.43</v>
      </c>
      <c r="M642" s="44"/>
      <c r="N642" s="44"/>
      <c r="O642" s="123">
        <v>190386.0</v>
      </c>
      <c r="P642" s="52">
        <f t="shared" si="23"/>
        <v>190385.96</v>
      </c>
      <c r="Q642" s="124">
        <f t="shared" si="2"/>
        <v>0.03999999995</v>
      </c>
      <c r="R642" s="52">
        <f t="array" ref="R642">IFERROR(INDEX('Fund YTD Target Values'!$1:$1000, MATCH($C642,'Fund YTD Target Values'!$A:$A,0), MATCH($A642,'Fund YTD Target Values'!$1:$1,0)),0)</f>
        <v>188108.0943</v>
      </c>
      <c r="S642" s="52">
        <f>IFERROR(__xludf.DUMMYFUNCTION("IFERROR(sum(FILTER('Fund Data'!$V:$V, 'Fund Data'!$C:$C = $C642, 'Fund Data'!$A:$A &lt; $A642)),0) + IFERROR(sum(FILTER('Fund Data'!$V:$V, 'Fund Data'!$C:$C = $C642, 'Fund Data'!$A:$A = $A642, 'Fund Data'!$B:$B &lt;= $B642)),0)"),170000.0)</f>
        <v>170000</v>
      </c>
      <c r="T642" s="44"/>
      <c r="U642" s="44"/>
      <c r="V642" s="44">
        <f t="shared" si="3"/>
        <v>0</v>
      </c>
      <c r="W642" s="52">
        <f>IFERROR(__xludf.DUMMYFUNCTION("iFERROR((FILTER('Fund Data'!$Y:$Y, 'Fund Data'!$C:$C = $C642, 'Fund Data'!$A:$A = $A642 - 1, 'Fund Data'!$B:$B = 12) + FILTER('Fund Data'!$AA:$AA, 'Fund Data'!$C:$C = $C642, 'Fund Data'!$A:$A = $A642 - 1, 'Fund Data'!$B:$B = 12)) * (1 + AVERAGE(FILTER('In"&amp;"flation Data'!$C:$C,'Inflation Data'!$A:$A = ($A642 - 2)))) * 'Parameters and Distribution Sum'!$A$4,0)"),5335.081378121052)</f>
        <v>5335.081378</v>
      </c>
      <c r="X642" s="52">
        <f>IFERROR(__xludf.DUMMYFUNCTION("IFERROR((IFERROR(FILTER('Fund Data'!$P:$P,'Fund Data'!$C:$C = $C642,'Fund Data'!$A:$A = ($A642 - 2), 'Fund Data'!$B:$B = 12),0) - SUM(FILTER('Fund Data'!$V:$V, 'Fund Data'!$C:$C = $C642, 'Fund Data'!$A:$A = ($A642 - 2), 'Fund Data'!$B:$B &gt; 3)))  * 'Parame"&amp;"ters and Distribution Sum'!$B$4 * (1 - 'Parameters and Distribution Sum'!$A$4),0)"),2223.764010000001)</f>
        <v>2223.76401</v>
      </c>
      <c r="Y642" s="52">
        <f t="shared" si="62"/>
        <v>7558.845388</v>
      </c>
      <c r="Z642" s="52">
        <f>IFERROR(__xludf.DUMMYFUNCTION("((IFERROR((SUM(FILTER('Fund Data'!$V:$V, 'Fund Data'!$C:$C = $C642, 'Fund Data'!$A:$A = $A642 - 1, 'Fund Data'!$B:$B &gt;= 4, 'Fund Data'!$B:$B &lt;= ($B642 + 5))) / 12) * ($B642 - 3) * 'Parameters and Distribution Sum'!$B$4, 0) + IF($B642 &gt;= 9, IFERROR(SUM(FIL"&amp;"TER('Fund Data'!$V:$V, 'Fund Data'!$C:$C = $C642, 'Fund Data'!$A:$A = $A642, 'Fund Data'!$B:$B &lt;= 3)) * 'Parameters and Distribution Sum'!$B$4, 0),0)))"),56.25)</f>
        <v>56.25</v>
      </c>
      <c r="AA642" s="44">
        <f>IFERROR(__xludf.DUMMYFUNCTION("IFERROR(((IFERROR(SUM(FILTER('Fund Data'!$V:$V, 'Fund Data'!$C:$C = $C642, 'Fund Data'!$A:$A = $A642 - 2, 'Fund Data'!$B:$B &gt;= 4)) * 'Parameters and Distribution Sum'!$B$4,0) + IFERROR(SUM(FILTER('Fund Data'!$V:$V, 'Fund Data'!$C:$C = $C642, 'Fund Data'!$"&amp;"A:$A = $A642 - 1, 'Fund Data'!$B:$B &lt;= 3)) * 'Parameters and Distribution Sum'!$B$4,0))),0)"),675.0)</f>
        <v>675</v>
      </c>
      <c r="AB642" s="44">
        <f t="shared" si="63"/>
        <v>0</v>
      </c>
      <c r="AC642" s="44">
        <f t="shared" si="64"/>
        <v>8290.095388</v>
      </c>
      <c r="AD642" s="44">
        <f t="shared" si="7"/>
        <v>8290.095388</v>
      </c>
      <c r="AE642" s="44"/>
    </row>
    <row r="643">
      <c r="A643" s="120">
        <v>2019.0</v>
      </c>
      <c r="B643" s="121">
        <v>3.0</v>
      </c>
      <c r="C643" s="122" t="s">
        <v>51</v>
      </c>
      <c r="D643" s="44"/>
      <c r="E643" s="123">
        <v>1449.42</v>
      </c>
      <c r="F643" s="44"/>
      <c r="G643" s="44"/>
      <c r="H643" s="123">
        <v>-252.45</v>
      </c>
      <c r="I643" s="44"/>
      <c r="J643" s="44"/>
      <c r="K643" s="44"/>
      <c r="L643" s="123">
        <v>14272.86</v>
      </c>
      <c r="M643" s="44"/>
      <c r="N643" s="44"/>
      <c r="O643" s="123">
        <v>186290.0</v>
      </c>
      <c r="P643" s="52">
        <f t="shared" si="23"/>
        <v>186290.09</v>
      </c>
      <c r="Q643" s="124">
        <f t="shared" si="2"/>
        <v>-0.09000000003</v>
      </c>
      <c r="R643" s="52">
        <f t="array" ref="R643">IFERROR(INDEX('Fund YTD Target Values'!$1:$1000, MATCH($C643,'Fund YTD Target Values'!$A:$A,0), MATCH($A643,'Fund YTD Target Values'!$1:$1,0)),0)</f>
        <v>188108.0943</v>
      </c>
      <c r="S643" s="52">
        <f>IFERROR(__xludf.DUMMYFUNCTION("IFERROR(sum(FILTER('Fund Data'!$V:$V, 'Fund Data'!$C:$C = $C643, 'Fund Data'!$A:$A &lt; $A643)),0) + IFERROR(sum(FILTER('Fund Data'!$V:$V, 'Fund Data'!$C:$C = $C643, 'Fund Data'!$A:$A = $A643, 'Fund Data'!$B:$B &lt;= $B643)),0)"),170000.0)</f>
        <v>170000</v>
      </c>
      <c r="T643" s="123">
        <v>170000.0</v>
      </c>
      <c r="U643" s="44">
        <f>S643-T643</f>
        <v>0</v>
      </c>
      <c r="V643" s="44">
        <f t="shared" si="3"/>
        <v>0</v>
      </c>
      <c r="W643" s="52">
        <f>IFERROR(__xludf.DUMMYFUNCTION("iFERROR((FILTER('Fund Data'!$Y:$Y, 'Fund Data'!$C:$C = $C643, 'Fund Data'!$A:$A = $A643 - 1, 'Fund Data'!$B:$B = 12) + FILTER('Fund Data'!$AA:$AA, 'Fund Data'!$C:$C = $C643, 'Fund Data'!$A:$A = $A643 - 1, 'Fund Data'!$B:$B = 12)) * (1 + AVERAGE(FILTER('In"&amp;"flation Data'!$C:$C,'Inflation Data'!$A:$A = ($A643 - 2)))) * 'Parameters and Distribution Sum'!$A$4,0)"),5335.081378121052)</f>
        <v>5335.081378</v>
      </c>
      <c r="X643" s="52">
        <f>IFERROR(__xludf.DUMMYFUNCTION("IFERROR((IFERROR(FILTER('Fund Data'!$P:$P,'Fund Data'!$C:$C = $C643,'Fund Data'!$A:$A = ($A643 - 2), 'Fund Data'!$B:$B = 12),0) - SUM(FILTER('Fund Data'!$V:$V, 'Fund Data'!$C:$C = $C643, 'Fund Data'!$A:$A = ($A643 - 2), 'Fund Data'!$B:$B &gt; 3)))  * 'Parame"&amp;"ters and Distribution Sum'!$B$4 * (1 - 'Parameters and Distribution Sum'!$A$4),0)"),2223.764010000001)</f>
        <v>2223.76401</v>
      </c>
      <c r="Y643" s="52">
        <f t="shared" si="62"/>
        <v>7558.845388</v>
      </c>
      <c r="Z643" s="52">
        <f>IFERROR(__xludf.DUMMYFUNCTION("((IFERROR((SUM(FILTER('Fund Data'!$V:$V, 'Fund Data'!$C:$C = $C643, 'Fund Data'!$A:$A = $A643 - 1, 'Fund Data'!$B:$B &gt;= 4, 'Fund Data'!$B:$B &lt;= ($B643 + 5))) / 12) * ($B643 - 3) * 'Parameters and Distribution Sum'!$B$4, 0) + IF($B643 &gt;= 9, IFERROR(SUM(FIL"&amp;"TER('Fund Data'!$V:$V, 'Fund Data'!$C:$C = $C643, 'Fund Data'!$A:$A = $A643, 'Fund Data'!$B:$B &lt;= 3)) * 'Parameters and Distribution Sum'!$B$4, 0),0)))"),0.0)</f>
        <v>0</v>
      </c>
      <c r="AA643" s="44">
        <f>IFERROR(__xludf.DUMMYFUNCTION("IFERROR(((IFERROR(SUM(FILTER('Fund Data'!$V:$V, 'Fund Data'!$C:$C = $C643, 'Fund Data'!$A:$A = $A643 - 2, 'Fund Data'!$B:$B &gt;= 4)) * 'Parameters and Distribution Sum'!$B$4,0) + IFERROR(SUM(FILTER('Fund Data'!$V:$V, 'Fund Data'!$C:$C = $C643, 'Fund Data'!$"&amp;"A:$A = $A643 - 1, 'Fund Data'!$B:$B &lt;= 3)) * 'Parameters and Distribution Sum'!$B$4,0))),0)"),675.0)</f>
        <v>675</v>
      </c>
      <c r="AB643" s="44">
        <f t="shared" si="63"/>
        <v>0</v>
      </c>
      <c r="AC643" s="44">
        <f t="shared" si="64"/>
        <v>8233.845388</v>
      </c>
      <c r="AD643" s="44">
        <f t="shared" si="7"/>
        <v>8233.845388</v>
      </c>
      <c r="AE643" s="44"/>
    </row>
    <row r="644">
      <c r="A644" s="120">
        <v>2019.0</v>
      </c>
      <c r="B644" s="121">
        <v>2.0</v>
      </c>
      <c r="C644" s="122" t="s">
        <v>51</v>
      </c>
      <c r="D644" s="44"/>
      <c r="E644" s="123">
        <v>1225.7</v>
      </c>
      <c r="F644" s="44"/>
      <c r="G644" s="44"/>
      <c r="H644" s="123">
        <v>-165.9</v>
      </c>
      <c r="I644" s="44"/>
      <c r="J644" s="44"/>
      <c r="K644" s="44"/>
      <c r="L644" s="123">
        <v>13212.44</v>
      </c>
      <c r="M644" s="44"/>
      <c r="N644" s="44"/>
      <c r="O644" s="123">
        <v>185093.0</v>
      </c>
      <c r="P644" s="52">
        <f t="shared" si="23"/>
        <v>185092.5</v>
      </c>
      <c r="Q644" s="124">
        <f t="shared" si="2"/>
        <v>0.5</v>
      </c>
      <c r="R644" s="52">
        <f t="array" ref="R644">IFERROR(INDEX('Fund YTD Target Values'!$1:$1000, MATCH($C644,'Fund YTD Target Values'!$A:$A,0), MATCH($A644,'Fund YTD Target Values'!$1:$1,0)),0)</f>
        <v>188108.0943</v>
      </c>
      <c r="S644" s="52">
        <f>IFERROR(__xludf.DUMMYFUNCTION("IFERROR(sum(FILTER('Fund Data'!$V:$V, 'Fund Data'!$C:$C = $C644, 'Fund Data'!$A:$A &lt; $A644)),0) + IFERROR(sum(FILTER('Fund Data'!$V:$V, 'Fund Data'!$C:$C = $C644, 'Fund Data'!$A:$A = $A644, 'Fund Data'!$B:$B &lt;= $B644)),0)"),170000.0)</f>
        <v>170000</v>
      </c>
      <c r="T644" s="44"/>
      <c r="U644" s="44"/>
      <c r="V644" s="44">
        <f t="shared" si="3"/>
        <v>0</v>
      </c>
      <c r="W644" s="52">
        <f>IFERROR(__xludf.DUMMYFUNCTION("iFERROR((FILTER('Fund Data'!$Y:$Y, 'Fund Data'!$C:$C = $C644, 'Fund Data'!$A:$A = $A644 - 1, 'Fund Data'!$B:$B = 12) + FILTER('Fund Data'!$AA:$AA, 'Fund Data'!$C:$C = $C644, 'Fund Data'!$A:$A = $A644 - 1, 'Fund Data'!$B:$B = 12)) * (1 + AVERAGE(FILTER('In"&amp;"flation Data'!$C:$C,'Inflation Data'!$A:$A = ($A644 - 2)))) * 'Parameters and Distribution Sum'!$A$4,0)"),5335.081378121052)</f>
        <v>5335.081378</v>
      </c>
      <c r="X644" s="52">
        <f>IFERROR(__xludf.DUMMYFUNCTION("IFERROR((IFERROR(FILTER('Fund Data'!$P:$P,'Fund Data'!$C:$C = $C644,'Fund Data'!$A:$A = ($A644 - 2), 'Fund Data'!$B:$B = 12),0) - SUM(FILTER('Fund Data'!$V:$V, 'Fund Data'!$C:$C = $C644, 'Fund Data'!$A:$A = ($A644 - 2), 'Fund Data'!$B:$B &gt; 3)))  * 'Parame"&amp;"ters and Distribution Sum'!$B$4 * (1 - 'Parameters and Distribution Sum'!$A$4),0)"),2223.764010000001)</f>
        <v>2223.76401</v>
      </c>
      <c r="Y644" s="52">
        <f t="shared" si="62"/>
        <v>7558.845388</v>
      </c>
      <c r="Z644" s="52">
        <f>IFERROR(__xludf.DUMMYFUNCTION("((IFERROR((SUM(FILTER('Fund Data'!$V:$V, 'Fund Data'!$C:$C = $C644, 'Fund Data'!$A:$A = $A644 - 1, 'Fund Data'!$B:$B &gt;= 4, 'Fund Data'!$B:$B &lt;= ($B644 + 5))) / 12) * ($B644 - 3) * 'Parameters and Distribution Sum'!$B$4, 0) + IF($B644 &gt;= 9, IFERROR(SUM(FIL"&amp;"TER('Fund Data'!$V:$V, 'Fund Data'!$C:$C = $C644, 'Fund Data'!$A:$A = $A644, 'Fund Data'!$B:$B &lt;= 3)) * 'Parameters and Distribution Sum'!$B$4, 0),0)))"),-56.25)</f>
        <v>-56.25</v>
      </c>
      <c r="AA644" s="44">
        <f>IFERROR(__xludf.DUMMYFUNCTION("IFERROR(((IFERROR(SUM(FILTER('Fund Data'!$V:$V, 'Fund Data'!$C:$C = $C644, 'Fund Data'!$A:$A = $A644 - 2, 'Fund Data'!$B:$B &gt;= 4)) * 'Parameters and Distribution Sum'!$B$4,0) + IFERROR(SUM(FILTER('Fund Data'!$V:$V, 'Fund Data'!$C:$C = $C644, 'Fund Data'!$"&amp;"A:$A = $A644 - 1, 'Fund Data'!$B:$B &lt;= 3)) * 'Parameters and Distribution Sum'!$B$4,0))),0)"),675.0)</f>
        <v>675</v>
      </c>
      <c r="AB644" s="44">
        <f t="shared" si="63"/>
        <v>0</v>
      </c>
      <c r="AC644" s="44">
        <f t="shared" si="64"/>
        <v>8177.595388</v>
      </c>
      <c r="AD644" s="44">
        <f t="shared" si="7"/>
        <v>8177.595388</v>
      </c>
      <c r="AE644" s="44"/>
    </row>
    <row r="645">
      <c r="A645" s="120">
        <v>2019.0</v>
      </c>
      <c r="B645" s="121">
        <v>1.0</v>
      </c>
      <c r="C645" s="122" t="s">
        <v>51</v>
      </c>
      <c r="D645" s="44"/>
      <c r="E645" s="123">
        <v>1134.21</v>
      </c>
      <c r="F645" s="44"/>
      <c r="G645" s="44"/>
      <c r="H645" s="123">
        <v>-80.6</v>
      </c>
      <c r="I645" s="44"/>
      <c r="J645" s="44"/>
      <c r="K645" s="44"/>
      <c r="L645" s="123">
        <v>10220.95</v>
      </c>
      <c r="M645" s="44"/>
      <c r="N645" s="44"/>
      <c r="O645" s="123">
        <v>182095.0</v>
      </c>
      <c r="P645" s="52">
        <f t="shared" si="23"/>
        <v>182094.82</v>
      </c>
      <c r="Q645" s="124">
        <f t="shared" si="2"/>
        <v>0.18</v>
      </c>
      <c r="R645" s="52">
        <f t="array" ref="R645">IFERROR(INDEX('Fund YTD Target Values'!$1:$1000, MATCH($C645,'Fund YTD Target Values'!$A:$A,0), MATCH($A645,'Fund YTD Target Values'!$1:$1,0)),0)</f>
        <v>188108.0943</v>
      </c>
      <c r="S645" s="52">
        <f>IFERROR(__xludf.DUMMYFUNCTION("IFERROR(sum(FILTER('Fund Data'!$V:$V, 'Fund Data'!$C:$C = $C645, 'Fund Data'!$A:$A &lt; $A645)),0) + IFERROR(sum(FILTER('Fund Data'!$V:$V, 'Fund Data'!$C:$C = $C645, 'Fund Data'!$A:$A = $A645, 'Fund Data'!$B:$B &lt;= $B645)),0)"),170000.0)</f>
        <v>170000</v>
      </c>
      <c r="T645" s="44"/>
      <c r="U645" s="44"/>
      <c r="V645" s="44">
        <f t="shared" si="3"/>
        <v>0</v>
      </c>
      <c r="W645" s="52">
        <f>IFERROR(__xludf.DUMMYFUNCTION("iFERROR((FILTER('Fund Data'!$Y:$Y, 'Fund Data'!$C:$C = $C645, 'Fund Data'!$A:$A = $A645 - 1, 'Fund Data'!$B:$B = 12) + FILTER('Fund Data'!$AA:$AA, 'Fund Data'!$C:$C = $C645, 'Fund Data'!$A:$A = $A645 - 1, 'Fund Data'!$B:$B = 12)) * (1 + AVERAGE(FILTER('In"&amp;"flation Data'!$C:$C,'Inflation Data'!$A:$A = ($A645 - 2)))) * 'Parameters and Distribution Sum'!$A$4,0)"),5335.081378121052)</f>
        <v>5335.081378</v>
      </c>
      <c r="X645" s="52">
        <f>IFERROR(__xludf.DUMMYFUNCTION("IFERROR((IFERROR(FILTER('Fund Data'!$P:$P,'Fund Data'!$C:$C = $C645,'Fund Data'!$A:$A = ($A645 - 2), 'Fund Data'!$B:$B = 12),0) - SUM(FILTER('Fund Data'!$V:$V, 'Fund Data'!$C:$C = $C645, 'Fund Data'!$A:$A = ($A645 - 2), 'Fund Data'!$B:$B &gt; 3)))  * 'Parame"&amp;"ters and Distribution Sum'!$B$4 * (1 - 'Parameters and Distribution Sum'!$A$4),0)"),2223.764010000001)</f>
        <v>2223.76401</v>
      </c>
      <c r="Y645" s="52">
        <f t="shared" si="62"/>
        <v>7558.845388</v>
      </c>
      <c r="Z645" s="52">
        <f>IFERROR(__xludf.DUMMYFUNCTION("((IFERROR((SUM(FILTER('Fund Data'!$V:$V, 'Fund Data'!$C:$C = $C645, 'Fund Data'!$A:$A = $A645 - 1, 'Fund Data'!$B:$B &gt;= 4, 'Fund Data'!$B:$B &lt;= ($B645 + 5))) / 12) * ($B645 - 3) * 'Parameters and Distribution Sum'!$B$4, 0) + IF($B645 &gt;= 9, IFERROR(SUM(FIL"&amp;"TER('Fund Data'!$V:$V, 'Fund Data'!$C:$C = $C645, 'Fund Data'!$A:$A = $A645, 'Fund Data'!$B:$B &lt;= 3)) * 'Parameters and Distribution Sum'!$B$4, 0),0)))"),0.0)</f>
        <v>0</v>
      </c>
      <c r="AA645" s="44">
        <f>IFERROR(__xludf.DUMMYFUNCTION("IFERROR(((IFERROR(SUM(FILTER('Fund Data'!$V:$V, 'Fund Data'!$C:$C = $C645, 'Fund Data'!$A:$A = $A645 - 2, 'Fund Data'!$B:$B &gt;= 4)) * 'Parameters and Distribution Sum'!$B$4,0) + IFERROR(SUM(FILTER('Fund Data'!$V:$V, 'Fund Data'!$C:$C = $C645, 'Fund Data'!$"&amp;"A:$A = $A645 - 1, 'Fund Data'!$B:$B &lt;= 3)) * 'Parameters and Distribution Sum'!$B$4,0))),0)"),675.0)</f>
        <v>675</v>
      </c>
      <c r="AB645" s="44">
        <f t="shared" si="63"/>
        <v>0</v>
      </c>
      <c r="AC645" s="44">
        <f t="shared" si="64"/>
        <v>8233.845388</v>
      </c>
      <c r="AD645" s="44">
        <f t="shared" si="7"/>
        <v>8233.845388</v>
      </c>
      <c r="AE645" s="44"/>
    </row>
    <row r="646">
      <c r="A646" s="120">
        <v>2018.0</v>
      </c>
      <c r="B646" s="121">
        <v>12.0</v>
      </c>
      <c r="C646" s="122" t="s">
        <v>51</v>
      </c>
      <c r="D646" s="123">
        <v>15000.0</v>
      </c>
      <c r="E646" s="123">
        <v>3751.3</v>
      </c>
      <c r="F646" s="123">
        <v>-8338.0</v>
      </c>
      <c r="G646" s="44"/>
      <c r="H646" s="123">
        <v>-1069.15</v>
      </c>
      <c r="I646" s="44"/>
      <c r="J646" s="123">
        <v>787.64</v>
      </c>
      <c r="K646" s="44"/>
      <c r="L646" s="123">
        <v>-19034.79</v>
      </c>
      <c r="M646" s="44"/>
      <c r="N646" s="44"/>
      <c r="O646" s="123">
        <v>170820.0</v>
      </c>
      <c r="P646" s="52">
        <f t="shared" si="23"/>
        <v>170820.26</v>
      </c>
      <c r="Q646" s="124">
        <f t="shared" si="2"/>
        <v>-0.2600000001</v>
      </c>
      <c r="R646" s="52">
        <f t="array" ref="R646">IFERROR(INDEX('Fund YTD Target Values'!$1:$1000, MATCH($C646,'Fund YTD Target Values'!$A:$A,0), MATCH($A646,'Fund YTD Target Values'!$1:$1,0)),0)</f>
        <v>184883.5181</v>
      </c>
      <c r="S646" s="52">
        <f>IFERROR(__xludf.DUMMYFUNCTION("IFERROR(sum(FILTER('Fund Data'!$V:$V, 'Fund Data'!$C:$C = $C646, 'Fund Data'!$A:$A &lt; $A646)),0) + IFERROR(sum(FILTER('Fund Data'!$V:$V, 'Fund Data'!$C:$C = $C646, 'Fund Data'!$A:$A = $A646, 'Fund Data'!$B:$B &lt;= $B646)),0)"),170000.0)</f>
        <v>170000</v>
      </c>
      <c r="T646" s="123">
        <v>170000.0</v>
      </c>
      <c r="U646" s="44">
        <f>S646-T646</f>
        <v>0</v>
      </c>
      <c r="V646" s="44">
        <f t="shared" si="3"/>
        <v>0</v>
      </c>
      <c r="W646" s="52"/>
      <c r="X646" s="52"/>
      <c r="Y646" s="52">
        <v>6787.473624336669</v>
      </c>
      <c r="Z646" s="123">
        <v>338.0625</v>
      </c>
      <c r="AA646" s="123">
        <v>675.0</v>
      </c>
      <c r="AB646" s="44">
        <f t="shared" si="63"/>
        <v>0</v>
      </c>
      <c r="AC646" s="44">
        <f t="shared" si="64"/>
        <v>7800.536124</v>
      </c>
      <c r="AD646" s="44">
        <f t="shared" si="7"/>
        <v>-537.4638757</v>
      </c>
      <c r="AE646" s="123">
        <v>0.0</v>
      </c>
    </row>
    <row r="647">
      <c r="A647" s="120">
        <v>2018.0</v>
      </c>
      <c r="B647" s="121">
        <v>11.0</v>
      </c>
      <c r="C647" s="122" t="s">
        <v>51</v>
      </c>
      <c r="D647" s="123">
        <v>15000.0</v>
      </c>
      <c r="E647" s="123">
        <v>3510.67</v>
      </c>
      <c r="F647" s="123">
        <v>-8338.0</v>
      </c>
      <c r="G647" s="44"/>
      <c r="H647" s="123">
        <v>-984.35</v>
      </c>
      <c r="I647" s="44"/>
      <c r="J647" s="123">
        <v>787.64</v>
      </c>
      <c r="K647" s="44"/>
      <c r="L647" s="123">
        <v>-8921.75</v>
      </c>
      <c r="M647" s="44"/>
      <c r="N647" s="44"/>
      <c r="O647" s="123">
        <v>180777.0</v>
      </c>
      <c r="P647" s="52">
        <f t="shared" si="23"/>
        <v>180777.47</v>
      </c>
      <c r="Q647" s="124">
        <f t="shared" si="2"/>
        <v>-0.4700000001</v>
      </c>
      <c r="R647" s="52">
        <f t="array" ref="R647">IFERROR(INDEX('Fund YTD Target Values'!$1:$1000, MATCH($C647,'Fund YTD Target Values'!$A:$A,0), MATCH($A647,'Fund YTD Target Values'!$1:$1,0)),0)</f>
        <v>184883.5181</v>
      </c>
      <c r="S647" s="52">
        <f>IFERROR(__xludf.DUMMYFUNCTION("IFERROR(sum(FILTER('Fund Data'!$V:$V, 'Fund Data'!$C:$C = $C647, 'Fund Data'!$A:$A &lt; $A647)),0) + IFERROR(sum(FILTER('Fund Data'!$V:$V, 'Fund Data'!$C:$C = $C647, 'Fund Data'!$A:$A = $A647, 'Fund Data'!$B:$B &lt;= $B647)),0)"),170000.0)</f>
        <v>170000</v>
      </c>
      <c r="T647" s="44"/>
      <c r="U647" s="44"/>
      <c r="V647" s="44">
        <f t="shared" si="3"/>
        <v>0</v>
      </c>
      <c r="W647" s="123"/>
      <c r="X647" s="123"/>
      <c r="Y647" s="123">
        <v>0.0</v>
      </c>
      <c r="Z647" s="123">
        <v>0.0</v>
      </c>
      <c r="AA647" s="123">
        <v>0.0</v>
      </c>
      <c r="AB647" s="123"/>
      <c r="AC647" s="123">
        <v>0.0</v>
      </c>
      <c r="AD647" s="44">
        <f t="shared" si="7"/>
        <v>-8338</v>
      </c>
      <c r="AE647" s="123">
        <v>0.0</v>
      </c>
    </row>
    <row r="648">
      <c r="A648" s="120">
        <v>2018.0</v>
      </c>
      <c r="B648" s="121">
        <v>10.0</v>
      </c>
      <c r="C648" s="135" t="s">
        <v>51</v>
      </c>
      <c r="D648" s="136">
        <v>15000.0</v>
      </c>
      <c r="E648" s="137">
        <v>3349.75</v>
      </c>
      <c r="F648" s="136">
        <v>-8000.0</v>
      </c>
      <c r="G648" s="138"/>
      <c r="H648" s="137">
        <v>-811.95</v>
      </c>
      <c r="I648" s="138"/>
      <c r="J648" s="136">
        <v>787.64</v>
      </c>
      <c r="K648" s="138"/>
      <c r="L648" s="136">
        <v>-10484.47</v>
      </c>
      <c r="M648" s="44"/>
      <c r="N648" s="44"/>
      <c r="O648" s="136">
        <v>179564.0</v>
      </c>
      <c r="P648" s="52">
        <f t="shared" si="23"/>
        <v>179564.23</v>
      </c>
      <c r="Q648" s="124">
        <f t="shared" si="2"/>
        <v>-0.2300000001</v>
      </c>
      <c r="R648" s="52">
        <f t="array" ref="R648">IFERROR(INDEX('Fund YTD Target Values'!$1:$1000, MATCH($C648,'Fund YTD Target Values'!$A:$A,0), MATCH($A648,'Fund YTD Target Values'!$1:$1,0)),0)</f>
        <v>184883.5181</v>
      </c>
      <c r="S648" s="52">
        <f>IFERROR(__xludf.DUMMYFUNCTION("IFERROR(sum(FILTER('Fund Data'!$V:$V, 'Fund Data'!$C:$C = $C648, 'Fund Data'!$A:$A &lt; $A648)),0) + IFERROR(sum(FILTER('Fund Data'!$V:$V, 'Fund Data'!$C:$C = $C648, 'Fund Data'!$A:$A = $A648, 'Fund Data'!$B:$B &lt;= $B648)),0)"),170000.0)</f>
        <v>170000</v>
      </c>
      <c r="T648" s="44"/>
      <c r="U648" s="44"/>
      <c r="V648" s="44">
        <f t="shared" si="3"/>
        <v>0</v>
      </c>
      <c r="W648" s="123"/>
      <c r="X648" s="123"/>
      <c r="Y648" s="123">
        <v>0.0</v>
      </c>
      <c r="Z648" s="123">
        <v>0.0</v>
      </c>
      <c r="AA648" s="123">
        <v>0.0</v>
      </c>
      <c r="AB648" s="123"/>
      <c r="AC648" s="123">
        <v>0.0</v>
      </c>
      <c r="AD648" s="44">
        <f t="shared" si="7"/>
        <v>-8000</v>
      </c>
      <c r="AE648" s="123">
        <v>0.0</v>
      </c>
    </row>
    <row r="649">
      <c r="A649" s="120">
        <v>2018.0</v>
      </c>
      <c r="B649" s="121">
        <v>9.0</v>
      </c>
      <c r="C649" s="122" t="s">
        <v>51</v>
      </c>
      <c r="D649" s="123">
        <v>15000.0</v>
      </c>
      <c r="E649" s="123">
        <v>2806.81</v>
      </c>
      <c r="F649" s="123">
        <v>-8000.0</v>
      </c>
      <c r="G649" s="44"/>
      <c r="H649" s="123">
        <v>-811.95</v>
      </c>
      <c r="I649" s="44"/>
      <c r="J649" s="123">
        <v>787.64</v>
      </c>
      <c r="K649" s="44"/>
      <c r="L649" s="123">
        <v>-851.4</v>
      </c>
      <c r="M649" s="44"/>
      <c r="N649" s="44"/>
      <c r="O649" s="123">
        <v>188654.0</v>
      </c>
      <c r="P649" s="52">
        <f t="shared" si="23"/>
        <v>188654.36</v>
      </c>
      <c r="Q649" s="124">
        <f t="shared" si="2"/>
        <v>-0.3600000001</v>
      </c>
      <c r="R649" s="52">
        <f t="array" ref="R649">IFERROR(INDEX('Fund YTD Target Values'!$1:$1000, MATCH($C649,'Fund YTD Target Values'!$A:$A,0), MATCH($A649,'Fund YTD Target Values'!$1:$1,0)),0)</f>
        <v>184883.5181</v>
      </c>
      <c r="S649" s="52">
        <f>IFERROR(__xludf.DUMMYFUNCTION("IFERROR(sum(FILTER('Fund Data'!$V:$V, 'Fund Data'!$C:$C = $C649, 'Fund Data'!$A:$A &lt; $A649)),0) + IFERROR(sum(FILTER('Fund Data'!$V:$V, 'Fund Data'!$C:$C = $C649, 'Fund Data'!$A:$A = $A649, 'Fund Data'!$B:$B &lt;= $B649)),0)"),170000.0)</f>
        <v>170000</v>
      </c>
      <c r="T649" s="123">
        <v>170000.0</v>
      </c>
      <c r="U649" s="44">
        <f>S649-T649</f>
        <v>0</v>
      </c>
      <c r="V649" s="44">
        <f t="shared" si="3"/>
        <v>0</v>
      </c>
      <c r="W649" s="123"/>
      <c r="X649" s="123"/>
      <c r="Y649" s="123">
        <v>0.0</v>
      </c>
      <c r="Z649" s="123">
        <v>0.0</v>
      </c>
      <c r="AA649" s="123">
        <v>0.0</v>
      </c>
      <c r="AB649" s="123"/>
      <c r="AC649" s="123">
        <v>0.0</v>
      </c>
      <c r="AD649" s="44">
        <f t="shared" si="7"/>
        <v>-8000</v>
      </c>
      <c r="AE649" s="123">
        <v>0.0</v>
      </c>
    </row>
    <row r="650">
      <c r="A650" s="120">
        <v>2018.0</v>
      </c>
      <c r="B650" s="121">
        <v>8.0</v>
      </c>
      <c r="C650" s="122" t="s">
        <v>51</v>
      </c>
      <c r="D650" s="123">
        <v>15000.0</v>
      </c>
      <c r="E650" s="123">
        <v>2646.94</v>
      </c>
      <c r="F650" s="123">
        <v>-7200.0</v>
      </c>
      <c r="G650" s="44"/>
      <c r="H650" s="123">
        <v>-716.91</v>
      </c>
      <c r="I650" s="44"/>
      <c r="J650" s="123">
        <v>697.18</v>
      </c>
      <c r="K650" s="44"/>
      <c r="L650" s="123">
        <v>-68.93</v>
      </c>
      <c r="M650" s="44"/>
      <c r="N650" s="44"/>
      <c r="O650" s="123">
        <v>190082.0</v>
      </c>
      <c r="P650" s="52">
        <f t="shared" si="23"/>
        <v>190081.54</v>
      </c>
      <c r="Q650" s="124">
        <f t="shared" si="2"/>
        <v>0.4599999999</v>
      </c>
      <c r="R650" s="52">
        <f t="array" ref="R650">IFERROR(INDEX('Fund YTD Target Values'!$1:$1000, MATCH($C650,'Fund YTD Target Values'!$A:$A,0), MATCH($A650,'Fund YTD Target Values'!$1:$1,0)),0)</f>
        <v>184883.5181</v>
      </c>
      <c r="S650" s="52">
        <f>IFERROR(__xludf.DUMMYFUNCTION("IFERROR(sum(FILTER('Fund Data'!$V:$V, 'Fund Data'!$C:$C = $C650, 'Fund Data'!$A:$A &lt; $A650)),0) + IFERROR(sum(FILTER('Fund Data'!$V:$V, 'Fund Data'!$C:$C = $C650, 'Fund Data'!$A:$A = $A650, 'Fund Data'!$B:$B &lt;= $B650)),0)"),170000.0)</f>
        <v>170000</v>
      </c>
      <c r="T650" s="44"/>
      <c r="U650" s="44"/>
      <c r="V650" s="44">
        <f t="shared" si="3"/>
        <v>0</v>
      </c>
      <c r="W650" s="123"/>
      <c r="X650" s="123"/>
      <c r="Y650" s="123">
        <v>0.0</v>
      </c>
      <c r="Z650" s="123">
        <v>0.0</v>
      </c>
      <c r="AA650" s="123">
        <v>0.0</v>
      </c>
      <c r="AB650" s="123"/>
      <c r="AC650" s="123">
        <v>0.0</v>
      </c>
      <c r="AD650" s="44">
        <f t="shared" si="7"/>
        <v>-7200</v>
      </c>
      <c r="AE650" s="123">
        <v>0.0</v>
      </c>
    </row>
    <row r="651">
      <c r="A651" s="120">
        <v>2018.0</v>
      </c>
      <c r="B651" s="121">
        <v>7.0</v>
      </c>
      <c r="C651" s="122" t="s">
        <v>51</v>
      </c>
      <c r="D651" s="123">
        <v>15000.0</v>
      </c>
      <c r="E651" s="123">
        <v>2500.78</v>
      </c>
      <c r="F651" s="123">
        <v>-4200.0</v>
      </c>
      <c r="G651" s="44"/>
      <c r="H651" s="123">
        <v>-628.16</v>
      </c>
      <c r="I651" s="44"/>
      <c r="J651" s="123">
        <v>392.08</v>
      </c>
      <c r="K651" s="44"/>
      <c r="L651" s="123">
        <v>-295.09</v>
      </c>
      <c r="M651" s="44"/>
      <c r="N651" s="44"/>
      <c r="O651" s="123">
        <v>192493.0</v>
      </c>
      <c r="P651" s="52">
        <f t="shared" si="23"/>
        <v>192492.87</v>
      </c>
      <c r="Q651" s="124">
        <f t="shared" si="2"/>
        <v>0.1299999999</v>
      </c>
      <c r="R651" s="52">
        <f t="array" ref="R651">IFERROR(INDEX('Fund YTD Target Values'!$1:$1000, MATCH($C651,'Fund YTD Target Values'!$A:$A,0), MATCH($A651,'Fund YTD Target Values'!$1:$1,0)),0)</f>
        <v>184883.5181</v>
      </c>
      <c r="S651" s="52">
        <f>IFERROR(__xludf.DUMMYFUNCTION("IFERROR(sum(FILTER('Fund Data'!$V:$V, 'Fund Data'!$C:$C = $C651, 'Fund Data'!$A:$A &lt; $A651)),0) + IFERROR(sum(FILTER('Fund Data'!$V:$V, 'Fund Data'!$C:$C = $C651, 'Fund Data'!$A:$A = $A651, 'Fund Data'!$B:$B &lt;= $B651)),0)"),170000.0)</f>
        <v>170000</v>
      </c>
      <c r="T651" s="44"/>
      <c r="U651" s="44"/>
      <c r="V651" s="44">
        <f t="shared" si="3"/>
        <v>15000</v>
      </c>
      <c r="W651" s="123"/>
      <c r="X651" s="123"/>
      <c r="Y651" s="123">
        <v>0.0</v>
      </c>
      <c r="Z651" s="123">
        <v>0.0</v>
      </c>
      <c r="AA651" s="123">
        <v>0.0</v>
      </c>
      <c r="AB651" s="123"/>
      <c r="AC651" s="123">
        <v>0.0</v>
      </c>
      <c r="AD651" s="44">
        <f t="shared" si="7"/>
        <v>-4200</v>
      </c>
      <c r="AE651" s="123">
        <v>0.0</v>
      </c>
    </row>
    <row r="652">
      <c r="A652" s="120">
        <v>2018.0</v>
      </c>
      <c r="B652" s="121">
        <v>6.0</v>
      </c>
      <c r="C652" s="122" t="s">
        <v>51</v>
      </c>
      <c r="D652" s="44"/>
      <c r="E652" s="123">
        <v>2104.28</v>
      </c>
      <c r="F652" s="123">
        <v>-4200.0</v>
      </c>
      <c r="G652" s="44"/>
      <c r="H652" s="123">
        <v>-541.01</v>
      </c>
      <c r="I652" s="44"/>
      <c r="J652" s="123">
        <v>392.08</v>
      </c>
      <c r="K652" s="44"/>
      <c r="L652" s="123">
        <v>-3179.94</v>
      </c>
      <c r="M652" s="44"/>
      <c r="N652" s="44"/>
      <c r="O652" s="123">
        <v>174299.0</v>
      </c>
      <c r="P652" s="52">
        <f t="shared" si="23"/>
        <v>174298.67</v>
      </c>
      <c r="Q652" s="124">
        <f t="shared" si="2"/>
        <v>0.3299999999</v>
      </c>
      <c r="R652" s="52">
        <f t="array" ref="R652">IFERROR(INDEX('Fund YTD Target Values'!$1:$1000, MATCH($C652,'Fund YTD Target Values'!$A:$A,0), MATCH($A652,'Fund YTD Target Values'!$1:$1,0)),0)</f>
        <v>184883.5181</v>
      </c>
      <c r="S652" s="52">
        <f>IFERROR(__xludf.DUMMYFUNCTION("IFERROR(sum(FILTER('Fund Data'!$V:$V, 'Fund Data'!$C:$C = $C652, 'Fund Data'!$A:$A &lt; $A652)),0) + IFERROR(sum(FILTER('Fund Data'!$V:$V, 'Fund Data'!$C:$C = $C652, 'Fund Data'!$A:$A = $A652, 'Fund Data'!$B:$B &lt;= $B652)),0)"),155000.0)</f>
        <v>155000</v>
      </c>
      <c r="T652" s="123">
        <v>155000.0</v>
      </c>
      <c r="U652" s="44">
        <f t="shared" ref="U652:U678" si="65">S652-T652</f>
        <v>0</v>
      </c>
      <c r="V652" s="44">
        <f t="shared" si="3"/>
        <v>0</v>
      </c>
      <c r="W652" s="123"/>
      <c r="X652" s="123"/>
      <c r="Y652" s="123">
        <v>0.0</v>
      </c>
      <c r="Z652" s="123">
        <v>0.0</v>
      </c>
      <c r="AA652" s="123">
        <v>0.0</v>
      </c>
      <c r="AB652" s="123"/>
      <c r="AC652" s="123">
        <v>0.0</v>
      </c>
      <c r="AD652" s="44">
        <f t="shared" si="7"/>
        <v>-4200</v>
      </c>
      <c r="AE652" s="123">
        <v>0.0</v>
      </c>
    </row>
    <row r="653">
      <c r="A653" s="120">
        <v>2018.0</v>
      </c>
      <c r="B653" s="121">
        <v>5.0</v>
      </c>
      <c r="C653" s="122" t="s">
        <v>51</v>
      </c>
      <c r="D653" s="44"/>
      <c r="E653" s="123">
        <v>1848.94</v>
      </c>
      <c r="F653" s="44"/>
      <c r="G653" s="44"/>
      <c r="H653" s="123">
        <v>-451.2</v>
      </c>
      <c r="I653" s="44"/>
      <c r="J653" s="44"/>
      <c r="K653" s="44"/>
      <c r="L653" s="123">
        <v>-1496.63</v>
      </c>
      <c r="M653" s="44"/>
      <c r="N653" s="44"/>
      <c r="O653" s="123">
        <v>179624.0</v>
      </c>
      <c r="P653" s="52">
        <f t="shared" si="23"/>
        <v>179624.37</v>
      </c>
      <c r="Q653" s="124">
        <f t="shared" si="2"/>
        <v>-0.3700000001</v>
      </c>
      <c r="R653" s="52">
        <f t="array" ref="R653">IFERROR(INDEX('Fund YTD Target Values'!$1:$1000, MATCH($C653,'Fund YTD Target Values'!$A:$A,0), MATCH($A653,'Fund YTD Target Values'!$1:$1,0)),0)</f>
        <v>184883.5181</v>
      </c>
      <c r="S653" s="52">
        <f>IFERROR(__xludf.DUMMYFUNCTION("IFERROR(sum(FILTER('Fund Data'!$V:$V, 'Fund Data'!$C:$C = $C653, 'Fund Data'!$A:$A &lt; $A653)),0) + IFERROR(sum(FILTER('Fund Data'!$V:$V, 'Fund Data'!$C:$C = $C653, 'Fund Data'!$A:$A = $A653, 'Fund Data'!$B:$B &lt;= $B653)),0)"),155000.0)</f>
        <v>155000</v>
      </c>
      <c r="T653" s="123">
        <v>155000.0</v>
      </c>
      <c r="U653" s="44">
        <f t="shared" si="65"/>
        <v>0</v>
      </c>
      <c r="V653" s="44">
        <f t="shared" si="3"/>
        <v>0</v>
      </c>
      <c r="W653" s="123"/>
      <c r="X653" s="123"/>
      <c r="Y653" s="123">
        <v>0.0</v>
      </c>
      <c r="Z653" s="123">
        <v>0.0</v>
      </c>
      <c r="AA653" s="123">
        <v>0.0</v>
      </c>
      <c r="AB653" s="123"/>
      <c r="AC653" s="123">
        <v>0.0</v>
      </c>
      <c r="AD653" s="44">
        <f t="shared" si="7"/>
        <v>0</v>
      </c>
      <c r="AE653" s="123">
        <v>0.0</v>
      </c>
    </row>
    <row r="654">
      <c r="A654" s="120">
        <v>2018.0</v>
      </c>
      <c r="B654" s="121">
        <v>4.0</v>
      </c>
      <c r="C654" s="122" t="s">
        <v>51</v>
      </c>
      <c r="D654" s="44"/>
      <c r="E654" s="123">
        <v>1707.84</v>
      </c>
      <c r="F654" s="44"/>
      <c r="G654" s="44"/>
      <c r="H654" s="123">
        <v>-361.6</v>
      </c>
      <c r="I654" s="44"/>
      <c r="J654" s="44"/>
      <c r="K654" s="44"/>
      <c r="L654" s="123">
        <v>-1874.06</v>
      </c>
      <c r="M654" s="44"/>
      <c r="N654" s="44"/>
      <c r="O654" s="123">
        <v>179195.0</v>
      </c>
      <c r="P654" s="52">
        <f t="shared" si="23"/>
        <v>179195.44</v>
      </c>
      <c r="Q654" s="124">
        <f t="shared" si="2"/>
        <v>-0.4400000001</v>
      </c>
      <c r="R654" s="52">
        <f t="array" ref="R654">IFERROR(INDEX('Fund YTD Target Values'!$1:$1000, MATCH($C654,'Fund YTD Target Values'!$A:$A,0), MATCH($A654,'Fund YTD Target Values'!$1:$1,0)),0)</f>
        <v>184883.5181</v>
      </c>
      <c r="S654" s="52">
        <f>IFERROR(__xludf.DUMMYFUNCTION("IFERROR(sum(FILTER('Fund Data'!$V:$V, 'Fund Data'!$C:$C = $C654, 'Fund Data'!$A:$A &lt; $A654)),0) + IFERROR(sum(FILTER('Fund Data'!$V:$V, 'Fund Data'!$C:$C = $C654, 'Fund Data'!$A:$A = $A654, 'Fund Data'!$B:$B &lt;= $B654)),0)"),155000.0)</f>
        <v>155000</v>
      </c>
      <c r="T654" s="123">
        <v>155000.0</v>
      </c>
      <c r="U654" s="44">
        <f t="shared" si="65"/>
        <v>0</v>
      </c>
      <c r="V654" s="44">
        <f t="shared" si="3"/>
        <v>0</v>
      </c>
      <c r="W654" s="123"/>
      <c r="X654" s="123"/>
      <c r="Y654" s="123">
        <v>0.0</v>
      </c>
      <c r="Z654" s="123">
        <v>0.0</v>
      </c>
      <c r="AA654" s="123">
        <v>0.0</v>
      </c>
      <c r="AB654" s="123"/>
      <c r="AC654" s="123">
        <v>0.0</v>
      </c>
      <c r="AD654" s="44">
        <f t="shared" si="7"/>
        <v>0</v>
      </c>
      <c r="AE654" s="123">
        <v>0.0</v>
      </c>
    </row>
    <row r="655">
      <c r="A655" s="120">
        <v>2018.0</v>
      </c>
      <c r="B655" s="121">
        <v>3.0</v>
      </c>
      <c r="C655" s="122" t="s">
        <v>51</v>
      </c>
      <c r="D655" s="44"/>
      <c r="E655" s="123">
        <v>1275.98</v>
      </c>
      <c r="F655" s="44"/>
      <c r="G655" s="44"/>
      <c r="H655" s="123">
        <v>-272.25</v>
      </c>
      <c r="I655" s="44"/>
      <c r="J655" s="44"/>
      <c r="K655" s="44"/>
      <c r="L655" s="123">
        <v>-2020.78</v>
      </c>
      <c r="M655" s="44"/>
      <c r="N655" s="44"/>
      <c r="O655" s="123">
        <v>178706.0</v>
      </c>
      <c r="P655" s="52">
        <f t="shared" si="23"/>
        <v>178706.21</v>
      </c>
      <c r="Q655" s="124">
        <f t="shared" si="2"/>
        <v>-0.2100000001</v>
      </c>
      <c r="R655" s="52">
        <f t="array" ref="R655">IFERROR(INDEX('Fund YTD Target Values'!$1:$1000, MATCH($C655,'Fund YTD Target Values'!$A:$A,0), MATCH($A655,'Fund YTD Target Values'!$1:$1,0)),0)</f>
        <v>184883.5181</v>
      </c>
      <c r="S655" s="52">
        <f>IFERROR(__xludf.DUMMYFUNCTION("IFERROR(sum(FILTER('Fund Data'!$V:$V, 'Fund Data'!$C:$C = $C655, 'Fund Data'!$A:$A &lt; $A655)),0) + IFERROR(sum(FILTER('Fund Data'!$V:$V, 'Fund Data'!$C:$C = $C655, 'Fund Data'!$A:$A = $A655, 'Fund Data'!$B:$B &lt;= $B655)),0)"),155000.0)</f>
        <v>155000</v>
      </c>
      <c r="T655" s="123">
        <v>155000.0</v>
      </c>
      <c r="U655" s="44">
        <f t="shared" si="65"/>
        <v>0</v>
      </c>
      <c r="V655" s="44">
        <f t="shared" si="3"/>
        <v>0</v>
      </c>
      <c r="W655" s="123"/>
      <c r="X655" s="123"/>
      <c r="Y655" s="123">
        <v>0.0</v>
      </c>
      <c r="Z655" s="123">
        <v>0.0</v>
      </c>
      <c r="AA655" s="123">
        <v>0.0</v>
      </c>
      <c r="AB655" s="123"/>
      <c r="AC655" s="123">
        <v>0.0</v>
      </c>
      <c r="AD655" s="44">
        <f t="shared" si="7"/>
        <v>0</v>
      </c>
      <c r="AE655" s="123">
        <v>0.0</v>
      </c>
    </row>
    <row r="656">
      <c r="A656" s="120">
        <v>2018.0</v>
      </c>
      <c r="B656" s="121">
        <v>2.0</v>
      </c>
      <c r="C656" s="122" t="s">
        <v>51</v>
      </c>
      <c r="D656" s="44"/>
      <c r="E656" s="123">
        <v>1117.76</v>
      </c>
      <c r="F656" s="44"/>
      <c r="G656" s="44"/>
      <c r="H656" s="123">
        <v>-405.09</v>
      </c>
      <c r="I656" s="44"/>
      <c r="J656" s="44"/>
      <c r="K656" s="44"/>
      <c r="L656" s="123">
        <v>-771.33</v>
      </c>
      <c r="M656" s="44"/>
      <c r="N656" s="44"/>
      <c r="O656" s="123">
        <v>179665.0</v>
      </c>
      <c r="P656" s="52">
        <f t="shared" si="23"/>
        <v>179664.6</v>
      </c>
      <c r="Q656" s="124">
        <f t="shared" si="2"/>
        <v>0.3999999999</v>
      </c>
      <c r="R656" s="52">
        <f t="array" ref="R656">IFERROR(INDEX('Fund YTD Target Values'!$1:$1000, MATCH($C656,'Fund YTD Target Values'!$A:$A,0), MATCH($A656,'Fund YTD Target Values'!$1:$1,0)),0)</f>
        <v>184883.5181</v>
      </c>
      <c r="S656" s="52">
        <f>IFERROR(__xludf.DUMMYFUNCTION("IFERROR(sum(FILTER('Fund Data'!$V:$V, 'Fund Data'!$C:$C = $C656, 'Fund Data'!$A:$A &lt; $A656)),0) + IFERROR(sum(FILTER('Fund Data'!$V:$V, 'Fund Data'!$C:$C = $C656, 'Fund Data'!$A:$A = $A656, 'Fund Data'!$B:$B &lt;= $B656)),0)"),155000.0)</f>
        <v>155000</v>
      </c>
      <c r="T656" s="123">
        <v>155000.0</v>
      </c>
      <c r="U656" s="44">
        <f t="shared" si="65"/>
        <v>0</v>
      </c>
      <c r="V656" s="44">
        <f t="shared" si="3"/>
        <v>0</v>
      </c>
      <c r="W656" s="123"/>
      <c r="X656" s="123"/>
      <c r="Y656" s="123">
        <v>0.0</v>
      </c>
      <c r="Z656" s="123">
        <v>0.0</v>
      </c>
      <c r="AA656" s="123">
        <v>0.0</v>
      </c>
      <c r="AB656" s="123"/>
      <c r="AC656" s="123">
        <v>0.0</v>
      </c>
      <c r="AD656" s="44">
        <f t="shared" si="7"/>
        <v>0</v>
      </c>
      <c r="AE656" s="123">
        <v>0.0</v>
      </c>
    </row>
    <row r="657">
      <c r="A657" s="120">
        <v>2018.0</v>
      </c>
      <c r="B657" s="121">
        <v>1.0</v>
      </c>
      <c r="C657" s="122" t="s">
        <v>51</v>
      </c>
      <c r="D657" s="44"/>
      <c r="E657" s="123">
        <v>965.69</v>
      </c>
      <c r="F657" s="44"/>
      <c r="G657" s="44"/>
      <c r="H657" s="123">
        <v>-312.53</v>
      </c>
      <c r="I657" s="44"/>
      <c r="J657" s="44"/>
      <c r="K657" s="44"/>
      <c r="L657" s="123">
        <v>4747.05</v>
      </c>
      <c r="M657" s="44"/>
      <c r="N657" s="44"/>
      <c r="O657" s="123">
        <v>185123.0</v>
      </c>
      <c r="P657" s="52">
        <f t="shared" si="23"/>
        <v>185123.47</v>
      </c>
      <c r="Q657" s="124">
        <f t="shared" si="2"/>
        <v>-0.4700000001</v>
      </c>
      <c r="R657" s="52">
        <f t="array" ref="R657">IFERROR(INDEX('Fund YTD Target Values'!$1:$1000, MATCH($C657,'Fund YTD Target Values'!$A:$A,0), MATCH($A657,'Fund YTD Target Values'!$1:$1,0)),0)</f>
        <v>184883.5181</v>
      </c>
      <c r="S657" s="52">
        <f>IFERROR(__xludf.DUMMYFUNCTION("IFERROR(sum(FILTER('Fund Data'!$V:$V, 'Fund Data'!$C:$C = $C657, 'Fund Data'!$A:$A &lt; $A657)),0) + IFERROR(sum(FILTER('Fund Data'!$V:$V, 'Fund Data'!$C:$C = $C657, 'Fund Data'!$A:$A = $A657, 'Fund Data'!$B:$B &lt;= $B657)),0)"),155000.0)</f>
        <v>155000</v>
      </c>
      <c r="T657" s="123">
        <v>155000.0</v>
      </c>
      <c r="U657" s="44">
        <f t="shared" si="65"/>
        <v>0</v>
      </c>
      <c r="V657" s="44">
        <f t="shared" si="3"/>
        <v>0</v>
      </c>
      <c r="W657" s="123"/>
      <c r="X657" s="123"/>
      <c r="Y657" s="123">
        <v>0.0</v>
      </c>
      <c r="Z657" s="123">
        <v>0.0</v>
      </c>
      <c r="AA657" s="123">
        <v>0.0</v>
      </c>
      <c r="AB657" s="123"/>
      <c r="AC657" s="123">
        <v>0.0</v>
      </c>
      <c r="AD657" s="44">
        <f t="shared" si="7"/>
        <v>0</v>
      </c>
      <c r="AE657" s="123">
        <v>0.0</v>
      </c>
    </row>
    <row r="658">
      <c r="A658" s="120">
        <v>2017.0</v>
      </c>
      <c r="B658" s="121">
        <v>12.0</v>
      </c>
      <c r="C658" s="122" t="s">
        <v>51</v>
      </c>
      <c r="D658" s="123">
        <v>15000.0</v>
      </c>
      <c r="E658" s="123">
        <v>3268.36</v>
      </c>
      <c r="F658" s="123">
        <v>-5000.0</v>
      </c>
      <c r="G658" s="123"/>
      <c r="H658" s="123">
        <v>-963.65</v>
      </c>
      <c r="I658" s="44"/>
      <c r="J658" s="44"/>
      <c r="K658" s="44"/>
      <c r="L658" s="123">
        <v>17887.01</v>
      </c>
      <c r="M658" s="44"/>
      <c r="N658" s="44"/>
      <c r="O658" s="123">
        <v>179723.0</v>
      </c>
      <c r="P658" s="52">
        <f t="shared" si="23"/>
        <v>179723.26</v>
      </c>
      <c r="Q658" s="124">
        <f t="shared" si="2"/>
        <v>-0.26</v>
      </c>
      <c r="R658" s="52">
        <f t="array" ref="R658">IFERROR(INDEX('Fund YTD Target Values'!$1:$1000, MATCH($C658,'Fund YTD Target Values'!$A:$A,0), MATCH($A658,'Fund YTD Target Values'!$1:$1,0)),0)</f>
        <v>165832.7472</v>
      </c>
      <c r="S658" s="52">
        <f>IFERROR(__xludf.DUMMYFUNCTION("IFERROR(sum(FILTER('Fund Data'!$V:$V, 'Fund Data'!$C:$C = $C658, 'Fund Data'!$A:$A &lt; $A658)),0) + IFERROR(sum(FILTER('Fund Data'!$V:$V, 'Fund Data'!$C:$C = $C658, 'Fund Data'!$A:$A = $A658, 'Fund Data'!$B:$B &lt;= $B658)),0)"),155000.0)</f>
        <v>155000</v>
      </c>
      <c r="T658" s="123">
        <v>155000.0</v>
      </c>
      <c r="U658" s="44">
        <f t="shared" si="65"/>
        <v>0</v>
      </c>
      <c r="V658" s="44">
        <f t="shared" si="3"/>
        <v>0</v>
      </c>
      <c r="W658" s="123"/>
      <c r="X658" s="123"/>
      <c r="Y658" s="123">
        <v>0.0</v>
      </c>
      <c r="Z658" s="123">
        <v>0.0</v>
      </c>
      <c r="AA658" s="123">
        <v>0.0</v>
      </c>
      <c r="AB658" s="123"/>
      <c r="AC658" s="123">
        <v>0.0</v>
      </c>
      <c r="AD658" s="44">
        <f t="shared" si="7"/>
        <v>-5000</v>
      </c>
      <c r="AE658" s="123">
        <v>0.0</v>
      </c>
    </row>
    <row r="659">
      <c r="A659" s="120">
        <v>2017.0</v>
      </c>
      <c r="B659" s="121">
        <v>11.0</v>
      </c>
      <c r="C659" s="122" t="s">
        <v>51</v>
      </c>
      <c r="D659" s="123">
        <v>15000.0</v>
      </c>
      <c r="E659" s="123">
        <v>3033.6</v>
      </c>
      <c r="F659" s="123">
        <v>-5000.0</v>
      </c>
      <c r="G659" s="44"/>
      <c r="H659" s="123">
        <v>-874.23</v>
      </c>
      <c r="I659" s="44"/>
      <c r="J659" s="44"/>
      <c r="K659" s="44"/>
      <c r="L659" s="123">
        <v>17156.23</v>
      </c>
      <c r="M659" s="44"/>
      <c r="N659" s="44"/>
      <c r="O659" s="123">
        <v>178847.0</v>
      </c>
      <c r="P659" s="52">
        <f t="shared" si="23"/>
        <v>178847.14</v>
      </c>
      <c r="Q659" s="124">
        <f t="shared" si="2"/>
        <v>-0.14</v>
      </c>
      <c r="R659" s="52">
        <f t="array" ref="R659">IFERROR(INDEX('Fund YTD Target Values'!$1:$1000, MATCH($C659,'Fund YTD Target Values'!$A:$A,0), MATCH($A659,'Fund YTD Target Values'!$1:$1,0)),0)</f>
        <v>165832.7472</v>
      </c>
      <c r="S659" s="52">
        <f>IFERROR(__xludf.DUMMYFUNCTION("IFERROR(sum(FILTER('Fund Data'!$V:$V, 'Fund Data'!$C:$C = $C659, 'Fund Data'!$A:$A &lt; $A659)),0) + IFERROR(sum(FILTER('Fund Data'!$V:$V, 'Fund Data'!$C:$C = $C659, 'Fund Data'!$A:$A = $A659, 'Fund Data'!$B:$B &lt;= $B659)),0)"),155000.0)</f>
        <v>155000</v>
      </c>
      <c r="T659" s="123">
        <v>155000.0</v>
      </c>
      <c r="U659" s="44">
        <f t="shared" si="65"/>
        <v>0</v>
      </c>
      <c r="V659" s="44">
        <f t="shared" si="3"/>
        <v>0</v>
      </c>
      <c r="W659" s="123"/>
      <c r="X659" s="123"/>
      <c r="Y659" s="123">
        <v>0.0</v>
      </c>
      <c r="Z659" s="123">
        <v>0.0</v>
      </c>
      <c r="AA659" s="123">
        <v>0.0</v>
      </c>
      <c r="AB659" s="123"/>
      <c r="AC659" s="123">
        <v>0.0</v>
      </c>
      <c r="AD659" s="44">
        <f t="shared" si="7"/>
        <v>-5000</v>
      </c>
      <c r="AE659" s="123">
        <v>0.0</v>
      </c>
    </row>
    <row r="660">
      <c r="A660" s="120">
        <v>2017.0</v>
      </c>
      <c r="B660" s="121">
        <v>10.0</v>
      </c>
      <c r="C660" s="122" t="s">
        <v>51</v>
      </c>
      <c r="D660" s="123">
        <v>15000.0</v>
      </c>
      <c r="E660" s="123">
        <v>2914.59</v>
      </c>
      <c r="F660" s="123">
        <v>-5000.0</v>
      </c>
      <c r="G660" s="44"/>
      <c r="H660" s="123">
        <v>-785.66</v>
      </c>
      <c r="I660" s="44"/>
      <c r="J660" s="44"/>
      <c r="K660" s="44"/>
      <c r="L660" s="123">
        <v>15466.81</v>
      </c>
      <c r="M660" s="44"/>
      <c r="N660" s="44"/>
      <c r="O660" s="123">
        <v>177127.0</v>
      </c>
      <c r="P660" s="52">
        <f t="shared" si="23"/>
        <v>177127.28</v>
      </c>
      <c r="Q660" s="124">
        <f t="shared" si="2"/>
        <v>-0.28</v>
      </c>
      <c r="R660" s="52">
        <f t="array" ref="R660">IFERROR(INDEX('Fund YTD Target Values'!$1:$1000, MATCH($C660,'Fund YTD Target Values'!$A:$A,0), MATCH($A660,'Fund YTD Target Values'!$1:$1,0)),0)</f>
        <v>165832.7472</v>
      </c>
      <c r="S660" s="52">
        <f>IFERROR(__xludf.DUMMYFUNCTION("IFERROR(sum(FILTER('Fund Data'!$V:$V, 'Fund Data'!$C:$C = $C660, 'Fund Data'!$A:$A &lt; $A660)),0) + IFERROR(sum(FILTER('Fund Data'!$V:$V, 'Fund Data'!$C:$C = $C660, 'Fund Data'!$A:$A = $A660, 'Fund Data'!$B:$B &lt;= $B660)),0)"),155000.0)</f>
        <v>155000</v>
      </c>
      <c r="T660" s="123">
        <v>155000.0</v>
      </c>
      <c r="U660" s="44">
        <f t="shared" si="65"/>
        <v>0</v>
      </c>
      <c r="V660" s="44">
        <f t="shared" si="3"/>
        <v>14950</v>
      </c>
      <c r="W660" s="123"/>
      <c r="X660" s="123"/>
      <c r="Y660" s="123">
        <v>0.0</v>
      </c>
      <c r="Z660" s="123">
        <v>0.0</v>
      </c>
      <c r="AA660" s="123">
        <v>0.0</v>
      </c>
      <c r="AB660" s="123"/>
      <c r="AC660" s="123">
        <v>0.0</v>
      </c>
      <c r="AD660" s="44">
        <f t="shared" si="7"/>
        <v>-5000</v>
      </c>
      <c r="AE660" s="123">
        <v>0.0</v>
      </c>
    </row>
    <row r="661">
      <c r="A661" s="120">
        <v>2017.0</v>
      </c>
      <c r="B661" s="121">
        <v>9.0</v>
      </c>
      <c r="C661" s="122" t="s">
        <v>51</v>
      </c>
      <c r="D661" s="123">
        <v>50.0</v>
      </c>
      <c r="E661" s="123">
        <v>2598.05</v>
      </c>
      <c r="F661" s="123">
        <v>-5000.0</v>
      </c>
      <c r="G661" s="44"/>
      <c r="H661" s="123">
        <v>-705.65</v>
      </c>
      <c r="I661" s="44"/>
      <c r="J661" s="44"/>
      <c r="K661" s="44"/>
      <c r="L661" s="123">
        <v>13550.52</v>
      </c>
      <c r="M661" s="44"/>
      <c r="N661" s="44"/>
      <c r="O661" s="123">
        <v>160024.0</v>
      </c>
      <c r="P661" s="52">
        <f t="shared" si="23"/>
        <v>160024.46</v>
      </c>
      <c r="Q661" s="124">
        <f t="shared" si="2"/>
        <v>-0.4600000001</v>
      </c>
      <c r="R661" s="52">
        <f t="array" ref="R661">IFERROR(INDEX('Fund YTD Target Values'!$1:$1000, MATCH($C661,'Fund YTD Target Values'!$A:$A,0), MATCH($A661,'Fund YTD Target Values'!$1:$1,0)),0)</f>
        <v>165832.7472</v>
      </c>
      <c r="S661" s="52">
        <f>IFERROR(__xludf.DUMMYFUNCTION("IFERROR(sum(FILTER('Fund Data'!$V:$V, 'Fund Data'!$C:$C = $C661, 'Fund Data'!$A:$A &lt; $A661)),0) + IFERROR(sum(FILTER('Fund Data'!$V:$V, 'Fund Data'!$C:$C = $C661, 'Fund Data'!$A:$A = $A661, 'Fund Data'!$B:$B &lt;= $B661)),0)"),140050.0)</f>
        <v>140050</v>
      </c>
      <c r="T661" s="123">
        <v>140050.0</v>
      </c>
      <c r="U661" s="44">
        <f t="shared" si="65"/>
        <v>0</v>
      </c>
      <c r="V661" s="44">
        <f t="shared" si="3"/>
        <v>-14950</v>
      </c>
      <c r="W661" s="123"/>
      <c r="X661" s="123"/>
      <c r="Y661" s="123">
        <v>0.0</v>
      </c>
      <c r="Z661" s="123">
        <v>0.0</v>
      </c>
      <c r="AA661" s="123">
        <v>0.0</v>
      </c>
      <c r="AB661" s="123"/>
      <c r="AC661" s="123">
        <v>0.0</v>
      </c>
      <c r="AD661" s="44">
        <f t="shared" si="7"/>
        <v>-5000</v>
      </c>
      <c r="AE661" s="123">
        <v>0.0</v>
      </c>
    </row>
    <row r="662">
      <c r="A662" s="120">
        <v>2017.0</v>
      </c>
      <c r="B662" s="121">
        <v>8.0</v>
      </c>
      <c r="C662" s="122" t="s">
        <v>51</v>
      </c>
      <c r="D662" s="123">
        <v>15000.0</v>
      </c>
      <c r="E662" s="123">
        <v>2404.82</v>
      </c>
      <c r="F662" s="123">
        <v>-5000.0</v>
      </c>
      <c r="G662" s="44"/>
      <c r="H662" s="123">
        <v>-626.44</v>
      </c>
      <c r="I662" s="44"/>
      <c r="J662" s="44"/>
      <c r="K662" s="44"/>
      <c r="L662" s="123">
        <v>12102.01</v>
      </c>
      <c r="M662" s="44"/>
      <c r="N662" s="44"/>
      <c r="O662" s="123">
        <v>173412.0</v>
      </c>
      <c r="P662" s="52">
        <f t="shared" si="23"/>
        <v>173411.93</v>
      </c>
      <c r="Q662" s="124">
        <f t="shared" si="2"/>
        <v>0.06999999995</v>
      </c>
      <c r="R662" s="52">
        <f t="array" ref="R662">IFERROR(INDEX('Fund YTD Target Values'!$1:$1000, MATCH($C662,'Fund YTD Target Values'!$A:$A,0), MATCH($A662,'Fund YTD Target Values'!$1:$1,0)),0)</f>
        <v>165832.7472</v>
      </c>
      <c r="S662" s="52">
        <f>IFERROR(__xludf.DUMMYFUNCTION("IFERROR(sum(FILTER('Fund Data'!$V:$V, 'Fund Data'!$C:$C = $C662, 'Fund Data'!$A:$A &lt; $A662)),0) + IFERROR(sum(FILTER('Fund Data'!$V:$V, 'Fund Data'!$C:$C = $C662, 'Fund Data'!$A:$A = $A662, 'Fund Data'!$B:$B &lt;= $B662)),0)"),155000.0)</f>
        <v>155000</v>
      </c>
      <c r="T662" s="123">
        <v>155000.0</v>
      </c>
      <c r="U662" s="44">
        <f t="shared" si="65"/>
        <v>0</v>
      </c>
      <c r="V662" s="44">
        <f t="shared" si="3"/>
        <v>15000</v>
      </c>
      <c r="W662" s="123"/>
      <c r="X662" s="123"/>
      <c r="Y662" s="123">
        <v>0.0</v>
      </c>
      <c r="Z662" s="123">
        <v>0.0</v>
      </c>
      <c r="AA662" s="123">
        <v>0.0</v>
      </c>
      <c r="AB662" s="123"/>
      <c r="AC662" s="123">
        <v>0.0</v>
      </c>
      <c r="AD662" s="44">
        <f t="shared" si="7"/>
        <v>-5000</v>
      </c>
      <c r="AE662" s="123">
        <v>0.0</v>
      </c>
    </row>
    <row r="663">
      <c r="A663" s="120">
        <v>2017.0</v>
      </c>
      <c r="B663" s="121">
        <v>7.0</v>
      </c>
      <c r="C663" s="122" t="s">
        <v>51</v>
      </c>
      <c r="D663" s="44"/>
      <c r="E663" s="123">
        <v>2292.84</v>
      </c>
      <c r="F663" s="44"/>
      <c r="G663" s="44"/>
      <c r="H663" s="123">
        <v>-544.94</v>
      </c>
      <c r="I663" s="44"/>
      <c r="J663" s="44"/>
      <c r="K663" s="44"/>
      <c r="L663" s="123">
        <v>11720.56</v>
      </c>
      <c r="M663" s="44"/>
      <c r="N663" s="44"/>
      <c r="O663" s="123">
        <v>163000.0</v>
      </c>
      <c r="P663" s="52">
        <f t="shared" si="23"/>
        <v>163000</v>
      </c>
      <c r="Q663" s="124">
        <f t="shared" si="2"/>
        <v>0</v>
      </c>
      <c r="R663" s="52">
        <f t="array" ref="R663">IFERROR(INDEX('Fund YTD Target Values'!$1:$1000, MATCH($C663,'Fund YTD Target Values'!$A:$A,0), MATCH($A663,'Fund YTD Target Values'!$1:$1,0)),0)</f>
        <v>165832.7472</v>
      </c>
      <c r="S663" s="52">
        <f>IFERROR(__xludf.DUMMYFUNCTION("IFERROR(sum(FILTER('Fund Data'!$V:$V, 'Fund Data'!$C:$C = $C663, 'Fund Data'!$A:$A &lt; $A663)),0) + IFERROR(sum(FILTER('Fund Data'!$V:$V, 'Fund Data'!$C:$C = $C663, 'Fund Data'!$A:$A = $A663, 'Fund Data'!$B:$B &lt;= $B663)),0)"),140000.0)</f>
        <v>140000</v>
      </c>
      <c r="T663" s="123">
        <v>140000.0</v>
      </c>
      <c r="U663" s="44">
        <f t="shared" si="65"/>
        <v>0</v>
      </c>
      <c r="V663" s="44">
        <f t="shared" si="3"/>
        <v>0</v>
      </c>
      <c r="W663" s="123"/>
      <c r="X663" s="123"/>
      <c r="Y663" s="123">
        <v>0.0</v>
      </c>
      <c r="Z663" s="123">
        <v>0.0</v>
      </c>
      <c r="AA663" s="123">
        <v>0.0</v>
      </c>
      <c r="AB663" s="123"/>
      <c r="AC663" s="123">
        <v>0.0</v>
      </c>
      <c r="AD663" s="44">
        <f t="shared" si="7"/>
        <v>0</v>
      </c>
      <c r="AE663" s="123">
        <v>0.0</v>
      </c>
    </row>
    <row r="664">
      <c r="A664" s="120">
        <v>2017.0</v>
      </c>
      <c r="B664" s="121">
        <v>6.0</v>
      </c>
      <c r="C664" s="122" t="s">
        <v>51</v>
      </c>
      <c r="D664" s="44"/>
      <c r="E664" s="123">
        <v>1823.63</v>
      </c>
      <c r="F664" s="44"/>
      <c r="G664" s="44"/>
      <c r="H664" s="123">
        <v>-465.14</v>
      </c>
      <c r="I664" s="44"/>
      <c r="J664" s="44"/>
      <c r="K664" s="44"/>
      <c r="L664" s="123">
        <v>8704.09</v>
      </c>
      <c r="M664" s="44"/>
      <c r="N664" s="44"/>
      <c r="O664" s="123">
        <v>159594.0</v>
      </c>
      <c r="P664" s="52">
        <f t="shared" si="23"/>
        <v>159594.12</v>
      </c>
      <c r="Q664" s="124">
        <f t="shared" si="2"/>
        <v>-0.12</v>
      </c>
      <c r="R664" s="52">
        <f t="array" ref="R664">IFERROR(INDEX('Fund YTD Target Values'!$1:$1000, MATCH($C664,'Fund YTD Target Values'!$A:$A,0), MATCH($A664,'Fund YTD Target Values'!$1:$1,0)),0)</f>
        <v>165832.7472</v>
      </c>
      <c r="S664" s="52">
        <f>IFERROR(__xludf.DUMMYFUNCTION("IFERROR(sum(FILTER('Fund Data'!$V:$V, 'Fund Data'!$C:$C = $C664, 'Fund Data'!$A:$A &lt; $A664)),0) + IFERROR(sum(FILTER('Fund Data'!$V:$V, 'Fund Data'!$C:$C = $C664, 'Fund Data'!$A:$A = $A664, 'Fund Data'!$B:$B &lt;= $B664)),0)"),140000.0)</f>
        <v>140000</v>
      </c>
      <c r="T664" s="123">
        <v>140000.0</v>
      </c>
      <c r="U664" s="44">
        <f t="shared" si="65"/>
        <v>0</v>
      </c>
      <c r="V664" s="44">
        <f t="shared" si="3"/>
        <v>0</v>
      </c>
      <c r="W664" s="123"/>
      <c r="X664" s="123"/>
      <c r="Y664" s="123">
        <v>0.0</v>
      </c>
      <c r="Z664" s="123">
        <v>0.0</v>
      </c>
      <c r="AA664" s="123">
        <v>0.0</v>
      </c>
      <c r="AB664" s="123"/>
      <c r="AC664" s="123">
        <v>0.0</v>
      </c>
      <c r="AD664" s="44">
        <f t="shared" si="7"/>
        <v>0</v>
      </c>
      <c r="AE664" s="123">
        <v>0.0</v>
      </c>
    </row>
    <row r="665">
      <c r="A665" s="120">
        <v>2017.0</v>
      </c>
      <c r="B665" s="121">
        <v>5.0</v>
      </c>
      <c r="C665" s="122" t="s">
        <v>51</v>
      </c>
      <c r="D665" s="44"/>
      <c r="E665" s="123">
        <v>1719.43</v>
      </c>
      <c r="F665" s="44"/>
      <c r="G665" s="44"/>
      <c r="H665" s="123">
        <v>-385.51</v>
      </c>
      <c r="I665" s="44"/>
      <c r="J665" s="44"/>
      <c r="K665" s="44"/>
      <c r="L665" s="123">
        <v>8393.92</v>
      </c>
      <c r="M665" s="44"/>
      <c r="N665" s="44"/>
      <c r="O665" s="123">
        <v>159259.0</v>
      </c>
      <c r="P665" s="52">
        <f t="shared" si="23"/>
        <v>159259.38</v>
      </c>
      <c r="Q665" s="124">
        <f t="shared" si="2"/>
        <v>-0.38</v>
      </c>
      <c r="R665" s="52">
        <f t="array" ref="R665">IFERROR(INDEX('Fund YTD Target Values'!$1:$1000, MATCH($C665,'Fund YTD Target Values'!$A:$A,0), MATCH($A665,'Fund YTD Target Values'!$1:$1,0)),0)</f>
        <v>165832.7472</v>
      </c>
      <c r="S665" s="52">
        <f>IFERROR(__xludf.DUMMYFUNCTION("IFERROR(sum(FILTER('Fund Data'!$V:$V, 'Fund Data'!$C:$C = $C665, 'Fund Data'!$A:$A &lt; $A665)),0) + IFERROR(sum(FILTER('Fund Data'!$V:$V, 'Fund Data'!$C:$C = $C665, 'Fund Data'!$A:$A = $A665, 'Fund Data'!$B:$B &lt;= $B665)),0)"),140000.0)</f>
        <v>140000</v>
      </c>
      <c r="T665" s="123">
        <v>140000.0</v>
      </c>
      <c r="U665" s="44">
        <f t="shared" si="65"/>
        <v>0</v>
      </c>
      <c r="V665" s="44">
        <f t="shared" si="3"/>
        <v>0</v>
      </c>
      <c r="W665" s="123"/>
      <c r="X665" s="123"/>
      <c r="Y665" s="123">
        <v>0.0</v>
      </c>
      <c r="Z665" s="123">
        <v>0.0</v>
      </c>
      <c r="AA665" s="123">
        <v>0.0</v>
      </c>
      <c r="AB665" s="123"/>
      <c r="AC665" s="123">
        <v>0.0</v>
      </c>
      <c r="AD665" s="44">
        <f t="shared" si="7"/>
        <v>0</v>
      </c>
      <c r="AE665" s="123">
        <v>0.0</v>
      </c>
    </row>
    <row r="666">
      <c r="A666" s="120">
        <v>2017.0</v>
      </c>
      <c r="B666" s="121">
        <v>4.0</v>
      </c>
      <c r="C666" s="122" t="s">
        <v>51</v>
      </c>
      <c r="D666" s="44"/>
      <c r="E666" s="123">
        <v>1619.46</v>
      </c>
      <c r="F666" s="44"/>
      <c r="G666" s="44"/>
      <c r="H666" s="123">
        <v>-306.69</v>
      </c>
      <c r="I666" s="44"/>
      <c r="J666" s="44"/>
      <c r="K666" s="44"/>
      <c r="L666" s="123">
        <v>6785.8</v>
      </c>
      <c r="M666" s="44"/>
      <c r="N666" s="44"/>
      <c r="O666" s="123">
        <v>157630.0</v>
      </c>
      <c r="P666" s="52">
        <f t="shared" si="23"/>
        <v>157630.11</v>
      </c>
      <c r="Q666" s="124">
        <f t="shared" si="2"/>
        <v>-0.11</v>
      </c>
      <c r="R666" s="52">
        <f t="array" ref="R666">IFERROR(INDEX('Fund YTD Target Values'!$1:$1000, MATCH($C666,'Fund YTD Target Values'!$A:$A,0), MATCH($A666,'Fund YTD Target Values'!$1:$1,0)),0)</f>
        <v>165832.7472</v>
      </c>
      <c r="S666" s="52">
        <f>IFERROR(__xludf.DUMMYFUNCTION("IFERROR(sum(FILTER('Fund Data'!$V:$V, 'Fund Data'!$C:$C = $C666, 'Fund Data'!$A:$A &lt; $A666)),0) + IFERROR(sum(FILTER('Fund Data'!$V:$V, 'Fund Data'!$C:$C = $C666, 'Fund Data'!$A:$A = $A666, 'Fund Data'!$B:$B &lt;= $B666)),0)"),140000.0)</f>
        <v>140000</v>
      </c>
      <c r="T666" s="123">
        <v>140000.0</v>
      </c>
      <c r="U666" s="44">
        <f t="shared" si="65"/>
        <v>0</v>
      </c>
      <c r="V666" s="44">
        <f t="shared" si="3"/>
        <v>0</v>
      </c>
      <c r="W666" s="123"/>
      <c r="X666" s="123"/>
      <c r="Y666" s="123">
        <v>0.0</v>
      </c>
      <c r="Z666" s="123">
        <v>0.0</v>
      </c>
      <c r="AA666" s="123">
        <v>0.0</v>
      </c>
      <c r="AB666" s="123"/>
      <c r="AC666" s="123">
        <v>0.0</v>
      </c>
      <c r="AD666" s="44">
        <f t="shared" si="7"/>
        <v>0</v>
      </c>
      <c r="AE666" s="123">
        <v>0.0</v>
      </c>
    </row>
    <row r="667">
      <c r="A667" s="120">
        <v>2017.0</v>
      </c>
      <c r="B667" s="121">
        <v>3.0</v>
      </c>
      <c r="C667" s="122" t="s">
        <v>51</v>
      </c>
      <c r="D667" s="44"/>
      <c r="E667" s="123">
        <v>1223.42</v>
      </c>
      <c r="F667" s="44"/>
      <c r="G667" s="44"/>
      <c r="H667" s="123">
        <v>-228.75</v>
      </c>
      <c r="I667" s="44"/>
      <c r="J667" s="44"/>
      <c r="K667" s="44"/>
      <c r="L667" s="123">
        <v>5358.37</v>
      </c>
      <c r="M667" s="44"/>
      <c r="N667" s="44"/>
      <c r="O667" s="123">
        <v>155885.0</v>
      </c>
      <c r="P667" s="52">
        <f t="shared" si="23"/>
        <v>155884.58</v>
      </c>
      <c r="Q667" s="124">
        <f t="shared" si="2"/>
        <v>0.42</v>
      </c>
      <c r="R667" s="52">
        <f t="array" ref="R667">IFERROR(INDEX('Fund YTD Target Values'!$1:$1000, MATCH($C667,'Fund YTD Target Values'!$A:$A,0), MATCH($A667,'Fund YTD Target Values'!$1:$1,0)),0)</f>
        <v>165832.7472</v>
      </c>
      <c r="S667" s="52">
        <f>IFERROR(__xludf.DUMMYFUNCTION("IFERROR(sum(FILTER('Fund Data'!$V:$V, 'Fund Data'!$C:$C = $C667, 'Fund Data'!$A:$A &lt; $A667)),0) + IFERROR(sum(FILTER('Fund Data'!$V:$V, 'Fund Data'!$C:$C = $C667, 'Fund Data'!$A:$A = $A667, 'Fund Data'!$B:$B &lt;= $B667)),0)"),140000.0)</f>
        <v>140000</v>
      </c>
      <c r="T667" s="123">
        <v>140000.0</v>
      </c>
      <c r="U667" s="44">
        <f t="shared" si="65"/>
        <v>0</v>
      </c>
      <c r="V667" s="44">
        <f t="shared" si="3"/>
        <v>0</v>
      </c>
      <c r="W667" s="123"/>
      <c r="X667" s="123"/>
      <c r="Y667" s="123">
        <v>0.0</v>
      </c>
      <c r="Z667" s="123">
        <v>0.0</v>
      </c>
      <c r="AA667" s="123">
        <v>0.0</v>
      </c>
      <c r="AB667" s="123"/>
      <c r="AC667" s="123">
        <v>0.0</v>
      </c>
      <c r="AD667" s="44">
        <f t="shared" si="7"/>
        <v>0</v>
      </c>
      <c r="AE667" s="123">
        <v>0.0</v>
      </c>
    </row>
    <row r="668">
      <c r="A668" s="120">
        <v>2017.0</v>
      </c>
      <c r="B668" s="121">
        <v>2.0</v>
      </c>
      <c r="C668" s="122" t="s">
        <v>51</v>
      </c>
      <c r="D668" s="44"/>
      <c r="E668" s="123">
        <v>1124.18</v>
      </c>
      <c r="F668" s="44"/>
      <c r="G668" s="44"/>
      <c r="H668" s="123">
        <v>-151.07</v>
      </c>
      <c r="I668" s="44"/>
      <c r="J668" s="44"/>
      <c r="K668" s="44"/>
      <c r="L668" s="123">
        <v>4856.47</v>
      </c>
      <c r="M668" s="44"/>
      <c r="N668" s="44"/>
      <c r="O668" s="123">
        <v>155361.0</v>
      </c>
      <c r="P668" s="52">
        <f t="shared" si="23"/>
        <v>155361.12</v>
      </c>
      <c r="Q668" s="124">
        <f t="shared" si="2"/>
        <v>-0.12</v>
      </c>
      <c r="R668" s="52">
        <f t="array" ref="R668">IFERROR(INDEX('Fund YTD Target Values'!$1:$1000, MATCH($C668,'Fund YTD Target Values'!$A:$A,0), MATCH($A668,'Fund YTD Target Values'!$1:$1,0)),0)</f>
        <v>165832.7472</v>
      </c>
      <c r="S668" s="52">
        <f>IFERROR(__xludf.DUMMYFUNCTION("IFERROR(sum(FILTER('Fund Data'!$V:$V, 'Fund Data'!$C:$C = $C668, 'Fund Data'!$A:$A &lt; $A668)),0) + IFERROR(sum(FILTER('Fund Data'!$V:$V, 'Fund Data'!$C:$C = $C668, 'Fund Data'!$A:$A = $A668, 'Fund Data'!$B:$B &lt;= $B668)),0)"),140000.0)</f>
        <v>140000</v>
      </c>
      <c r="T668" s="123">
        <v>140000.0</v>
      </c>
      <c r="U668" s="44">
        <f t="shared" si="65"/>
        <v>0</v>
      </c>
      <c r="V668" s="44">
        <f t="shared" si="3"/>
        <v>0</v>
      </c>
      <c r="W668" s="123"/>
      <c r="X668" s="123"/>
      <c r="Y668" s="123">
        <v>0.0</v>
      </c>
      <c r="Z668" s="123">
        <v>0.0</v>
      </c>
      <c r="AA668" s="123">
        <v>0.0</v>
      </c>
      <c r="AB668" s="123"/>
      <c r="AC668" s="123">
        <v>0.0</v>
      </c>
      <c r="AD668" s="44">
        <f t="shared" si="7"/>
        <v>0</v>
      </c>
      <c r="AE668" s="123">
        <v>0.0</v>
      </c>
    </row>
    <row r="669">
      <c r="A669" s="120">
        <v>2017.0</v>
      </c>
      <c r="B669" s="121">
        <v>1.0</v>
      </c>
      <c r="C669" s="122" t="s">
        <v>51</v>
      </c>
      <c r="D669" s="44"/>
      <c r="E669" s="123">
        <v>1023.55</v>
      </c>
      <c r="F669" s="44"/>
      <c r="G669" s="44"/>
      <c r="H669" s="123">
        <v>-74.77</v>
      </c>
      <c r="I669" s="44"/>
      <c r="J669" s="44"/>
      <c r="K669" s="44"/>
      <c r="L669" s="123">
        <v>2123.07</v>
      </c>
      <c r="M669" s="44"/>
      <c r="N669" s="44"/>
      <c r="O669" s="123">
        <v>152603.0</v>
      </c>
      <c r="P669" s="52">
        <f t="shared" si="23"/>
        <v>152603.39</v>
      </c>
      <c r="Q669" s="124">
        <f t="shared" si="2"/>
        <v>-0.39</v>
      </c>
      <c r="R669" s="52">
        <f t="array" ref="R669">IFERROR(INDEX('Fund YTD Target Values'!$1:$1000, MATCH($C669,'Fund YTD Target Values'!$A:$A,0), MATCH($A669,'Fund YTD Target Values'!$1:$1,0)),0)</f>
        <v>165832.7472</v>
      </c>
      <c r="S669" s="52">
        <f>IFERROR(__xludf.DUMMYFUNCTION("IFERROR(sum(FILTER('Fund Data'!$V:$V, 'Fund Data'!$C:$C = $C669, 'Fund Data'!$A:$A &lt; $A669)),0) + IFERROR(sum(FILTER('Fund Data'!$V:$V, 'Fund Data'!$C:$C = $C669, 'Fund Data'!$A:$A = $A669, 'Fund Data'!$B:$B &lt;= $B669)),0)"),140000.0)</f>
        <v>140000</v>
      </c>
      <c r="T669" s="123">
        <v>140000.0</v>
      </c>
      <c r="U669" s="44">
        <f t="shared" si="65"/>
        <v>0</v>
      </c>
      <c r="V669" s="44">
        <f t="shared" si="3"/>
        <v>0</v>
      </c>
      <c r="W669" s="123"/>
      <c r="X669" s="123"/>
      <c r="Y669" s="123">
        <v>0.0</v>
      </c>
      <c r="Z669" s="123">
        <v>0.0</v>
      </c>
      <c r="AA669" s="123">
        <v>0.0</v>
      </c>
      <c r="AB669" s="123"/>
      <c r="AC669" s="123">
        <v>0.0</v>
      </c>
      <c r="AD669" s="44">
        <f t="shared" si="7"/>
        <v>0</v>
      </c>
      <c r="AE669" s="123">
        <v>0.0</v>
      </c>
    </row>
    <row r="670">
      <c r="A670" s="120">
        <v>2016.0</v>
      </c>
      <c r="B670" s="121">
        <v>12.0</v>
      </c>
      <c r="C670" s="122" t="s">
        <v>51</v>
      </c>
      <c r="D670" s="123">
        <v>15000.0</v>
      </c>
      <c r="E670" s="123">
        <v>2904.54</v>
      </c>
      <c r="F670" s="123">
        <v>-4000.0</v>
      </c>
      <c r="G670" s="123"/>
      <c r="H670" s="123">
        <v>-803.45</v>
      </c>
      <c r="I670" s="44"/>
      <c r="J670" s="123">
        <v>71.79</v>
      </c>
      <c r="K670" s="44"/>
      <c r="L670" s="123">
        <v>5807.22</v>
      </c>
      <c r="M670" s="44"/>
      <c r="N670" s="44"/>
      <c r="O670" s="123">
        <v>149532.0</v>
      </c>
      <c r="P670" s="52">
        <f t="shared" si="23"/>
        <v>149531.54</v>
      </c>
      <c r="Q670" s="124">
        <f t="shared" si="2"/>
        <v>0.46</v>
      </c>
      <c r="R670" s="52">
        <f t="array" ref="R670">IFERROR(INDEX('Fund YTD Target Values'!$1:$1000, MATCH($C670,'Fund YTD Target Values'!$A:$A,0), MATCH($A670,'Fund YTD Target Values'!$1:$1,0)),0)</f>
        <v>147684.6786</v>
      </c>
      <c r="S670" s="52">
        <f>IFERROR(__xludf.DUMMYFUNCTION("IFERROR(sum(FILTER('Fund Data'!$V:$V, 'Fund Data'!$C:$C = $C670, 'Fund Data'!$A:$A &lt; $A670)),0) + IFERROR(sum(FILTER('Fund Data'!$V:$V, 'Fund Data'!$C:$C = $C670, 'Fund Data'!$A:$A = $A670, 'Fund Data'!$B:$B &lt;= $B670)),0)"),140000.0)</f>
        <v>140000</v>
      </c>
      <c r="T670" s="123">
        <v>140000.0</v>
      </c>
      <c r="U670" s="44">
        <f t="shared" si="65"/>
        <v>0</v>
      </c>
      <c r="V670" s="44">
        <f t="shared" si="3"/>
        <v>15000</v>
      </c>
      <c r="W670" s="123"/>
      <c r="X670" s="123"/>
      <c r="Y670" s="123">
        <v>0.0</v>
      </c>
      <c r="Z670" s="123">
        <v>0.0</v>
      </c>
      <c r="AA670" s="123">
        <v>0.0</v>
      </c>
      <c r="AB670" s="123"/>
      <c r="AC670" s="123">
        <v>0.0</v>
      </c>
      <c r="AD670" s="44">
        <f t="shared" si="7"/>
        <v>-4000</v>
      </c>
      <c r="AE670" s="123">
        <v>0.0</v>
      </c>
    </row>
    <row r="671">
      <c r="A671" s="120">
        <v>2015.0</v>
      </c>
      <c r="B671" s="121">
        <v>12.0</v>
      </c>
      <c r="C671" s="122" t="s">
        <v>51</v>
      </c>
      <c r="D671" s="123">
        <v>15000.0</v>
      </c>
      <c r="E671" s="123">
        <v>2676.82</v>
      </c>
      <c r="F671" s="123">
        <v>-3000.0</v>
      </c>
      <c r="G671" s="123"/>
      <c r="H671" s="123">
        <v>-768.61</v>
      </c>
      <c r="I671" s="44"/>
      <c r="J671" s="44"/>
      <c r="K671" s="44"/>
      <c r="L671" s="123">
        <v>-5638.43</v>
      </c>
      <c r="M671" s="44"/>
      <c r="N671" s="44"/>
      <c r="O671" s="123">
        <v>130551.0</v>
      </c>
      <c r="P671" s="52">
        <f t="shared" si="23"/>
        <v>130551.44</v>
      </c>
      <c r="Q671" s="124">
        <f t="shared" si="2"/>
        <v>-0.44</v>
      </c>
      <c r="R671" s="52">
        <f t="array" ref="R671">IFERROR(INDEX('Fund YTD Target Values'!$1:$1000, MATCH($C671,'Fund YTD Target Values'!$A:$A,0), MATCH($A671,'Fund YTD Target Values'!$1:$1,0)),0)</f>
        <v>131031.2686</v>
      </c>
      <c r="S671" s="52">
        <f>IFERROR(__xludf.DUMMYFUNCTION("IFERROR(sum(FILTER('Fund Data'!$V:$V, 'Fund Data'!$C:$C = $C671, 'Fund Data'!$A:$A &lt; $A671)),0) + IFERROR(sum(FILTER('Fund Data'!$V:$V, 'Fund Data'!$C:$C = $C671, 'Fund Data'!$A:$A = $A671, 'Fund Data'!$B:$B &lt;= $B671)),0)"),125000.0)</f>
        <v>125000</v>
      </c>
      <c r="T671" s="123">
        <v>125000.0</v>
      </c>
      <c r="U671" s="44">
        <f t="shared" si="65"/>
        <v>0</v>
      </c>
      <c r="V671" s="44">
        <f t="shared" si="3"/>
        <v>15000</v>
      </c>
      <c r="W671" s="123"/>
      <c r="X671" s="123"/>
      <c r="Y671" s="123">
        <v>0.0</v>
      </c>
      <c r="Z671" s="123">
        <v>0.0</v>
      </c>
      <c r="AA671" s="123">
        <v>0.0</v>
      </c>
      <c r="AB671" s="123"/>
      <c r="AC671" s="123">
        <v>0.0</v>
      </c>
      <c r="AD671" s="44">
        <f t="shared" si="7"/>
        <v>-3000</v>
      </c>
      <c r="AE671" s="123">
        <v>0.0</v>
      </c>
    </row>
    <row r="672">
      <c r="A672" s="120">
        <v>2014.0</v>
      </c>
      <c r="B672" s="121">
        <v>12.0</v>
      </c>
      <c r="C672" s="122" t="s">
        <v>51</v>
      </c>
      <c r="D672" s="123">
        <v>10000.0</v>
      </c>
      <c r="E672" s="123">
        <v>2124.72</v>
      </c>
      <c r="F672" s="123">
        <v>-3000.0</v>
      </c>
      <c r="G672" s="123"/>
      <c r="H672" s="123">
        <v>-721.65</v>
      </c>
      <c r="I672" s="44"/>
      <c r="J672" s="44"/>
      <c r="K672" s="44"/>
      <c r="L672" s="123">
        <v>459.35</v>
      </c>
      <c r="M672" s="44"/>
      <c r="N672" s="44"/>
      <c r="O672" s="123">
        <v>122282.0</v>
      </c>
      <c r="P672" s="52">
        <f t="shared" si="23"/>
        <v>122281.66</v>
      </c>
      <c r="Q672" s="124">
        <f t="shared" si="2"/>
        <v>0.34</v>
      </c>
      <c r="R672" s="52">
        <f t="array" ref="R672">IFERROR(INDEX('Fund YTD Target Values'!$1:$1000, MATCH($C672,'Fund YTD Target Values'!$A:$A,0), MATCH($A672,'Fund YTD Target Values'!$1:$1,0)),0)</f>
        <v>115893.4717</v>
      </c>
      <c r="S672" s="52">
        <f>IFERROR(__xludf.DUMMYFUNCTION("IFERROR(sum(FILTER('Fund Data'!$V:$V, 'Fund Data'!$C:$C = $C672, 'Fund Data'!$A:$A &lt; $A672)),0) + IFERROR(sum(FILTER('Fund Data'!$V:$V, 'Fund Data'!$C:$C = $C672, 'Fund Data'!$A:$A = $A672, 'Fund Data'!$B:$B &lt;= $B672)),0)"),110000.0)</f>
        <v>110000</v>
      </c>
      <c r="T672" s="123">
        <v>110000.0</v>
      </c>
      <c r="U672" s="44">
        <f t="shared" si="65"/>
        <v>0</v>
      </c>
      <c r="V672" s="44">
        <f t="shared" si="3"/>
        <v>10000</v>
      </c>
      <c r="W672" s="123"/>
      <c r="X672" s="123"/>
      <c r="Y672" s="123">
        <v>0.0</v>
      </c>
      <c r="Z672" s="123">
        <v>0.0</v>
      </c>
      <c r="AA672" s="123">
        <v>0.0</v>
      </c>
      <c r="AB672" s="123"/>
      <c r="AC672" s="123">
        <v>0.0</v>
      </c>
      <c r="AD672" s="44">
        <f t="shared" si="7"/>
        <v>-3000</v>
      </c>
      <c r="AE672" s="123">
        <v>0.0</v>
      </c>
    </row>
    <row r="673">
      <c r="A673" s="120">
        <v>2013.0</v>
      </c>
      <c r="B673" s="121">
        <v>12.0</v>
      </c>
      <c r="C673" s="122" t="s">
        <v>51</v>
      </c>
      <c r="D673" s="123">
        <v>10000.0</v>
      </c>
      <c r="E673" s="123">
        <v>1253.96</v>
      </c>
      <c r="F673" s="123">
        <v>-2000.0</v>
      </c>
      <c r="G673" s="123"/>
      <c r="H673" s="123">
        <v>-630.15</v>
      </c>
      <c r="I673" s="44"/>
      <c r="J673" s="123">
        <v>264.79</v>
      </c>
      <c r="K673" s="44"/>
      <c r="L673" s="123">
        <v>5516.4</v>
      </c>
      <c r="M673" s="44"/>
      <c r="N673" s="44"/>
      <c r="O673" s="123">
        <v>113419.0</v>
      </c>
      <c r="P673" s="52">
        <f t="shared" si="23"/>
        <v>113419.24</v>
      </c>
      <c r="Q673" s="124">
        <f t="shared" si="2"/>
        <v>-0.24</v>
      </c>
      <c r="R673" s="52">
        <f t="array" ref="R673">IFERROR(INDEX('Fund YTD Target Values'!$1:$1000, MATCH($C673,'Fund YTD Target Values'!$A:$A,0), MATCH($A673,'Fund YTD Target Values'!$1:$1,0)),0)</f>
        <v>104203.3919</v>
      </c>
      <c r="S673" s="52">
        <f>IFERROR(__xludf.DUMMYFUNCTION("IFERROR(sum(FILTER('Fund Data'!$V:$V, 'Fund Data'!$C:$C = $C673, 'Fund Data'!$A:$A &lt; $A673)),0) + IFERROR(sum(FILTER('Fund Data'!$V:$V, 'Fund Data'!$C:$C = $C673, 'Fund Data'!$A:$A = $A673, 'Fund Data'!$B:$B &lt;= $B673)),0)"),100000.0)</f>
        <v>100000</v>
      </c>
      <c r="T673" s="123">
        <v>100000.0</v>
      </c>
      <c r="U673" s="44">
        <f t="shared" si="65"/>
        <v>0</v>
      </c>
      <c r="V673" s="44">
        <f t="shared" si="3"/>
        <v>10000</v>
      </c>
      <c r="W673" s="123"/>
      <c r="X673" s="123"/>
      <c r="Y673" s="123">
        <v>0.0</v>
      </c>
      <c r="Z673" s="123">
        <v>0.0</v>
      </c>
      <c r="AA673" s="123">
        <v>0.0</v>
      </c>
      <c r="AB673" s="123"/>
      <c r="AC673" s="123">
        <v>0.0</v>
      </c>
      <c r="AD673" s="44">
        <f t="shared" si="7"/>
        <v>-2000</v>
      </c>
      <c r="AE673" s="123">
        <v>0.0</v>
      </c>
    </row>
    <row r="674">
      <c r="A674" s="120">
        <v>2012.0</v>
      </c>
      <c r="B674" s="121">
        <v>12.0</v>
      </c>
      <c r="C674" s="122" t="s">
        <v>51</v>
      </c>
      <c r="D674" s="123">
        <v>30000.0</v>
      </c>
      <c r="E674" s="123">
        <v>1032.94</v>
      </c>
      <c r="F674" s="123">
        <v>-1000.0</v>
      </c>
      <c r="G674" s="123"/>
      <c r="H674" s="123">
        <v>-474.33</v>
      </c>
      <c r="I674" s="44"/>
      <c r="J674" s="44"/>
      <c r="K674" s="44"/>
      <c r="L674" s="123">
        <v>4734.96</v>
      </c>
      <c r="M674" s="44"/>
      <c r="N674" s="44"/>
      <c r="O674" s="123">
        <v>99015.0</v>
      </c>
      <c r="P674" s="52">
        <f t="shared" si="23"/>
        <v>99014.24</v>
      </c>
      <c r="Q674" s="124">
        <f t="shared" si="2"/>
        <v>0.76</v>
      </c>
      <c r="R674" s="52">
        <f t="array" ref="R674">IFERROR(INDEX('Fund YTD Target Values'!$1:$1000, MATCH($C674,'Fund YTD Target Values'!$A:$A,0), MATCH($A674,'Fund YTD Target Values'!$1:$1,0)),0)</f>
        <v>92842.28179</v>
      </c>
      <c r="S674" s="52">
        <f>IFERROR(__xludf.DUMMYFUNCTION("IFERROR(sum(FILTER('Fund Data'!$V:$V, 'Fund Data'!$C:$C = $C674, 'Fund Data'!$A:$A &lt; $A674)),0) + IFERROR(sum(FILTER('Fund Data'!$V:$V, 'Fund Data'!$C:$C = $C674, 'Fund Data'!$A:$A = $A674, 'Fund Data'!$B:$B &lt;= $B674)),0)"),90000.0)</f>
        <v>90000</v>
      </c>
      <c r="T674" s="123">
        <v>90000.0</v>
      </c>
      <c r="U674" s="44">
        <f t="shared" si="65"/>
        <v>0</v>
      </c>
      <c r="V674" s="44">
        <f t="shared" si="3"/>
        <v>30000</v>
      </c>
      <c r="W674" s="123"/>
      <c r="X674" s="123"/>
      <c r="Y674" s="123">
        <v>0.0</v>
      </c>
      <c r="Z674" s="123">
        <v>0.0</v>
      </c>
      <c r="AA674" s="123">
        <v>0.0</v>
      </c>
      <c r="AB674" s="123"/>
      <c r="AC674" s="123">
        <v>0.0</v>
      </c>
      <c r="AD674" s="44">
        <f t="shared" si="7"/>
        <v>-1000</v>
      </c>
      <c r="AE674" s="123">
        <v>0.0</v>
      </c>
    </row>
    <row r="675">
      <c r="A675" s="120">
        <v>2011.0</v>
      </c>
      <c r="B675" s="121">
        <v>12.0</v>
      </c>
      <c r="C675" s="122" t="s">
        <v>51</v>
      </c>
      <c r="D675" s="123">
        <v>20000.0</v>
      </c>
      <c r="E675" s="123">
        <v>829.67</v>
      </c>
      <c r="F675" s="44"/>
      <c r="G675" s="123"/>
      <c r="H675" s="123">
        <v>-365.21</v>
      </c>
      <c r="I675" s="44"/>
      <c r="J675" s="44"/>
      <c r="K675" s="44"/>
      <c r="L675" s="123">
        <v>-2950.39</v>
      </c>
      <c r="M675" s="44"/>
      <c r="N675" s="44"/>
      <c r="O675" s="123">
        <v>64721.0</v>
      </c>
      <c r="P675" s="52">
        <f t="shared" si="23"/>
        <v>64720.67</v>
      </c>
      <c r="Q675" s="124">
        <f t="shared" si="2"/>
        <v>0.33</v>
      </c>
      <c r="R675" s="52">
        <f t="array" ref="R675">IFERROR(INDEX('Fund YTD Target Values'!$1:$1000, MATCH($C675,'Fund YTD Target Values'!$A:$A,0), MATCH($A675,'Fund YTD Target Values'!$1:$1,0)),0)</f>
        <v>61565.90199</v>
      </c>
      <c r="S675" s="52">
        <f>IFERROR(__xludf.DUMMYFUNCTION("IFERROR(sum(FILTER('Fund Data'!$V:$V, 'Fund Data'!$C:$C = $C675, 'Fund Data'!$A:$A &lt; $A675)),0) + IFERROR(sum(FILTER('Fund Data'!$V:$V, 'Fund Data'!$C:$C = $C675, 'Fund Data'!$A:$A = $A675, 'Fund Data'!$B:$B &lt;= $B675)),0)"),60000.0)</f>
        <v>60000</v>
      </c>
      <c r="T675" s="123">
        <v>60000.0</v>
      </c>
      <c r="U675" s="44">
        <f t="shared" si="65"/>
        <v>0</v>
      </c>
      <c r="V675" s="44">
        <f t="shared" si="3"/>
        <v>20000</v>
      </c>
      <c r="W675" s="123"/>
      <c r="X675" s="123"/>
      <c r="Y675" s="123">
        <v>0.0</v>
      </c>
      <c r="Z675" s="123">
        <v>0.0</v>
      </c>
      <c r="AA675" s="123">
        <v>0.0</v>
      </c>
      <c r="AB675" s="123"/>
      <c r="AC675" s="123">
        <v>0.0</v>
      </c>
      <c r="AD675" s="44">
        <f t="shared" si="7"/>
        <v>0</v>
      </c>
      <c r="AE675" s="123">
        <v>0.0</v>
      </c>
    </row>
    <row r="676">
      <c r="A676" s="120">
        <v>2010.0</v>
      </c>
      <c r="B676" s="121">
        <v>12.0</v>
      </c>
      <c r="C676" s="122" t="s">
        <v>51</v>
      </c>
      <c r="D676" s="123">
        <v>20000.0</v>
      </c>
      <c r="E676" s="123">
        <v>630.03</v>
      </c>
      <c r="F676" s="44"/>
      <c r="G676" s="123"/>
      <c r="H676" s="123">
        <v>-192.91</v>
      </c>
      <c r="I676" s="44"/>
      <c r="J676" s="44"/>
      <c r="K676" s="44"/>
      <c r="L676" s="123">
        <v>4049.95</v>
      </c>
      <c r="M676" s="44"/>
      <c r="N676" s="44"/>
      <c r="O676" s="123">
        <v>47207.0</v>
      </c>
      <c r="P676" s="52">
        <f t="shared" si="23"/>
        <v>47206.6</v>
      </c>
      <c r="Q676" s="124">
        <f t="shared" si="2"/>
        <v>0.4</v>
      </c>
      <c r="R676" s="52">
        <f t="array" ref="R676">IFERROR(INDEX('Fund YTD Target Values'!$1:$1000, MATCH($C676,'Fund YTD Target Values'!$A:$A,0), MATCH($A676,'Fund YTD Target Values'!$1:$1,0)),0)</f>
        <v>40294.52845</v>
      </c>
      <c r="S676" s="52">
        <f>IFERROR(__xludf.DUMMYFUNCTION("IFERROR(sum(FILTER('Fund Data'!$V:$V, 'Fund Data'!$C:$C = $C676, 'Fund Data'!$A:$A &lt; $A676)),0) + IFERROR(sum(FILTER('Fund Data'!$V:$V, 'Fund Data'!$C:$C = $C676, 'Fund Data'!$A:$A = $A676, 'Fund Data'!$B:$B &lt;= $B676)),0)"),40000.0)</f>
        <v>40000</v>
      </c>
      <c r="T676" s="123">
        <v>40000.0</v>
      </c>
      <c r="U676" s="44">
        <f t="shared" si="65"/>
        <v>0</v>
      </c>
      <c r="V676" s="44">
        <f t="shared" si="3"/>
        <v>20000</v>
      </c>
      <c r="W676" s="123"/>
      <c r="X676" s="123"/>
      <c r="Y676" s="123">
        <v>0.0</v>
      </c>
      <c r="Z676" s="123">
        <v>0.0</v>
      </c>
      <c r="AA676" s="123">
        <v>0.0</v>
      </c>
      <c r="AB676" s="123"/>
      <c r="AC676" s="123">
        <v>0.0</v>
      </c>
      <c r="AD676" s="44">
        <f t="shared" si="7"/>
        <v>0</v>
      </c>
      <c r="AE676" s="123">
        <v>0.0</v>
      </c>
    </row>
    <row r="677">
      <c r="A677" s="120">
        <v>2009.0</v>
      </c>
      <c r="B677" s="121">
        <v>12.0</v>
      </c>
      <c r="C677" s="122" t="s">
        <v>51</v>
      </c>
      <c r="D677" s="123">
        <v>10000.0</v>
      </c>
      <c r="E677" s="123">
        <v>346.92</v>
      </c>
      <c r="F677" s="44"/>
      <c r="G677" s="123"/>
      <c r="H677" s="123">
        <v>-83.58</v>
      </c>
      <c r="I677" s="44"/>
      <c r="J677" s="44"/>
      <c r="K677" s="44"/>
      <c r="L677" s="123">
        <v>2460.19</v>
      </c>
      <c r="M677" s="44"/>
      <c r="N677" s="44"/>
      <c r="O677" s="123">
        <v>22720.0</v>
      </c>
      <c r="P677" s="52">
        <f t="shared" si="23"/>
        <v>22719.53</v>
      </c>
      <c r="Q677" s="124">
        <f t="shared" si="2"/>
        <v>0.47</v>
      </c>
      <c r="R677" s="52">
        <f t="array" ref="R677">IFERROR(INDEX('Fund YTD Target Values'!$1:$1000, MATCH($C677,'Fund YTD Target Values'!$A:$A,0), MATCH($A677,'Fund YTD Target Values'!$1:$1,0)),0)</f>
        <v>19966.22</v>
      </c>
      <c r="S677" s="52">
        <f>IFERROR(__xludf.DUMMYFUNCTION("IFERROR(sum(FILTER('Fund Data'!$V:$V, 'Fund Data'!$C:$C = $C677, 'Fund Data'!$A:$A &lt; $A677)),0) + IFERROR(sum(FILTER('Fund Data'!$V:$V, 'Fund Data'!$C:$C = $C677, 'Fund Data'!$A:$A = $A677, 'Fund Data'!$B:$B &lt;= $B677)),0)"),20000.0)</f>
        <v>20000</v>
      </c>
      <c r="T677" s="123">
        <v>20000.0</v>
      </c>
      <c r="U677" s="44">
        <f t="shared" si="65"/>
        <v>0</v>
      </c>
      <c r="V677" s="44">
        <f t="shared" si="3"/>
        <v>10000</v>
      </c>
      <c r="W677" s="123"/>
      <c r="X677" s="123"/>
      <c r="Y677" s="123">
        <v>0.0</v>
      </c>
      <c r="Z677" s="123">
        <v>0.0</v>
      </c>
      <c r="AA677" s="123">
        <v>0.0</v>
      </c>
      <c r="AB677" s="123"/>
      <c r="AC677" s="123">
        <v>0.0</v>
      </c>
      <c r="AD677" s="44">
        <f t="shared" si="7"/>
        <v>0</v>
      </c>
      <c r="AE677" s="123">
        <v>0.0</v>
      </c>
    </row>
    <row r="678">
      <c r="A678" s="120">
        <v>2008.0</v>
      </c>
      <c r="B678" s="121">
        <v>12.0</v>
      </c>
      <c r="C678" s="122" t="s">
        <v>51</v>
      </c>
      <c r="D678" s="123">
        <v>10000.0</v>
      </c>
      <c r="E678" s="123">
        <v>0.0</v>
      </c>
      <c r="F678" s="44"/>
      <c r="G678" s="123"/>
      <c r="H678" s="123">
        <v>-4.0</v>
      </c>
      <c r="I678" s="44"/>
      <c r="J678" s="44"/>
      <c r="K678" s="44"/>
      <c r="L678" s="123">
        <v>0.0</v>
      </c>
      <c r="M678" s="44"/>
      <c r="N678" s="44"/>
      <c r="O678" s="123">
        <v>9996.0</v>
      </c>
      <c r="P678" s="52">
        <f t="shared" si="23"/>
        <v>9996</v>
      </c>
      <c r="Q678" s="124">
        <f t="shared" si="2"/>
        <v>0</v>
      </c>
      <c r="R678" s="52">
        <f t="array" ref="R678">IFERROR(INDEX('Fund YTD Target Values'!$1:$1000, MATCH($C678,'Fund YTD Target Values'!$A:$A,0), MATCH($A678,'Fund YTD Target Values'!$1:$1,0)),0)</f>
        <v>10000</v>
      </c>
      <c r="S678" s="52">
        <f>IFERROR(__xludf.DUMMYFUNCTION("IFERROR(sum(FILTER('Fund Data'!$V:$V, 'Fund Data'!$C:$C = $C678, 'Fund Data'!$A:$A &lt; $A678)),0) + IFERROR(sum(FILTER('Fund Data'!$V:$V, 'Fund Data'!$C:$C = $C678, 'Fund Data'!$A:$A = $A678, 'Fund Data'!$B:$B &lt;= $B678)),0)"),10000.0)</f>
        <v>10000</v>
      </c>
      <c r="T678" s="123">
        <v>10000.0</v>
      </c>
      <c r="U678" s="44">
        <f t="shared" si="65"/>
        <v>0</v>
      </c>
      <c r="V678" s="44">
        <f t="shared" si="3"/>
        <v>10000</v>
      </c>
      <c r="W678" s="123"/>
      <c r="X678" s="123"/>
      <c r="Y678" s="123">
        <v>0.0</v>
      </c>
      <c r="Z678" s="123">
        <v>0.0</v>
      </c>
      <c r="AA678" s="123">
        <v>0.0</v>
      </c>
      <c r="AB678" s="123"/>
      <c r="AC678" s="123">
        <v>0.0</v>
      </c>
      <c r="AD678" s="44">
        <f t="shared" si="7"/>
        <v>0</v>
      </c>
      <c r="AE678" s="123">
        <v>0.0</v>
      </c>
    </row>
    <row r="679">
      <c r="A679" s="120">
        <v>2019.0</v>
      </c>
      <c r="B679" s="121">
        <v>6.0</v>
      </c>
      <c r="C679" s="122" t="s">
        <v>71</v>
      </c>
      <c r="D679" s="44"/>
      <c r="E679" s="123">
        <v>2529.04</v>
      </c>
      <c r="F679" s="123">
        <v>-500.0</v>
      </c>
      <c r="G679" s="44"/>
      <c r="H679" s="123">
        <v>-571.3</v>
      </c>
      <c r="I679" s="44"/>
      <c r="J679" s="44"/>
      <c r="K679" s="44"/>
      <c r="L679" s="123">
        <v>19838.62</v>
      </c>
      <c r="M679" s="44"/>
      <c r="N679" s="44"/>
      <c r="O679" s="123">
        <v>210850.72</v>
      </c>
      <c r="P679" s="52">
        <f t="shared" si="23"/>
        <v>210850.19</v>
      </c>
      <c r="Q679" s="124">
        <f t="shared" si="2"/>
        <v>0.5299999999</v>
      </c>
      <c r="R679" s="52">
        <f t="array" ref="R679">IFERROR(INDEX('Fund YTD Target Values'!$1:$1000, MATCH($C679,'Fund YTD Target Values'!$A:$A,0), MATCH($A679,'Fund YTD Target Values'!$1:$1,0)),0)</f>
        <v>221459.9737</v>
      </c>
      <c r="S679" s="52">
        <f>IFERROR(__xludf.DUMMYFUNCTION("IFERROR(sum(FILTER('Fund Data'!$V:$V, 'Fund Data'!$C:$C = $C679, 'Fund Data'!$A:$A &lt; $A679)),0) + IFERROR(sum(FILTER('Fund Data'!$V:$V, 'Fund Data'!$C:$C = $C679, 'Fund Data'!$A:$A = $A679, 'Fund Data'!$B:$B &lt;= $B679)),0)"),185189.56)</f>
        <v>185189.56</v>
      </c>
      <c r="T679" s="123"/>
      <c r="U679" s="44"/>
      <c r="V679" s="44">
        <f t="shared" si="3"/>
        <v>0</v>
      </c>
      <c r="W679" s="52">
        <f>IFERROR(__xludf.DUMMYFUNCTION("iFERROR((FILTER('Fund Data'!$Y:$Y, 'Fund Data'!$C:$C = $C679, 'Fund Data'!$A:$A = $A679 - 1, 'Fund Data'!$B:$B = 12) + FILTER('Fund Data'!$AA:$AA, 'Fund Data'!$C:$C = $C679, 'Fund Data'!$A:$A = $A679 - 1, 'Fund Data'!$B:$B = 12)) * (1 + AVERAGE(FILTER('In"&amp;"flation Data'!$C:$C,'Inflation Data'!$A:$A = ($A679 - 2)))) * 'Parameters and Distribution Sum'!$A$4,0)"),7479.015292624062)</f>
        <v>7479.015293</v>
      </c>
      <c r="X679" s="52">
        <f>IFERROR(__xludf.DUMMYFUNCTION("IFERROR((IFERROR(FILTER('Fund Data'!$P:$P,'Fund Data'!$C:$C = $C679,'Fund Data'!$A:$A = ($A679 - 2), 'Fund Data'!$B:$B = 12),0) - SUM(FILTER('Fund Data'!$V:$V, 'Fund Data'!$C:$C = $C679, 'Fund Data'!$A:$A = ($A679 - 2), 'Fund Data'!$B:$B &gt; 3)))  * 'Parame"&amp;"ters and Distribution Sum'!$B$4 * (1 - 'Parameters and Distribution Sum'!$A$4),0)"),2908.765485000001)</f>
        <v>2908.765485</v>
      </c>
      <c r="Y679" s="52">
        <f t="shared" ref="Y679:Y684" si="66">sum($W679:$X679)</f>
        <v>10387.78078</v>
      </c>
      <c r="Z679" s="52">
        <f>IFERROR(__xludf.DUMMYFUNCTION("((IFERROR((SUM(FILTER('Fund Data'!$V:$V, 'Fund Data'!$C:$C = $C679, 'Fund Data'!$A:$A = $A679 - 1, 'Fund Data'!$B:$B &gt;= 4, 'Fund Data'!$B:$B &lt;= ($B679 + 5))) / 12) * ($B679 - 3) * 'Parameters and Distribution Sum'!$B$4, 0) + IF($B679 &gt;= 9, IFERROR(SUM(FIL"&amp;"TER('Fund Data'!$V:$V, 'Fund Data'!$C:$C = $C679, 'Fund Data'!$A:$A = $A679, 'Fund Data'!$B:$B &lt;= 3)) * 'Parameters and Distribution Sum'!$B$4, 0),0)))"),0.0)</f>
        <v>0</v>
      </c>
      <c r="AA679" s="44">
        <f>IFERROR(__xludf.DUMMYFUNCTION("IFERROR(((IFERROR(SUM(FILTER('Fund Data'!$V:$V, 'Fund Data'!$C:$C = $C679, 'Fund Data'!$A:$A = $A679 - 2, 'Fund Data'!$B:$B &gt;= 4)) * 'Parameters and Distribution Sum'!$B$4,0) + IFERROR(SUM(FILTER('Fund Data'!$V:$V, 'Fund Data'!$C:$C = $C679, 'Fund Data'!$"&amp;"A:$A = $A679 - 1, 'Fund Data'!$B:$B &lt;= 3)) * 'Parameters and Distribution Sum'!$B$4,0))),0)"),0.0)</f>
        <v>0</v>
      </c>
      <c r="AB679" s="44">
        <f t="shared" ref="AB679:AB685" si="67">IFERROR(__xludf.DUMMYFUNCTION("IFERROR(FILTER($AE:$AE,$C:$C = $C679,$A:$A = $A679 - 1,$B:$B = 12),0)"),0.0)</f>
        <v>0</v>
      </c>
      <c r="AC679" s="44">
        <f t="shared" ref="AC679:AC685" si="68">sum($Y679:$AB679)</f>
        <v>10387.78078</v>
      </c>
      <c r="AD679" s="44">
        <f t="shared" si="7"/>
        <v>9887.780778</v>
      </c>
      <c r="AE679" s="44"/>
    </row>
    <row r="680">
      <c r="A680" s="120">
        <v>2019.0</v>
      </c>
      <c r="B680" s="121">
        <v>5.0</v>
      </c>
      <c r="C680" s="122" t="s">
        <v>71</v>
      </c>
      <c r="D680" s="44"/>
      <c r="E680" s="123">
        <v>2307.52</v>
      </c>
      <c r="F680" s="44"/>
      <c r="G680" s="44"/>
      <c r="H680" s="123">
        <v>-475.33</v>
      </c>
      <c r="I680" s="44"/>
      <c r="J680" s="44"/>
      <c r="K680" s="44"/>
      <c r="L680" s="123">
        <v>11856.74</v>
      </c>
      <c r="M680" s="44"/>
      <c r="N680" s="44"/>
      <c r="O680" s="123">
        <v>203243.29</v>
      </c>
      <c r="P680" s="52">
        <f t="shared" si="23"/>
        <v>203242.76</v>
      </c>
      <c r="Q680" s="124">
        <f t="shared" si="2"/>
        <v>0.53</v>
      </c>
      <c r="R680" s="52">
        <f t="array" ref="R680">IFERROR(INDEX('Fund YTD Target Values'!$1:$1000, MATCH($C680,'Fund YTD Target Values'!$A:$A,0), MATCH($A680,'Fund YTD Target Values'!$1:$1,0)),0)</f>
        <v>221459.9737</v>
      </c>
      <c r="S680" s="52">
        <f>IFERROR(__xludf.DUMMYFUNCTION("IFERROR(sum(FILTER('Fund Data'!$V:$V, 'Fund Data'!$C:$C = $C680, 'Fund Data'!$A:$A &lt; $A680)),0) + IFERROR(sum(FILTER('Fund Data'!$V:$V, 'Fund Data'!$C:$C = $C680, 'Fund Data'!$A:$A = $A680, 'Fund Data'!$B:$B &lt;= $B680)),0)"),185189.56)</f>
        <v>185189.56</v>
      </c>
      <c r="T680" s="123"/>
      <c r="U680" s="44"/>
      <c r="V680" s="44">
        <f t="shared" si="3"/>
        <v>0</v>
      </c>
      <c r="W680" s="52">
        <f>IFERROR(__xludf.DUMMYFUNCTION("iFERROR((FILTER('Fund Data'!$Y:$Y, 'Fund Data'!$C:$C = $C680, 'Fund Data'!$A:$A = $A680 - 1, 'Fund Data'!$B:$B = 12) + FILTER('Fund Data'!$AA:$AA, 'Fund Data'!$C:$C = $C680, 'Fund Data'!$A:$A = $A680 - 1, 'Fund Data'!$B:$B = 12)) * (1 + AVERAGE(FILTER('In"&amp;"flation Data'!$C:$C,'Inflation Data'!$A:$A = ($A680 - 2)))) * 'Parameters and Distribution Sum'!$A$4,0)"),7479.015292624062)</f>
        <v>7479.015293</v>
      </c>
      <c r="X680" s="52">
        <f>IFERROR(__xludf.DUMMYFUNCTION("IFERROR((IFERROR(FILTER('Fund Data'!$P:$P,'Fund Data'!$C:$C = $C680,'Fund Data'!$A:$A = ($A680 - 2), 'Fund Data'!$B:$B = 12),0) - SUM(FILTER('Fund Data'!$V:$V, 'Fund Data'!$C:$C = $C680, 'Fund Data'!$A:$A = ($A680 - 2), 'Fund Data'!$B:$B &gt; 3)))  * 'Parame"&amp;"ters and Distribution Sum'!$B$4 * (1 - 'Parameters and Distribution Sum'!$A$4),0)"),2908.765485000001)</f>
        <v>2908.765485</v>
      </c>
      <c r="Y680" s="52">
        <f t="shared" si="66"/>
        <v>10387.78078</v>
      </c>
      <c r="Z680" s="52">
        <f>IFERROR(__xludf.DUMMYFUNCTION("((IFERROR((SUM(FILTER('Fund Data'!$V:$V, 'Fund Data'!$C:$C = $C680, 'Fund Data'!$A:$A = $A680 - 1, 'Fund Data'!$B:$B &gt;= 4, 'Fund Data'!$B:$B &lt;= ($B680 + 5))) / 12) * ($B680 - 3) * 'Parameters and Distribution Sum'!$B$4, 0) + IF($B680 &gt;= 9, IFERROR(SUM(FIL"&amp;"TER('Fund Data'!$V:$V, 'Fund Data'!$C:$C = $C680, 'Fund Data'!$A:$A = $A680, 'Fund Data'!$B:$B &lt;= 3)) * 'Parameters and Distribution Sum'!$B$4, 0),0)))"),0.0)</f>
        <v>0</v>
      </c>
      <c r="AA680" s="44">
        <f>IFERROR(__xludf.DUMMYFUNCTION("IFERROR(((IFERROR(SUM(FILTER('Fund Data'!$V:$V, 'Fund Data'!$C:$C = $C680, 'Fund Data'!$A:$A = $A680 - 2, 'Fund Data'!$B:$B &gt;= 4)) * 'Parameters and Distribution Sum'!$B$4,0) + IFERROR(SUM(FILTER('Fund Data'!$V:$V, 'Fund Data'!$C:$C = $C680, 'Fund Data'!$"&amp;"A:$A = $A680 - 1, 'Fund Data'!$B:$B &lt;= 3)) * 'Parameters and Distribution Sum'!$B$4,0))),0)"),0.0)</f>
        <v>0</v>
      </c>
      <c r="AB680" s="44">
        <f t="shared" si="67"/>
        <v>0</v>
      </c>
      <c r="AC680" s="44">
        <f t="shared" si="68"/>
        <v>10387.78078</v>
      </c>
      <c r="AD680" s="44">
        <f t="shared" si="7"/>
        <v>10387.78078</v>
      </c>
      <c r="AE680" s="44"/>
    </row>
    <row r="681">
      <c r="A681" s="120">
        <v>2019.0</v>
      </c>
      <c r="B681" s="121">
        <v>4.0</v>
      </c>
      <c r="C681" s="122" t="s">
        <v>71</v>
      </c>
      <c r="D681" s="44"/>
      <c r="E681" s="123">
        <v>2126.75</v>
      </c>
      <c r="F681" s="44"/>
      <c r="G681" s="44"/>
      <c r="H681" s="123">
        <v>-376.73</v>
      </c>
      <c r="I681" s="44"/>
      <c r="J681" s="44"/>
      <c r="K681" s="44"/>
      <c r="L681" s="123">
        <v>19921.03</v>
      </c>
      <c r="M681" s="44"/>
      <c r="N681" s="44"/>
      <c r="O681" s="123">
        <v>211225.0</v>
      </c>
      <c r="P681" s="52">
        <f t="shared" si="23"/>
        <v>211224.88</v>
      </c>
      <c r="Q681" s="124">
        <f t="shared" si="2"/>
        <v>0.12</v>
      </c>
      <c r="R681" s="52">
        <f t="array" ref="R681">IFERROR(INDEX('Fund YTD Target Values'!$1:$1000, MATCH($C681,'Fund YTD Target Values'!$A:$A,0), MATCH($A681,'Fund YTD Target Values'!$1:$1,0)),0)</f>
        <v>221459.9737</v>
      </c>
      <c r="S681" s="52">
        <f>IFERROR(__xludf.DUMMYFUNCTION("IFERROR(sum(FILTER('Fund Data'!$V:$V, 'Fund Data'!$C:$C = $C681, 'Fund Data'!$A:$A &lt; $A681)),0) + IFERROR(sum(FILTER('Fund Data'!$V:$V, 'Fund Data'!$C:$C = $C681, 'Fund Data'!$A:$A = $A681, 'Fund Data'!$B:$B &lt;= $B681)),0)"),185189.56)</f>
        <v>185189.56</v>
      </c>
      <c r="T681" s="123"/>
      <c r="U681" s="44"/>
      <c r="V681" s="44">
        <f t="shared" si="3"/>
        <v>0</v>
      </c>
      <c r="W681" s="52">
        <f>IFERROR(__xludf.DUMMYFUNCTION("iFERROR((FILTER('Fund Data'!$Y:$Y, 'Fund Data'!$C:$C = $C681, 'Fund Data'!$A:$A = $A681 - 1, 'Fund Data'!$B:$B = 12) + FILTER('Fund Data'!$AA:$AA, 'Fund Data'!$C:$C = $C681, 'Fund Data'!$A:$A = $A681 - 1, 'Fund Data'!$B:$B = 12)) * (1 + AVERAGE(FILTER('In"&amp;"flation Data'!$C:$C,'Inflation Data'!$A:$A = ($A681 - 2)))) * 'Parameters and Distribution Sum'!$A$4,0)"),7479.015292624062)</f>
        <v>7479.015293</v>
      </c>
      <c r="X681" s="52">
        <f>IFERROR(__xludf.DUMMYFUNCTION("IFERROR((IFERROR(FILTER('Fund Data'!$P:$P,'Fund Data'!$C:$C = $C681,'Fund Data'!$A:$A = ($A681 - 2), 'Fund Data'!$B:$B = 12),0) - SUM(FILTER('Fund Data'!$V:$V, 'Fund Data'!$C:$C = $C681, 'Fund Data'!$A:$A = ($A681 - 2), 'Fund Data'!$B:$B &gt; 3)))  * 'Parame"&amp;"ters and Distribution Sum'!$B$4 * (1 - 'Parameters and Distribution Sum'!$A$4),0)"),2908.765485000001)</f>
        <v>2908.765485</v>
      </c>
      <c r="Y681" s="52">
        <f t="shared" si="66"/>
        <v>10387.78078</v>
      </c>
      <c r="Z681" s="52">
        <f>IFERROR(__xludf.DUMMYFUNCTION("((IFERROR((SUM(FILTER('Fund Data'!$V:$V, 'Fund Data'!$C:$C = $C681, 'Fund Data'!$A:$A = $A681 - 1, 'Fund Data'!$B:$B &gt;= 4, 'Fund Data'!$B:$B &lt;= ($B681 + 5))) / 12) * ($B681 - 3) * 'Parameters and Distribution Sum'!$B$4, 0) + IF($B681 &gt;= 9, IFERROR(SUM(FIL"&amp;"TER('Fund Data'!$V:$V, 'Fund Data'!$C:$C = $C681, 'Fund Data'!$A:$A = $A681, 'Fund Data'!$B:$B &lt;= 3)) * 'Parameters and Distribution Sum'!$B$4, 0),0)))"),0.0)</f>
        <v>0</v>
      </c>
      <c r="AA681" s="44">
        <f>IFERROR(__xludf.DUMMYFUNCTION("IFERROR(((IFERROR(SUM(FILTER('Fund Data'!$V:$V, 'Fund Data'!$C:$C = $C681, 'Fund Data'!$A:$A = $A681 - 2, 'Fund Data'!$B:$B &gt;= 4)) * 'Parameters and Distribution Sum'!$B$4,0) + IFERROR(SUM(FILTER('Fund Data'!$V:$V, 'Fund Data'!$C:$C = $C681, 'Fund Data'!$"&amp;"A:$A = $A681 - 1, 'Fund Data'!$B:$B &lt;= 3)) * 'Parameters and Distribution Sum'!$B$4,0))),0)"),0.0)</f>
        <v>0</v>
      </c>
      <c r="AB681" s="44">
        <f t="shared" si="67"/>
        <v>0</v>
      </c>
      <c r="AC681" s="44">
        <f t="shared" si="68"/>
        <v>10387.78078</v>
      </c>
      <c r="AD681" s="44">
        <f t="shared" si="7"/>
        <v>10387.78078</v>
      </c>
      <c r="AE681" s="44"/>
    </row>
    <row r="682">
      <c r="A682" s="120">
        <v>2019.0</v>
      </c>
      <c r="B682" s="121">
        <v>3.0</v>
      </c>
      <c r="C682" s="122" t="s">
        <v>71</v>
      </c>
      <c r="D682" s="44"/>
      <c r="E682" s="123">
        <v>1607.26</v>
      </c>
      <c r="F682" s="44"/>
      <c r="G682" s="44"/>
      <c r="H682" s="123">
        <v>-280.09</v>
      </c>
      <c r="I682" s="44"/>
      <c r="J682" s="44"/>
      <c r="K682" s="44"/>
      <c r="L682" s="123">
        <v>15807.16</v>
      </c>
      <c r="M682" s="44"/>
      <c r="N682" s="44"/>
      <c r="O682" s="123">
        <v>206689.0</v>
      </c>
      <c r="P682" s="52">
        <f t="shared" si="23"/>
        <v>206688.16</v>
      </c>
      <c r="Q682" s="124">
        <f t="shared" si="2"/>
        <v>0.84</v>
      </c>
      <c r="R682" s="52">
        <f t="array" ref="R682">IFERROR(INDEX('Fund YTD Target Values'!$1:$1000, MATCH($C682,'Fund YTD Target Values'!$A:$A,0), MATCH($A682,'Fund YTD Target Values'!$1:$1,0)),0)</f>
        <v>221459.9737</v>
      </c>
      <c r="S682" s="52">
        <f>IFERROR(__xludf.DUMMYFUNCTION("IFERROR(sum(FILTER('Fund Data'!$V:$V, 'Fund Data'!$C:$C = $C682, 'Fund Data'!$A:$A &lt; $A682)),0) + IFERROR(sum(FILTER('Fund Data'!$V:$V, 'Fund Data'!$C:$C = $C682, 'Fund Data'!$A:$A = $A682, 'Fund Data'!$B:$B &lt;= $B682)),0)"),185189.56)</f>
        <v>185189.56</v>
      </c>
      <c r="T682" s="123"/>
      <c r="U682" s="44"/>
      <c r="V682" s="44">
        <f t="shared" si="3"/>
        <v>0</v>
      </c>
      <c r="W682" s="52">
        <f>IFERROR(__xludf.DUMMYFUNCTION("iFERROR((FILTER('Fund Data'!$Y:$Y, 'Fund Data'!$C:$C = $C682, 'Fund Data'!$A:$A = $A682 - 1, 'Fund Data'!$B:$B = 12) + FILTER('Fund Data'!$AA:$AA, 'Fund Data'!$C:$C = $C682, 'Fund Data'!$A:$A = $A682 - 1, 'Fund Data'!$B:$B = 12)) * (1 + AVERAGE(FILTER('In"&amp;"flation Data'!$C:$C,'Inflation Data'!$A:$A = ($A682 - 2)))) * 'Parameters and Distribution Sum'!$A$4,0)"),7479.015292624062)</f>
        <v>7479.015293</v>
      </c>
      <c r="X682" s="52">
        <f>IFERROR(__xludf.DUMMYFUNCTION("IFERROR((IFERROR(FILTER('Fund Data'!$P:$P,'Fund Data'!$C:$C = $C682,'Fund Data'!$A:$A = ($A682 - 2), 'Fund Data'!$B:$B = 12),0) - SUM(FILTER('Fund Data'!$V:$V, 'Fund Data'!$C:$C = $C682, 'Fund Data'!$A:$A = ($A682 - 2), 'Fund Data'!$B:$B &gt; 3)))  * 'Parame"&amp;"ters and Distribution Sum'!$B$4 * (1 - 'Parameters and Distribution Sum'!$A$4),0)"),2908.765485000001)</f>
        <v>2908.765485</v>
      </c>
      <c r="Y682" s="52">
        <f t="shared" si="66"/>
        <v>10387.78078</v>
      </c>
      <c r="Z682" s="52">
        <f>IFERROR(__xludf.DUMMYFUNCTION("((IFERROR((SUM(FILTER('Fund Data'!$V:$V, 'Fund Data'!$C:$C = $C682, 'Fund Data'!$A:$A = $A682 - 1, 'Fund Data'!$B:$B &gt;= 4, 'Fund Data'!$B:$B &lt;= ($B682 + 5))) / 12) * ($B682 - 3) * 'Parameters and Distribution Sum'!$B$4, 0) + IF($B682 &gt;= 9, IFERROR(SUM(FIL"&amp;"TER('Fund Data'!$V:$V, 'Fund Data'!$C:$C = $C682, 'Fund Data'!$A:$A = $A682, 'Fund Data'!$B:$B &lt;= 3)) * 'Parameters and Distribution Sum'!$B$4, 0),0)))"),0.0)</f>
        <v>0</v>
      </c>
      <c r="AA682" s="44">
        <f>IFERROR(__xludf.DUMMYFUNCTION("IFERROR(((IFERROR(SUM(FILTER('Fund Data'!$V:$V, 'Fund Data'!$C:$C = $C682, 'Fund Data'!$A:$A = $A682 - 2, 'Fund Data'!$B:$B &gt;= 4)) * 'Parameters and Distribution Sum'!$B$4,0) + IFERROR(SUM(FILTER('Fund Data'!$V:$V, 'Fund Data'!$C:$C = $C682, 'Fund Data'!$"&amp;"A:$A = $A682 - 1, 'Fund Data'!$B:$B &lt;= 3)) * 'Parameters and Distribution Sum'!$B$4,0))),0)"),0.0)</f>
        <v>0</v>
      </c>
      <c r="AB682" s="44">
        <f t="shared" si="67"/>
        <v>0</v>
      </c>
      <c r="AC682" s="44">
        <f t="shared" si="68"/>
        <v>10387.78078</v>
      </c>
      <c r="AD682" s="44">
        <f t="shared" si="7"/>
        <v>10387.78078</v>
      </c>
      <c r="AE682" s="44"/>
    </row>
    <row r="683">
      <c r="A683" s="120">
        <v>2019.0</v>
      </c>
      <c r="B683" s="121">
        <v>2.0</v>
      </c>
      <c r="C683" s="122" t="s">
        <v>71</v>
      </c>
      <c r="D683" s="44"/>
      <c r="E683" s="123">
        <v>1358.85</v>
      </c>
      <c r="F683" s="44"/>
      <c r="G683" s="44"/>
      <c r="H683" s="123">
        <v>-184.07</v>
      </c>
      <c r="I683" s="44"/>
      <c r="J683" s="44"/>
      <c r="K683" s="44"/>
      <c r="L683" s="123">
        <v>14632.75</v>
      </c>
      <c r="M683" s="44"/>
      <c r="N683" s="44"/>
      <c r="O683" s="123">
        <v>205362.0</v>
      </c>
      <c r="P683" s="52">
        <f t="shared" si="23"/>
        <v>205361.36</v>
      </c>
      <c r="Q683" s="124">
        <f t="shared" si="2"/>
        <v>0.64</v>
      </c>
      <c r="R683" s="52">
        <f t="array" ref="R683">IFERROR(INDEX('Fund YTD Target Values'!$1:$1000, MATCH($C683,'Fund YTD Target Values'!$A:$A,0), MATCH($A683,'Fund YTD Target Values'!$1:$1,0)),0)</f>
        <v>221459.9737</v>
      </c>
      <c r="S683" s="52">
        <f>IFERROR(__xludf.DUMMYFUNCTION("IFERROR(sum(FILTER('Fund Data'!$V:$V, 'Fund Data'!$C:$C = $C683, 'Fund Data'!$A:$A &lt; $A683)),0) + IFERROR(sum(FILTER('Fund Data'!$V:$V, 'Fund Data'!$C:$C = $C683, 'Fund Data'!$A:$A = $A683, 'Fund Data'!$B:$B &lt;= $B683)),0)"),185189.56)</f>
        <v>185189.56</v>
      </c>
      <c r="T683" s="123">
        <v>190241.0</v>
      </c>
      <c r="U683" s="44">
        <f t="shared" ref="U683:U721" si="69">S683-T683</f>
        <v>-5051.44</v>
      </c>
      <c r="V683" s="44">
        <f t="shared" si="3"/>
        <v>0</v>
      </c>
      <c r="W683" s="52">
        <f>IFERROR(__xludf.DUMMYFUNCTION("iFERROR((FILTER('Fund Data'!$Y:$Y, 'Fund Data'!$C:$C = $C683, 'Fund Data'!$A:$A = $A683 - 1, 'Fund Data'!$B:$B = 12) + FILTER('Fund Data'!$AA:$AA, 'Fund Data'!$C:$C = $C683, 'Fund Data'!$A:$A = $A683 - 1, 'Fund Data'!$B:$B = 12)) * (1 + AVERAGE(FILTER('In"&amp;"flation Data'!$C:$C,'Inflation Data'!$A:$A = ($A683 - 2)))) * 'Parameters and Distribution Sum'!$A$4,0)"),7479.015292624062)</f>
        <v>7479.015293</v>
      </c>
      <c r="X683" s="52">
        <f>IFERROR(__xludf.DUMMYFUNCTION("IFERROR((IFERROR(FILTER('Fund Data'!$P:$P,'Fund Data'!$C:$C = $C683,'Fund Data'!$A:$A = ($A683 - 2), 'Fund Data'!$B:$B = 12),0) - SUM(FILTER('Fund Data'!$V:$V, 'Fund Data'!$C:$C = $C683, 'Fund Data'!$A:$A = ($A683 - 2), 'Fund Data'!$B:$B &gt; 3)))  * 'Parame"&amp;"ters and Distribution Sum'!$B$4 * (1 - 'Parameters and Distribution Sum'!$A$4),0)"),2908.765485000001)</f>
        <v>2908.765485</v>
      </c>
      <c r="Y683" s="52">
        <f t="shared" si="66"/>
        <v>10387.78078</v>
      </c>
      <c r="Z683" s="52">
        <f>IFERROR(__xludf.DUMMYFUNCTION("((IFERROR((SUM(FILTER('Fund Data'!$V:$V, 'Fund Data'!$C:$C = $C683, 'Fund Data'!$A:$A = $A683 - 1, 'Fund Data'!$B:$B &gt;= 4, 'Fund Data'!$B:$B &lt;= ($B683 + 5))) / 12) * ($B683 - 3) * 'Parameters and Distribution Sum'!$B$4, 0) + IF($B683 &gt;= 9, IFERROR(SUM(FIL"&amp;"TER('Fund Data'!$V:$V, 'Fund Data'!$C:$C = $C683, 'Fund Data'!$A:$A = $A683, 'Fund Data'!$B:$B &lt;= 3)) * 'Parameters and Distribution Sum'!$B$4, 0),0)))"),0.0)</f>
        <v>0</v>
      </c>
      <c r="AA683" s="44">
        <f>IFERROR(__xludf.DUMMYFUNCTION("IFERROR(((IFERROR(SUM(FILTER('Fund Data'!$V:$V, 'Fund Data'!$C:$C = $C683, 'Fund Data'!$A:$A = $A683 - 2, 'Fund Data'!$B:$B &gt;= 4)) * 'Parameters and Distribution Sum'!$B$4,0) + IFERROR(SUM(FILTER('Fund Data'!$V:$V, 'Fund Data'!$C:$C = $C683, 'Fund Data'!$"&amp;"A:$A = $A683 - 1, 'Fund Data'!$B:$B &lt;= 3)) * 'Parameters and Distribution Sum'!$B$4,0))),0)"),0.0)</f>
        <v>0</v>
      </c>
      <c r="AB683" s="44">
        <f t="shared" si="67"/>
        <v>0</v>
      </c>
      <c r="AC683" s="44">
        <f t="shared" si="68"/>
        <v>10387.78078</v>
      </c>
      <c r="AD683" s="44">
        <f t="shared" si="7"/>
        <v>10387.78078</v>
      </c>
      <c r="AE683" s="44"/>
    </row>
    <row r="684">
      <c r="A684" s="120">
        <v>2019.0</v>
      </c>
      <c r="B684" s="121">
        <v>1.0</v>
      </c>
      <c r="C684" s="122" t="s">
        <v>71</v>
      </c>
      <c r="D684" s="44"/>
      <c r="E684" s="123">
        <v>1256.81</v>
      </c>
      <c r="F684" s="44"/>
      <c r="G684" s="44"/>
      <c r="H684" s="123">
        <v>-89.43</v>
      </c>
      <c r="I684" s="44"/>
      <c r="J684" s="44"/>
      <c r="K684" s="44"/>
      <c r="L684" s="123">
        <v>11319.67</v>
      </c>
      <c r="M684" s="44"/>
      <c r="N684" s="44"/>
      <c r="O684" s="123">
        <v>202041.0</v>
      </c>
      <c r="P684" s="52">
        <f t="shared" si="23"/>
        <v>202040.88</v>
      </c>
      <c r="Q684" s="124">
        <f t="shared" si="2"/>
        <v>0.12</v>
      </c>
      <c r="R684" s="52">
        <f t="array" ref="R684">IFERROR(INDEX('Fund YTD Target Values'!$1:$1000, MATCH($C684,'Fund YTD Target Values'!$A:$A,0), MATCH($A684,'Fund YTD Target Values'!$1:$1,0)),0)</f>
        <v>221459.9737</v>
      </c>
      <c r="S684" s="52">
        <f>IFERROR(__xludf.DUMMYFUNCTION("IFERROR(sum(FILTER('Fund Data'!$V:$V, 'Fund Data'!$C:$C = $C684, 'Fund Data'!$A:$A &lt; $A684)),0) + IFERROR(sum(FILTER('Fund Data'!$V:$V, 'Fund Data'!$C:$C = $C684, 'Fund Data'!$A:$A = $A684, 'Fund Data'!$B:$B &lt;= $B684)),0)"),185189.56)</f>
        <v>185189.56</v>
      </c>
      <c r="T684" s="123">
        <v>190241.0</v>
      </c>
      <c r="U684" s="44">
        <f t="shared" si="69"/>
        <v>-5051.44</v>
      </c>
      <c r="V684" s="44">
        <f t="shared" si="3"/>
        <v>0</v>
      </c>
      <c r="W684" s="52">
        <f>IFERROR(__xludf.DUMMYFUNCTION("iFERROR((FILTER('Fund Data'!$Y:$Y, 'Fund Data'!$C:$C = $C684, 'Fund Data'!$A:$A = $A684 - 1, 'Fund Data'!$B:$B = 12) + FILTER('Fund Data'!$AA:$AA, 'Fund Data'!$C:$C = $C684, 'Fund Data'!$A:$A = $A684 - 1, 'Fund Data'!$B:$B = 12)) * (1 + AVERAGE(FILTER('In"&amp;"flation Data'!$C:$C,'Inflation Data'!$A:$A = ($A684 - 2)))) * 'Parameters and Distribution Sum'!$A$4,0)"),7479.015292624062)</f>
        <v>7479.015293</v>
      </c>
      <c r="X684" s="52">
        <f>IFERROR(__xludf.DUMMYFUNCTION("IFERROR((IFERROR(FILTER('Fund Data'!$P:$P,'Fund Data'!$C:$C = $C684,'Fund Data'!$A:$A = ($A684 - 2), 'Fund Data'!$B:$B = 12),0) - SUM(FILTER('Fund Data'!$V:$V, 'Fund Data'!$C:$C = $C684, 'Fund Data'!$A:$A = ($A684 - 2), 'Fund Data'!$B:$B &gt; 3)))  * 'Parame"&amp;"ters and Distribution Sum'!$B$4 * (1 - 'Parameters and Distribution Sum'!$A$4),0)"),2908.765485000001)</f>
        <v>2908.765485</v>
      </c>
      <c r="Y684" s="52">
        <f t="shared" si="66"/>
        <v>10387.78078</v>
      </c>
      <c r="Z684" s="52">
        <f>IFERROR(__xludf.DUMMYFUNCTION("((IFERROR((SUM(FILTER('Fund Data'!$V:$V, 'Fund Data'!$C:$C = $C684, 'Fund Data'!$A:$A = $A684 - 1, 'Fund Data'!$B:$B &gt;= 4, 'Fund Data'!$B:$B &lt;= ($B684 + 5))) / 12) * ($B684 - 3) * 'Parameters and Distribution Sum'!$B$4, 0) + IF($B684 &gt;= 9, IFERROR(SUM(FIL"&amp;"TER('Fund Data'!$V:$V, 'Fund Data'!$C:$C = $C684, 'Fund Data'!$A:$A = $A684, 'Fund Data'!$B:$B &lt;= 3)) * 'Parameters and Distribution Sum'!$B$4, 0),0)))"),0.0)</f>
        <v>0</v>
      </c>
      <c r="AA684" s="44">
        <f>IFERROR(__xludf.DUMMYFUNCTION("IFERROR(((IFERROR(SUM(FILTER('Fund Data'!$V:$V, 'Fund Data'!$C:$C = $C684, 'Fund Data'!$A:$A = $A684 - 2, 'Fund Data'!$B:$B &gt;= 4)) * 'Parameters and Distribution Sum'!$B$4,0) + IFERROR(SUM(FILTER('Fund Data'!$V:$V, 'Fund Data'!$C:$C = $C684, 'Fund Data'!$"&amp;"A:$A = $A684 - 1, 'Fund Data'!$B:$B &lt;= 3)) * 'Parameters and Distribution Sum'!$B$4,0))),0)"),0.0)</f>
        <v>0</v>
      </c>
      <c r="AB684" s="44">
        <f t="shared" si="67"/>
        <v>0</v>
      </c>
      <c r="AC684" s="44">
        <f t="shared" si="68"/>
        <v>10387.78078</v>
      </c>
      <c r="AD684" s="44">
        <f t="shared" si="7"/>
        <v>10387.78078</v>
      </c>
      <c r="AE684" s="44"/>
    </row>
    <row r="685">
      <c r="A685" s="120">
        <v>2018.0</v>
      </c>
      <c r="B685" s="121">
        <v>12.0</v>
      </c>
      <c r="C685" s="122" t="s">
        <v>71</v>
      </c>
      <c r="D685" s="44"/>
      <c r="E685" s="123">
        <v>4501.1</v>
      </c>
      <c r="F685" s="123">
        <v>-10000.0</v>
      </c>
      <c r="G685" s="44"/>
      <c r="H685" s="123">
        <v>-1256.41</v>
      </c>
      <c r="I685" s="44"/>
      <c r="J685" s="123">
        <v>849.45</v>
      </c>
      <c r="K685" s="44"/>
      <c r="L685" s="123">
        <v>-20004.42</v>
      </c>
      <c r="M685" s="44"/>
      <c r="N685" s="44"/>
      <c r="O685" s="123">
        <v>189554.0</v>
      </c>
      <c r="P685" s="52">
        <f t="shared" si="23"/>
        <v>189553.83</v>
      </c>
      <c r="Q685" s="124">
        <f t="shared" si="2"/>
        <v>0.17</v>
      </c>
      <c r="R685" s="52">
        <f t="array" ref="R685">IFERROR(INDEX('Fund YTD Target Values'!$1:$1000, MATCH($C685,'Fund YTD Target Values'!$A:$A,0), MATCH($A685,'Fund YTD Target Values'!$1:$1,0)),0)</f>
        <v>217663.6749</v>
      </c>
      <c r="S685" s="52">
        <f>IFERROR(__xludf.DUMMYFUNCTION("IFERROR(sum(FILTER('Fund Data'!$V:$V, 'Fund Data'!$C:$C = $C685, 'Fund Data'!$A:$A &lt; $A685)),0) + IFERROR(sum(FILTER('Fund Data'!$V:$V, 'Fund Data'!$C:$C = $C685, 'Fund Data'!$A:$A = $A685, 'Fund Data'!$B:$B &lt;= $B685)),0)"),185189.56)</f>
        <v>185189.56</v>
      </c>
      <c r="T685" s="123">
        <v>190241.0</v>
      </c>
      <c r="U685" s="44">
        <f t="shared" si="69"/>
        <v>-5051.44</v>
      </c>
      <c r="V685" s="44">
        <f t="shared" si="3"/>
        <v>0</v>
      </c>
      <c r="W685" s="52"/>
      <c r="X685" s="52"/>
      <c r="Y685" s="52">
        <v>9561.312658903416</v>
      </c>
      <c r="Z685" s="123">
        <v>0.0</v>
      </c>
      <c r="AA685" s="123">
        <v>900.0</v>
      </c>
      <c r="AB685" s="44">
        <f t="shared" si="67"/>
        <v>0</v>
      </c>
      <c r="AC685" s="44">
        <f t="shared" si="68"/>
        <v>10461.31266</v>
      </c>
      <c r="AD685" s="44">
        <f t="shared" si="7"/>
        <v>461.3126589</v>
      </c>
      <c r="AE685" s="123">
        <v>0.0</v>
      </c>
    </row>
    <row r="686">
      <c r="A686" s="120">
        <v>2018.0</v>
      </c>
      <c r="B686" s="121">
        <v>11.0</v>
      </c>
      <c r="C686" s="122" t="s">
        <v>71</v>
      </c>
      <c r="D686" s="44"/>
      <c r="E686" s="123">
        <v>4233.99</v>
      </c>
      <c r="F686" s="123">
        <v>-10000.0</v>
      </c>
      <c r="G686" s="44"/>
      <c r="H686" s="123">
        <v>-1162.32</v>
      </c>
      <c r="I686" s="44"/>
      <c r="J686" s="123">
        <v>849.45</v>
      </c>
      <c r="K686" s="44"/>
      <c r="L686" s="123">
        <v>-8804.25</v>
      </c>
      <c r="M686" s="44"/>
      <c r="N686" s="44"/>
      <c r="O686" s="123">
        <v>200582.0</v>
      </c>
      <c r="P686" s="52">
        <f t="shared" si="23"/>
        <v>200580.98</v>
      </c>
      <c r="Q686" s="124">
        <f t="shared" si="2"/>
        <v>1.02</v>
      </c>
      <c r="R686" s="52">
        <f t="array" ref="R686">IFERROR(INDEX('Fund YTD Target Values'!$1:$1000, MATCH($C686,'Fund YTD Target Values'!$A:$A,0), MATCH($A686,'Fund YTD Target Values'!$1:$1,0)),0)</f>
        <v>217663.6749</v>
      </c>
      <c r="S686" s="52">
        <f>IFERROR(__xludf.DUMMYFUNCTION("IFERROR(sum(FILTER('Fund Data'!$V:$V, 'Fund Data'!$C:$C = $C686, 'Fund Data'!$A:$A &lt; $A686)),0) + IFERROR(sum(FILTER('Fund Data'!$V:$V, 'Fund Data'!$C:$C = $C686, 'Fund Data'!$A:$A = $A686, 'Fund Data'!$B:$B &lt;= $B686)),0)"),185189.56)</f>
        <v>185189.56</v>
      </c>
      <c r="T686" s="123">
        <v>190241.0</v>
      </c>
      <c r="U686" s="44">
        <f t="shared" si="69"/>
        <v>-5051.44</v>
      </c>
      <c r="V686" s="44">
        <f t="shared" si="3"/>
        <v>0</v>
      </c>
      <c r="W686" s="123"/>
      <c r="X686" s="123"/>
      <c r="Y686" s="123">
        <v>0.0</v>
      </c>
      <c r="Z686" s="123">
        <v>0.0</v>
      </c>
      <c r="AA686" s="123">
        <v>0.0</v>
      </c>
      <c r="AB686" s="123"/>
      <c r="AC686" s="123">
        <v>0.0</v>
      </c>
      <c r="AD686" s="44">
        <f t="shared" si="7"/>
        <v>-10000</v>
      </c>
      <c r="AE686" s="123">
        <v>0.0</v>
      </c>
    </row>
    <row r="687">
      <c r="A687" s="120">
        <v>2018.0</v>
      </c>
      <c r="B687" s="121">
        <v>10.0</v>
      </c>
      <c r="C687" s="135" t="s">
        <v>71</v>
      </c>
      <c r="D687" s="138"/>
      <c r="E687" s="137">
        <v>4055.8</v>
      </c>
      <c r="F687" s="136">
        <v>-10000.0</v>
      </c>
      <c r="G687" s="138"/>
      <c r="H687" s="137">
        <v>-971.41</v>
      </c>
      <c r="I687" s="138"/>
      <c r="J687" s="136">
        <v>849.45</v>
      </c>
      <c r="K687" s="138"/>
      <c r="L687" s="136">
        <v>-10534.96</v>
      </c>
      <c r="M687" s="44"/>
      <c r="N687" s="44"/>
      <c r="O687" s="136">
        <v>198864.0</v>
      </c>
      <c r="P687" s="52">
        <f t="shared" si="23"/>
        <v>198862.99</v>
      </c>
      <c r="Q687" s="124">
        <f t="shared" si="2"/>
        <v>1.01</v>
      </c>
      <c r="R687" s="52">
        <f t="array" ref="R687">IFERROR(INDEX('Fund YTD Target Values'!$1:$1000, MATCH($C687,'Fund YTD Target Values'!$A:$A,0), MATCH($A687,'Fund YTD Target Values'!$1:$1,0)),0)</f>
        <v>217663.6749</v>
      </c>
      <c r="S687" s="52">
        <f>IFERROR(__xludf.DUMMYFUNCTION("IFERROR(sum(FILTER('Fund Data'!$V:$V, 'Fund Data'!$C:$C = $C687, 'Fund Data'!$A:$A &lt; $A687)),0) + IFERROR(sum(FILTER('Fund Data'!$V:$V, 'Fund Data'!$C:$C = $C687, 'Fund Data'!$A:$A = $A687, 'Fund Data'!$B:$B &lt;= $B687)),0)"),185189.56)</f>
        <v>185189.56</v>
      </c>
      <c r="T687" s="123">
        <v>190241.0</v>
      </c>
      <c r="U687" s="44">
        <f t="shared" si="69"/>
        <v>-5051.44</v>
      </c>
      <c r="V687" s="44">
        <f t="shared" si="3"/>
        <v>0</v>
      </c>
      <c r="W687" s="123"/>
      <c r="X687" s="123"/>
      <c r="Y687" s="123">
        <v>0.0</v>
      </c>
      <c r="Z687" s="123">
        <v>0.0</v>
      </c>
      <c r="AA687" s="123">
        <v>0.0</v>
      </c>
      <c r="AB687" s="123"/>
      <c r="AC687" s="123">
        <v>0.0</v>
      </c>
      <c r="AD687" s="44">
        <f t="shared" si="7"/>
        <v>-10000</v>
      </c>
      <c r="AE687" s="123">
        <v>0.0</v>
      </c>
    </row>
    <row r="688">
      <c r="A688" s="120">
        <v>2018.0</v>
      </c>
      <c r="B688" s="121">
        <v>9.0</v>
      </c>
      <c r="C688" s="122" t="s">
        <v>71</v>
      </c>
      <c r="D688" s="44"/>
      <c r="E688" s="123">
        <v>3457.76</v>
      </c>
      <c r="F688" s="123">
        <v>-10000.0</v>
      </c>
      <c r="G688" s="44"/>
      <c r="H688" s="123">
        <v>-971.41</v>
      </c>
      <c r="I688" s="44"/>
      <c r="J688" s="123">
        <v>849.45</v>
      </c>
      <c r="K688" s="44"/>
      <c r="L688" s="123">
        <v>133.64</v>
      </c>
      <c r="M688" s="44"/>
      <c r="N688" s="44"/>
      <c r="O688" s="123">
        <v>208934.0</v>
      </c>
      <c r="P688" s="52">
        <f t="shared" si="23"/>
        <v>208933.55</v>
      </c>
      <c r="Q688" s="124">
        <f t="shared" si="2"/>
        <v>0.45</v>
      </c>
      <c r="R688" s="52">
        <f t="array" ref="R688">IFERROR(INDEX('Fund YTD Target Values'!$1:$1000, MATCH($C688,'Fund YTD Target Values'!$A:$A,0), MATCH($A688,'Fund YTD Target Values'!$1:$1,0)),0)</f>
        <v>217663.6749</v>
      </c>
      <c r="S688" s="52">
        <f>IFERROR(__xludf.DUMMYFUNCTION("IFERROR(sum(FILTER('Fund Data'!$V:$V, 'Fund Data'!$C:$C = $C688, 'Fund Data'!$A:$A &lt; $A688)),0) + IFERROR(sum(FILTER('Fund Data'!$V:$V, 'Fund Data'!$C:$C = $C688, 'Fund Data'!$A:$A = $A688, 'Fund Data'!$B:$B &lt;= $B688)),0)"),185189.56)</f>
        <v>185189.56</v>
      </c>
      <c r="T688" s="123">
        <v>190241.0</v>
      </c>
      <c r="U688" s="44">
        <f t="shared" si="69"/>
        <v>-5051.44</v>
      </c>
      <c r="V688" s="44">
        <f t="shared" si="3"/>
        <v>0</v>
      </c>
      <c r="W688" s="123"/>
      <c r="X688" s="123"/>
      <c r="Y688" s="123">
        <v>0.0</v>
      </c>
      <c r="Z688" s="123">
        <v>0.0</v>
      </c>
      <c r="AA688" s="123">
        <v>0.0</v>
      </c>
      <c r="AB688" s="123"/>
      <c r="AC688" s="123">
        <v>0.0</v>
      </c>
      <c r="AD688" s="44">
        <f t="shared" si="7"/>
        <v>-10000</v>
      </c>
      <c r="AE688" s="123">
        <v>0.0</v>
      </c>
    </row>
    <row r="689">
      <c r="A689" s="120">
        <v>2018.0</v>
      </c>
      <c r="B689" s="121">
        <v>8.0</v>
      </c>
      <c r="C689" s="122" t="s">
        <v>71</v>
      </c>
      <c r="D689" s="44"/>
      <c r="E689" s="123">
        <v>3275.16</v>
      </c>
      <c r="F689" s="123">
        <v>-7000.0</v>
      </c>
      <c r="G689" s="44"/>
      <c r="H689" s="123">
        <v>-865.08</v>
      </c>
      <c r="I689" s="44"/>
      <c r="J689" s="123">
        <v>481.08</v>
      </c>
      <c r="K689" s="44"/>
      <c r="L689" s="123">
        <v>1279.97</v>
      </c>
      <c r="M689" s="44"/>
      <c r="N689" s="44"/>
      <c r="O689" s="123">
        <v>212636.0</v>
      </c>
      <c r="P689" s="52">
        <f t="shared" si="23"/>
        <v>212635.24</v>
      </c>
      <c r="Q689" s="124">
        <f t="shared" si="2"/>
        <v>0.76</v>
      </c>
      <c r="R689" s="52">
        <f t="array" ref="R689">IFERROR(INDEX('Fund YTD Target Values'!$1:$1000, MATCH($C689,'Fund YTD Target Values'!$A:$A,0), MATCH($A689,'Fund YTD Target Values'!$1:$1,0)),0)</f>
        <v>217663.6749</v>
      </c>
      <c r="S689" s="52">
        <f>IFERROR(__xludf.DUMMYFUNCTION("IFERROR(sum(FILTER('Fund Data'!$V:$V, 'Fund Data'!$C:$C = $C689, 'Fund Data'!$A:$A &lt; $A689)),0) + IFERROR(sum(FILTER('Fund Data'!$V:$V, 'Fund Data'!$C:$C = $C689, 'Fund Data'!$A:$A = $A689, 'Fund Data'!$B:$B &lt;= $B689)),0)"),185189.56)</f>
        <v>185189.56</v>
      </c>
      <c r="T689" s="123">
        <v>190241.0</v>
      </c>
      <c r="U689" s="44">
        <f t="shared" si="69"/>
        <v>-5051.44</v>
      </c>
      <c r="V689" s="44">
        <f t="shared" si="3"/>
        <v>0</v>
      </c>
      <c r="W689" s="123"/>
      <c r="X689" s="123"/>
      <c r="Y689" s="123">
        <v>0.0</v>
      </c>
      <c r="Z689" s="123">
        <v>0.0</v>
      </c>
      <c r="AA689" s="123">
        <v>0.0</v>
      </c>
      <c r="AB689" s="123"/>
      <c r="AC689" s="123">
        <v>0.0</v>
      </c>
      <c r="AD689" s="44">
        <f t="shared" si="7"/>
        <v>-7000</v>
      </c>
      <c r="AE689" s="123">
        <v>0.0</v>
      </c>
    </row>
    <row r="690">
      <c r="A690" s="120">
        <v>2018.0</v>
      </c>
      <c r="B690" s="121">
        <v>7.0</v>
      </c>
      <c r="C690" s="122" t="s">
        <v>71</v>
      </c>
      <c r="D690" s="44"/>
      <c r="E690" s="123">
        <v>3096.41</v>
      </c>
      <c r="F690" s="123">
        <v>-2000.0</v>
      </c>
      <c r="G690" s="44"/>
      <c r="H690" s="123">
        <v>-756.61</v>
      </c>
      <c r="I690" s="44"/>
      <c r="J690" s="44"/>
      <c r="K690" s="44"/>
      <c r="L690" s="123">
        <v>1133.35</v>
      </c>
      <c r="M690" s="44"/>
      <c r="N690" s="44"/>
      <c r="O690" s="123">
        <v>216938.0</v>
      </c>
      <c r="P690" s="52">
        <f t="shared" si="23"/>
        <v>216937.26</v>
      </c>
      <c r="Q690" s="124">
        <f t="shared" si="2"/>
        <v>0.74</v>
      </c>
      <c r="R690" s="52">
        <f t="array" ref="R690">IFERROR(INDEX('Fund YTD Target Values'!$1:$1000, MATCH($C690,'Fund YTD Target Values'!$A:$A,0), MATCH($A690,'Fund YTD Target Values'!$1:$1,0)),0)</f>
        <v>217663.6749</v>
      </c>
      <c r="S690" s="52">
        <f>IFERROR(__xludf.DUMMYFUNCTION("IFERROR(sum(FILTER('Fund Data'!$V:$V, 'Fund Data'!$C:$C = $C690, 'Fund Data'!$A:$A &lt; $A690)),0) + IFERROR(sum(FILTER('Fund Data'!$V:$V, 'Fund Data'!$C:$C = $C690, 'Fund Data'!$A:$A = $A690, 'Fund Data'!$B:$B &lt;= $B690)),0)"),185189.56)</f>
        <v>185189.56</v>
      </c>
      <c r="T690" s="123">
        <v>190241.0</v>
      </c>
      <c r="U690" s="44">
        <f t="shared" si="69"/>
        <v>-5051.44</v>
      </c>
      <c r="V690" s="44">
        <f t="shared" si="3"/>
        <v>0</v>
      </c>
      <c r="W690" s="123"/>
      <c r="X690" s="123"/>
      <c r="Y690" s="123">
        <v>0.0</v>
      </c>
      <c r="Z690" s="123">
        <v>0.0</v>
      </c>
      <c r="AA690" s="123">
        <v>0.0</v>
      </c>
      <c r="AB690" s="123"/>
      <c r="AC690" s="123">
        <v>0.0</v>
      </c>
      <c r="AD690" s="44">
        <f t="shared" si="7"/>
        <v>-2000</v>
      </c>
      <c r="AE690" s="123">
        <v>0.0</v>
      </c>
    </row>
    <row r="691">
      <c r="A691" s="120">
        <v>2018.0</v>
      </c>
      <c r="B691" s="121">
        <v>6.0</v>
      </c>
      <c r="C691" s="122" t="s">
        <v>71</v>
      </c>
      <c r="D691" s="44"/>
      <c r="E691" s="123">
        <v>2612.95</v>
      </c>
      <c r="F691" s="123">
        <v>-2000.0</v>
      </c>
      <c r="G691" s="44"/>
      <c r="H691" s="123">
        <v>-650.09</v>
      </c>
      <c r="I691" s="44"/>
      <c r="J691" s="44"/>
      <c r="K691" s="44"/>
      <c r="L691" s="123">
        <v>-2389.76</v>
      </c>
      <c r="M691" s="44"/>
      <c r="N691" s="44"/>
      <c r="O691" s="123">
        <v>213038.0</v>
      </c>
      <c r="P691" s="52">
        <f t="shared" si="23"/>
        <v>213037.21</v>
      </c>
      <c r="Q691" s="124">
        <f t="shared" si="2"/>
        <v>0.7899999999</v>
      </c>
      <c r="R691" s="52">
        <f t="array" ref="R691">IFERROR(INDEX('Fund YTD Target Values'!$1:$1000, MATCH($C691,'Fund YTD Target Values'!$A:$A,0), MATCH($A691,'Fund YTD Target Values'!$1:$1,0)),0)</f>
        <v>217663.6749</v>
      </c>
      <c r="S691" s="52">
        <f>IFERROR(__xludf.DUMMYFUNCTION("IFERROR(sum(FILTER('Fund Data'!$V:$V, 'Fund Data'!$C:$C = $C691, 'Fund Data'!$A:$A &lt; $A691)),0) + IFERROR(sum(FILTER('Fund Data'!$V:$V, 'Fund Data'!$C:$C = $C691, 'Fund Data'!$A:$A = $A691, 'Fund Data'!$B:$B &lt;= $B691)),0)"),185189.56)</f>
        <v>185189.56</v>
      </c>
      <c r="T691" s="123">
        <v>190241.0</v>
      </c>
      <c r="U691" s="44">
        <f t="shared" si="69"/>
        <v>-5051.44</v>
      </c>
      <c r="V691" s="44">
        <f t="shared" si="3"/>
        <v>0</v>
      </c>
      <c r="W691" s="123"/>
      <c r="X691" s="123"/>
      <c r="Y691" s="123">
        <v>0.0</v>
      </c>
      <c r="Z691" s="123">
        <v>0.0</v>
      </c>
      <c r="AA691" s="123">
        <v>0.0</v>
      </c>
      <c r="AB691" s="123"/>
      <c r="AC691" s="123">
        <v>0.0</v>
      </c>
      <c r="AD691" s="44">
        <f t="shared" si="7"/>
        <v>-2000</v>
      </c>
      <c r="AE691" s="123">
        <v>0.0</v>
      </c>
    </row>
    <row r="692">
      <c r="A692" s="120">
        <v>2018.0</v>
      </c>
      <c r="B692" s="121">
        <v>5.0</v>
      </c>
      <c r="C692" s="122" t="s">
        <v>71</v>
      </c>
      <c r="D692" s="44"/>
      <c r="E692" s="123">
        <v>2306.21</v>
      </c>
      <c r="F692" s="123">
        <v>-2000.0</v>
      </c>
      <c r="G692" s="44"/>
      <c r="H692" s="123">
        <v>-542.87</v>
      </c>
      <c r="I692" s="44"/>
      <c r="J692" s="44"/>
      <c r="K692" s="44"/>
      <c r="L692" s="123">
        <v>-785.25</v>
      </c>
      <c r="M692" s="44"/>
      <c r="N692" s="44"/>
      <c r="O692" s="123">
        <v>214443.0</v>
      </c>
      <c r="P692" s="52">
        <f t="shared" si="23"/>
        <v>214442.2</v>
      </c>
      <c r="Q692" s="124">
        <f t="shared" si="2"/>
        <v>0.8</v>
      </c>
      <c r="R692" s="52">
        <f t="array" ref="R692">IFERROR(INDEX('Fund YTD Target Values'!$1:$1000, MATCH($C692,'Fund YTD Target Values'!$A:$A,0), MATCH($A692,'Fund YTD Target Values'!$1:$1,0)),0)</f>
        <v>217663.6749</v>
      </c>
      <c r="S692" s="52">
        <f>IFERROR(__xludf.DUMMYFUNCTION("IFERROR(sum(FILTER('Fund Data'!$V:$V, 'Fund Data'!$C:$C = $C692, 'Fund Data'!$A:$A &lt; $A692)),0) + IFERROR(sum(FILTER('Fund Data'!$V:$V, 'Fund Data'!$C:$C = $C692, 'Fund Data'!$A:$A = $A692, 'Fund Data'!$B:$B &lt;= $B692)),0)"),185189.56)</f>
        <v>185189.56</v>
      </c>
      <c r="T692" s="123">
        <v>190241.0</v>
      </c>
      <c r="U692" s="44">
        <f t="shared" si="69"/>
        <v>-5051.44</v>
      </c>
      <c r="V692" s="44">
        <f t="shared" si="3"/>
        <v>0</v>
      </c>
      <c r="W692" s="123"/>
      <c r="X692" s="123"/>
      <c r="Y692" s="123">
        <v>0.0</v>
      </c>
      <c r="Z692" s="123">
        <v>0.0</v>
      </c>
      <c r="AA692" s="123">
        <v>0.0</v>
      </c>
      <c r="AB692" s="123"/>
      <c r="AC692" s="123">
        <v>0.0</v>
      </c>
      <c r="AD692" s="44">
        <f t="shared" si="7"/>
        <v>-2000</v>
      </c>
      <c r="AE692" s="123">
        <v>0.0</v>
      </c>
    </row>
    <row r="693">
      <c r="A693" s="120">
        <v>2018.0</v>
      </c>
      <c r="B693" s="121">
        <v>4.0</v>
      </c>
      <c r="C693" s="122" t="s">
        <v>71</v>
      </c>
      <c r="D693" s="44"/>
      <c r="E693" s="123">
        <v>2135.85</v>
      </c>
      <c r="F693" s="44"/>
      <c r="G693" s="44"/>
      <c r="H693" s="123">
        <v>-434.91</v>
      </c>
      <c r="I693" s="44"/>
      <c r="J693" s="44"/>
      <c r="K693" s="44"/>
      <c r="L693" s="123">
        <v>-1238.6</v>
      </c>
      <c r="M693" s="44"/>
      <c r="N693" s="44"/>
      <c r="O693" s="123">
        <v>215927.0</v>
      </c>
      <c r="P693" s="52">
        <f t="shared" si="23"/>
        <v>215926.45</v>
      </c>
      <c r="Q693" s="124">
        <f t="shared" si="2"/>
        <v>0.55</v>
      </c>
      <c r="R693" s="52">
        <f t="array" ref="R693">IFERROR(INDEX('Fund YTD Target Values'!$1:$1000, MATCH($C693,'Fund YTD Target Values'!$A:$A,0), MATCH($A693,'Fund YTD Target Values'!$1:$1,0)),0)</f>
        <v>217663.6749</v>
      </c>
      <c r="S693" s="52">
        <f>IFERROR(__xludf.DUMMYFUNCTION("IFERROR(sum(FILTER('Fund Data'!$V:$V, 'Fund Data'!$C:$C = $C693, 'Fund Data'!$A:$A &lt; $A693)),0) + IFERROR(sum(FILTER('Fund Data'!$V:$V, 'Fund Data'!$C:$C = $C693, 'Fund Data'!$A:$A = $A693, 'Fund Data'!$B:$B &lt;= $B693)),0)"),185189.56)</f>
        <v>185189.56</v>
      </c>
      <c r="T693" s="123">
        <v>190241.0</v>
      </c>
      <c r="U693" s="44">
        <f t="shared" si="69"/>
        <v>-5051.44</v>
      </c>
      <c r="V693" s="44">
        <f t="shared" si="3"/>
        <v>0</v>
      </c>
      <c r="W693" s="123"/>
      <c r="X693" s="123"/>
      <c r="Y693" s="123">
        <v>0.0</v>
      </c>
      <c r="Z693" s="123">
        <v>0.0</v>
      </c>
      <c r="AA693" s="123">
        <v>0.0</v>
      </c>
      <c r="AB693" s="123"/>
      <c r="AC693" s="123">
        <v>0.0</v>
      </c>
      <c r="AD693" s="44">
        <f t="shared" si="7"/>
        <v>0</v>
      </c>
      <c r="AE693" s="123">
        <v>0.0</v>
      </c>
    </row>
    <row r="694">
      <c r="A694" s="120">
        <v>2018.0</v>
      </c>
      <c r="B694" s="121">
        <v>3.0</v>
      </c>
      <c r="C694" s="122" t="s">
        <v>71</v>
      </c>
      <c r="D694" s="44"/>
      <c r="E694" s="123">
        <v>1615.82</v>
      </c>
      <c r="F694" s="44"/>
      <c r="G694" s="44"/>
      <c r="H694" s="123">
        <v>-327.24</v>
      </c>
      <c r="I694" s="44"/>
      <c r="J694" s="44"/>
      <c r="K694" s="44"/>
      <c r="L694" s="123">
        <v>-1414.83</v>
      </c>
      <c r="M694" s="44"/>
      <c r="N694" s="44"/>
      <c r="O694" s="123">
        <v>215338.0</v>
      </c>
      <c r="P694" s="52">
        <f t="shared" si="23"/>
        <v>215337.86</v>
      </c>
      <c r="Q694" s="124">
        <f t="shared" si="2"/>
        <v>0.14</v>
      </c>
      <c r="R694" s="52">
        <f t="array" ref="R694">IFERROR(INDEX('Fund YTD Target Values'!$1:$1000, MATCH($C694,'Fund YTD Target Values'!$A:$A,0), MATCH($A694,'Fund YTD Target Values'!$1:$1,0)),0)</f>
        <v>217663.6749</v>
      </c>
      <c r="S694" s="52">
        <f>IFERROR(__xludf.DUMMYFUNCTION("IFERROR(sum(FILTER('Fund Data'!$V:$V, 'Fund Data'!$C:$C = $C694, 'Fund Data'!$A:$A &lt; $A694)),0) + IFERROR(sum(FILTER('Fund Data'!$V:$V, 'Fund Data'!$C:$C = $C694, 'Fund Data'!$A:$A = $A694, 'Fund Data'!$B:$B &lt;= $B694)),0)"),185189.56)</f>
        <v>185189.56</v>
      </c>
      <c r="T694" s="123">
        <v>190241.0</v>
      </c>
      <c r="U694" s="44">
        <f t="shared" si="69"/>
        <v>-5051.44</v>
      </c>
      <c r="V694" s="44">
        <f t="shared" si="3"/>
        <v>0</v>
      </c>
      <c r="W694" s="123"/>
      <c r="X694" s="123"/>
      <c r="Y694" s="123">
        <v>0.0</v>
      </c>
      <c r="Z694" s="123">
        <v>0.0</v>
      </c>
      <c r="AA694" s="123">
        <v>0.0</v>
      </c>
      <c r="AB694" s="123"/>
      <c r="AC694" s="123">
        <v>0.0</v>
      </c>
      <c r="AD694" s="44">
        <f t="shared" si="7"/>
        <v>0</v>
      </c>
      <c r="AE694" s="123">
        <v>0.0</v>
      </c>
    </row>
    <row r="695">
      <c r="A695" s="120">
        <v>2018.0</v>
      </c>
      <c r="B695" s="121">
        <v>2.0</v>
      </c>
      <c r="C695" s="122" t="s">
        <v>71</v>
      </c>
      <c r="D695" s="44"/>
      <c r="E695" s="123">
        <v>1416.88</v>
      </c>
      <c r="F695" s="44"/>
      <c r="G695" s="44"/>
      <c r="H695" s="123">
        <v>-512.29</v>
      </c>
      <c r="I695" s="44"/>
      <c r="J695" s="44"/>
      <c r="K695" s="44"/>
      <c r="L695" s="123">
        <v>85.94</v>
      </c>
      <c r="M695" s="44"/>
      <c r="N695" s="44"/>
      <c r="O695" s="123">
        <v>216455.0</v>
      </c>
      <c r="P695" s="52">
        <f t="shared" si="23"/>
        <v>216454.64</v>
      </c>
      <c r="Q695" s="124">
        <f t="shared" si="2"/>
        <v>0.36</v>
      </c>
      <c r="R695" s="52">
        <f t="array" ref="R695">IFERROR(INDEX('Fund YTD Target Values'!$1:$1000, MATCH($C695,'Fund YTD Target Values'!$A:$A,0), MATCH($A695,'Fund YTD Target Values'!$1:$1,0)),0)</f>
        <v>217663.6749</v>
      </c>
      <c r="S695" s="52">
        <f>IFERROR(__xludf.DUMMYFUNCTION("IFERROR(sum(FILTER('Fund Data'!$V:$V, 'Fund Data'!$C:$C = $C695, 'Fund Data'!$A:$A &lt; $A695)),0) + IFERROR(sum(FILTER('Fund Data'!$V:$V, 'Fund Data'!$C:$C = $C695, 'Fund Data'!$A:$A = $A695, 'Fund Data'!$B:$B &lt;= $B695)),0)"),185189.56)</f>
        <v>185189.56</v>
      </c>
      <c r="T695" s="123">
        <v>190241.0</v>
      </c>
      <c r="U695" s="44">
        <f t="shared" si="69"/>
        <v>-5051.44</v>
      </c>
      <c r="V695" s="44">
        <f t="shared" si="3"/>
        <v>0</v>
      </c>
      <c r="W695" s="123"/>
      <c r="X695" s="123"/>
      <c r="Y695" s="123">
        <v>0.0</v>
      </c>
      <c r="Z695" s="123">
        <v>0.0</v>
      </c>
      <c r="AA695" s="123">
        <v>0.0</v>
      </c>
      <c r="AB695" s="123"/>
      <c r="AC695" s="123">
        <v>0.0</v>
      </c>
      <c r="AD695" s="44">
        <f t="shared" si="7"/>
        <v>0</v>
      </c>
      <c r="AE695" s="123">
        <v>0.0</v>
      </c>
    </row>
    <row r="696">
      <c r="A696" s="120">
        <v>2018.0</v>
      </c>
      <c r="B696" s="121">
        <v>1.0</v>
      </c>
      <c r="C696" s="122" t="s">
        <v>71</v>
      </c>
      <c r="D696" s="44"/>
      <c r="E696" s="123">
        <v>1252.58</v>
      </c>
      <c r="F696" s="44"/>
      <c r="G696" s="44"/>
      <c r="H696" s="123">
        <v>-401.01</v>
      </c>
      <c r="I696" s="44"/>
      <c r="J696" s="44"/>
      <c r="K696" s="44"/>
      <c r="L696" s="123">
        <v>6252.35</v>
      </c>
      <c r="M696" s="44"/>
      <c r="N696" s="44"/>
      <c r="O696" s="123">
        <v>222569.0</v>
      </c>
      <c r="P696" s="52">
        <f t="shared" si="23"/>
        <v>222568.03</v>
      </c>
      <c r="Q696" s="124">
        <f t="shared" si="2"/>
        <v>0.9699999999</v>
      </c>
      <c r="R696" s="52">
        <f t="array" ref="R696">IFERROR(INDEX('Fund YTD Target Values'!$1:$1000, MATCH($C696,'Fund YTD Target Values'!$A:$A,0), MATCH($A696,'Fund YTD Target Values'!$1:$1,0)),0)</f>
        <v>217663.6749</v>
      </c>
      <c r="S696" s="52">
        <f>IFERROR(__xludf.DUMMYFUNCTION("IFERROR(sum(FILTER('Fund Data'!$V:$V, 'Fund Data'!$C:$C = $C696, 'Fund Data'!$A:$A &lt; $A696)),0) + IFERROR(sum(FILTER('Fund Data'!$V:$V, 'Fund Data'!$C:$C = $C696, 'Fund Data'!$A:$A = $A696, 'Fund Data'!$B:$B &lt;= $B696)),0)"),185189.56)</f>
        <v>185189.56</v>
      </c>
      <c r="T696" s="123">
        <v>190241.0</v>
      </c>
      <c r="U696" s="44">
        <f t="shared" si="69"/>
        <v>-5051.44</v>
      </c>
      <c r="V696" s="44">
        <f t="shared" si="3"/>
        <v>0</v>
      </c>
      <c r="W696" s="123"/>
      <c r="X696" s="123"/>
      <c r="Y696" s="123">
        <v>0.0</v>
      </c>
      <c r="Z696" s="123">
        <v>0.0</v>
      </c>
      <c r="AA696" s="123">
        <v>0.0</v>
      </c>
      <c r="AB696" s="123"/>
      <c r="AC696" s="123">
        <v>0.0</v>
      </c>
      <c r="AD696" s="44">
        <f t="shared" si="7"/>
        <v>0</v>
      </c>
      <c r="AE696" s="123">
        <v>0.0</v>
      </c>
    </row>
    <row r="697">
      <c r="A697" s="120">
        <v>2017.0</v>
      </c>
      <c r="B697" s="121">
        <v>12.0</v>
      </c>
      <c r="C697" s="122" t="s">
        <v>71</v>
      </c>
      <c r="D697" s="44"/>
      <c r="E697" s="123">
        <v>4277.7</v>
      </c>
      <c r="F697" s="123">
        <v>-10000.0</v>
      </c>
      <c r="G697" s="123"/>
      <c r="H697" s="123">
        <v>-1254.18</v>
      </c>
      <c r="I697" s="44"/>
      <c r="J697" s="44"/>
      <c r="K697" s="44"/>
      <c r="L697" s="123">
        <v>23559.02</v>
      </c>
      <c r="M697" s="44"/>
      <c r="N697" s="44"/>
      <c r="O697" s="123">
        <v>215465.0</v>
      </c>
      <c r="P697" s="52">
        <f t="shared" si="23"/>
        <v>215464.11</v>
      </c>
      <c r="Q697" s="124">
        <f t="shared" si="2"/>
        <v>0.89</v>
      </c>
      <c r="R697" s="52">
        <f t="array" ref="R697">IFERROR(INDEX('Fund YTD Target Values'!$1:$1000, MATCH($C697,'Fund YTD Target Values'!$A:$A,0), MATCH($A697,'Fund YTD Target Values'!$1:$1,0)),0)</f>
        <v>212473.6146</v>
      </c>
      <c r="S697" s="52">
        <f>IFERROR(__xludf.DUMMYFUNCTION("IFERROR(sum(FILTER('Fund Data'!$V:$V, 'Fund Data'!$C:$C = $C697, 'Fund Data'!$A:$A &lt; $A697)),0) + IFERROR(sum(FILTER('Fund Data'!$V:$V, 'Fund Data'!$C:$C = $C697, 'Fund Data'!$A:$A = $A697, 'Fund Data'!$B:$B &lt;= $B697)),0)"),185189.56)</f>
        <v>185189.56</v>
      </c>
      <c r="T697" s="123">
        <v>190241.0</v>
      </c>
      <c r="U697" s="44">
        <f t="shared" si="69"/>
        <v>-5051.44</v>
      </c>
      <c r="V697" s="44">
        <f t="shared" si="3"/>
        <v>0</v>
      </c>
      <c r="W697" s="123"/>
      <c r="X697" s="123"/>
      <c r="Y697" s="123">
        <v>0.0</v>
      </c>
      <c r="Z697" s="123">
        <v>0.0</v>
      </c>
      <c r="AA697" s="123">
        <v>0.0</v>
      </c>
      <c r="AB697" s="123"/>
      <c r="AC697" s="123">
        <v>0.0</v>
      </c>
      <c r="AD697" s="44">
        <f t="shared" si="7"/>
        <v>-10000</v>
      </c>
      <c r="AE697" s="123">
        <v>0.0</v>
      </c>
    </row>
    <row r="698">
      <c r="A698" s="120">
        <v>2017.0</v>
      </c>
      <c r="B698" s="121">
        <v>11.0</v>
      </c>
      <c r="C698" s="122" t="s">
        <v>71</v>
      </c>
      <c r="D698" s="44"/>
      <c r="E698" s="123">
        <v>3985.06</v>
      </c>
      <c r="F698" s="123">
        <v>-10000.0</v>
      </c>
      <c r="G698" s="44"/>
      <c r="H698" s="123">
        <v>-1147.02</v>
      </c>
      <c r="I698" s="44"/>
      <c r="J698" s="44"/>
      <c r="K698" s="44"/>
      <c r="L698" s="123">
        <v>22596.51</v>
      </c>
      <c r="M698" s="44"/>
      <c r="N698" s="44"/>
      <c r="O698" s="123">
        <v>214317.0</v>
      </c>
      <c r="P698" s="52">
        <f t="shared" si="23"/>
        <v>214316.12</v>
      </c>
      <c r="Q698" s="124">
        <f t="shared" si="2"/>
        <v>0.88</v>
      </c>
      <c r="R698" s="52">
        <f t="array" ref="R698">IFERROR(INDEX('Fund YTD Target Values'!$1:$1000, MATCH($C698,'Fund YTD Target Values'!$A:$A,0), MATCH($A698,'Fund YTD Target Values'!$1:$1,0)),0)</f>
        <v>212473.6146</v>
      </c>
      <c r="S698" s="52">
        <f>IFERROR(__xludf.DUMMYFUNCTION("IFERROR(sum(FILTER('Fund Data'!$V:$V, 'Fund Data'!$C:$C = $C698, 'Fund Data'!$A:$A &lt; $A698)),0) + IFERROR(sum(FILTER('Fund Data'!$V:$V, 'Fund Data'!$C:$C = $C698, 'Fund Data'!$A:$A = $A698, 'Fund Data'!$B:$B &lt;= $B698)),0)"),185189.56)</f>
        <v>185189.56</v>
      </c>
      <c r="T698" s="123">
        <v>190241.0</v>
      </c>
      <c r="U698" s="44">
        <f t="shared" si="69"/>
        <v>-5051.44</v>
      </c>
      <c r="V698" s="44">
        <f t="shared" si="3"/>
        <v>0</v>
      </c>
      <c r="W698" s="123"/>
      <c r="X698" s="123"/>
      <c r="Y698" s="123">
        <v>0.0</v>
      </c>
      <c r="Z698" s="123">
        <v>0.0</v>
      </c>
      <c r="AA698" s="123">
        <v>0.0</v>
      </c>
      <c r="AB698" s="123"/>
      <c r="AC698" s="123">
        <v>0.0</v>
      </c>
      <c r="AD698" s="44">
        <f t="shared" si="7"/>
        <v>-10000</v>
      </c>
      <c r="AE698" s="123">
        <v>0.0</v>
      </c>
    </row>
    <row r="699">
      <c r="A699" s="120">
        <v>2017.0</v>
      </c>
      <c r="B699" s="121">
        <v>10.0</v>
      </c>
      <c r="C699" s="122" t="s">
        <v>71</v>
      </c>
      <c r="D699" s="44"/>
      <c r="E699" s="123">
        <v>3840.46</v>
      </c>
      <c r="F699" s="123">
        <v>-10000.0</v>
      </c>
      <c r="G699" s="44"/>
      <c r="H699" s="123">
        <v>-1040.99</v>
      </c>
      <c r="I699" s="44"/>
      <c r="J699" s="44"/>
      <c r="K699" s="44"/>
      <c r="L699" s="123">
        <v>20371.36</v>
      </c>
      <c r="M699" s="44"/>
      <c r="N699" s="44"/>
      <c r="O699" s="123">
        <v>212053.0</v>
      </c>
      <c r="P699" s="52">
        <f t="shared" si="23"/>
        <v>212052.4</v>
      </c>
      <c r="Q699" s="124">
        <f t="shared" si="2"/>
        <v>0.6</v>
      </c>
      <c r="R699" s="52">
        <f t="array" ref="R699">IFERROR(INDEX('Fund YTD Target Values'!$1:$1000, MATCH($C699,'Fund YTD Target Values'!$A:$A,0), MATCH($A699,'Fund YTD Target Values'!$1:$1,0)),0)</f>
        <v>212473.6146</v>
      </c>
      <c r="S699" s="52">
        <f>IFERROR(__xludf.DUMMYFUNCTION("IFERROR(sum(FILTER('Fund Data'!$V:$V, 'Fund Data'!$C:$C = $C699, 'Fund Data'!$A:$A &lt; $A699)),0) + IFERROR(sum(FILTER('Fund Data'!$V:$V, 'Fund Data'!$C:$C = $C699, 'Fund Data'!$A:$A = $A699, 'Fund Data'!$B:$B &lt;= $B699)),0)"),185189.56)</f>
        <v>185189.56</v>
      </c>
      <c r="T699" s="123">
        <v>190241.0</v>
      </c>
      <c r="U699" s="44">
        <f t="shared" si="69"/>
        <v>-5051.44</v>
      </c>
      <c r="V699" s="44">
        <f t="shared" si="3"/>
        <v>0</v>
      </c>
      <c r="W699" s="123"/>
      <c r="X699" s="123"/>
      <c r="Y699" s="123">
        <v>0.0</v>
      </c>
      <c r="Z699" s="123">
        <v>0.0</v>
      </c>
      <c r="AA699" s="123">
        <v>0.0</v>
      </c>
      <c r="AB699" s="123"/>
      <c r="AC699" s="123">
        <v>0.0</v>
      </c>
      <c r="AD699" s="44">
        <f t="shared" si="7"/>
        <v>-10000</v>
      </c>
      <c r="AE699" s="123">
        <v>0.0</v>
      </c>
    </row>
    <row r="700">
      <c r="A700" s="120">
        <v>2017.0</v>
      </c>
      <c r="B700" s="121">
        <v>9.0</v>
      </c>
      <c r="C700" s="122" t="s">
        <v>71</v>
      </c>
      <c r="D700" s="44"/>
      <c r="E700" s="123">
        <v>3424.65</v>
      </c>
      <c r="F700" s="123">
        <v>-10000.0</v>
      </c>
      <c r="G700" s="44"/>
      <c r="H700" s="123">
        <v>-936.38</v>
      </c>
      <c r="I700" s="44"/>
      <c r="J700" s="44"/>
      <c r="K700" s="44"/>
      <c r="L700" s="123">
        <v>17847.42</v>
      </c>
      <c r="M700" s="44"/>
      <c r="N700" s="44"/>
      <c r="O700" s="123">
        <v>209218.0</v>
      </c>
      <c r="P700" s="52">
        <f t="shared" si="23"/>
        <v>209217.26</v>
      </c>
      <c r="Q700" s="124">
        <f t="shared" si="2"/>
        <v>0.74</v>
      </c>
      <c r="R700" s="52">
        <f t="array" ref="R700">IFERROR(INDEX('Fund YTD Target Values'!$1:$1000, MATCH($C700,'Fund YTD Target Values'!$A:$A,0), MATCH($A700,'Fund YTD Target Values'!$1:$1,0)),0)</f>
        <v>212473.6146</v>
      </c>
      <c r="S700" s="52">
        <f>IFERROR(__xludf.DUMMYFUNCTION("IFERROR(sum(FILTER('Fund Data'!$V:$V, 'Fund Data'!$C:$C = $C700, 'Fund Data'!$A:$A &lt; $A700)),0) + IFERROR(sum(FILTER('Fund Data'!$V:$V, 'Fund Data'!$C:$C = $C700, 'Fund Data'!$A:$A = $A700, 'Fund Data'!$B:$B &lt;= $B700)),0)"),185189.56)</f>
        <v>185189.56</v>
      </c>
      <c r="T700" s="123">
        <v>190241.0</v>
      </c>
      <c r="U700" s="44">
        <f t="shared" si="69"/>
        <v>-5051.44</v>
      </c>
      <c r="V700" s="44">
        <f t="shared" si="3"/>
        <v>0</v>
      </c>
      <c r="W700" s="123"/>
      <c r="X700" s="123"/>
      <c r="Y700" s="123">
        <v>0.0</v>
      </c>
      <c r="Z700" s="123">
        <v>0.0</v>
      </c>
      <c r="AA700" s="123">
        <v>0.0</v>
      </c>
      <c r="AB700" s="123"/>
      <c r="AC700" s="123">
        <v>0.0</v>
      </c>
      <c r="AD700" s="44">
        <f t="shared" si="7"/>
        <v>-10000</v>
      </c>
      <c r="AE700" s="123">
        <v>0.0</v>
      </c>
    </row>
    <row r="701">
      <c r="A701" s="120">
        <v>2017.0</v>
      </c>
      <c r="B701" s="121">
        <v>8.0</v>
      </c>
      <c r="C701" s="122" t="s">
        <v>71</v>
      </c>
      <c r="D701" s="44"/>
      <c r="E701" s="123">
        <v>3171.18</v>
      </c>
      <c r="F701" s="123">
        <v>-10000.0</v>
      </c>
      <c r="G701" s="44"/>
      <c r="H701" s="123">
        <v>-832.8</v>
      </c>
      <c r="I701" s="44"/>
      <c r="J701" s="44"/>
      <c r="K701" s="44"/>
      <c r="L701" s="123">
        <v>15939.59</v>
      </c>
      <c r="M701" s="44"/>
      <c r="N701" s="44"/>
      <c r="O701" s="123">
        <v>207160.0</v>
      </c>
      <c r="P701" s="52">
        <f t="shared" si="23"/>
        <v>207159.54</v>
      </c>
      <c r="Q701" s="124">
        <f t="shared" si="2"/>
        <v>0.46</v>
      </c>
      <c r="R701" s="52">
        <f t="array" ref="R701">IFERROR(INDEX('Fund YTD Target Values'!$1:$1000, MATCH($C701,'Fund YTD Target Values'!$A:$A,0), MATCH($A701,'Fund YTD Target Values'!$1:$1,0)),0)</f>
        <v>212473.6146</v>
      </c>
      <c r="S701" s="52">
        <f>IFERROR(__xludf.DUMMYFUNCTION("IFERROR(sum(FILTER('Fund Data'!$V:$V, 'Fund Data'!$C:$C = $C701, 'Fund Data'!$A:$A &lt; $A701)),0) + IFERROR(sum(FILTER('Fund Data'!$V:$V, 'Fund Data'!$C:$C = $C701, 'Fund Data'!$A:$A = $A701, 'Fund Data'!$B:$B &lt;= $B701)),0)"),185189.56)</f>
        <v>185189.56</v>
      </c>
      <c r="T701" s="123">
        <v>190241.0</v>
      </c>
      <c r="U701" s="44">
        <f t="shared" si="69"/>
        <v>-5051.44</v>
      </c>
      <c r="V701" s="44">
        <f t="shared" si="3"/>
        <v>0</v>
      </c>
      <c r="W701" s="123"/>
      <c r="X701" s="123"/>
      <c r="Y701" s="123">
        <v>0.0</v>
      </c>
      <c r="Z701" s="123">
        <v>0.0</v>
      </c>
      <c r="AA701" s="123">
        <v>0.0</v>
      </c>
      <c r="AB701" s="123"/>
      <c r="AC701" s="123">
        <v>0.0</v>
      </c>
      <c r="AD701" s="44">
        <f t="shared" si="7"/>
        <v>-10000</v>
      </c>
      <c r="AE701" s="123">
        <v>0.0</v>
      </c>
    </row>
    <row r="702">
      <c r="A702" s="120">
        <v>2017.0</v>
      </c>
      <c r="B702" s="121">
        <v>7.0</v>
      </c>
      <c r="C702" s="122" t="s">
        <v>71</v>
      </c>
      <c r="D702" s="44"/>
      <c r="E702" s="123">
        <v>3022.29</v>
      </c>
      <c r="F702" s="44"/>
      <c r="G702" s="44"/>
      <c r="H702" s="123">
        <v>-724.49</v>
      </c>
      <c r="I702" s="44"/>
      <c r="J702" s="44"/>
      <c r="K702" s="44"/>
      <c r="L702" s="123">
        <v>15437.18</v>
      </c>
      <c r="M702" s="44"/>
      <c r="N702" s="44"/>
      <c r="O702" s="123">
        <v>216617.0</v>
      </c>
      <c r="P702" s="52">
        <f t="shared" si="23"/>
        <v>216616.55</v>
      </c>
      <c r="Q702" s="124">
        <f t="shared" si="2"/>
        <v>0.45</v>
      </c>
      <c r="R702" s="52">
        <f t="array" ref="R702">IFERROR(INDEX('Fund YTD Target Values'!$1:$1000, MATCH($C702,'Fund YTD Target Values'!$A:$A,0), MATCH($A702,'Fund YTD Target Values'!$1:$1,0)),0)</f>
        <v>212473.6146</v>
      </c>
      <c r="S702" s="52">
        <f>IFERROR(__xludf.DUMMYFUNCTION("IFERROR(sum(FILTER('Fund Data'!$V:$V, 'Fund Data'!$C:$C = $C702, 'Fund Data'!$A:$A &lt; $A702)),0) + IFERROR(sum(FILTER('Fund Data'!$V:$V, 'Fund Data'!$C:$C = $C702, 'Fund Data'!$A:$A = $A702, 'Fund Data'!$B:$B &lt;= $B702)),0)"),185189.56)</f>
        <v>185189.56</v>
      </c>
      <c r="T702" s="123">
        <v>190241.0</v>
      </c>
      <c r="U702" s="44">
        <f t="shared" si="69"/>
        <v>-5051.44</v>
      </c>
      <c r="V702" s="44">
        <f t="shared" si="3"/>
        <v>0</v>
      </c>
      <c r="W702" s="123"/>
      <c r="X702" s="123"/>
      <c r="Y702" s="123">
        <v>0.0</v>
      </c>
      <c r="Z702" s="123">
        <v>0.0</v>
      </c>
      <c r="AA702" s="123">
        <v>0.0</v>
      </c>
      <c r="AB702" s="123"/>
      <c r="AC702" s="123">
        <v>0.0</v>
      </c>
      <c r="AD702" s="44">
        <f t="shared" si="7"/>
        <v>0</v>
      </c>
      <c r="AE702" s="123">
        <v>0.0</v>
      </c>
    </row>
    <row r="703">
      <c r="A703" s="120">
        <v>2017.0</v>
      </c>
      <c r="B703" s="121">
        <v>6.0</v>
      </c>
      <c r="C703" s="122" t="s">
        <v>71</v>
      </c>
      <c r="D703" s="44"/>
      <c r="E703" s="123">
        <v>2403.13</v>
      </c>
      <c r="F703" s="44"/>
      <c r="G703" s="44"/>
      <c r="H703" s="123">
        <v>-618.42</v>
      </c>
      <c r="I703" s="44"/>
      <c r="J703" s="44"/>
      <c r="K703" s="44"/>
      <c r="L703" s="123">
        <v>11464.18</v>
      </c>
      <c r="M703" s="44"/>
      <c r="N703" s="44"/>
      <c r="O703" s="123">
        <v>212131.0</v>
      </c>
      <c r="P703" s="52">
        <f t="shared" si="23"/>
        <v>212130.46</v>
      </c>
      <c r="Q703" s="124">
        <f t="shared" si="2"/>
        <v>0.54</v>
      </c>
      <c r="R703" s="52">
        <f t="array" ref="R703">IFERROR(INDEX('Fund YTD Target Values'!$1:$1000, MATCH($C703,'Fund YTD Target Values'!$A:$A,0), MATCH($A703,'Fund YTD Target Values'!$1:$1,0)),0)</f>
        <v>212473.6146</v>
      </c>
      <c r="S703" s="52">
        <f>IFERROR(__xludf.DUMMYFUNCTION("IFERROR(sum(FILTER('Fund Data'!$V:$V, 'Fund Data'!$C:$C = $C703, 'Fund Data'!$A:$A &lt; $A703)),0) + IFERROR(sum(FILTER('Fund Data'!$V:$V, 'Fund Data'!$C:$C = $C703, 'Fund Data'!$A:$A = $A703, 'Fund Data'!$B:$B &lt;= $B703)),0)"),185189.56)</f>
        <v>185189.56</v>
      </c>
      <c r="T703" s="123">
        <v>190241.0</v>
      </c>
      <c r="U703" s="44">
        <f t="shared" si="69"/>
        <v>-5051.44</v>
      </c>
      <c r="V703" s="44">
        <f t="shared" si="3"/>
        <v>0</v>
      </c>
      <c r="W703" s="123"/>
      <c r="X703" s="123"/>
      <c r="Y703" s="123">
        <v>0.0</v>
      </c>
      <c r="Z703" s="123">
        <v>0.0</v>
      </c>
      <c r="AA703" s="123">
        <v>0.0</v>
      </c>
      <c r="AB703" s="123"/>
      <c r="AC703" s="123">
        <v>0.0</v>
      </c>
      <c r="AD703" s="44">
        <f t="shared" si="7"/>
        <v>0</v>
      </c>
      <c r="AE703" s="123">
        <v>0.0</v>
      </c>
    </row>
    <row r="704">
      <c r="A704" s="120">
        <v>2017.0</v>
      </c>
      <c r="B704" s="121">
        <v>5.0</v>
      </c>
      <c r="C704" s="122" t="s">
        <v>71</v>
      </c>
      <c r="D704" s="44"/>
      <c r="E704" s="123">
        <v>2264.86</v>
      </c>
      <c r="F704" s="44"/>
      <c r="G704" s="44"/>
      <c r="H704" s="123">
        <v>-512.57</v>
      </c>
      <c r="I704" s="44"/>
      <c r="J704" s="44"/>
      <c r="K704" s="44"/>
      <c r="L704" s="123">
        <v>11055.64</v>
      </c>
      <c r="M704" s="44"/>
      <c r="N704" s="44"/>
      <c r="O704" s="123">
        <v>211690.0</v>
      </c>
      <c r="P704" s="52">
        <f t="shared" si="23"/>
        <v>211689.5</v>
      </c>
      <c r="Q704" s="124">
        <f t="shared" si="2"/>
        <v>0.5</v>
      </c>
      <c r="R704" s="52">
        <f t="array" ref="R704">IFERROR(INDEX('Fund YTD Target Values'!$1:$1000, MATCH($C704,'Fund YTD Target Values'!$A:$A,0), MATCH($A704,'Fund YTD Target Values'!$1:$1,0)),0)</f>
        <v>212473.6146</v>
      </c>
      <c r="S704" s="52">
        <f>IFERROR(__xludf.DUMMYFUNCTION("IFERROR(sum(FILTER('Fund Data'!$V:$V, 'Fund Data'!$C:$C = $C704, 'Fund Data'!$A:$A &lt; $A704)),0) + IFERROR(sum(FILTER('Fund Data'!$V:$V, 'Fund Data'!$C:$C = $C704, 'Fund Data'!$A:$A = $A704, 'Fund Data'!$B:$B &lt;= $B704)),0)"),185189.56)</f>
        <v>185189.56</v>
      </c>
      <c r="T704" s="123">
        <v>190241.0</v>
      </c>
      <c r="U704" s="44">
        <f t="shared" si="69"/>
        <v>-5051.44</v>
      </c>
      <c r="V704" s="44">
        <f t="shared" si="3"/>
        <v>0</v>
      </c>
      <c r="W704" s="123"/>
      <c r="X704" s="123"/>
      <c r="Y704" s="123">
        <v>0.0</v>
      </c>
      <c r="Z704" s="123">
        <v>0.0</v>
      </c>
      <c r="AA704" s="123">
        <v>0.0</v>
      </c>
      <c r="AB704" s="123"/>
      <c r="AC704" s="123">
        <v>0.0</v>
      </c>
      <c r="AD704" s="44">
        <f t="shared" si="7"/>
        <v>0</v>
      </c>
      <c r="AE704" s="123">
        <v>0.0</v>
      </c>
    </row>
    <row r="705">
      <c r="A705" s="120">
        <v>2017.0</v>
      </c>
      <c r="B705" s="121">
        <v>4.0</v>
      </c>
      <c r="C705" s="122" t="s">
        <v>71</v>
      </c>
      <c r="D705" s="44"/>
      <c r="E705" s="123">
        <v>2132.25</v>
      </c>
      <c r="F705" s="44"/>
      <c r="G705" s="44"/>
      <c r="H705" s="123">
        <v>-407.8</v>
      </c>
      <c r="I705" s="44"/>
      <c r="J705" s="44"/>
      <c r="K705" s="44"/>
      <c r="L705" s="123">
        <v>8937.59</v>
      </c>
      <c r="M705" s="44"/>
      <c r="N705" s="44"/>
      <c r="O705" s="123">
        <v>209544.0</v>
      </c>
      <c r="P705" s="52">
        <f t="shared" si="23"/>
        <v>209543.61</v>
      </c>
      <c r="Q705" s="124">
        <f t="shared" si="2"/>
        <v>0.39</v>
      </c>
      <c r="R705" s="52">
        <f t="array" ref="R705">IFERROR(INDEX('Fund YTD Target Values'!$1:$1000, MATCH($C705,'Fund YTD Target Values'!$A:$A,0), MATCH($A705,'Fund YTD Target Values'!$1:$1,0)),0)</f>
        <v>212473.6146</v>
      </c>
      <c r="S705" s="52">
        <f>IFERROR(__xludf.DUMMYFUNCTION("IFERROR(sum(FILTER('Fund Data'!$V:$V, 'Fund Data'!$C:$C = $C705, 'Fund Data'!$A:$A &lt; $A705)),0) + IFERROR(sum(FILTER('Fund Data'!$V:$V, 'Fund Data'!$C:$C = $C705, 'Fund Data'!$A:$A = $A705, 'Fund Data'!$B:$B &lt;= $B705)),0)"),185189.56)</f>
        <v>185189.56</v>
      </c>
      <c r="T705" s="123">
        <v>190241.0</v>
      </c>
      <c r="U705" s="44">
        <f t="shared" si="69"/>
        <v>-5051.44</v>
      </c>
      <c r="V705" s="44">
        <f t="shared" si="3"/>
        <v>0</v>
      </c>
      <c r="W705" s="123"/>
      <c r="X705" s="123"/>
      <c r="Y705" s="123">
        <v>0.0</v>
      </c>
      <c r="Z705" s="123">
        <v>0.0</v>
      </c>
      <c r="AA705" s="123">
        <v>0.0</v>
      </c>
      <c r="AB705" s="123"/>
      <c r="AC705" s="123">
        <v>0.0</v>
      </c>
      <c r="AD705" s="44">
        <f t="shared" si="7"/>
        <v>0</v>
      </c>
      <c r="AE705" s="123">
        <v>0.0</v>
      </c>
    </row>
    <row r="706">
      <c r="A706" s="120">
        <v>2017.0</v>
      </c>
      <c r="B706" s="121">
        <v>3.0</v>
      </c>
      <c r="C706" s="122" t="s">
        <v>71</v>
      </c>
      <c r="D706" s="44"/>
      <c r="E706" s="123">
        <v>1609.79</v>
      </c>
      <c r="F706" s="44"/>
      <c r="G706" s="44"/>
      <c r="H706" s="123">
        <v>-304.18</v>
      </c>
      <c r="I706" s="44"/>
      <c r="J706" s="44"/>
      <c r="K706" s="44"/>
      <c r="L706" s="123">
        <v>7057.52</v>
      </c>
      <c r="M706" s="44"/>
      <c r="N706" s="44"/>
      <c r="O706" s="123">
        <v>207245.0</v>
      </c>
      <c r="P706" s="52">
        <f t="shared" si="23"/>
        <v>207244.7</v>
      </c>
      <c r="Q706" s="124">
        <f t="shared" si="2"/>
        <v>0.3</v>
      </c>
      <c r="R706" s="52">
        <f t="array" ref="R706">IFERROR(INDEX('Fund YTD Target Values'!$1:$1000, MATCH($C706,'Fund YTD Target Values'!$A:$A,0), MATCH($A706,'Fund YTD Target Values'!$1:$1,0)),0)</f>
        <v>212473.6146</v>
      </c>
      <c r="S706" s="52">
        <f>IFERROR(__xludf.DUMMYFUNCTION("IFERROR(sum(FILTER('Fund Data'!$V:$V, 'Fund Data'!$C:$C = $C706, 'Fund Data'!$A:$A &lt; $A706)),0) + IFERROR(sum(FILTER('Fund Data'!$V:$V, 'Fund Data'!$C:$C = $C706, 'Fund Data'!$A:$A = $A706, 'Fund Data'!$B:$B &lt;= $B706)),0)"),185189.56)</f>
        <v>185189.56</v>
      </c>
      <c r="T706" s="123">
        <v>190241.0</v>
      </c>
      <c r="U706" s="44">
        <f t="shared" si="69"/>
        <v>-5051.44</v>
      </c>
      <c r="V706" s="44">
        <f t="shared" si="3"/>
        <v>0</v>
      </c>
      <c r="W706" s="123"/>
      <c r="X706" s="123"/>
      <c r="Y706" s="123">
        <v>0.0</v>
      </c>
      <c r="Z706" s="123">
        <v>0.0</v>
      </c>
      <c r="AA706" s="123">
        <v>0.0</v>
      </c>
      <c r="AB706" s="123"/>
      <c r="AC706" s="123">
        <v>0.0</v>
      </c>
      <c r="AD706" s="44">
        <f t="shared" si="7"/>
        <v>0</v>
      </c>
      <c r="AE706" s="123">
        <v>0.0</v>
      </c>
    </row>
    <row r="707">
      <c r="A707" s="120">
        <v>2017.0</v>
      </c>
      <c r="B707" s="121">
        <v>2.0</v>
      </c>
      <c r="C707" s="122" t="s">
        <v>71</v>
      </c>
      <c r="D707" s="44"/>
      <c r="E707" s="123">
        <v>1478.42</v>
      </c>
      <c r="F707" s="44"/>
      <c r="G707" s="44"/>
      <c r="H707" s="123">
        <v>-200.9</v>
      </c>
      <c r="I707" s="44"/>
      <c r="J707" s="44"/>
      <c r="K707" s="44"/>
      <c r="L707" s="123">
        <v>6396.46</v>
      </c>
      <c r="M707" s="44"/>
      <c r="N707" s="44"/>
      <c r="O707" s="123">
        <v>206556.0</v>
      </c>
      <c r="P707" s="52">
        <f t="shared" si="23"/>
        <v>206555.55</v>
      </c>
      <c r="Q707" s="124">
        <f t="shared" si="2"/>
        <v>0.45</v>
      </c>
      <c r="R707" s="52">
        <f t="array" ref="R707">IFERROR(INDEX('Fund YTD Target Values'!$1:$1000, MATCH($C707,'Fund YTD Target Values'!$A:$A,0), MATCH($A707,'Fund YTD Target Values'!$1:$1,0)),0)</f>
        <v>212473.6146</v>
      </c>
      <c r="S707" s="52">
        <f>IFERROR(__xludf.DUMMYFUNCTION("IFERROR(sum(FILTER('Fund Data'!$V:$V, 'Fund Data'!$C:$C = $C707, 'Fund Data'!$A:$A &lt; $A707)),0) + IFERROR(sum(FILTER('Fund Data'!$V:$V, 'Fund Data'!$C:$C = $C707, 'Fund Data'!$A:$A = $A707, 'Fund Data'!$B:$B &lt;= $B707)),0)"),185189.56)</f>
        <v>185189.56</v>
      </c>
      <c r="T707" s="123">
        <v>190241.0</v>
      </c>
      <c r="U707" s="44">
        <f t="shared" si="69"/>
        <v>-5051.44</v>
      </c>
      <c r="V707" s="44">
        <f t="shared" si="3"/>
        <v>0</v>
      </c>
      <c r="W707" s="123"/>
      <c r="X707" s="123"/>
      <c r="Y707" s="123">
        <v>0.0</v>
      </c>
      <c r="Z707" s="123">
        <v>0.0</v>
      </c>
      <c r="AA707" s="123">
        <v>0.0</v>
      </c>
      <c r="AB707" s="123"/>
      <c r="AC707" s="123">
        <v>0.0</v>
      </c>
      <c r="AD707" s="44">
        <f t="shared" si="7"/>
        <v>0</v>
      </c>
      <c r="AE707" s="123">
        <v>0.0</v>
      </c>
    </row>
    <row r="708">
      <c r="A708" s="120">
        <v>2017.0</v>
      </c>
      <c r="B708" s="121">
        <v>1.0</v>
      </c>
      <c r="C708" s="122" t="s">
        <v>71</v>
      </c>
      <c r="D708" s="44"/>
      <c r="E708" s="123">
        <v>1345.39</v>
      </c>
      <c r="F708" s="44"/>
      <c r="G708" s="44"/>
      <c r="H708" s="123">
        <v>-99.44</v>
      </c>
      <c r="I708" s="44"/>
      <c r="J708" s="44"/>
      <c r="K708" s="44"/>
      <c r="L708" s="123">
        <v>2796.3</v>
      </c>
      <c r="M708" s="44"/>
      <c r="N708" s="44"/>
      <c r="O708" s="123">
        <v>202924.0</v>
      </c>
      <c r="P708" s="52">
        <f t="shared" si="23"/>
        <v>202923.82</v>
      </c>
      <c r="Q708" s="124">
        <f t="shared" si="2"/>
        <v>0.18</v>
      </c>
      <c r="R708" s="52">
        <f t="array" ref="R708">IFERROR(INDEX('Fund YTD Target Values'!$1:$1000, MATCH($C708,'Fund YTD Target Values'!$A:$A,0), MATCH($A708,'Fund YTD Target Values'!$1:$1,0)),0)</f>
        <v>212473.6146</v>
      </c>
      <c r="S708" s="52">
        <f>IFERROR(__xludf.DUMMYFUNCTION("IFERROR(sum(FILTER('Fund Data'!$V:$V, 'Fund Data'!$C:$C = $C708, 'Fund Data'!$A:$A &lt; $A708)),0) + IFERROR(sum(FILTER('Fund Data'!$V:$V, 'Fund Data'!$C:$C = $C708, 'Fund Data'!$A:$A = $A708, 'Fund Data'!$B:$B &lt;= $B708)),0)"),185189.56)</f>
        <v>185189.56</v>
      </c>
      <c r="T708" s="123">
        <v>190241.0</v>
      </c>
      <c r="U708" s="44">
        <f t="shared" si="69"/>
        <v>-5051.44</v>
      </c>
      <c r="V708" s="44">
        <f t="shared" si="3"/>
        <v>0</v>
      </c>
      <c r="W708" s="123"/>
      <c r="X708" s="123"/>
      <c r="Y708" s="123">
        <v>0.0</v>
      </c>
      <c r="Z708" s="123">
        <v>0.0</v>
      </c>
      <c r="AA708" s="123">
        <v>0.0</v>
      </c>
      <c r="AB708" s="123"/>
      <c r="AC708" s="123">
        <v>0.0</v>
      </c>
      <c r="AD708" s="44">
        <f t="shared" si="7"/>
        <v>0</v>
      </c>
      <c r="AE708" s="123">
        <v>0.0</v>
      </c>
    </row>
    <row r="709">
      <c r="A709" s="120">
        <v>2016.0</v>
      </c>
      <c r="B709" s="121">
        <v>12.0</v>
      </c>
      <c r="C709" s="122" t="s">
        <v>71</v>
      </c>
      <c r="D709" s="123">
        <v>20000.0</v>
      </c>
      <c r="E709" s="123">
        <v>3500.99</v>
      </c>
      <c r="F709" s="123">
        <v>-5000.0</v>
      </c>
      <c r="G709" s="123"/>
      <c r="H709" s="123">
        <v>-1063.81</v>
      </c>
      <c r="I709" s="44"/>
      <c r="J709" s="44"/>
      <c r="K709" s="44"/>
      <c r="L709" s="123">
        <v>6994.99</v>
      </c>
      <c r="M709" s="44"/>
      <c r="N709" s="44"/>
      <c r="O709" s="123">
        <v>198882.0</v>
      </c>
      <c r="P709" s="52">
        <f t="shared" si="23"/>
        <v>198881.57</v>
      </c>
      <c r="Q709" s="124">
        <f t="shared" si="2"/>
        <v>0.4299999999</v>
      </c>
      <c r="R709" s="52">
        <f t="array" ref="R709">IFERROR(INDEX('Fund YTD Target Values'!$1:$1000, MATCH($C709,'Fund YTD Target Values'!$A:$A,0), MATCH($A709,'Fund YTD Target Values'!$1:$1,0)),0)</f>
        <v>208039.0238</v>
      </c>
      <c r="S709" s="52">
        <f>IFERROR(__xludf.DUMMYFUNCTION("IFERROR(sum(FILTER('Fund Data'!$V:$V, 'Fund Data'!$C:$C = $C709, 'Fund Data'!$A:$A &lt; $A709)),0) + IFERROR(sum(FILTER('Fund Data'!$V:$V, 'Fund Data'!$C:$C = $C709, 'Fund Data'!$A:$A = $A709, 'Fund Data'!$B:$B &lt;= $B709)),0)"),185189.56)</f>
        <v>185189.56</v>
      </c>
      <c r="T709" s="123">
        <v>190241.0</v>
      </c>
      <c r="U709" s="44">
        <f t="shared" si="69"/>
        <v>-5051.44</v>
      </c>
      <c r="V709" s="44">
        <f t="shared" si="3"/>
        <v>20000</v>
      </c>
      <c r="W709" s="123"/>
      <c r="X709" s="123"/>
      <c r="Y709" s="123">
        <v>0.0</v>
      </c>
      <c r="Z709" s="123">
        <v>0.0</v>
      </c>
      <c r="AA709" s="123">
        <v>0.0</v>
      </c>
      <c r="AB709" s="123"/>
      <c r="AC709" s="123">
        <v>0.0</v>
      </c>
      <c r="AD709" s="44">
        <f t="shared" si="7"/>
        <v>-5000</v>
      </c>
      <c r="AE709" s="123">
        <v>0.0</v>
      </c>
    </row>
    <row r="710">
      <c r="A710" s="120">
        <v>2015.0</v>
      </c>
      <c r="B710" s="121">
        <v>12.0</v>
      </c>
      <c r="C710" s="122" t="s">
        <v>71</v>
      </c>
      <c r="D710" s="123">
        <v>20000.0</v>
      </c>
      <c r="E710" s="123">
        <v>3802.88</v>
      </c>
      <c r="F710" s="123">
        <v>-4000.0</v>
      </c>
      <c r="G710" s="123"/>
      <c r="H710" s="123">
        <v>-981.59</v>
      </c>
      <c r="I710" s="44"/>
      <c r="J710" s="123">
        <v>82.79</v>
      </c>
      <c r="K710" s="44"/>
      <c r="L710" s="123">
        <v>-7045.0</v>
      </c>
      <c r="M710" s="44"/>
      <c r="N710" s="44"/>
      <c r="O710" s="123">
        <v>174450.0</v>
      </c>
      <c r="P710" s="52">
        <f t="shared" si="23"/>
        <v>174449.4</v>
      </c>
      <c r="Q710" s="124">
        <f t="shared" si="2"/>
        <v>0.6</v>
      </c>
      <c r="R710" s="52">
        <f t="array" ref="R710">IFERROR(INDEX('Fund YTD Target Values'!$1:$1000, MATCH($C710,'Fund YTD Target Values'!$A:$A,0), MATCH($A710,'Fund YTD Target Values'!$1:$1,0)),0)</f>
        <v>185695.8323</v>
      </c>
      <c r="S710" s="52">
        <f>IFERROR(__xludf.DUMMYFUNCTION("IFERROR(sum(FILTER('Fund Data'!$V:$V, 'Fund Data'!$C:$C = $C710, 'Fund Data'!$A:$A &lt; $A710)),0) + IFERROR(sum(FILTER('Fund Data'!$V:$V, 'Fund Data'!$C:$C = $C710, 'Fund Data'!$A:$A = $A710, 'Fund Data'!$B:$B &lt;= $B710)),0)"),165189.56)</f>
        <v>165189.56</v>
      </c>
      <c r="T710" s="123">
        <v>170241.0</v>
      </c>
      <c r="U710" s="44">
        <f t="shared" si="69"/>
        <v>-5051.44</v>
      </c>
      <c r="V710" s="44">
        <f t="shared" si="3"/>
        <v>20000</v>
      </c>
      <c r="W710" s="123"/>
      <c r="X710" s="123"/>
      <c r="Y710" s="123">
        <v>0.0</v>
      </c>
      <c r="Z710" s="123">
        <v>0.0</v>
      </c>
      <c r="AA710" s="123">
        <v>0.0</v>
      </c>
      <c r="AB710" s="123"/>
      <c r="AC710" s="123">
        <v>0.0</v>
      </c>
      <c r="AD710" s="44">
        <f t="shared" si="7"/>
        <v>-4000</v>
      </c>
      <c r="AE710" s="123">
        <v>0.0</v>
      </c>
    </row>
    <row r="711">
      <c r="A711" s="120">
        <v>2014.0</v>
      </c>
      <c r="B711" s="121">
        <v>12.0</v>
      </c>
      <c r="C711" s="122" t="s">
        <v>71</v>
      </c>
      <c r="D711" s="123">
        <v>20000.0</v>
      </c>
      <c r="E711" s="123">
        <v>2990.71</v>
      </c>
      <c r="F711" s="123">
        <v>-5000.0</v>
      </c>
      <c r="G711" s="123"/>
      <c r="H711" s="123">
        <v>-996.25</v>
      </c>
      <c r="I711" s="44"/>
      <c r="J711" s="123">
        <v>385.18</v>
      </c>
      <c r="K711" s="44"/>
      <c r="L711" s="123">
        <v>823.61</v>
      </c>
      <c r="M711" s="44"/>
      <c r="N711" s="44"/>
      <c r="O711" s="123">
        <v>162591.0</v>
      </c>
      <c r="P711" s="52">
        <f t="shared" si="23"/>
        <v>162590.32</v>
      </c>
      <c r="Q711" s="124">
        <f t="shared" si="2"/>
        <v>0.68</v>
      </c>
      <c r="R711" s="52">
        <f t="array" ref="R711">IFERROR(INDEX('Fund YTD Target Values'!$1:$1000, MATCH($C711,'Fund YTD Target Values'!$A:$A,0), MATCH($A711,'Fund YTD Target Values'!$1:$1,0)),0)</f>
        <v>165499.0547</v>
      </c>
      <c r="S711" s="52">
        <f>IFERROR(__xludf.DUMMYFUNCTION("IFERROR(sum(FILTER('Fund Data'!$V:$V, 'Fund Data'!$C:$C = $C711, 'Fund Data'!$A:$A &lt; $A711)),0) + IFERROR(sum(FILTER('Fund Data'!$V:$V, 'Fund Data'!$C:$C = $C711, 'Fund Data'!$A:$A = $A711, 'Fund Data'!$B:$B &lt;= $B711)),0)"),145189.56)</f>
        <v>145189.56</v>
      </c>
      <c r="T711" s="123">
        <v>150241.0</v>
      </c>
      <c r="U711" s="44">
        <f t="shared" si="69"/>
        <v>-5051.44</v>
      </c>
      <c r="V711" s="44">
        <f t="shared" si="3"/>
        <v>20000</v>
      </c>
      <c r="W711" s="123"/>
      <c r="X711" s="123"/>
      <c r="Y711" s="123">
        <v>0.0</v>
      </c>
      <c r="Z711" s="123">
        <v>0.0</v>
      </c>
      <c r="AA711" s="123">
        <v>0.0</v>
      </c>
      <c r="AB711" s="123"/>
      <c r="AC711" s="123">
        <v>0.0</v>
      </c>
      <c r="AD711" s="44">
        <f t="shared" si="7"/>
        <v>-5000</v>
      </c>
      <c r="AE711" s="123">
        <v>0.0</v>
      </c>
    </row>
    <row r="712">
      <c r="A712" s="120">
        <v>2013.0</v>
      </c>
      <c r="B712" s="121">
        <v>12.0</v>
      </c>
      <c r="C712" s="122" t="s">
        <v>71</v>
      </c>
      <c r="D712" s="44"/>
      <c r="E712" s="123">
        <v>2659.93</v>
      </c>
      <c r="F712" s="123">
        <v>-10000.0</v>
      </c>
      <c r="G712" s="123"/>
      <c r="H712" s="123">
        <v>-854.66</v>
      </c>
      <c r="I712" s="44"/>
      <c r="J712" s="123">
        <v>1034.88</v>
      </c>
      <c r="K712" s="44"/>
      <c r="L712" s="123">
        <v>10169.27</v>
      </c>
      <c r="M712" s="44"/>
      <c r="N712" s="44"/>
      <c r="O712" s="123">
        <v>144388.0</v>
      </c>
      <c r="P712" s="52">
        <f t="shared" si="23"/>
        <v>144387.07</v>
      </c>
      <c r="Q712" s="124">
        <f t="shared" si="2"/>
        <v>0.93</v>
      </c>
      <c r="R712" s="52">
        <f t="array" ref="R712">IFERROR(INDEX('Fund YTD Target Values'!$1:$1000, MATCH($C712,'Fund YTD Target Values'!$A:$A,0), MATCH($A712,'Fund YTD Target Values'!$1:$1,0)),0)</f>
        <v>143176.8623</v>
      </c>
      <c r="S712" s="52">
        <f>IFERROR(__xludf.DUMMYFUNCTION("IFERROR(sum(FILTER('Fund Data'!$V:$V, 'Fund Data'!$C:$C = $C712, 'Fund Data'!$A:$A &lt; $A712)),0) + IFERROR(sum(FILTER('Fund Data'!$V:$V, 'Fund Data'!$C:$C = $C712, 'Fund Data'!$A:$A = $A712, 'Fund Data'!$B:$B &lt;= $B712)),0)"),125189.56)</f>
        <v>125189.56</v>
      </c>
      <c r="T712" s="123">
        <v>145241.0</v>
      </c>
      <c r="U712" s="44">
        <f t="shared" si="69"/>
        <v>-20051.44</v>
      </c>
      <c r="V712" s="44">
        <f t="shared" si="3"/>
        <v>0</v>
      </c>
      <c r="W712" s="123"/>
      <c r="X712" s="123"/>
      <c r="Y712" s="123">
        <v>0.0</v>
      </c>
      <c r="Z712" s="123">
        <v>0.0</v>
      </c>
      <c r="AA712" s="123">
        <v>0.0</v>
      </c>
      <c r="AB712" s="123"/>
      <c r="AC712" s="123">
        <v>0.0</v>
      </c>
      <c r="AD712" s="44">
        <f t="shared" si="7"/>
        <v>-10000</v>
      </c>
      <c r="AE712" s="123">
        <v>0.0</v>
      </c>
    </row>
    <row r="713">
      <c r="A713" s="120">
        <v>2012.0</v>
      </c>
      <c r="B713" s="121">
        <v>12.0</v>
      </c>
      <c r="C713" s="122" t="s">
        <v>71</v>
      </c>
      <c r="D713" s="123">
        <v>15000.0</v>
      </c>
      <c r="E713" s="123">
        <v>2512.01</v>
      </c>
      <c r="F713" s="123">
        <v>-3000.0</v>
      </c>
      <c r="G713" s="123"/>
      <c r="H713" s="123">
        <v>-811.78</v>
      </c>
      <c r="I713" s="44"/>
      <c r="J713" s="123">
        <v>145.31</v>
      </c>
      <c r="K713" s="44"/>
      <c r="L713" s="123">
        <v>11992.15</v>
      </c>
      <c r="M713" s="44"/>
      <c r="N713" s="44"/>
      <c r="O713" s="123">
        <v>141379.0</v>
      </c>
      <c r="P713" s="52">
        <f t="shared" si="23"/>
        <v>141377.65</v>
      </c>
      <c r="Q713" s="124">
        <f t="shared" si="2"/>
        <v>1.35</v>
      </c>
      <c r="R713" s="52">
        <f t="array" ref="R713">IFERROR(INDEX('Fund YTD Target Values'!$1:$1000, MATCH($C713,'Fund YTD Target Values'!$A:$A,0), MATCH($A713,'Fund YTD Target Values'!$1:$1,0)),0)</f>
        <v>141108.1525</v>
      </c>
      <c r="S713" s="52">
        <f>IFERROR(__xludf.DUMMYFUNCTION("IFERROR(sum(FILTER('Fund Data'!$V:$V, 'Fund Data'!$C:$C = $C713, 'Fund Data'!$A:$A &lt; $A713)),0) + IFERROR(sum(FILTER('Fund Data'!$V:$V, 'Fund Data'!$C:$C = $C713, 'Fund Data'!$A:$A = $A713, 'Fund Data'!$B:$B &lt;= $B713)),0)"),125189.56)</f>
        <v>125189.56</v>
      </c>
      <c r="T713" s="123">
        <v>125241.0</v>
      </c>
      <c r="U713" s="44">
        <f t="shared" si="69"/>
        <v>-51.44</v>
      </c>
      <c r="V713" s="44">
        <f t="shared" si="3"/>
        <v>15000</v>
      </c>
      <c r="W713" s="123"/>
      <c r="X713" s="123"/>
      <c r="Y713" s="123">
        <v>0.0</v>
      </c>
      <c r="Z713" s="123">
        <v>0.0</v>
      </c>
      <c r="AA713" s="123">
        <v>0.0</v>
      </c>
      <c r="AB713" s="123"/>
      <c r="AC713" s="123">
        <v>0.0</v>
      </c>
      <c r="AD713" s="44">
        <f t="shared" si="7"/>
        <v>-3000</v>
      </c>
      <c r="AE713" s="123">
        <v>0.0</v>
      </c>
    </row>
    <row r="714">
      <c r="A714" s="120">
        <v>2011.0</v>
      </c>
      <c r="B714" s="121">
        <v>12.0</v>
      </c>
      <c r="C714" s="122" t="s">
        <v>71</v>
      </c>
      <c r="D714" s="44"/>
      <c r="E714" s="123">
        <v>2202.03</v>
      </c>
      <c r="F714" s="123">
        <v>-11000.0</v>
      </c>
      <c r="G714" s="123"/>
      <c r="H714" s="123">
        <v>-785.39</v>
      </c>
      <c r="I714" s="44"/>
      <c r="J714" s="123">
        <v>445.76</v>
      </c>
      <c r="K714" s="44"/>
      <c r="L714" s="123">
        <v>-8070.59</v>
      </c>
      <c r="M714" s="44"/>
      <c r="N714" s="44"/>
      <c r="O714" s="123">
        <v>115541.0</v>
      </c>
      <c r="P714" s="52">
        <f t="shared" si="23"/>
        <v>115539.96</v>
      </c>
      <c r="Q714" s="124">
        <f t="shared" si="2"/>
        <v>1.04</v>
      </c>
      <c r="R714" s="52">
        <f t="array" ref="R714">IFERROR(INDEX('Fund YTD Target Values'!$1:$1000, MATCH($C714,'Fund YTD Target Values'!$A:$A,0), MATCH($A714,'Fund YTD Target Values'!$1:$1,0)),0)</f>
        <v>123546.7895</v>
      </c>
      <c r="S714" s="52">
        <f>IFERROR(__xludf.DUMMYFUNCTION("IFERROR(sum(FILTER('Fund Data'!$V:$V, 'Fund Data'!$C:$C = $C714, 'Fund Data'!$A:$A &lt; $A714)),0) + IFERROR(sum(FILTER('Fund Data'!$V:$V, 'Fund Data'!$C:$C = $C714, 'Fund Data'!$A:$A = $A714, 'Fund Data'!$B:$B &lt;= $B714)),0)"),110189.56)</f>
        <v>110189.56</v>
      </c>
      <c r="T714" s="123">
        <v>110241.0</v>
      </c>
      <c r="U714" s="44">
        <f t="shared" si="69"/>
        <v>-51.44</v>
      </c>
      <c r="V714" s="44">
        <f t="shared" si="3"/>
        <v>0</v>
      </c>
      <c r="W714" s="123"/>
      <c r="X714" s="123"/>
      <c r="Y714" s="123">
        <v>0.0</v>
      </c>
      <c r="Z714" s="123">
        <v>0.0</v>
      </c>
      <c r="AA714" s="123">
        <v>0.0</v>
      </c>
      <c r="AB714" s="123"/>
      <c r="AC714" s="123">
        <v>0.0</v>
      </c>
      <c r="AD714" s="44">
        <f t="shared" si="7"/>
        <v>-11000</v>
      </c>
      <c r="AE714" s="123">
        <v>0.0</v>
      </c>
    </row>
    <row r="715">
      <c r="A715" s="120">
        <v>2010.0</v>
      </c>
      <c r="B715" s="121">
        <v>12.0</v>
      </c>
      <c r="C715" s="122" t="s">
        <v>71</v>
      </c>
      <c r="D715" s="44"/>
      <c r="E715" s="123">
        <v>2577.27</v>
      </c>
      <c r="F715" s="123">
        <v>-5000.0</v>
      </c>
      <c r="G715" s="123"/>
      <c r="H715" s="123">
        <v>-738.7</v>
      </c>
      <c r="I715" s="44"/>
      <c r="J715" s="44"/>
      <c r="K715" s="123">
        <v>-7.08</v>
      </c>
      <c r="L715" s="123">
        <v>14087.76</v>
      </c>
      <c r="M715" s="44"/>
      <c r="N715" s="44"/>
      <c r="O715" s="123">
        <v>132749.0</v>
      </c>
      <c r="P715" s="52">
        <f t="shared" si="23"/>
        <v>132748.15</v>
      </c>
      <c r="Q715" s="124">
        <f t="shared" si="2"/>
        <v>0.85</v>
      </c>
      <c r="R715" s="52">
        <f t="array" ref="R715">IFERROR(INDEX('Fund YTD Target Values'!$1:$1000, MATCH($C715,'Fund YTD Target Values'!$A:$A,0), MATCH($A715,'Fund YTD Target Values'!$1:$1,0)),0)</f>
        <v>119767.8719</v>
      </c>
      <c r="S715" s="52">
        <f>IFERROR(__xludf.DUMMYFUNCTION("IFERROR(sum(FILTER('Fund Data'!$V:$V, 'Fund Data'!$C:$C = $C715, 'Fund Data'!$A:$A &lt; $A715)),0) + IFERROR(sum(FILTER('Fund Data'!$V:$V, 'Fund Data'!$C:$C = $C715, 'Fund Data'!$A:$A = $A715, 'Fund Data'!$B:$B &lt;= $B715)),0)"),110189.56)</f>
        <v>110189.56</v>
      </c>
      <c r="T715" s="123">
        <v>110241.0</v>
      </c>
      <c r="U715" s="44">
        <f t="shared" si="69"/>
        <v>-51.44</v>
      </c>
      <c r="V715" s="44">
        <f t="shared" si="3"/>
        <v>0</v>
      </c>
      <c r="W715" s="123"/>
      <c r="X715" s="123"/>
      <c r="Y715" s="123">
        <v>0.0</v>
      </c>
      <c r="Z715" s="123">
        <v>0.0</v>
      </c>
      <c r="AA715" s="123">
        <v>0.0</v>
      </c>
      <c r="AB715" s="123"/>
      <c r="AC715" s="123">
        <v>0.0</v>
      </c>
      <c r="AD715" s="44">
        <f t="shared" si="7"/>
        <v>-5000</v>
      </c>
      <c r="AE715" s="123">
        <v>0.0</v>
      </c>
    </row>
    <row r="716">
      <c r="A716" s="120">
        <v>2009.0</v>
      </c>
      <c r="B716" s="121">
        <v>12.0</v>
      </c>
      <c r="C716" s="122" t="s">
        <v>71</v>
      </c>
      <c r="D716" s="123">
        <v>5000.0</v>
      </c>
      <c r="E716" s="123">
        <v>3054.99</v>
      </c>
      <c r="F716" s="44"/>
      <c r="G716" s="123"/>
      <c r="H716" s="123">
        <v>-625.93</v>
      </c>
      <c r="I716" s="44"/>
      <c r="J716" s="44"/>
      <c r="K716" s="44"/>
      <c r="L716" s="123">
        <v>18466.62</v>
      </c>
      <c r="M716" s="44"/>
      <c r="N716" s="44"/>
      <c r="O716" s="123">
        <v>121830.0</v>
      </c>
      <c r="P716" s="52">
        <f t="shared" si="23"/>
        <v>121828.9</v>
      </c>
      <c r="Q716" s="124">
        <f t="shared" si="2"/>
        <v>1.1</v>
      </c>
      <c r="R716" s="52">
        <f t="array" ref="R716">IFERROR(INDEX('Fund YTD Target Values'!$1:$1000, MATCH($C716,'Fund YTD Target Values'!$A:$A,0), MATCH($A716,'Fund YTD Target Values'!$1:$1,0)),0)</f>
        <v>117830.3642</v>
      </c>
      <c r="S716" s="52">
        <f>IFERROR(__xludf.DUMMYFUNCTION("IFERROR(sum(FILTER('Fund Data'!$V:$V, 'Fund Data'!$C:$C = $C716, 'Fund Data'!$A:$A &lt; $A716)),0) + IFERROR(sum(FILTER('Fund Data'!$V:$V, 'Fund Data'!$C:$C = $C716, 'Fund Data'!$A:$A = $A716, 'Fund Data'!$B:$B &lt;= $B716)),0)"),110189.56)</f>
        <v>110189.56</v>
      </c>
      <c r="T716" s="123">
        <v>110241.0</v>
      </c>
      <c r="U716" s="44">
        <f t="shared" si="69"/>
        <v>-51.44</v>
      </c>
      <c r="V716" s="44">
        <f t="shared" si="3"/>
        <v>5000</v>
      </c>
      <c r="W716" s="123"/>
      <c r="X716" s="123"/>
      <c r="Y716" s="123">
        <v>0.0</v>
      </c>
      <c r="Z716" s="123">
        <v>0.0</v>
      </c>
      <c r="AA716" s="123">
        <v>0.0</v>
      </c>
      <c r="AB716" s="123"/>
      <c r="AC716" s="123">
        <v>0.0</v>
      </c>
      <c r="AD716" s="44">
        <f t="shared" si="7"/>
        <v>0</v>
      </c>
      <c r="AE716" s="123">
        <v>0.0</v>
      </c>
    </row>
    <row r="717">
      <c r="A717" s="120">
        <v>2008.0</v>
      </c>
      <c r="B717" s="121">
        <v>12.0</v>
      </c>
      <c r="C717" s="122" t="s">
        <v>71</v>
      </c>
      <c r="D717" s="123">
        <v>10000.0</v>
      </c>
      <c r="E717" s="123">
        <v>3137.96</v>
      </c>
      <c r="F717" s="44"/>
      <c r="G717" s="123"/>
      <c r="H717" s="123">
        <v>-679.05</v>
      </c>
      <c r="I717" s="44"/>
      <c r="J717" s="44"/>
      <c r="K717" s="44"/>
      <c r="L717" s="123">
        <v>-29213.15</v>
      </c>
      <c r="M717" s="44"/>
      <c r="N717" s="44"/>
      <c r="O717" s="123">
        <v>95934.0</v>
      </c>
      <c r="P717" s="52">
        <f t="shared" si="23"/>
        <v>95933.22</v>
      </c>
      <c r="Q717" s="124">
        <f t="shared" si="2"/>
        <v>0.78</v>
      </c>
      <c r="R717" s="52">
        <f t="array" ref="R717">IFERROR(INDEX('Fund YTD Target Values'!$1:$1000, MATCH($C717,'Fund YTD Target Values'!$A:$A,0), MATCH($A717,'Fund YTD Target Values'!$1:$1,0)),0)</f>
        <v>113212.797</v>
      </c>
      <c r="S717" s="52">
        <f>IFERROR(__xludf.DUMMYFUNCTION("IFERROR(sum(FILTER('Fund Data'!$V:$V, 'Fund Data'!$C:$C = $C717, 'Fund Data'!$A:$A &lt; $A717)),0) + IFERROR(sum(FILTER('Fund Data'!$V:$V, 'Fund Data'!$C:$C = $C717, 'Fund Data'!$A:$A = $A717, 'Fund Data'!$B:$B &lt;= $B717)),0)"),105189.56)</f>
        <v>105189.56</v>
      </c>
      <c r="T717" s="123">
        <v>105241.0</v>
      </c>
      <c r="U717" s="44">
        <f t="shared" si="69"/>
        <v>-51.44</v>
      </c>
      <c r="V717" s="44">
        <f t="shared" si="3"/>
        <v>10000</v>
      </c>
      <c r="W717" s="123"/>
      <c r="X717" s="123"/>
      <c r="Y717" s="123">
        <v>0.0</v>
      </c>
      <c r="Z717" s="123">
        <v>0.0</v>
      </c>
      <c r="AA717" s="123">
        <v>0.0</v>
      </c>
      <c r="AB717" s="123"/>
      <c r="AC717" s="123">
        <v>0.0</v>
      </c>
      <c r="AD717" s="44">
        <f t="shared" si="7"/>
        <v>0</v>
      </c>
      <c r="AE717" s="123">
        <v>0.0</v>
      </c>
    </row>
    <row r="718">
      <c r="A718" s="120">
        <v>2007.0</v>
      </c>
      <c r="B718" s="121">
        <v>12.0</v>
      </c>
      <c r="C718" s="122" t="s">
        <v>71</v>
      </c>
      <c r="D718" s="123">
        <v>20000.0</v>
      </c>
      <c r="E718" s="123">
        <v>2167.73</v>
      </c>
      <c r="F718" s="44"/>
      <c r="G718" s="123"/>
      <c r="H718" s="123">
        <v>-599.39</v>
      </c>
      <c r="I718" s="44"/>
      <c r="J718" s="44"/>
      <c r="K718" s="44"/>
      <c r="L718" s="123">
        <v>6588.64</v>
      </c>
      <c r="M718" s="123">
        <v>-42.0</v>
      </c>
      <c r="N718" s="44"/>
      <c r="O718" s="123">
        <v>112688.0</v>
      </c>
      <c r="P718" s="52">
        <f t="shared" si="23"/>
        <v>112687.46</v>
      </c>
      <c r="Q718" s="124">
        <f t="shared" si="2"/>
        <v>0.54</v>
      </c>
      <c r="R718" s="52">
        <f t="array" ref="R718">IFERROR(INDEX('Fund YTD Target Values'!$1:$1000, MATCH($C718,'Fund YTD Target Values'!$A:$A,0), MATCH($A718,'Fund YTD Target Values'!$1:$1,0)),0)</f>
        <v>99390.59942</v>
      </c>
      <c r="S718" s="52">
        <f>IFERROR(__xludf.DUMMYFUNCTION("IFERROR(sum(FILTER('Fund Data'!$V:$V, 'Fund Data'!$C:$C = $C718, 'Fund Data'!$A:$A &lt; $A718)),0) + IFERROR(sum(FILTER('Fund Data'!$V:$V, 'Fund Data'!$C:$C = $C718, 'Fund Data'!$A:$A = $A718, 'Fund Data'!$B:$B &lt;= $B718)),0)"),95189.56)</f>
        <v>95189.56</v>
      </c>
      <c r="T718" s="123">
        <v>95241.0</v>
      </c>
      <c r="U718" s="44">
        <f t="shared" si="69"/>
        <v>-51.44</v>
      </c>
      <c r="V718" s="44">
        <f t="shared" si="3"/>
        <v>20000</v>
      </c>
      <c r="W718" s="123"/>
      <c r="X718" s="123"/>
      <c r="Y718" s="123">
        <v>0.0</v>
      </c>
      <c r="Z718" s="123">
        <v>0.0</v>
      </c>
      <c r="AA718" s="123">
        <v>0.0</v>
      </c>
      <c r="AB718" s="123"/>
      <c r="AC718" s="123">
        <v>0.0</v>
      </c>
      <c r="AD718" s="44">
        <f t="shared" si="7"/>
        <v>0</v>
      </c>
      <c r="AE718" s="123">
        <v>0.0</v>
      </c>
    </row>
    <row r="719">
      <c r="A719" s="120">
        <v>2006.0</v>
      </c>
      <c r="B719" s="121">
        <v>12.0</v>
      </c>
      <c r="C719" s="122" t="s">
        <v>71</v>
      </c>
      <c r="D719" s="123">
        <v>34005.3</v>
      </c>
      <c r="E719" s="123">
        <v>929.58</v>
      </c>
      <c r="F719" s="44"/>
      <c r="G719" s="123"/>
      <c r="H719" s="123">
        <v>-329.31</v>
      </c>
      <c r="I719" s="44"/>
      <c r="J719" s="44"/>
      <c r="K719" s="44"/>
      <c r="L719" s="123">
        <v>4991.66</v>
      </c>
      <c r="M719" s="123">
        <v>-86.49</v>
      </c>
      <c r="N719" s="44"/>
      <c r="O719" s="123">
        <v>84573.0</v>
      </c>
      <c r="P719" s="52">
        <f t="shared" si="23"/>
        <v>84572.48</v>
      </c>
      <c r="Q719" s="124">
        <f t="shared" si="2"/>
        <v>0.52</v>
      </c>
      <c r="R719" s="52">
        <f t="array" ref="R719">IFERROR(INDEX('Fund YTD Target Values'!$1:$1000, MATCH($C719,'Fund YTD Target Values'!$A:$A,0), MATCH($A719,'Fund YTD Target Values'!$1:$1,0)),0)</f>
        <v>77188.89974</v>
      </c>
      <c r="S719" s="52">
        <f>IFERROR(__xludf.DUMMYFUNCTION("IFERROR(sum(FILTER('Fund Data'!$V:$V, 'Fund Data'!$C:$C = $C719, 'Fund Data'!$A:$A &lt; $A719)),0) + IFERROR(sum(FILTER('Fund Data'!$V:$V, 'Fund Data'!$C:$C = $C719, 'Fund Data'!$A:$A = $A719, 'Fund Data'!$B:$B &lt;= $B719)),0)"),75189.56)</f>
        <v>75189.56</v>
      </c>
      <c r="T719" s="123">
        <v>75241.0</v>
      </c>
      <c r="U719" s="44">
        <f t="shared" si="69"/>
        <v>-51.44</v>
      </c>
      <c r="V719" s="44">
        <f t="shared" si="3"/>
        <v>34005.3</v>
      </c>
      <c r="W719" s="123"/>
      <c r="X719" s="123"/>
      <c r="Y719" s="123">
        <v>0.0</v>
      </c>
      <c r="Z719" s="123">
        <v>0.0</v>
      </c>
      <c r="AA719" s="123">
        <v>0.0</v>
      </c>
      <c r="AB719" s="123"/>
      <c r="AC719" s="123">
        <v>0.0</v>
      </c>
      <c r="AD719" s="44">
        <f t="shared" si="7"/>
        <v>0</v>
      </c>
      <c r="AE719" s="123">
        <v>0.0</v>
      </c>
    </row>
    <row r="720">
      <c r="A720" s="120">
        <v>2005.0</v>
      </c>
      <c r="B720" s="121">
        <v>12.0</v>
      </c>
      <c r="C720" s="122" t="s">
        <v>71</v>
      </c>
      <c r="D720" s="123">
        <v>22129.0</v>
      </c>
      <c r="E720" s="123">
        <v>767.67</v>
      </c>
      <c r="F720" s="44"/>
      <c r="G720" s="123"/>
      <c r="H720" s="123">
        <v>-210.71</v>
      </c>
      <c r="I720" s="44"/>
      <c r="J720" s="123">
        <v>2982.21</v>
      </c>
      <c r="K720" s="123">
        <v>-5.24</v>
      </c>
      <c r="L720" s="123">
        <v>-1435.6</v>
      </c>
      <c r="M720" s="123">
        <v>126.68</v>
      </c>
      <c r="N720" s="44"/>
      <c r="O720" s="123">
        <v>45062.0</v>
      </c>
      <c r="P720" s="52">
        <f t="shared" si="23"/>
        <v>45061.74</v>
      </c>
      <c r="Q720" s="124">
        <f t="shared" si="2"/>
        <v>0.26</v>
      </c>
      <c r="R720" s="52">
        <f t="array" ref="R720">IFERROR(INDEX('Fund YTD Target Values'!$1:$1000, MATCH($C720,'Fund YTD Target Values'!$A:$A,0), MATCH($A720,'Fund YTD Target Values'!$1:$1,0)),0)</f>
        <v>41830.29756</v>
      </c>
      <c r="S720" s="52">
        <f>IFERROR(__xludf.DUMMYFUNCTION("IFERROR(sum(FILTER('Fund Data'!$V:$V, 'Fund Data'!$C:$C = $C720, 'Fund Data'!$A:$A &lt; $A720)),0) + IFERROR(sum(FILTER('Fund Data'!$V:$V, 'Fund Data'!$C:$C = $C720, 'Fund Data'!$A:$A = $A720, 'Fund Data'!$B:$B &lt;= $B720)),0)"),41184.259999999995)</f>
        <v>41184.26</v>
      </c>
      <c r="T720" s="123">
        <v>41226.0</v>
      </c>
      <c r="U720" s="44">
        <f t="shared" si="69"/>
        <v>-41.74</v>
      </c>
      <c r="V720" s="44">
        <f t="shared" si="3"/>
        <v>22129</v>
      </c>
      <c r="W720" s="123"/>
      <c r="X720" s="123"/>
      <c r="Y720" s="123">
        <v>0.0</v>
      </c>
      <c r="Z720" s="123">
        <v>0.0</v>
      </c>
      <c r="AA720" s="123">
        <v>0.0</v>
      </c>
      <c r="AB720" s="123"/>
      <c r="AC720" s="123">
        <v>0.0</v>
      </c>
      <c r="AD720" s="44">
        <f t="shared" si="7"/>
        <v>0</v>
      </c>
      <c r="AE720" s="123">
        <v>0.0</v>
      </c>
    </row>
    <row r="721">
      <c r="A721" s="120">
        <v>2004.0</v>
      </c>
      <c r="B721" s="121">
        <v>12.0</v>
      </c>
      <c r="C721" s="122" t="s">
        <v>71</v>
      </c>
      <c r="D721" s="123">
        <v>19055.26</v>
      </c>
      <c r="E721" s="123">
        <v>390.67</v>
      </c>
      <c r="F721" s="44"/>
      <c r="G721" s="123"/>
      <c r="H721" s="123">
        <v>-68.46</v>
      </c>
      <c r="I721" s="123"/>
      <c r="J721" s="123">
        <v>35.92</v>
      </c>
      <c r="K721" s="123">
        <v>-331.09</v>
      </c>
      <c r="L721" s="123">
        <v>1411.96</v>
      </c>
      <c r="M721" s="123">
        <v>1.19</v>
      </c>
      <c r="N721" s="123">
        <v>212.28</v>
      </c>
      <c r="O721" s="123">
        <v>20708.0</v>
      </c>
      <c r="P721" s="52">
        <f t="shared" si="23"/>
        <v>20707.73</v>
      </c>
      <c r="Q721" s="124">
        <f t="shared" si="2"/>
        <v>0.27</v>
      </c>
      <c r="R721" s="52">
        <f t="array" ref="R721">IFERROR(INDEX('Fund YTD Target Values'!$1:$1000, MATCH($C721,'Fund YTD Target Values'!$A:$A,0), MATCH($A721,'Fund YTD Target Values'!$1:$1,0)),0)</f>
        <v>19055.26</v>
      </c>
      <c r="S721" s="52">
        <f>IFERROR(__xludf.DUMMYFUNCTION("IFERROR(sum(FILTER('Fund Data'!$V:$V, 'Fund Data'!$C:$C = $C721, 'Fund Data'!$A:$A &lt; $A721)),0) + IFERROR(sum(FILTER('Fund Data'!$V:$V, 'Fund Data'!$C:$C = $C721, 'Fund Data'!$A:$A = $A721, 'Fund Data'!$B:$B &lt;= $B721)),0)"),19055.26)</f>
        <v>19055.26</v>
      </c>
      <c r="T721" s="123">
        <v>19076.0</v>
      </c>
      <c r="U721" s="44">
        <f t="shared" si="69"/>
        <v>-20.74</v>
      </c>
      <c r="V721" s="44">
        <f t="shared" si="3"/>
        <v>19055.26</v>
      </c>
      <c r="W721" s="123"/>
      <c r="X721" s="123"/>
      <c r="Y721" s="123">
        <v>0.0</v>
      </c>
      <c r="Z721" s="123">
        <v>0.0</v>
      </c>
      <c r="AA721" s="123">
        <v>0.0</v>
      </c>
      <c r="AB721" s="123"/>
      <c r="AC721" s="123">
        <v>0.0</v>
      </c>
      <c r="AD721" s="44">
        <f t="shared" si="7"/>
        <v>0</v>
      </c>
      <c r="AE721" s="123">
        <v>0.0</v>
      </c>
    </row>
    <row r="722">
      <c r="A722" s="120">
        <v>2019.0</v>
      </c>
      <c r="B722" s="121">
        <v>6.0</v>
      </c>
      <c r="C722" s="122" t="s">
        <v>32</v>
      </c>
      <c r="D722" s="44"/>
      <c r="E722" s="123">
        <v>633.03</v>
      </c>
      <c r="F722" s="44"/>
      <c r="G722" s="44"/>
      <c r="H722" s="123">
        <v>-143.01</v>
      </c>
      <c r="I722" s="44"/>
      <c r="J722" s="44"/>
      <c r="K722" s="44"/>
      <c r="L722" s="123">
        <v>4964.19</v>
      </c>
      <c r="M722" s="44"/>
      <c r="N722" s="44"/>
      <c r="O722" s="123">
        <v>52904.76</v>
      </c>
      <c r="P722" s="52">
        <f t="shared" si="23"/>
        <v>52904.36</v>
      </c>
      <c r="Q722" s="124">
        <f t="shared" si="2"/>
        <v>0.4</v>
      </c>
      <c r="R722" s="52">
        <f t="array" ref="R722">IFERROR(INDEX('Fund YTD Target Values'!$1:$1000, MATCH($C722,'Fund YTD Target Values'!$A:$A,0), MATCH($A722,'Fund YTD Target Values'!$1:$1,0)),0)</f>
        <v>80560.08732</v>
      </c>
      <c r="S722" s="52">
        <f>IFERROR(__xludf.DUMMYFUNCTION("IFERROR(sum(FILTER('Fund Data'!$V:$V, 'Fund Data'!$C:$C = $C722, 'Fund Data'!$A:$A &lt; $A722)),0) + IFERROR(sum(FILTER('Fund Data'!$V:$V, 'Fund Data'!$C:$C = $C722, 'Fund Data'!$A:$A = $A722, 'Fund Data'!$B:$B &lt;= $B722)),0)"),49449.04)</f>
        <v>49449.04</v>
      </c>
      <c r="T722" s="44"/>
      <c r="U722" s="44"/>
      <c r="V722" s="44">
        <f t="shared" si="3"/>
        <v>0</v>
      </c>
      <c r="W722" s="52">
        <f>IFERROR(__xludf.DUMMYFUNCTION("iFERROR((FILTER('Fund Data'!$Y:$Y, 'Fund Data'!$C:$C = $C722, 'Fund Data'!$A:$A = $A722 - 1, 'Fund Data'!$B:$B = 12) + FILTER('Fund Data'!$AA:$AA, 'Fund Data'!$C:$C = $C722, 'Fund Data'!$A:$A = $A722 - 1, 'Fund Data'!$B:$B = 12)) * (1 + AVERAGE(FILTER('In"&amp;"flation Data'!$C:$C,'Inflation Data'!$A:$A = ($A722 - 2)))) * 'Parameters and Distribution Sum'!$A$4,0)"),1718.9474190106023)</f>
        <v>1718.947419</v>
      </c>
      <c r="X722" s="52">
        <f>IFERROR(__xludf.DUMMYFUNCTION("IFERROR((IFERROR(FILTER('Fund Data'!$P:$P,'Fund Data'!$C:$C = $C722,'Fund Data'!$A:$A = ($A722 - 2), 'Fund Data'!$B:$B = 12),0) - SUM(FILTER('Fund Data'!$V:$V, 'Fund Data'!$C:$C = $C722, 'Fund Data'!$A:$A = ($A722 - 2), 'Fund Data'!$B:$B &gt; 3)))  * 'Parame"&amp;"ters and Distribution Sum'!$B$4 * (1 - 'Parameters and Distribution Sum'!$A$4),0)"),721.3160700000001)</f>
        <v>721.31607</v>
      </c>
      <c r="Y722" s="52">
        <f t="shared" ref="Y722:Y727" si="70">sum($W722:$X722)</f>
        <v>2440.263489</v>
      </c>
      <c r="Z722" s="52">
        <f>IFERROR(__xludf.DUMMYFUNCTION("((IFERROR((SUM(FILTER('Fund Data'!$V:$V, 'Fund Data'!$C:$C = $C722, 'Fund Data'!$A:$A = $A722 - 1, 'Fund Data'!$B:$B &gt;= 4, 'Fund Data'!$B:$B &lt;= ($B722 + 5))) / 12) * ($B722 - 3) * 'Parameters and Distribution Sum'!$B$4, 0) + IF($B722 &gt;= 9, IFERROR(SUM(FIL"&amp;"TER('Fund Data'!$V:$V, 'Fund Data'!$C:$C = $C722, 'Fund Data'!$A:$A = $A722, 'Fund Data'!$B:$B &lt;= 3)) * 'Parameters and Distribution Sum'!$B$4, 0),0)))"),0.0)</f>
        <v>0</v>
      </c>
      <c r="AA722" s="44">
        <f>IFERROR(__xludf.DUMMYFUNCTION("IFERROR(((IFERROR(SUM(FILTER('Fund Data'!$V:$V, 'Fund Data'!$C:$C = $C722, 'Fund Data'!$A:$A = $A722 - 2, 'Fund Data'!$B:$B &gt;= 4)) * 'Parameters and Distribution Sum'!$B$4,0) + IFERROR(SUM(FILTER('Fund Data'!$V:$V, 'Fund Data'!$C:$C = $C722, 'Fund Data'!$"&amp;"A:$A = $A722 - 1, 'Fund Data'!$B:$B &lt;= 3)) * 'Parameters and Distribution Sum'!$B$4,0))),0)"),0.0)</f>
        <v>0</v>
      </c>
      <c r="AB722" s="44">
        <f t="shared" ref="AB722:AB728" si="71">IFERROR(__xludf.DUMMYFUNCTION("IFERROR(FILTER($AE:$AE,$C:$C = $C722,$A:$A = $A722 - 1,$B:$B = 12),0)"),0.0)</f>
        <v>0</v>
      </c>
      <c r="AC722" s="44">
        <f t="shared" ref="AC722:AC728" si="72">sum($Y722:$AB722)</f>
        <v>2440.263489</v>
      </c>
      <c r="AD722" s="44">
        <f t="shared" si="7"/>
        <v>2440.263489</v>
      </c>
      <c r="AE722" s="44"/>
    </row>
    <row r="723">
      <c r="A723" s="120">
        <v>2019.0</v>
      </c>
      <c r="B723" s="121">
        <v>5.0</v>
      </c>
      <c r="C723" s="122" t="s">
        <v>32</v>
      </c>
      <c r="D723" s="44"/>
      <c r="E723" s="123">
        <v>577.57</v>
      </c>
      <c r="F723" s="44"/>
      <c r="G723" s="44"/>
      <c r="H723" s="123">
        <v>-118.98</v>
      </c>
      <c r="I723" s="44"/>
      <c r="J723" s="44"/>
      <c r="K723" s="44"/>
      <c r="L723" s="123">
        <v>2966.9</v>
      </c>
      <c r="M723" s="44"/>
      <c r="N723" s="44"/>
      <c r="O723" s="123">
        <v>50876.04</v>
      </c>
      <c r="P723" s="52">
        <f t="shared" si="23"/>
        <v>50875.64</v>
      </c>
      <c r="Q723" s="124">
        <f t="shared" si="2"/>
        <v>0.4</v>
      </c>
      <c r="R723" s="52">
        <f t="array" ref="R723">IFERROR(INDEX('Fund YTD Target Values'!$1:$1000, MATCH($C723,'Fund YTD Target Values'!$A:$A,0), MATCH($A723,'Fund YTD Target Values'!$1:$1,0)),0)</f>
        <v>80560.08732</v>
      </c>
      <c r="S723" s="52">
        <f>IFERROR(__xludf.DUMMYFUNCTION("IFERROR(sum(FILTER('Fund Data'!$V:$V, 'Fund Data'!$C:$C = $C723, 'Fund Data'!$A:$A &lt; $A723)),0) + IFERROR(sum(FILTER('Fund Data'!$V:$V, 'Fund Data'!$C:$C = $C723, 'Fund Data'!$A:$A = $A723, 'Fund Data'!$B:$B &lt;= $B723)),0)"),49449.04)</f>
        <v>49449.04</v>
      </c>
      <c r="T723" s="44"/>
      <c r="U723" s="44"/>
      <c r="V723" s="44">
        <f t="shared" si="3"/>
        <v>0</v>
      </c>
      <c r="W723" s="52">
        <f>IFERROR(__xludf.DUMMYFUNCTION("iFERROR((FILTER('Fund Data'!$Y:$Y, 'Fund Data'!$C:$C = $C723, 'Fund Data'!$A:$A = $A723 - 1, 'Fund Data'!$B:$B = 12) + FILTER('Fund Data'!$AA:$AA, 'Fund Data'!$C:$C = $C723, 'Fund Data'!$A:$A = $A723 - 1, 'Fund Data'!$B:$B = 12)) * (1 + AVERAGE(FILTER('In"&amp;"flation Data'!$C:$C,'Inflation Data'!$A:$A = ($A723 - 2)))) * 'Parameters and Distribution Sum'!$A$4,0)"),1718.9474190106023)</f>
        <v>1718.947419</v>
      </c>
      <c r="X723" s="52">
        <f>IFERROR(__xludf.DUMMYFUNCTION("IFERROR((IFERROR(FILTER('Fund Data'!$P:$P,'Fund Data'!$C:$C = $C723,'Fund Data'!$A:$A = ($A723 - 2), 'Fund Data'!$B:$B = 12),0) - SUM(FILTER('Fund Data'!$V:$V, 'Fund Data'!$C:$C = $C723, 'Fund Data'!$A:$A = ($A723 - 2), 'Fund Data'!$B:$B &gt; 3)))  * 'Parame"&amp;"ters and Distribution Sum'!$B$4 * (1 - 'Parameters and Distribution Sum'!$A$4),0)"),721.3160700000001)</f>
        <v>721.31607</v>
      </c>
      <c r="Y723" s="52">
        <f t="shared" si="70"/>
        <v>2440.263489</v>
      </c>
      <c r="Z723" s="52">
        <f>IFERROR(__xludf.DUMMYFUNCTION("((IFERROR((SUM(FILTER('Fund Data'!$V:$V, 'Fund Data'!$C:$C = $C723, 'Fund Data'!$A:$A = $A723 - 1, 'Fund Data'!$B:$B &gt;= 4, 'Fund Data'!$B:$B &lt;= ($B723 + 5))) / 12) * ($B723 - 3) * 'Parameters and Distribution Sum'!$B$4, 0) + IF($B723 &gt;= 9, IFERROR(SUM(FIL"&amp;"TER('Fund Data'!$V:$V, 'Fund Data'!$C:$C = $C723, 'Fund Data'!$A:$A = $A723, 'Fund Data'!$B:$B &lt;= 3)) * 'Parameters and Distribution Sum'!$B$4, 0),0)))"),0.0)</f>
        <v>0</v>
      </c>
      <c r="AA723" s="44">
        <f>IFERROR(__xludf.DUMMYFUNCTION("IFERROR(((IFERROR(SUM(FILTER('Fund Data'!$V:$V, 'Fund Data'!$C:$C = $C723, 'Fund Data'!$A:$A = $A723 - 2, 'Fund Data'!$B:$B &gt;= 4)) * 'Parameters and Distribution Sum'!$B$4,0) + IFERROR(SUM(FILTER('Fund Data'!$V:$V, 'Fund Data'!$C:$C = $C723, 'Fund Data'!$"&amp;"A:$A = $A723 - 1, 'Fund Data'!$B:$B &lt;= 3)) * 'Parameters and Distribution Sum'!$B$4,0))),0)"),0.0)</f>
        <v>0</v>
      </c>
      <c r="AB723" s="44">
        <f t="shared" si="71"/>
        <v>0</v>
      </c>
      <c r="AC723" s="44">
        <f t="shared" si="72"/>
        <v>2440.263489</v>
      </c>
      <c r="AD723" s="44">
        <f t="shared" si="7"/>
        <v>2440.263489</v>
      </c>
      <c r="AE723" s="44"/>
    </row>
    <row r="724">
      <c r="A724" s="120">
        <v>2019.0</v>
      </c>
      <c r="B724" s="121">
        <v>4.0</v>
      </c>
      <c r="C724" s="122" t="s">
        <v>32</v>
      </c>
      <c r="D724" s="44"/>
      <c r="E724" s="123">
        <v>532.3</v>
      </c>
      <c r="F724" s="44"/>
      <c r="G724" s="44"/>
      <c r="H724" s="123">
        <v>-94.3</v>
      </c>
      <c r="I724" s="44"/>
      <c r="J724" s="44"/>
      <c r="K724" s="44"/>
      <c r="L724" s="123">
        <v>4984.82</v>
      </c>
      <c r="M724" s="44"/>
      <c r="N724" s="44"/>
      <c r="O724" s="123">
        <v>52873.0</v>
      </c>
      <c r="P724" s="52">
        <f t="shared" si="23"/>
        <v>52872.97</v>
      </c>
      <c r="Q724" s="124">
        <f t="shared" si="2"/>
        <v>0.03</v>
      </c>
      <c r="R724" s="52">
        <f t="array" ref="R724">IFERROR(INDEX('Fund YTD Target Values'!$1:$1000, MATCH($C724,'Fund YTD Target Values'!$A:$A,0), MATCH($A724,'Fund YTD Target Values'!$1:$1,0)),0)</f>
        <v>80560.08732</v>
      </c>
      <c r="S724" s="52">
        <f>IFERROR(__xludf.DUMMYFUNCTION("IFERROR(sum(FILTER('Fund Data'!$V:$V, 'Fund Data'!$C:$C = $C724, 'Fund Data'!$A:$A &lt; $A724)),0) + IFERROR(sum(FILTER('Fund Data'!$V:$V, 'Fund Data'!$C:$C = $C724, 'Fund Data'!$A:$A = $A724, 'Fund Data'!$B:$B &lt;= $B724)),0)"),49449.04)</f>
        <v>49449.04</v>
      </c>
      <c r="T724" s="44"/>
      <c r="U724" s="44"/>
      <c r="V724" s="44">
        <f t="shared" si="3"/>
        <v>0</v>
      </c>
      <c r="W724" s="52">
        <f>IFERROR(__xludf.DUMMYFUNCTION("iFERROR((FILTER('Fund Data'!$Y:$Y, 'Fund Data'!$C:$C = $C724, 'Fund Data'!$A:$A = $A724 - 1, 'Fund Data'!$B:$B = 12) + FILTER('Fund Data'!$AA:$AA, 'Fund Data'!$C:$C = $C724, 'Fund Data'!$A:$A = $A724 - 1, 'Fund Data'!$B:$B = 12)) * (1 + AVERAGE(FILTER('In"&amp;"flation Data'!$C:$C,'Inflation Data'!$A:$A = ($A724 - 2)))) * 'Parameters and Distribution Sum'!$A$4,0)"),1718.9474190106023)</f>
        <v>1718.947419</v>
      </c>
      <c r="X724" s="52">
        <f>IFERROR(__xludf.DUMMYFUNCTION("IFERROR((IFERROR(FILTER('Fund Data'!$P:$P,'Fund Data'!$C:$C = $C724,'Fund Data'!$A:$A = ($A724 - 2), 'Fund Data'!$B:$B = 12),0) - SUM(FILTER('Fund Data'!$V:$V, 'Fund Data'!$C:$C = $C724, 'Fund Data'!$A:$A = ($A724 - 2), 'Fund Data'!$B:$B &gt; 3)))  * 'Parame"&amp;"ters and Distribution Sum'!$B$4 * (1 - 'Parameters and Distribution Sum'!$A$4),0)"),721.3160700000001)</f>
        <v>721.31607</v>
      </c>
      <c r="Y724" s="52">
        <f t="shared" si="70"/>
        <v>2440.263489</v>
      </c>
      <c r="Z724" s="52">
        <f>IFERROR(__xludf.DUMMYFUNCTION("((IFERROR((SUM(FILTER('Fund Data'!$V:$V, 'Fund Data'!$C:$C = $C724, 'Fund Data'!$A:$A = $A724 - 1, 'Fund Data'!$B:$B &gt;= 4, 'Fund Data'!$B:$B &lt;= ($B724 + 5))) / 12) * ($B724 - 3) * 'Parameters and Distribution Sum'!$B$4, 0) + IF($B724 &gt;= 9, IFERROR(SUM(FIL"&amp;"TER('Fund Data'!$V:$V, 'Fund Data'!$C:$C = $C724, 'Fund Data'!$A:$A = $A724, 'Fund Data'!$B:$B &lt;= 3)) * 'Parameters and Distribution Sum'!$B$4, 0),0)))"),0.0)</f>
        <v>0</v>
      </c>
      <c r="AA724" s="44">
        <f>IFERROR(__xludf.DUMMYFUNCTION("IFERROR(((IFERROR(SUM(FILTER('Fund Data'!$V:$V, 'Fund Data'!$C:$C = $C724, 'Fund Data'!$A:$A = $A724 - 2, 'Fund Data'!$B:$B &gt;= 4)) * 'Parameters and Distribution Sum'!$B$4,0) + IFERROR(SUM(FILTER('Fund Data'!$V:$V, 'Fund Data'!$C:$C = $C724, 'Fund Data'!$"&amp;"A:$A = $A724 - 1, 'Fund Data'!$B:$B &lt;= 3)) * 'Parameters and Distribution Sum'!$B$4,0))),0)"),0.0)</f>
        <v>0</v>
      </c>
      <c r="AB724" s="44">
        <f t="shared" si="71"/>
        <v>0</v>
      </c>
      <c r="AC724" s="44">
        <f t="shared" si="72"/>
        <v>2440.263489</v>
      </c>
      <c r="AD724" s="44">
        <f t="shared" si="7"/>
        <v>2440.263489</v>
      </c>
      <c r="AE724" s="44"/>
    </row>
    <row r="725">
      <c r="A725" s="120">
        <v>2019.0</v>
      </c>
      <c r="B725" s="121">
        <v>3.0</v>
      </c>
      <c r="C725" s="122" t="s">
        <v>32</v>
      </c>
      <c r="D725" s="44"/>
      <c r="E725" s="123">
        <v>402.28</v>
      </c>
      <c r="F725" s="44"/>
      <c r="G725" s="44"/>
      <c r="H725" s="123">
        <v>-70.11</v>
      </c>
      <c r="I725" s="44"/>
      <c r="J725" s="44"/>
      <c r="K725" s="44"/>
      <c r="L725" s="123">
        <v>3955.41</v>
      </c>
      <c r="M725" s="44"/>
      <c r="N725" s="44"/>
      <c r="O725" s="123">
        <v>51738.0</v>
      </c>
      <c r="P725" s="52">
        <f t="shared" si="23"/>
        <v>51737.73</v>
      </c>
      <c r="Q725" s="124">
        <f t="shared" si="2"/>
        <v>0.27</v>
      </c>
      <c r="R725" s="52">
        <f t="array" ref="R725">IFERROR(INDEX('Fund YTD Target Values'!$1:$1000, MATCH($C725,'Fund YTD Target Values'!$A:$A,0), MATCH($A725,'Fund YTD Target Values'!$1:$1,0)),0)</f>
        <v>80560.08732</v>
      </c>
      <c r="S725" s="52">
        <f>IFERROR(__xludf.DUMMYFUNCTION("IFERROR(sum(FILTER('Fund Data'!$V:$V, 'Fund Data'!$C:$C = $C725, 'Fund Data'!$A:$A &lt; $A725)),0) + IFERROR(sum(FILTER('Fund Data'!$V:$V, 'Fund Data'!$C:$C = $C725, 'Fund Data'!$A:$A = $A725, 'Fund Data'!$B:$B &lt;= $B725)),0)"),49449.04)</f>
        <v>49449.04</v>
      </c>
      <c r="T725" s="123"/>
      <c r="U725" s="44"/>
      <c r="V725" s="44">
        <f t="shared" si="3"/>
        <v>0</v>
      </c>
      <c r="W725" s="52">
        <f>IFERROR(__xludf.DUMMYFUNCTION("iFERROR((FILTER('Fund Data'!$Y:$Y, 'Fund Data'!$C:$C = $C725, 'Fund Data'!$A:$A = $A725 - 1, 'Fund Data'!$B:$B = 12) + FILTER('Fund Data'!$AA:$AA, 'Fund Data'!$C:$C = $C725, 'Fund Data'!$A:$A = $A725 - 1, 'Fund Data'!$B:$B = 12)) * (1 + AVERAGE(FILTER('In"&amp;"flation Data'!$C:$C,'Inflation Data'!$A:$A = ($A725 - 2)))) * 'Parameters and Distribution Sum'!$A$4,0)"),1718.9474190106023)</f>
        <v>1718.947419</v>
      </c>
      <c r="X725" s="52">
        <f>IFERROR(__xludf.DUMMYFUNCTION("IFERROR((IFERROR(FILTER('Fund Data'!$P:$P,'Fund Data'!$C:$C = $C725,'Fund Data'!$A:$A = ($A725 - 2), 'Fund Data'!$B:$B = 12),0) - SUM(FILTER('Fund Data'!$V:$V, 'Fund Data'!$C:$C = $C725, 'Fund Data'!$A:$A = ($A725 - 2), 'Fund Data'!$B:$B &gt; 3)))  * 'Parame"&amp;"ters and Distribution Sum'!$B$4 * (1 - 'Parameters and Distribution Sum'!$A$4),0)"),721.3160700000001)</f>
        <v>721.31607</v>
      </c>
      <c r="Y725" s="52">
        <f t="shared" si="70"/>
        <v>2440.263489</v>
      </c>
      <c r="Z725" s="52">
        <f>IFERROR(__xludf.DUMMYFUNCTION("((IFERROR((SUM(FILTER('Fund Data'!$V:$V, 'Fund Data'!$C:$C = $C725, 'Fund Data'!$A:$A = $A725 - 1, 'Fund Data'!$B:$B &gt;= 4, 'Fund Data'!$B:$B &lt;= ($B725 + 5))) / 12) * ($B725 - 3) * 'Parameters and Distribution Sum'!$B$4, 0) + IF($B725 &gt;= 9, IFERROR(SUM(FIL"&amp;"TER('Fund Data'!$V:$V, 'Fund Data'!$C:$C = $C725, 'Fund Data'!$A:$A = $A725, 'Fund Data'!$B:$B &lt;= 3)) * 'Parameters and Distribution Sum'!$B$4, 0),0)))"),0.0)</f>
        <v>0</v>
      </c>
      <c r="AA725" s="44">
        <f>IFERROR(__xludf.DUMMYFUNCTION("IFERROR(((IFERROR(SUM(FILTER('Fund Data'!$V:$V, 'Fund Data'!$C:$C = $C725, 'Fund Data'!$A:$A = $A725 - 2, 'Fund Data'!$B:$B &gt;= 4)) * 'Parameters and Distribution Sum'!$B$4,0) + IFERROR(SUM(FILTER('Fund Data'!$V:$V, 'Fund Data'!$C:$C = $C725, 'Fund Data'!$"&amp;"A:$A = $A725 - 1, 'Fund Data'!$B:$B &lt;= 3)) * 'Parameters and Distribution Sum'!$B$4,0))),0)"),0.0)</f>
        <v>0</v>
      </c>
      <c r="AB725" s="44">
        <f t="shared" si="71"/>
        <v>0</v>
      </c>
      <c r="AC725" s="44">
        <f t="shared" si="72"/>
        <v>2440.263489</v>
      </c>
      <c r="AD725" s="44">
        <f t="shared" si="7"/>
        <v>2440.263489</v>
      </c>
      <c r="AE725" s="44"/>
    </row>
    <row r="726">
      <c r="A726" s="120">
        <v>2019.0</v>
      </c>
      <c r="B726" s="121">
        <v>2.0</v>
      </c>
      <c r="C726" s="122" t="s">
        <v>32</v>
      </c>
      <c r="D726" s="44"/>
      <c r="E726" s="123">
        <v>340.09</v>
      </c>
      <c r="F726" s="44"/>
      <c r="G726" s="44"/>
      <c r="H726" s="123">
        <v>-46.07</v>
      </c>
      <c r="I726" s="44"/>
      <c r="J726" s="44"/>
      <c r="K726" s="44"/>
      <c r="L726" s="123">
        <v>3661.54</v>
      </c>
      <c r="M726" s="44"/>
      <c r="N726" s="44"/>
      <c r="O726" s="123">
        <v>51406.0</v>
      </c>
      <c r="P726" s="52">
        <f t="shared" si="23"/>
        <v>51405.71</v>
      </c>
      <c r="Q726" s="124">
        <f t="shared" si="2"/>
        <v>0.29</v>
      </c>
      <c r="R726" s="52">
        <f t="array" ref="R726">IFERROR(INDEX('Fund YTD Target Values'!$1:$1000, MATCH($C726,'Fund YTD Target Values'!$A:$A,0), MATCH($A726,'Fund YTD Target Values'!$1:$1,0)),0)</f>
        <v>80560.08732</v>
      </c>
      <c r="S726" s="52">
        <f>IFERROR(__xludf.DUMMYFUNCTION("IFERROR(sum(FILTER('Fund Data'!$V:$V, 'Fund Data'!$C:$C = $C726, 'Fund Data'!$A:$A &lt; $A726)),0) + IFERROR(sum(FILTER('Fund Data'!$V:$V, 'Fund Data'!$C:$C = $C726, 'Fund Data'!$A:$A = $A726, 'Fund Data'!$B:$B &lt;= $B726)),0)"),49449.04)</f>
        <v>49449.04</v>
      </c>
      <c r="T726" s="123">
        <v>39268.0</v>
      </c>
      <c r="U726" s="44">
        <f t="shared" ref="U726:U766" si="73">S726-T726</f>
        <v>10181.04</v>
      </c>
      <c r="V726" s="44">
        <f t="shared" si="3"/>
        <v>0</v>
      </c>
      <c r="W726" s="52">
        <f>IFERROR(__xludf.DUMMYFUNCTION("iFERROR((FILTER('Fund Data'!$Y:$Y, 'Fund Data'!$C:$C = $C726, 'Fund Data'!$A:$A = $A726 - 1, 'Fund Data'!$B:$B = 12) + FILTER('Fund Data'!$AA:$AA, 'Fund Data'!$C:$C = $C726, 'Fund Data'!$A:$A = $A726 - 1, 'Fund Data'!$B:$B = 12)) * (1 + AVERAGE(FILTER('In"&amp;"flation Data'!$C:$C,'Inflation Data'!$A:$A = ($A726 - 2)))) * 'Parameters and Distribution Sum'!$A$4,0)"),1718.9474190106023)</f>
        <v>1718.947419</v>
      </c>
      <c r="X726" s="52">
        <f>IFERROR(__xludf.DUMMYFUNCTION("IFERROR((IFERROR(FILTER('Fund Data'!$P:$P,'Fund Data'!$C:$C = $C726,'Fund Data'!$A:$A = ($A726 - 2), 'Fund Data'!$B:$B = 12),0) - SUM(FILTER('Fund Data'!$V:$V, 'Fund Data'!$C:$C = $C726, 'Fund Data'!$A:$A = ($A726 - 2), 'Fund Data'!$B:$B &gt; 3)))  * 'Parame"&amp;"ters and Distribution Sum'!$B$4 * (1 - 'Parameters and Distribution Sum'!$A$4),0)"),721.3160700000001)</f>
        <v>721.31607</v>
      </c>
      <c r="Y726" s="52">
        <f t="shared" si="70"/>
        <v>2440.263489</v>
      </c>
      <c r="Z726" s="52">
        <f>IFERROR(__xludf.DUMMYFUNCTION("((IFERROR((SUM(FILTER('Fund Data'!$V:$V, 'Fund Data'!$C:$C = $C726, 'Fund Data'!$A:$A = $A726 - 1, 'Fund Data'!$B:$B &gt;= 4, 'Fund Data'!$B:$B &lt;= ($B726 + 5))) / 12) * ($B726 - 3) * 'Parameters and Distribution Sum'!$B$4, 0) + IF($B726 &gt;= 9, IFERROR(SUM(FIL"&amp;"TER('Fund Data'!$V:$V, 'Fund Data'!$C:$C = $C726, 'Fund Data'!$A:$A = $A726, 'Fund Data'!$B:$B &lt;= 3)) * 'Parameters and Distribution Sum'!$B$4, 0),0)))"),0.0)</f>
        <v>0</v>
      </c>
      <c r="AA726" s="44">
        <f>IFERROR(__xludf.DUMMYFUNCTION("IFERROR(((IFERROR(SUM(FILTER('Fund Data'!$V:$V, 'Fund Data'!$C:$C = $C726, 'Fund Data'!$A:$A = $A726 - 2, 'Fund Data'!$B:$B &gt;= 4)) * 'Parameters and Distribution Sum'!$B$4,0) + IFERROR(SUM(FILTER('Fund Data'!$V:$V, 'Fund Data'!$C:$C = $C726, 'Fund Data'!$"&amp;"A:$A = $A726 - 1, 'Fund Data'!$B:$B &lt;= 3)) * 'Parameters and Distribution Sum'!$B$4,0))),0)"),0.0)</f>
        <v>0</v>
      </c>
      <c r="AB726" s="44">
        <f t="shared" si="71"/>
        <v>0</v>
      </c>
      <c r="AC726" s="44">
        <f t="shared" si="72"/>
        <v>2440.263489</v>
      </c>
      <c r="AD726" s="44">
        <f t="shared" si="7"/>
        <v>2440.263489</v>
      </c>
      <c r="AE726" s="44"/>
    </row>
    <row r="727">
      <c r="A727" s="120">
        <v>2019.0</v>
      </c>
      <c r="B727" s="121">
        <v>1.0</v>
      </c>
      <c r="C727" s="122" t="s">
        <v>32</v>
      </c>
      <c r="D727" s="44"/>
      <c r="E727" s="123">
        <v>314.52</v>
      </c>
      <c r="F727" s="44"/>
      <c r="G727" s="44"/>
      <c r="H727" s="123">
        <v>-22.38</v>
      </c>
      <c r="I727" s="44"/>
      <c r="J727" s="44"/>
      <c r="K727" s="44"/>
      <c r="L727" s="123">
        <v>2832.51</v>
      </c>
      <c r="M727" s="44"/>
      <c r="N727" s="44"/>
      <c r="O727" s="123">
        <v>50575.0</v>
      </c>
      <c r="P727" s="52">
        <f t="shared" si="23"/>
        <v>50574.8</v>
      </c>
      <c r="Q727" s="124">
        <f t="shared" si="2"/>
        <v>0.2</v>
      </c>
      <c r="R727" s="52">
        <f t="array" ref="R727">IFERROR(INDEX('Fund YTD Target Values'!$1:$1000, MATCH($C727,'Fund YTD Target Values'!$A:$A,0), MATCH($A727,'Fund YTD Target Values'!$1:$1,0)),0)</f>
        <v>80560.08732</v>
      </c>
      <c r="S727" s="52">
        <f>IFERROR(__xludf.DUMMYFUNCTION("IFERROR(sum(FILTER('Fund Data'!$V:$V, 'Fund Data'!$C:$C = $C727, 'Fund Data'!$A:$A &lt; $A727)),0) + IFERROR(sum(FILTER('Fund Data'!$V:$V, 'Fund Data'!$C:$C = $C727, 'Fund Data'!$A:$A = $A727, 'Fund Data'!$B:$B &lt;= $B727)),0)"),49449.04)</f>
        <v>49449.04</v>
      </c>
      <c r="T727" s="123">
        <v>39268.0</v>
      </c>
      <c r="U727" s="44">
        <f t="shared" si="73"/>
        <v>10181.04</v>
      </c>
      <c r="V727" s="44">
        <f t="shared" si="3"/>
        <v>0</v>
      </c>
      <c r="W727" s="52">
        <f>IFERROR(__xludf.DUMMYFUNCTION("iFERROR((FILTER('Fund Data'!$Y:$Y, 'Fund Data'!$C:$C = $C727, 'Fund Data'!$A:$A = $A727 - 1, 'Fund Data'!$B:$B = 12) + FILTER('Fund Data'!$AA:$AA, 'Fund Data'!$C:$C = $C727, 'Fund Data'!$A:$A = $A727 - 1, 'Fund Data'!$B:$B = 12)) * (1 + AVERAGE(FILTER('In"&amp;"flation Data'!$C:$C,'Inflation Data'!$A:$A = ($A727 - 2)))) * 'Parameters and Distribution Sum'!$A$4,0)"),1718.9474190106023)</f>
        <v>1718.947419</v>
      </c>
      <c r="X727" s="52">
        <f>IFERROR(__xludf.DUMMYFUNCTION("IFERROR((IFERROR(FILTER('Fund Data'!$P:$P,'Fund Data'!$C:$C = $C727,'Fund Data'!$A:$A = ($A727 - 2), 'Fund Data'!$B:$B = 12),0) - SUM(FILTER('Fund Data'!$V:$V, 'Fund Data'!$C:$C = $C727, 'Fund Data'!$A:$A = ($A727 - 2), 'Fund Data'!$B:$B &gt; 3)))  * 'Parame"&amp;"ters and Distribution Sum'!$B$4 * (1 - 'Parameters and Distribution Sum'!$A$4),0)"),721.3160700000001)</f>
        <v>721.31607</v>
      </c>
      <c r="Y727" s="52">
        <f t="shared" si="70"/>
        <v>2440.263489</v>
      </c>
      <c r="Z727" s="52">
        <f>IFERROR(__xludf.DUMMYFUNCTION("((IFERROR((SUM(FILTER('Fund Data'!$V:$V, 'Fund Data'!$C:$C = $C727, 'Fund Data'!$A:$A = $A727 - 1, 'Fund Data'!$B:$B &gt;= 4, 'Fund Data'!$B:$B &lt;= ($B727 + 5))) / 12) * ($B727 - 3) * 'Parameters and Distribution Sum'!$B$4, 0) + IF($B727 &gt;= 9, IFERROR(SUM(FIL"&amp;"TER('Fund Data'!$V:$V, 'Fund Data'!$C:$C = $C727, 'Fund Data'!$A:$A = $A727, 'Fund Data'!$B:$B &lt;= 3)) * 'Parameters and Distribution Sum'!$B$4, 0),0)))"),0.0)</f>
        <v>0</v>
      </c>
      <c r="AA727" s="44">
        <f>IFERROR(__xludf.DUMMYFUNCTION("IFERROR(((IFERROR(SUM(FILTER('Fund Data'!$V:$V, 'Fund Data'!$C:$C = $C727, 'Fund Data'!$A:$A = $A727 - 2, 'Fund Data'!$B:$B &gt;= 4)) * 'Parameters and Distribution Sum'!$B$4,0) + IFERROR(SUM(FILTER('Fund Data'!$V:$V, 'Fund Data'!$C:$C = $C727, 'Fund Data'!$"&amp;"A:$A = $A727 - 1, 'Fund Data'!$B:$B &lt;= 3)) * 'Parameters and Distribution Sum'!$B$4,0))),0)"),0.0)</f>
        <v>0</v>
      </c>
      <c r="AB727" s="44">
        <f t="shared" si="71"/>
        <v>0</v>
      </c>
      <c r="AC727" s="44">
        <f t="shared" si="72"/>
        <v>2440.263489</v>
      </c>
      <c r="AD727" s="44">
        <f t="shared" si="7"/>
        <v>2440.263489</v>
      </c>
      <c r="AE727" s="44"/>
    </row>
    <row r="728">
      <c r="A728" s="120">
        <v>2018.0</v>
      </c>
      <c r="B728" s="121">
        <v>12.0</v>
      </c>
      <c r="C728" s="122" t="s">
        <v>32</v>
      </c>
      <c r="D728" s="44"/>
      <c r="E728" s="123">
        <v>1126.62</v>
      </c>
      <c r="F728" s="123">
        <v>-2000.0</v>
      </c>
      <c r="G728" s="44"/>
      <c r="H728" s="123">
        <v>-312.91</v>
      </c>
      <c r="I728" s="44"/>
      <c r="J728" s="123">
        <v>135.67</v>
      </c>
      <c r="K728" s="44"/>
      <c r="L728" s="123">
        <v>-4930.05</v>
      </c>
      <c r="M728" s="44"/>
      <c r="N728" s="44"/>
      <c r="O728" s="123">
        <v>47451.0</v>
      </c>
      <c r="P728" s="52">
        <f t="shared" si="23"/>
        <v>47450.15</v>
      </c>
      <c r="Q728" s="124">
        <f t="shared" si="2"/>
        <v>0.85</v>
      </c>
      <c r="R728" s="52">
        <f t="array" ref="R728">IFERROR(INDEX('Fund YTD Target Values'!$1:$1000, MATCH($C728,'Fund YTD Target Values'!$A:$A,0), MATCH($A728,'Fund YTD Target Values'!$1:$1,0)),0)</f>
        <v>79179.11465</v>
      </c>
      <c r="S728" s="52">
        <f>IFERROR(__xludf.DUMMYFUNCTION("IFERROR(sum(FILTER('Fund Data'!$V:$V, 'Fund Data'!$C:$C = $C728, 'Fund Data'!$A:$A &lt; $A728)),0) + IFERROR(sum(FILTER('Fund Data'!$V:$V, 'Fund Data'!$C:$C = $C728, 'Fund Data'!$A:$A = $A728, 'Fund Data'!$B:$B &lt;= $B728)),0)"),49449.04)</f>
        <v>49449.04</v>
      </c>
      <c r="T728" s="123">
        <v>39268.0</v>
      </c>
      <c r="U728" s="44">
        <f t="shared" si="73"/>
        <v>10181.04</v>
      </c>
      <c r="V728" s="44">
        <f t="shared" si="3"/>
        <v>0</v>
      </c>
      <c r="W728" s="52"/>
      <c r="X728" s="52"/>
      <c r="Y728" s="52">
        <v>2404.3869000000013</v>
      </c>
      <c r="Z728" s="123">
        <v>0.0</v>
      </c>
      <c r="AA728" s="123">
        <v>0.0</v>
      </c>
      <c r="AB728" s="44">
        <f t="shared" si="71"/>
        <v>0</v>
      </c>
      <c r="AC728" s="44">
        <f t="shared" si="72"/>
        <v>2404.3869</v>
      </c>
      <c r="AD728" s="44">
        <f t="shared" si="7"/>
        <v>404.3869</v>
      </c>
      <c r="AE728" s="123">
        <v>0.0</v>
      </c>
    </row>
    <row r="729">
      <c r="A729" s="120">
        <v>2018.0</v>
      </c>
      <c r="B729" s="121">
        <v>11.0</v>
      </c>
      <c r="C729" s="122" t="s">
        <v>32</v>
      </c>
      <c r="D729" s="44"/>
      <c r="E729" s="123">
        <v>1059.75</v>
      </c>
      <c r="F729" s="123">
        <v>-2000.0</v>
      </c>
      <c r="G729" s="44"/>
      <c r="H729" s="123">
        <v>-289.36</v>
      </c>
      <c r="I729" s="44"/>
      <c r="J729" s="123">
        <v>135.67</v>
      </c>
      <c r="K729" s="44"/>
      <c r="L729" s="123">
        <v>-2127.44</v>
      </c>
      <c r="M729" s="44"/>
      <c r="N729" s="44"/>
      <c r="O729" s="123">
        <v>50210.0</v>
      </c>
      <c r="P729" s="52">
        <f t="shared" si="23"/>
        <v>50209.44</v>
      </c>
      <c r="Q729" s="124">
        <f t="shared" si="2"/>
        <v>0.56</v>
      </c>
      <c r="R729" s="52">
        <f t="array" ref="R729">IFERROR(INDEX('Fund YTD Target Values'!$1:$1000, MATCH($C729,'Fund YTD Target Values'!$A:$A,0), MATCH($A729,'Fund YTD Target Values'!$1:$1,0)),0)</f>
        <v>79179.11465</v>
      </c>
      <c r="S729" s="52">
        <f>IFERROR(__xludf.DUMMYFUNCTION("IFERROR(sum(FILTER('Fund Data'!$V:$V, 'Fund Data'!$C:$C = $C729, 'Fund Data'!$A:$A &lt; $A729)),0) + IFERROR(sum(FILTER('Fund Data'!$V:$V, 'Fund Data'!$C:$C = $C729, 'Fund Data'!$A:$A = $A729, 'Fund Data'!$B:$B &lt;= $B729)),0)"),49449.04)</f>
        <v>49449.04</v>
      </c>
      <c r="T729" s="123">
        <v>39268.0</v>
      </c>
      <c r="U729" s="44">
        <f t="shared" si="73"/>
        <v>10181.04</v>
      </c>
      <c r="V729" s="44">
        <f t="shared" si="3"/>
        <v>0</v>
      </c>
      <c r="W729" s="123"/>
      <c r="X729" s="123"/>
      <c r="Y729" s="123">
        <v>0.0</v>
      </c>
      <c r="Z729" s="123">
        <v>0.0</v>
      </c>
      <c r="AA729" s="123">
        <v>0.0</v>
      </c>
      <c r="AB729" s="123"/>
      <c r="AC729" s="123">
        <v>0.0</v>
      </c>
      <c r="AD729" s="44">
        <f t="shared" si="7"/>
        <v>-2000</v>
      </c>
      <c r="AE729" s="123">
        <v>0.0</v>
      </c>
    </row>
    <row r="730">
      <c r="A730" s="120">
        <v>2018.0</v>
      </c>
      <c r="B730" s="121">
        <v>10.0</v>
      </c>
      <c r="C730" s="135" t="s">
        <v>32</v>
      </c>
      <c r="D730" s="138"/>
      <c r="E730" s="137">
        <v>1015.12</v>
      </c>
      <c r="F730" s="136">
        <v>-2000.0</v>
      </c>
      <c r="G730" s="138"/>
      <c r="H730" s="137">
        <v>-241.57</v>
      </c>
      <c r="I730" s="138"/>
      <c r="J730" s="136">
        <v>135.67</v>
      </c>
      <c r="K730" s="138"/>
      <c r="L730" s="136">
        <v>-2560.52</v>
      </c>
      <c r="M730" s="44"/>
      <c r="N730" s="44"/>
      <c r="O730" s="136">
        <v>49780.0</v>
      </c>
      <c r="P730" s="52">
        <f t="shared" si="23"/>
        <v>49779.52</v>
      </c>
      <c r="Q730" s="124">
        <f t="shared" si="2"/>
        <v>0.48</v>
      </c>
      <c r="R730" s="52">
        <f t="array" ref="R730">IFERROR(INDEX('Fund YTD Target Values'!$1:$1000, MATCH($C730,'Fund YTD Target Values'!$A:$A,0), MATCH($A730,'Fund YTD Target Values'!$1:$1,0)),0)</f>
        <v>79179.11465</v>
      </c>
      <c r="S730" s="52">
        <f>IFERROR(__xludf.DUMMYFUNCTION("IFERROR(sum(FILTER('Fund Data'!$V:$V, 'Fund Data'!$C:$C = $C730, 'Fund Data'!$A:$A &lt; $A730)),0) + IFERROR(sum(FILTER('Fund Data'!$V:$V, 'Fund Data'!$C:$C = $C730, 'Fund Data'!$A:$A = $A730, 'Fund Data'!$B:$B &lt;= $B730)),0)"),49449.04)</f>
        <v>49449.04</v>
      </c>
      <c r="T730" s="123">
        <v>39268.0</v>
      </c>
      <c r="U730" s="44">
        <f t="shared" si="73"/>
        <v>10181.04</v>
      </c>
      <c r="V730" s="44">
        <f t="shared" si="3"/>
        <v>0</v>
      </c>
      <c r="W730" s="123"/>
      <c r="X730" s="123"/>
      <c r="Y730" s="123">
        <v>0.0</v>
      </c>
      <c r="Z730" s="123">
        <v>0.0</v>
      </c>
      <c r="AA730" s="123">
        <v>0.0</v>
      </c>
      <c r="AB730" s="123"/>
      <c r="AC730" s="123">
        <v>0.0</v>
      </c>
      <c r="AD730" s="44">
        <f t="shared" si="7"/>
        <v>-2000</v>
      </c>
      <c r="AE730" s="123">
        <v>0.0</v>
      </c>
    </row>
    <row r="731">
      <c r="A731" s="120">
        <v>2018.0</v>
      </c>
      <c r="B731" s="121">
        <v>9.0</v>
      </c>
      <c r="C731" s="122" t="s">
        <v>32</v>
      </c>
      <c r="D731" s="123"/>
      <c r="E731" s="123">
        <v>865.51</v>
      </c>
      <c r="F731" s="123">
        <v>-2000.0</v>
      </c>
      <c r="G731" s="44"/>
      <c r="H731" s="123">
        <v>-241.57</v>
      </c>
      <c r="I731" s="44"/>
      <c r="J731" s="123">
        <v>135.67</v>
      </c>
      <c r="K731" s="44"/>
      <c r="L731" s="123">
        <v>109.07</v>
      </c>
      <c r="M731" s="44"/>
      <c r="N731" s="44"/>
      <c r="O731" s="123">
        <v>52300.0</v>
      </c>
      <c r="P731" s="52">
        <f t="shared" si="23"/>
        <v>52299.5</v>
      </c>
      <c r="Q731" s="124">
        <f t="shared" si="2"/>
        <v>0.5</v>
      </c>
      <c r="R731" s="52">
        <f t="array" ref="R731">IFERROR(INDEX('Fund YTD Target Values'!$1:$1000, MATCH($C731,'Fund YTD Target Values'!$A:$A,0), MATCH($A731,'Fund YTD Target Values'!$1:$1,0)),0)</f>
        <v>79179.11465</v>
      </c>
      <c r="S731" s="52">
        <f>IFERROR(__xludf.DUMMYFUNCTION("IFERROR(sum(FILTER('Fund Data'!$V:$V, 'Fund Data'!$C:$C = $C731, 'Fund Data'!$A:$A &lt; $A731)),0) + IFERROR(sum(FILTER('Fund Data'!$V:$V, 'Fund Data'!$C:$C = $C731, 'Fund Data'!$A:$A = $A731, 'Fund Data'!$B:$B &lt;= $B731)),0)"),49449.04)</f>
        <v>49449.04</v>
      </c>
      <c r="T731" s="123">
        <v>39268.0</v>
      </c>
      <c r="U731" s="44">
        <f t="shared" si="73"/>
        <v>10181.04</v>
      </c>
      <c r="V731" s="44">
        <f t="shared" si="3"/>
        <v>0</v>
      </c>
      <c r="W731" s="123"/>
      <c r="X731" s="123"/>
      <c r="Y731" s="123">
        <v>0.0</v>
      </c>
      <c r="Z731" s="123">
        <v>0.0</v>
      </c>
      <c r="AA731" s="123">
        <v>0.0</v>
      </c>
      <c r="AB731" s="123"/>
      <c r="AC731" s="123">
        <v>0.0</v>
      </c>
      <c r="AD731" s="44">
        <f t="shared" si="7"/>
        <v>-2000</v>
      </c>
      <c r="AE731" s="123">
        <v>0.0</v>
      </c>
    </row>
    <row r="732">
      <c r="A732" s="120">
        <v>2018.0</v>
      </c>
      <c r="B732" s="121">
        <v>8.0</v>
      </c>
      <c r="C732" s="122" t="s">
        <v>32</v>
      </c>
      <c r="D732" s="44"/>
      <c r="E732" s="123">
        <v>819.71</v>
      </c>
      <c r="F732" s="123">
        <v>-2000.0</v>
      </c>
      <c r="G732" s="44"/>
      <c r="H732" s="123">
        <v>-215.33</v>
      </c>
      <c r="I732" s="44"/>
      <c r="J732" s="44"/>
      <c r="K732" s="44"/>
      <c r="L732" s="123">
        <v>435.5</v>
      </c>
      <c r="M732" s="44"/>
      <c r="N732" s="44"/>
      <c r="O732" s="123">
        <v>52471.0</v>
      </c>
      <c r="P732" s="52">
        <f t="shared" si="23"/>
        <v>52470.7</v>
      </c>
      <c r="Q732" s="124">
        <f t="shared" si="2"/>
        <v>0.3</v>
      </c>
      <c r="R732" s="52">
        <f t="array" ref="R732">IFERROR(INDEX('Fund YTD Target Values'!$1:$1000, MATCH($C732,'Fund YTD Target Values'!$A:$A,0), MATCH($A732,'Fund YTD Target Values'!$1:$1,0)),0)</f>
        <v>79179.11465</v>
      </c>
      <c r="S732" s="52">
        <f>IFERROR(__xludf.DUMMYFUNCTION("IFERROR(sum(FILTER('Fund Data'!$V:$V, 'Fund Data'!$C:$C = $C732, 'Fund Data'!$A:$A &lt; $A732)),0) + IFERROR(sum(FILTER('Fund Data'!$V:$V, 'Fund Data'!$C:$C = $C732, 'Fund Data'!$A:$A = $A732, 'Fund Data'!$B:$B &lt;= $B732)),0)"),49449.04)</f>
        <v>49449.04</v>
      </c>
      <c r="T732" s="123">
        <v>39268.0</v>
      </c>
      <c r="U732" s="44">
        <f t="shared" si="73"/>
        <v>10181.04</v>
      </c>
      <c r="V732" s="44">
        <f t="shared" si="3"/>
        <v>0</v>
      </c>
      <c r="W732" s="123"/>
      <c r="X732" s="123"/>
      <c r="Y732" s="123">
        <v>0.0</v>
      </c>
      <c r="Z732" s="123">
        <v>0.0</v>
      </c>
      <c r="AA732" s="123">
        <v>0.0</v>
      </c>
      <c r="AB732" s="123"/>
      <c r="AC732" s="123">
        <v>0.0</v>
      </c>
      <c r="AD732" s="44">
        <f t="shared" si="7"/>
        <v>-2000</v>
      </c>
      <c r="AE732" s="123">
        <v>0.0</v>
      </c>
    </row>
    <row r="733">
      <c r="A733" s="120">
        <v>2018.0</v>
      </c>
      <c r="B733" s="121">
        <v>7.0</v>
      </c>
      <c r="C733" s="122" t="s">
        <v>32</v>
      </c>
      <c r="D733" s="44"/>
      <c r="E733" s="123">
        <v>774.41</v>
      </c>
      <c r="F733" s="44"/>
      <c r="G733" s="44"/>
      <c r="H733" s="123">
        <v>-188.18</v>
      </c>
      <c r="I733" s="44"/>
      <c r="J733" s="44"/>
      <c r="K733" s="44"/>
      <c r="L733" s="123">
        <v>280.29</v>
      </c>
      <c r="M733" s="44"/>
      <c r="N733" s="44"/>
      <c r="O733" s="123">
        <v>54298.0</v>
      </c>
      <c r="P733" s="52">
        <f t="shared" si="23"/>
        <v>54297.34</v>
      </c>
      <c r="Q733" s="124">
        <f t="shared" si="2"/>
        <v>0.66</v>
      </c>
      <c r="R733" s="52">
        <f t="array" ref="R733">IFERROR(INDEX('Fund YTD Target Values'!$1:$1000, MATCH($C733,'Fund YTD Target Values'!$A:$A,0), MATCH($A733,'Fund YTD Target Values'!$1:$1,0)),0)</f>
        <v>79179.11465</v>
      </c>
      <c r="S733" s="52">
        <f>IFERROR(__xludf.DUMMYFUNCTION("IFERROR(sum(FILTER('Fund Data'!$V:$V, 'Fund Data'!$C:$C = $C733, 'Fund Data'!$A:$A &lt; $A733)),0) + IFERROR(sum(FILTER('Fund Data'!$V:$V, 'Fund Data'!$C:$C = $C733, 'Fund Data'!$A:$A = $A733, 'Fund Data'!$B:$B &lt;= $B733)),0)"),49449.04)</f>
        <v>49449.04</v>
      </c>
      <c r="T733" s="123">
        <v>39268.0</v>
      </c>
      <c r="U733" s="44">
        <f t="shared" si="73"/>
        <v>10181.04</v>
      </c>
      <c r="V733" s="44">
        <f t="shared" si="3"/>
        <v>0</v>
      </c>
      <c r="W733" s="123"/>
      <c r="X733" s="123"/>
      <c r="Y733" s="123">
        <v>0.0</v>
      </c>
      <c r="Z733" s="123">
        <v>0.0</v>
      </c>
      <c r="AA733" s="123">
        <v>0.0</v>
      </c>
      <c r="AB733" s="123"/>
      <c r="AC733" s="123">
        <v>0.0</v>
      </c>
      <c r="AD733" s="44">
        <f t="shared" si="7"/>
        <v>0</v>
      </c>
      <c r="AE733" s="123">
        <v>0.0</v>
      </c>
    </row>
    <row r="734">
      <c r="A734" s="120">
        <v>2018.0</v>
      </c>
      <c r="B734" s="121">
        <v>6.0</v>
      </c>
      <c r="C734" s="122" t="s">
        <v>32</v>
      </c>
      <c r="D734" s="44"/>
      <c r="E734" s="123">
        <v>654.05</v>
      </c>
      <c r="F734" s="44"/>
      <c r="G734" s="44"/>
      <c r="H734" s="123">
        <v>-161.51</v>
      </c>
      <c r="I734" s="44"/>
      <c r="J734" s="44"/>
      <c r="K734" s="44"/>
      <c r="L734" s="123">
        <v>-588.75</v>
      </c>
      <c r="M734" s="44"/>
      <c r="N734" s="44"/>
      <c r="O734" s="123">
        <v>53335.0</v>
      </c>
      <c r="P734" s="52">
        <f t="shared" si="23"/>
        <v>53334.61</v>
      </c>
      <c r="Q734" s="124">
        <f t="shared" si="2"/>
        <v>0.39</v>
      </c>
      <c r="R734" s="52">
        <f t="array" ref="R734">IFERROR(INDEX('Fund YTD Target Values'!$1:$1000, MATCH($C734,'Fund YTD Target Values'!$A:$A,0), MATCH($A734,'Fund YTD Target Values'!$1:$1,0)),0)</f>
        <v>79179.11465</v>
      </c>
      <c r="S734" s="52">
        <f>IFERROR(__xludf.DUMMYFUNCTION("IFERROR(sum(FILTER('Fund Data'!$V:$V, 'Fund Data'!$C:$C = $C734, 'Fund Data'!$A:$A &lt; $A734)),0) + IFERROR(sum(FILTER('Fund Data'!$V:$V, 'Fund Data'!$C:$C = $C734, 'Fund Data'!$A:$A = $A734, 'Fund Data'!$B:$B &lt;= $B734)),0)"),49449.04)</f>
        <v>49449.04</v>
      </c>
      <c r="T734" s="123">
        <v>39268.0</v>
      </c>
      <c r="U734" s="44">
        <f t="shared" si="73"/>
        <v>10181.04</v>
      </c>
      <c r="V734" s="44">
        <f t="shared" si="3"/>
        <v>0</v>
      </c>
      <c r="W734" s="123"/>
      <c r="X734" s="123"/>
      <c r="Y734" s="123">
        <v>0.0</v>
      </c>
      <c r="Z734" s="123">
        <v>0.0</v>
      </c>
      <c r="AA734" s="123">
        <v>0.0</v>
      </c>
      <c r="AB734" s="123"/>
      <c r="AC734" s="123">
        <v>0.0</v>
      </c>
      <c r="AD734" s="44">
        <f t="shared" si="7"/>
        <v>0</v>
      </c>
      <c r="AE734" s="123">
        <v>0.0</v>
      </c>
    </row>
    <row r="735">
      <c r="A735" s="120">
        <v>2018.0</v>
      </c>
      <c r="B735" s="121">
        <v>5.0</v>
      </c>
      <c r="C735" s="122" t="s">
        <v>32</v>
      </c>
      <c r="D735" s="44"/>
      <c r="E735" s="123">
        <v>577.77</v>
      </c>
      <c r="F735" s="44"/>
      <c r="G735" s="44"/>
      <c r="H735" s="123">
        <v>-134.67</v>
      </c>
      <c r="I735" s="44"/>
      <c r="J735" s="44"/>
      <c r="K735" s="44"/>
      <c r="L735" s="123">
        <v>-192.97</v>
      </c>
      <c r="M735" s="44"/>
      <c r="N735" s="44"/>
      <c r="O735" s="123">
        <v>53681.0</v>
      </c>
      <c r="P735" s="52">
        <f t="shared" si="23"/>
        <v>53680.95</v>
      </c>
      <c r="Q735" s="124">
        <f t="shared" si="2"/>
        <v>0.05</v>
      </c>
      <c r="R735" s="52">
        <f t="array" ref="R735">IFERROR(INDEX('Fund YTD Target Values'!$1:$1000, MATCH($C735,'Fund YTD Target Values'!$A:$A,0), MATCH($A735,'Fund YTD Target Values'!$1:$1,0)),0)</f>
        <v>79179.11465</v>
      </c>
      <c r="S735" s="52">
        <f>IFERROR(__xludf.DUMMYFUNCTION("IFERROR(sum(FILTER('Fund Data'!$V:$V, 'Fund Data'!$C:$C = $C735, 'Fund Data'!$A:$A &lt; $A735)),0) + IFERROR(sum(FILTER('Fund Data'!$V:$V, 'Fund Data'!$C:$C = $C735, 'Fund Data'!$A:$A = $A735, 'Fund Data'!$B:$B &lt;= $B735)),0)"),49449.04)</f>
        <v>49449.04</v>
      </c>
      <c r="T735" s="123">
        <v>39268.0</v>
      </c>
      <c r="U735" s="44">
        <f t="shared" si="73"/>
        <v>10181.04</v>
      </c>
      <c r="V735" s="44">
        <f t="shared" si="3"/>
        <v>0</v>
      </c>
      <c r="W735" s="123"/>
      <c r="X735" s="123"/>
      <c r="Y735" s="123">
        <v>0.0</v>
      </c>
      <c r="Z735" s="123">
        <v>0.0</v>
      </c>
      <c r="AA735" s="123">
        <v>0.0</v>
      </c>
      <c r="AB735" s="123"/>
      <c r="AC735" s="123">
        <v>0.0</v>
      </c>
      <c r="AD735" s="44">
        <f t="shared" si="7"/>
        <v>0</v>
      </c>
      <c r="AE735" s="123">
        <v>0.0</v>
      </c>
    </row>
    <row r="736">
      <c r="A736" s="120">
        <v>2018.0</v>
      </c>
      <c r="B736" s="121">
        <v>4.0</v>
      </c>
      <c r="C736" s="122" t="s">
        <v>32</v>
      </c>
      <c r="D736" s="44"/>
      <c r="E736" s="123">
        <v>535.38</v>
      </c>
      <c r="F736" s="44"/>
      <c r="G736" s="44"/>
      <c r="H736" s="123">
        <v>-107.89</v>
      </c>
      <c r="I736" s="44"/>
      <c r="J736" s="44"/>
      <c r="K736" s="44"/>
      <c r="L736" s="123">
        <v>-304.79</v>
      </c>
      <c r="M736" s="44"/>
      <c r="N736" s="44"/>
      <c r="O736" s="123">
        <v>53554.0</v>
      </c>
      <c r="P736" s="52">
        <f t="shared" si="23"/>
        <v>53553.52</v>
      </c>
      <c r="Q736" s="124">
        <f t="shared" si="2"/>
        <v>0.48</v>
      </c>
      <c r="R736" s="52">
        <f t="array" ref="R736">IFERROR(INDEX('Fund YTD Target Values'!$1:$1000, MATCH($C736,'Fund YTD Target Values'!$A:$A,0), MATCH($A736,'Fund YTD Target Values'!$1:$1,0)),0)</f>
        <v>79179.11465</v>
      </c>
      <c r="S736" s="52">
        <f>IFERROR(__xludf.DUMMYFUNCTION("IFERROR(sum(FILTER('Fund Data'!$V:$V, 'Fund Data'!$C:$C = $C736, 'Fund Data'!$A:$A &lt; $A736)),0) + IFERROR(sum(FILTER('Fund Data'!$V:$V, 'Fund Data'!$C:$C = $C736, 'Fund Data'!$A:$A = $A736, 'Fund Data'!$B:$B &lt;= $B736)),0)"),49449.04)</f>
        <v>49449.04</v>
      </c>
      <c r="T736" s="123">
        <v>39268.0</v>
      </c>
      <c r="U736" s="44">
        <f t="shared" si="73"/>
        <v>10181.04</v>
      </c>
      <c r="V736" s="44">
        <f t="shared" si="3"/>
        <v>0</v>
      </c>
      <c r="W736" s="123"/>
      <c r="X736" s="123"/>
      <c r="Y736" s="123">
        <v>0.0</v>
      </c>
      <c r="Z736" s="123">
        <v>0.0</v>
      </c>
      <c r="AA736" s="123">
        <v>0.0</v>
      </c>
      <c r="AB736" s="123"/>
      <c r="AC736" s="123">
        <v>0.0</v>
      </c>
      <c r="AD736" s="44">
        <f t="shared" si="7"/>
        <v>0</v>
      </c>
      <c r="AE736" s="123">
        <v>0.0</v>
      </c>
    </row>
    <row r="737">
      <c r="A737" s="120">
        <v>2018.0</v>
      </c>
      <c r="B737" s="121">
        <v>3.0</v>
      </c>
      <c r="C737" s="122" t="s">
        <v>32</v>
      </c>
      <c r="D737" s="44"/>
      <c r="E737" s="123">
        <v>406.83</v>
      </c>
      <c r="F737" s="44"/>
      <c r="G737" s="44"/>
      <c r="H737" s="123">
        <v>-81.18</v>
      </c>
      <c r="I737" s="44"/>
      <c r="J737" s="44"/>
      <c r="K737" s="44"/>
      <c r="L737" s="123">
        <v>-348.26</v>
      </c>
      <c r="M737" s="44"/>
      <c r="N737" s="44"/>
      <c r="O737" s="123">
        <v>53409.0</v>
      </c>
      <c r="P737" s="52">
        <f t="shared" si="23"/>
        <v>53408.21</v>
      </c>
      <c r="Q737" s="124">
        <f t="shared" si="2"/>
        <v>0.79</v>
      </c>
      <c r="R737" s="52">
        <f t="array" ref="R737">IFERROR(INDEX('Fund YTD Target Values'!$1:$1000, MATCH($C737,'Fund YTD Target Values'!$A:$A,0), MATCH($A737,'Fund YTD Target Values'!$1:$1,0)),0)</f>
        <v>79179.11465</v>
      </c>
      <c r="S737" s="52">
        <f>IFERROR(__xludf.DUMMYFUNCTION("IFERROR(sum(FILTER('Fund Data'!$V:$V, 'Fund Data'!$C:$C = $C737, 'Fund Data'!$A:$A &lt; $A737)),0) + IFERROR(sum(FILTER('Fund Data'!$V:$V, 'Fund Data'!$C:$C = $C737, 'Fund Data'!$A:$A = $A737, 'Fund Data'!$B:$B &lt;= $B737)),0)"),49449.04)</f>
        <v>49449.04</v>
      </c>
      <c r="T737" s="123">
        <v>39268.0</v>
      </c>
      <c r="U737" s="44">
        <f t="shared" si="73"/>
        <v>10181.04</v>
      </c>
      <c r="V737" s="44">
        <f t="shared" si="3"/>
        <v>0</v>
      </c>
      <c r="W737" s="123"/>
      <c r="X737" s="123"/>
      <c r="Y737" s="123">
        <v>0.0</v>
      </c>
      <c r="Z737" s="123">
        <v>0.0</v>
      </c>
      <c r="AA737" s="123">
        <v>0.0</v>
      </c>
      <c r="AB737" s="123"/>
      <c r="AC737" s="123">
        <v>0.0</v>
      </c>
      <c r="AD737" s="44">
        <f t="shared" si="7"/>
        <v>0</v>
      </c>
      <c r="AE737" s="123">
        <v>0.0</v>
      </c>
    </row>
    <row r="738">
      <c r="A738" s="120">
        <v>2018.0</v>
      </c>
      <c r="B738" s="121">
        <v>2.0</v>
      </c>
      <c r="C738" s="122" t="s">
        <v>32</v>
      </c>
      <c r="D738" s="44"/>
      <c r="E738" s="123">
        <v>358.55</v>
      </c>
      <c r="F738" s="44"/>
      <c r="G738" s="44"/>
      <c r="H738" s="123">
        <v>-129.17</v>
      </c>
      <c r="I738" s="44"/>
      <c r="J738" s="44"/>
      <c r="K738" s="44"/>
      <c r="L738" s="123">
        <v>21.93</v>
      </c>
      <c r="M738" s="44"/>
      <c r="N738" s="44"/>
      <c r="O738" s="123">
        <v>53683.0</v>
      </c>
      <c r="P738" s="52">
        <f t="shared" si="23"/>
        <v>53682.13</v>
      </c>
      <c r="Q738" s="124">
        <f t="shared" si="2"/>
        <v>0.87</v>
      </c>
      <c r="R738" s="52">
        <f t="array" ref="R738">IFERROR(INDEX('Fund YTD Target Values'!$1:$1000, MATCH($C738,'Fund YTD Target Values'!$A:$A,0), MATCH($A738,'Fund YTD Target Values'!$1:$1,0)),0)</f>
        <v>79179.11465</v>
      </c>
      <c r="S738" s="52">
        <f>IFERROR(__xludf.DUMMYFUNCTION("IFERROR(sum(FILTER('Fund Data'!$V:$V, 'Fund Data'!$C:$C = $C738, 'Fund Data'!$A:$A &lt; $A738)),0) + IFERROR(sum(FILTER('Fund Data'!$V:$V, 'Fund Data'!$C:$C = $C738, 'Fund Data'!$A:$A = $A738, 'Fund Data'!$B:$B &lt;= $B738)),0)"),49449.04)</f>
        <v>49449.04</v>
      </c>
      <c r="T738" s="123">
        <v>39268.0</v>
      </c>
      <c r="U738" s="44">
        <f t="shared" si="73"/>
        <v>10181.04</v>
      </c>
      <c r="V738" s="44">
        <f t="shared" si="3"/>
        <v>0</v>
      </c>
      <c r="W738" s="123"/>
      <c r="X738" s="123"/>
      <c r="Y738" s="123">
        <v>0.0</v>
      </c>
      <c r="Z738" s="123">
        <v>0.0</v>
      </c>
      <c r="AA738" s="123">
        <v>0.0</v>
      </c>
      <c r="AB738" s="123"/>
      <c r="AC738" s="123">
        <v>0.0</v>
      </c>
      <c r="AD738" s="44">
        <f t="shared" si="7"/>
        <v>0</v>
      </c>
      <c r="AE738" s="123">
        <v>0.0</v>
      </c>
    </row>
    <row r="739">
      <c r="A739" s="120">
        <v>2018.0</v>
      </c>
      <c r="B739" s="121">
        <v>1.0</v>
      </c>
      <c r="C739" s="122" t="s">
        <v>32</v>
      </c>
      <c r="D739" s="44"/>
      <c r="E739" s="123">
        <v>318.2</v>
      </c>
      <c r="F739" s="44"/>
      <c r="G739" s="44"/>
      <c r="H739" s="123">
        <v>-101.55</v>
      </c>
      <c r="I739" s="44"/>
      <c r="J739" s="44"/>
      <c r="K739" s="44"/>
      <c r="L739" s="123">
        <v>1595.33</v>
      </c>
      <c r="M739" s="44"/>
      <c r="N739" s="44"/>
      <c r="O739" s="123">
        <v>55243.0</v>
      </c>
      <c r="P739" s="52">
        <f t="shared" si="23"/>
        <v>55242.8</v>
      </c>
      <c r="Q739" s="124">
        <f t="shared" si="2"/>
        <v>0.2</v>
      </c>
      <c r="R739" s="52">
        <f t="array" ref="R739">IFERROR(INDEX('Fund YTD Target Values'!$1:$1000, MATCH($C739,'Fund YTD Target Values'!$A:$A,0), MATCH($A739,'Fund YTD Target Values'!$1:$1,0)),0)</f>
        <v>79179.11465</v>
      </c>
      <c r="S739" s="52">
        <f>IFERROR(__xludf.DUMMYFUNCTION("IFERROR(sum(FILTER('Fund Data'!$V:$V, 'Fund Data'!$C:$C = $C739, 'Fund Data'!$A:$A &lt; $A739)),0) + IFERROR(sum(FILTER('Fund Data'!$V:$V, 'Fund Data'!$C:$C = $C739, 'Fund Data'!$A:$A = $A739, 'Fund Data'!$B:$B &lt;= $B739)),0)"),49449.04)</f>
        <v>49449.04</v>
      </c>
      <c r="T739" s="123">
        <v>39268.0</v>
      </c>
      <c r="U739" s="44">
        <f t="shared" si="73"/>
        <v>10181.04</v>
      </c>
      <c r="V739" s="44">
        <f t="shared" si="3"/>
        <v>0</v>
      </c>
      <c r="W739" s="123"/>
      <c r="X739" s="123"/>
      <c r="Y739" s="123">
        <v>0.0</v>
      </c>
      <c r="Z739" s="123">
        <v>0.0</v>
      </c>
      <c r="AA739" s="123">
        <v>0.0</v>
      </c>
      <c r="AB739" s="123"/>
      <c r="AC739" s="123">
        <v>0.0</v>
      </c>
      <c r="AD739" s="44">
        <f t="shared" si="7"/>
        <v>0</v>
      </c>
      <c r="AE739" s="123">
        <v>0.0</v>
      </c>
    </row>
    <row r="740">
      <c r="A740" s="120">
        <v>2017.0</v>
      </c>
      <c r="B740" s="121">
        <v>12.0</v>
      </c>
      <c r="C740" s="122" t="s">
        <v>32</v>
      </c>
      <c r="D740" s="123"/>
      <c r="E740" s="123">
        <v>1073.04</v>
      </c>
      <c r="F740" s="44"/>
      <c r="G740" s="123"/>
      <c r="H740" s="123">
        <v>-300.57</v>
      </c>
      <c r="I740" s="44"/>
      <c r="J740" s="44"/>
      <c r="K740" s="44"/>
      <c r="L740" s="123">
        <v>6011.26</v>
      </c>
      <c r="M740" s="44"/>
      <c r="N740" s="44"/>
      <c r="O740" s="123">
        <v>53431.0</v>
      </c>
      <c r="P740" s="52">
        <f t="shared" si="23"/>
        <v>53430.82</v>
      </c>
      <c r="Q740" s="124">
        <f t="shared" si="2"/>
        <v>0.18</v>
      </c>
      <c r="R740" s="52">
        <f t="array" ref="R740">IFERROR(INDEX('Fund YTD Target Values'!$1:$1000, MATCH($C740,'Fund YTD Target Values'!$A:$A,0), MATCH($A740,'Fund YTD Target Values'!$1:$1,0)),0)</f>
        <v>77291.136</v>
      </c>
      <c r="S740" s="52">
        <f>IFERROR(__xludf.DUMMYFUNCTION("IFERROR(sum(FILTER('Fund Data'!$V:$V, 'Fund Data'!$C:$C = $C740, 'Fund Data'!$A:$A &lt; $A740)),0) + IFERROR(sum(FILTER('Fund Data'!$V:$V, 'Fund Data'!$C:$C = $C740, 'Fund Data'!$A:$A = $A740, 'Fund Data'!$B:$B &lt;= $B740)),0)"),49449.04)</f>
        <v>49449.04</v>
      </c>
      <c r="T740" s="123">
        <v>39268.0</v>
      </c>
      <c r="U740" s="44">
        <f t="shared" si="73"/>
        <v>10181.04</v>
      </c>
      <c r="V740" s="44">
        <f t="shared" si="3"/>
        <v>0</v>
      </c>
      <c r="W740" s="123"/>
      <c r="X740" s="123"/>
      <c r="Y740" s="123">
        <v>0.0</v>
      </c>
      <c r="Z740" s="123">
        <v>0.0</v>
      </c>
      <c r="AA740" s="123">
        <v>0.0</v>
      </c>
      <c r="AB740" s="123"/>
      <c r="AC740" s="123">
        <v>0.0</v>
      </c>
      <c r="AD740" s="44">
        <f t="shared" si="7"/>
        <v>0</v>
      </c>
      <c r="AE740" s="123">
        <v>0.0</v>
      </c>
    </row>
    <row r="741">
      <c r="A741" s="120">
        <v>2017.0</v>
      </c>
      <c r="B741" s="121">
        <v>11.0</v>
      </c>
      <c r="C741" s="122" t="s">
        <v>32</v>
      </c>
      <c r="D741" s="123">
        <v>0.0</v>
      </c>
      <c r="E741" s="123">
        <v>999.58</v>
      </c>
      <c r="F741" s="44"/>
      <c r="G741" s="44"/>
      <c r="H741" s="123">
        <v>-274.0</v>
      </c>
      <c r="I741" s="44"/>
      <c r="J741" s="44"/>
      <c r="K741" s="44"/>
      <c r="L741" s="123">
        <v>5765.67</v>
      </c>
      <c r="M741" s="44"/>
      <c r="N741" s="44"/>
      <c r="O741" s="123">
        <v>53139.0</v>
      </c>
      <c r="P741" s="52">
        <f t="shared" si="23"/>
        <v>53138.34</v>
      </c>
      <c r="Q741" s="124">
        <f t="shared" si="2"/>
        <v>0.66</v>
      </c>
      <c r="R741" s="52">
        <f t="array" ref="R741">IFERROR(INDEX('Fund YTD Target Values'!$1:$1000, MATCH($C741,'Fund YTD Target Values'!$A:$A,0), MATCH($A741,'Fund YTD Target Values'!$1:$1,0)),0)</f>
        <v>77291.136</v>
      </c>
      <c r="S741" s="52">
        <f>IFERROR(__xludf.DUMMYFUNCTION("IFERROR(sum(FILTER('Fund Data'!$V:$V, 'Fund Data'!$C:$C = $C741, 'Fund Data'!$A:$A &lt; $A741)),0) + IFERROR(sum(FILTER('Fund Data'!$V:$V, 'Fund Data'!$C:$C = $C741, 'Fund Data'!$A:$A = $A741, 'Fund Data'!$B:$B &lt;= $B741)),0)"),49449.04)</f>
        <v>49449.04</v>
      </c>
      <c r="T741" s="123">
        <v>39268.0</v>
      </c>
      <c r="U741" s="44">
        <f t="shared" si="73"/>
        <v>10181.04</v>
      </c>
      <c r="V741" s="44">
        <f t="shared" si="3"/>
        <v>0</v>
      </c>
      <c r="W741" s="123"/>
      <c r="X741" s="123"/>
      <c r="Y741" s="123">
        <v>0.0</v>
      </c>
      <c r="Z741" s="123">
        <v>0.0</v>
      </c>
      <c r="AA741" s="123">
        <v>0.0</v>
      </c>
      <c r="AB741" s="123"/>
      <c r="AC741" s="123">
        <v>0.0</v>
      </c>
      <c r="AD741" s="44">
        <f t="shared" si="7"/>
        <v>0</v>
      </c>
      <c r="AE741" s="123">
        <v>0.0</v>
      </c>
    </row>
    <row r="742">
      <c r="A742" s="120">
        <v>2017.0</v>
      </c>
      <c r="B742" s="121">
        <v>10.0</v>
      </c>
      <c r="C742" s="122" t="s">
        <v>32</v>
      </c>
      <c r="D742" s="123">
        <v>0.0</v>
      </c>
      <c r="E742" s="123">
        <v>963.89</v>
      </c>
      <c r="F742" s="44"/>
      <c r="G742" s="44"/>
      <c r="H742" s="123">
        <v>-247.72</v>
      </c>
      <c r="I742" s="44"/>
      <c r="J742" s="44"/>
      <c r="K742" s="44"/>
      <c r="L742" s="123">
        <v>5197.91</v>
      </c>
      <c r="M742" s="44"/>
      <c r="N742" s="44"/>
      <c r="O742" s="123">
        <v>52562.0</v>
      </c>
      <c r="P742" s="52">
        <f t="shared" si="23"/>
        <v>52561.17</v>
      </c>
      <c r="Q742" s="124">
        <f t="shared" si="2"/>
        <v>0.83</v>
      </c>
      <c r="R742" s="52">
        <f t="array" ref="R742">IFERROR(INDEX('Fund YTD Target Values'!$1:$1000, MATCH($C742,'Fund YTD Target Values'!$A:$A,0), MATCH($A742,'Fund YTD Target Values'!$1:$1,0)),0)</f>
        <v>77291.136</v>
      </c>
      <c r="S742" s="52">
        <f>IFERROR(__xludf.DUMMYFUNCTION("IFERROR(sum(FILTER('Fund Data'!$V:$V, 'Fund Data'!$C:$C = $C742, 'Fund Data'!$A:$A &lt; $A742)),0) + IFERROR(sum(FILTER('Fund Data'!$V:$V, 'Fund Data'!$C:$C = $C742, 'Fund Data'!$A:$A = $A742, 'Fund Data'!$B:$B &lt;= $B742)),0)"),49449.04)</f>
        <v>49449.04</v>
      </c>
      <c r="T742" s="123">
        <v>39268.0</v>
      </c>
      <c r="U742" s="44">
        <f t="shared" si="73"/>
        <v>10181.04</v>
      </c>
      <c r="V742" s="44">
        <f t="shared" si="3"/>
        <v>0</v>
      </c>
      <c r="W742" s="123"/>
      <c r="X742" s="123"/>
      <c r="Y742" s="123">
        <v>0.0</v>
      </c>
      <c r="Z742" s="123">
        <v>0.0</v>
      </c>
      <c r="AA742" s="123">
        <v>0.0</v>
      </c>
      <c r="AB742" s="123"/>
      <c r="AC742" s="123">
        <v>0.0</v>
      </c>
      <c r="AD742" s="44">
        <f t="shared" si="7"/>
        <v>0</v>
      </c>
      <c r="AE742" s="123">
        <v>0.0</v>
      </c>
    </row>
    <row r="743">
      <c r="A743" s="120">
        <v>2017.0</v>
      </c>
      <c r="B743" s="121">
        <v>9.0</v>
      </c>
      <c r="C743" s="122" t="s">
        <v>32</v>
      </c>
      <c r="D743" s="123">
        <v>0.0</v>
      </c>
      <c r="E743" s="123">
        <v>858.94</v>
      </c>
      <c r="F743" s="44"/>
      <c r="G743" s="44"/>
      <c r="H743" s="123">
        <v>-221.8</v>
      </c>
      <c r="I743" s="44"/>
      <c r="J743" s="44"/>
      <c r="K743" s="44"/>
      <c r="L743" s="123">
        <v>4553.9</v>
      </c>
      <c r="M743" s="44"/>
      <c r="N743" s="44"/>
      <c r="O743" s="123">
        <v>51839.0</v>
      </c>
      <c r="P743" s="52">
        <f t="shared" si="23"/>
        <v>51838.13</v>
      </c>
      <c r="Q743" s="124">
        <f t="shared" si="2"/>
        <v>0.87</v>
      </c>
      <c r="R743" s="52">
        <f t="array" ref="R743">IFERROR(INDEX('Fund YTD Target Values'!$1:$1000, MATCH($C743,'Fund YTD Target Values'!$A:$A,0), MATCH($A743,'Fund YTD Target Values'!$1:$1,0)),0)</f>
        <v>77291.136</v>
      </c>
      <c r="S743" s="52">
        <f>IFERROR(__xludf.DUMMYFUNCTION("IFERROR(sum(FILTER('Fund Data'!$V:$V, 'Fund Data'!$C:$C = $C743, 'Fund Data'!$A:$A &lt; $A743)),0) + IFERROR(sum(FILTER('Fund Data'!$V:$V, 'Fund Data'!$C:$C = $C743, 'Fund Data'!$A:$A = $A743, 'Fund Data'!$B:$B &lt;= $B743)),0)"),49449.04)</f>
        <v>49449.04</v>
      </c>
      <c r="T743" s="123">
        <v>39268.0</v>
      </c>
      <c r="U743" s="44">
        <f t="shared" si="73"/>
        <v>10181.04</v>
      </c>
      <c r="V743" s="44">
        <f t="shared" si="3"/>
        <v>0</v>
      </c>
      <c r="W743" s="123"/>
      <c r="X743" s="123"/>
      <c r="Y743" s="123">
        <v>0.0</v>
      </c>
      <c r="Z743" s="123">
        <v>0.0</v>
      </c>
      <c r="AA743" s="123">
        <v>0.0</v>
      </c>
      <c r="AB743" s="123"/>
      <c r="AC743" s="123">
        <v>0.0</v>
      </c>
      <c r="AD743" s="44">
        <f t="shared" si="7"/>
        <v>0</v>
      </c>
      <c r="AE743" s="123">
        <v>0.0</v>
      </c>
    </row>
    <row r="744">
      <c r="A744" s="120">
        <v>2017.0</v>
      </c>
      <c r="B744" s="121">
        <v>8.0</v>
      </c>
      <c r="C744" s="122" t="s">
        <v>32</v>
      </c>
      <c r="D744" s="123">
        <v>0.0</v>
      </c>
      <c r="E744" s="123">
        <v>795.48</v>
      </c>
      <c r="F744" s="44"/>
      <c r="G744" s="44"/>
      <c r="H744" s="123">
        <v>-196.14</v>
      </c>
      <c r="I744" s="44"/>
      <c r="J744" s="44"/>
      <c r="K744" s="44"/>
      <c r="L744" s="123">
        <v>4067.1</v>
      </c>
      <c r="M744" s="44"/>
      <c r="N744" s="44"/>
      <c r="O744" s="123">
        <v>51314.0</v>
      </c>
      <c r="P744" s="52">
        <f t="shared" si="23"/>
        <v>51313.53</v>
      </c>
      <c r="Q744" s="124">
        <f t="shared" si="2"/>
        <v>0.47</v>
      </c>
      <c r="R744" s="52">
        <f t="array" ref="R744">IFERROR(INDEX('Fund YTD Target Values'!$1:$1000, MATCH($C744,'Fund YTD Target Values'!$A:$A,0), MATCH($A744,'Fund YTD Target Values'!$1:$1,0)),0)</f>
        <v>77291.136</v>
      </c>
      <c r="S744" s="52">
        <f>IFERROR(__xludf.DUMMYFUNCTION("IFERROR(sum(FILTER('Fund Data'!$V:$V, 'Fund Data'!$C:$C = $C744, 'Fund Data'!$A:$A &lt; $A744)),0) + IFERROR(sum(FILTER('Fund Data'!$V:$V, 'Fund Data'!$C:$C = $C744, 'Fund Data'!$A:$A = $A744, 'Fund Data'!$B:$B &lt;= $B744)),0)"),49449.04)</f>
        <v>49449.04</v>
      </c>
      <c r="T744" s="123">
        <v>39268.0</v>
      </c>
      <c r="U744" s="44">
        <f t="shared" si="73"/>
        <v>10181.04</v>
      </c>
      <c r="V744" s="44">
        <f t="shared" si="3"/>
        <v>0</v>
      </c>
      <c r="W744" s="123"/>
      <c r="X744" s="123"/>
      <c r="Y744" s="123">
        <v>0.0</v>
      </c>
      <c r="Z744" s="123">
        <v>0.0</v>
      </c>
      <c r="AA744" s="123">
        <v>0.0</v>
      </c>
      <c r="AB744" s="123"/>
      <c r="AC744" s="123">
        <v>0.0</v>
      </c>
      <c r="AD744" s="44">
        <f t="shared" si="7"/>
        <v>0</v>
      </c>
      <c r="AE744" s="123">
        <v>0.0</v>
      </c>
    </row>
    <row r="745">
      <c r="A745" s="120">
        <v>2017.0</v>
      </c>
      <c r="B745" s="121">
        <v>7.0</v>
      </c>
      <c r="C745" s="122" t="s">
        <v>32</v>
      </c>
      <c r="D745" s="123">
        <v>0.0</v>
      </c>
      <c r="E745" s="123">
        <v>760.44</v>
      </c>
      <c r="F745" s="44"/>
      <c r="G745" s="44"/>
      <c r="H745" s="123">
        <v>-170.55</v>
      </c>
      <c r="I745" s="44"/>
      <c r="J745" s="44"/>
      <c r="K745" s="44"/>
      <c r="L745" s="123">
        <v>3938.91</v>
      </c>
      <c r="M745" s="44"/>
      <c r="N745" s="44"/>
      <c r="O745" s="123">
        <v>51176.0</v>
      </c>
      <c r="P745" s="52">
        <f t="shared" si="23"/>
        <v>51175.89</v>
      </c>
      <c r="Q745" s="124">
        <f t="shared" si="2"/>
        <v>0.11</v>
      </c>
      <c r="R745" s="52">
        <f t="array" ref="R745">IFERROR(INDEX('Fund YTD Target Values'!$1:$1000, MATCH($C745,'Fund YTD Target Values'!$A:$A,0), MATCH($A745,'Fund YTD Target Values'!$1:$1,0)),0)</f>
        <v>77291.136</v>
      </c>
      <c r="S745" s="52">
        <f>IFERROR(__xludf.DUMMYFUNCTION("IFERROR(sum(FILTER('Fund Data'!$V:$V, 'Fund Data'!$C:$C = $C745, 'Fund Data'!$A:$A &lt; $A745)),0) + IFERROR(sum(FILTER('Fund Data'!$V:$V, 'Fund Data'!$C:$C = $C745, 'Fund Data'!$A:$A = $A745, 'Fund Data'!$B:$B &lt;= $B745)),0)"),49449.04)</f>
        <v>49449.04</v>
      </c>
      <c r="T745" s="123">
        <v>39268.0</v>
      </c>
      <c r="U745" s="44">
        <f t="shared" si="73"/>
        <v>10181.04</v>
      </c>
      <c r="V745" s="44">
        <f t="shared" si="3"/>
        <v>0</v>
      </c>
      <c r="W745" s="123"/>
      <c r="X745" s="123"/>
      <c r="Y745" s="123">
        <v>0.0</v>
      </c>
      <c r="Z745" s="123">
        <v>0.0</v>
      </c>
      <c r="AA745" s="123">
        <v>0.0</v>
      </c>
      <c r="AB745" s="123"/>
      <c r="AC745" s="123">
        <v>0.0</v>
      </c>
      <c r="AD745" s="44">
        <f t="shared" si="7"/>
        <v>0</v>
      </c>
      <c r="AE745" s="123">
        <v>0.0</v>
      </c>
    </row>
    <row r="746">
      <c r="A746" s="120">
        <v>2017.0</v>
      </c>
      <c r="B746" s="121">
        <v>6.0</v>
      </c>
      <c r="C746" s="122" t="s">
        <v>32</v>
      </c>
      <c r="D746" s="123">
        <v>0.0</v>
      </c>
      <c r="E746" s="123">
        <v>604.93</v>
      </c>
      <c r="F746" s="44"/>
      <c r="G746" s="44"/>
      <c r="H746" s="123">
        <v>-145.54</v>
      </c>
      <c r="I746" s="44"/>
      <c r="J746" s="44"/>
      <c r="K746" s="44"/>
      <c r="L746" s="123">
        <v>2925.17</v>
      </c>
      <c r="M746" s="44"/>
      <c r="N746" s="44"/>
      <c r="O746" s="123">
        <v>50032.0</v>
      </c>
      <c r="P746" s="52">
        <f t="shared" si="23"/>
        <v>50031.65</v>
      </c>
      <c r="Q746" s="124">
        <f t="shared" si="2"/>
        <v>0.35</v>
      </c>
      <c r="R746" s="52">
        <f t="array" ref="R746">IFERROR(INDEX('Fund YTD Target Values'!$1:$1000, MATCH($C746,'Fund YTD Target Values'!$A:$A,0), MATCH($A746,'Fund YTD Target Values'!$1:$1,0)),0)</f>
        <v>77291.136</v>
      </c>
      <c r="S746" s="52">
        <f>IFERROR(__xludf.DUMMYFUNCTION("IFERROR(sum(FILTER('Fund Data'!$V:$V, 'Fund Data'!$C:$C = $C746, 'Fund Data'!$A:$A &lt; $A746)),0) + IFERROR(sum(FILTER('Fund Data'!$V:$V, 'Fund Data'!$C:$C = $C746, 'Fund Data'!$A:$A = $A746, 'Fund Data'!$B:$B &lt;= $B746)),0)"),49449.04)</f>
        <v>49449.04</v>
      </c>
      <c r="T746" s="123">
        <v>39268.0</v>
      </c>
      <c r="U746" s="44">
        <f t="shared" si="73"/>
        <v>10181.04</v>
      </c>
      <c r="V746" s="44">
        <f t="shared" si="3"/>
        <v>-88</v>
      </c>
      <c r="W746" s="123"/>
      <c r="X746" s="123"/>
      <c r="Y746" s="123">
        <v>0.0</v>
      </c>
      <c r="Z746" s="123">
        <v>0.0</v>
      </c>
      <c r="AA746" s="123">
        <v>0.0</v>
      </c>
      <c r="AB746" s="123"/>
      <c r="AC746" s="123">
        <v>0.0</v>
      </c>
      <c r="AD746" s="44">
        <f t="shared" si="7"/>
        <v>0</v>
      </c>
      <c r="AE746" s="123">
        <v>0.0</v>
      </c>
    </row>
    <row r="747">
      <c r="A747" s="120">
        <v>2017.0</v>
      </c>
      <c r="B747" s="121">
        <v>5.0</v>
      </c>
      <c r="C747" s="122" t="s">
        <v>32</v>
      </c>
      <c r="D747" s="123">
        <v>88.0</v>
      </c>
      <c r="E747" s="123">
        <v>571.81</v>
      </c>
      <c r="F747" s="44"/>
      <c r="G747" s="44"/>
      <c r="H747" s="123">
        <v>-120.54</v>
      </c>
      <c r="I747" s="44"/>
      <c r="J747" s="44"/>
      <c r="K747" s="44"/>
      <c r="L747" s="123">
        <v>2820.93</v>
      </c>
      <c r="M747" s="44"/>
      <c r="N747" s="44"/>
      <c r="O747" s="123">
        <v>50008.0</v>
      </c>
      <c r="P747" s="52">
        <f t="shared" si="23"/>
        <v>50007.29</v>
      </c>
      <c r="Q747" s="124">
        <f t="shared" si="2"/>
        <v>0.71</v>
      </c>
      <c r="R747" s="52">
        <f t="array" ref="R747">IFERROR(INDEX('Fund YTD Target Values'!$1:$1000, MATCH($C747,'Fund YTD Target Values'!$A:$A,0), MATCH($A747,'Fund YTD Target Values'!$1:$1,0)),0)</f>
        <v>77291.136</v>
      </c>
      <c r="S747" s="52">
        <f>IFERROR(__xludf.DUMMYFUNCTION("IFERROR(sum(FILTER('Fund Data'!$V:$V, 'Fund Data'!$C:$C = $C747, 'Fund Data'!$A:$A &lt; $A747)),0) + IFERROR(sum(FILTER('Fund Data'!$V:$V, 'Fund Data'!$C:$C = $C747, 'Fund Data'!$A:$A = $A747, 'Fund Data'!$B:$B &lt;= $B747)),0)"),49537.04)</f>
        <v>49537.04</v>
      </c>
      <c r="T747" s="123">
        <v>39268.0</v>
      </c>
      <c r="U747" s="44">
        <f t="shared" si="73"/>
        <v>10269.04</v>
      </c>
      <c r="V747" s="44">
        <f t="shared" si="3"/>
        <v>88</v>
      </c>
      <c r="W747" s="123"/>
      <c r="X747" s="123"/>
      <c r="Y747" s="123">
        <v>0.0</v>
      </c>
      <c r="Z747" s="123">
        <v>0.0</v>
      </c>
      <c r="AA747" s="123">
        <v>0.0</v>
      </c>
      <c r="AB747" s="123"/>
      <c r="AC747" s="123">
        <v>0.0</v>
      </c>
      <c r="AD747" s="44">
        <f t="shared" si="7"/>
        <v>0</v>
      </c>
      <c r="AE747" s="123">
        <v>0.0</v>
      </c>
    </row>
    <row r="748">
      <c r="A748" s="120">
        <v>2017.0</v>
      </c>
      <c r="B748" s="121">
        <v>4.0</v>
      </c>
      <c r="C748" s="122" t="s">
        <v>32</v>
      </c>
      <c r="D748" s="44"/>
      <c r="E748" s="123">
        <v>539.98</v>
      </c>
      <c r="F748" s="44"/>
      <c r="G748" s="44"/>
      <c r="H748" s="123">
        <v>-95.86</v>
      </c>
      <c r="I748" s="44"/>
      <c r="J748" s="44"/>
      <c r="K748" s="44"/>
      <c r="L748" s="123">
        <v>2280.49</v>
      </c>
      <c r="M748" s="44"/>
      <c r="N748" s="44"/>
      <c r="O748" s="123">
        <v>49372.0</v>
      </c>
      <c r="P748" s="52">
        <f t="shared" si="23"/>
        <v>49371.7</v>
      </c>
      <c r="Q748" s="124">
        <f t="shared" si="2"/>
        <v>0.3</v>
      </c>
      <c r="R748" s="52">
        <f t="array" ref="R748">IFERROR(INDEX('Fund YTD Target Values'!$1:$1000, MATCH($C748,'Fund YTD Target Values'!$A:$A,0), MATCH($A748,'Fund YTD Target Values'!$1:$1,0)),0)</f>
        <v>77291.136</v>
      </c>
      <c r="S748" s="52">
        <f>IFERROR(__xludf.DUMMYFUNCTION("IFERROR(sum(FILTER('Fund Data'!$V:$V, 'Fund Data'!$C:$C = $C748, 'Fund Data'!$A:$A &lt; $A748)),0) + IFERROR(sum(FILTER('Fund Data'!$V:$V, 'Fund Data'!$C:$C = $C748, 'Fund Data'!$A:$A = $A748, 'Fund Data'!$B:$B &lt;= $B748)),0)"),49449.04)</f>
        <v>49449.04</v>
      </c>
      <c r="T748" s="123">
        <v>39268.0</v>
      </c>
      <c r="U748" s="44">
        <f t="shared" si="73"/>
        <v>10181.04</v>
      </c>
      <c r="V748" s="44">
        <f t="shared" si="3"/>
        <v>0</v>
      </c>
      <c r="W748" s="123"/>
      <c r="X748" s="123"/>
      <c r="Y748" s="123">
        <v>0.0</v>
      </c>
      <c r="Z748" s="123">
        <v>0.0</v>
      </c>
      <c r="AA748" s="123">
        <v>0.0</v>
      </c>
      <c r="AB748" s="123"/>
      <c r="AC748" s="123">
        <v>0.0</v>
      </c>
      <c r="AD748" s="44">
        <f t="shared" si="7"/>
        <v>0</v>
      </c>
      <c r="AE748" s="123">
        <v>0.0</v>
      </c>
    </row>
    <row r="749">
      <c r="A749" s="120">
        <v>2017.0</v>
      </c>
      <c r="B749" s="121">
        <v>3.0</v>
      </c>
      <c r="C749" s="122" t="s">
        <v>32</v>
      </c>
      <c r="D749" s="44"/>
      <c r="E749" s="123">
        <v>408.43</v>
      </c>
      <c r="F749" s="44"/>
      <c r="G749" s="44"/>
      <c r="H749" s="123">
        <v>-71.47</v>
      </c>
      <c r="I749" s="44"/>
      <c r="J749" s="44"/>
      <c r="K749" s="44"/>
      <c r="L749" s="123">
        <v>1800.78</v>
      </c>
      <c r="M749" s="44"/>
      <c r="N749" s="44"/>
      <c r="O749" s="123">
        <v>48785.0</v>
      </c>
      <c r="P749" s="52">
        <f t="shared" si="23"/>
        <v>48784.83</v>
      </c>
      <c r="Q749" s="124">
        <f t="shared" si="2"/>
        <v>0.17</v>
      </c>
      <c r="R749" s="52">
        <f t="array" ref="R749">IFERROR(INDEX('Fund YTD Target Values'!$1:$1000, MATCH($C749,'Fund YTD Target Values'!$A:$A,0), MATCH($A749,'Fund YTD Target Values'!$1:$1,0)),0)</f>
        <v>77291.136</v>
      </c>
      <c r="S749" s="52">
        <f>IFERROR(__xludf.DUMMYFUNCTION("IFERROR(sum(FILTER('Fund Data'!$V:$V, 'Fund Data'!$C:$C = $C749, 'Fund Data'!$A:$A &lt; $A749)),0) + IFERROR(sum(FILTER('Fund Data'!$V:$V, 'Fund Data'!$C:$C = $C749, 'Fund Data'!$A:$A = $A749, 'Fund Data'!$B:$B &lt;= $B749)),0)"),49449.04)</f>
        <v>49449.04</v>
      </c>
      <c r="T749" s="123">
        <v>39268.0</v>
      </c>
      <c r="U749" s="44">
        <f t="shared" si="73"/>
        <v>10181.04</v>
      </c>
      <c r="V749" s="44">
        <f t="shared" si="3"/>
        <v>0</v>
      </c>
      <c r="W749" s="123"/>
      <c r="X749" s="123"/>
      <c r="Y749" s="123">
        <v>0.0</v>
      </c>
      <c r="Z749" s="123">
        <v>0.0</v>
      </c>
      <c r="AA749" s="123">
        <v>0.0</v>
      </c>
      <c r="AB749" s="123"/>
      <c r="AC749" s="123">
        <v>0.0</v>
      </c>
      <c r="AD749" s="44">
        <f t="shared" si="7"/>
        <v>0</v>
      </c>
      <c r="AE749" s="123">
        <v>0.0</v>
      </c>
    </row>
    <row r="750">
      <c r="A750" s="120">
        <v>2017.0</v>
      </c>
      <c r="B750" s="121">
        <v>2.0</v>
      </c>
      <c r="C750" s="122" t="s">
        <v>32</v>
      </c>
      <c r="D750" s="44"/>
      <c r="E750" s="123">
        <v>376.31</v>
      </c>
      <c r="F750" s="44"/>
      <c r="G750" s="44"/>
      <c r="H750" s="123">
        <v>-47.16</v>
      </c>
      <c r="I750" s="44"/>
      <c r="J750" s="44"/>
      <c r="K750" s="44"/>
      <c r="L750" s="123">
        <v>1632.11</v>
      </c>
      <c r="M750" s="44"/>
      <c r="N750" s="44"/>
      <c r="O750" s="123">
        <v>48609.0</v>
      </c>
      <c r="P750" s="52">
        <f t="shared" si="23"/>
        <v>48608.35</v>
      </c>
      <c r="Q750" s="124">
        <f t="shared" si="2"/>
        <v>0.65</v>
      </c>
      <c r="R750" s="52">
        <f t="array" ref="R750">IFERROR(INDEX('Fund YTD Target Values'!$1:$1000, MATCH($C750,'Fund YTD Target Values'!$A:$A,0), MATCH($A750,'Fund YTD Target Values'!$1:$1,0)),0)</f>
        <v>77291.136</v>
      </c>
      <c r="S750" s="52">
        <f>IFERROR(__xludf.DUMMYFUNCTION("IFERROR(sum(FILTER('Fund Data'!$V:$V, 'Fund Data'!$C:$C = $C750, 'Fund Data'!$A:$A &lt; $A750)),0) + IFERROR(sum(FILTER('Fund Data'!$V:$V, 'Fund Data'!$C:$C = $C750, 'Fund Data'!$A:$A = $A750, 'Fund Data'!$B:$B &lt;= $B750)),0)"),49449.04)</f>
        <v>49449.04</v>
      </c>
      <c r="T750" s="123">
        <v>39268.0</v>
      </c>
      <c r="U750" s="44">
        <f t="shared" si="73"/>
        <v>10181.04</v>
      </c>
      <c r="V750" s="44">
        <f t="shared" si="3"/>
        <v>0</v>
      </c>
      <c r="W750" s="123"/>
      <c r="X750" s="123"/>
      <c r="Y750" s="123">
        <v>0.0</v>
      </c>
      <c r="Z750" s="123">
        <v>0.0</v>
      </c>
      <c r="AA750" s="123">
        <v>0.0</v>
      </c>
      <c r="AB750" s="123"/>
      <c r="AC750" s="123">
        <v>0.0</v>
      </c>
      <c r="AD750" s="44">
        <f t="shared" si="7"/>
        <v>0</v>
      </c>
      <c r="AE750" s="123">
        <v>0.0</v>
      </c>
    </row>
    <row r="751">
      <c r="A751" s="120">
        <v>2017.0</v>
      </c>
      <c r="B751" s="121">
        <v>1.0</v>
      </c>
      <c r="C751" s="122" t="s">
        <v>32</v>
      </c>
      <c r="D751" s="44"/>
      <c r="E751" s="123">
        <v>343.37</v>
      </c>
      <c r="F751" s="44"/>
      <c r="G751" s="44"/>
      <c r="H751" s="123">
        <v>-23.32</v>
      </c>
      <c r="I751" s="44"/>
      <c r="J751" s="44"/>
      <c r="K751" s="44"/>
      <c r="L751" s="123">
        <v>713.5</v>
      </c>
      <c r="M751" s="44"/>
      <c r="N751" s="44"/>
      <c r="O751" s="123">
        <v>47681.0</v>
      </c>
      <c r="P751" s="52">
        <f t="shared" si="23"/>
        <v>47680.64</v>
      </c>
      <c r="Q751" s="124">
        <f t="shared" si="2"/>
        <v>0.36</v>
      </c>
      <c r="R751" s="52">
        <f t="array" ref="R751">IFERROR(INDEX('Fund YTD Target Values'!$1:$1000, MATCH($C751,'Fund YTD Target Values'!$A:$A,0), MATCH($A751,'Fund YTD Target Values'!$1:$1,0)),0)</f>
        <v>77291.136</v>
      </c>
      <c r="S751" s="52">
        <f>IFERROR(__xludf.DUMMYFUNCTION("IFERROR(sum(FILTER('Fund Data'!$V:$V, 'Fund Data'!$C:$C = $C751, 'Fund Data'!$A:$A &lt; $A751)),0) + IFERROR(sum(FILTER('Fund Data'!$V:$V, 'Fund Data'!$C:$C = $C751, 'Fund Data'!$A:$A = $A751, 'Fund Data'!$B:$B &lt;= $B751)),0)"),49449.04)</f>
        <v>49449.04</v>
      </c>
      <c r="T751" s="123">
        <v>39268.0</v>
      </c>
      <c r="U751" s="44">
        <f t="shared" si="73"/>
        <v>10181.04</v>
      </c>
      <c r="V751" s="44">
        <f t="shared" si="3"/>
        <v>0</v>
      </c>
      <c r="W751" s="123"/>
      <c r="X751" s="123"/>
      <c r="Y751" s="123">
        <v>0.0</v>
      </c>
      <c r="Z751" s="123">
        <v>0.0</v>
      </c>
      <c r="AA751" s="123">
        <v>0.0</v>
      </c>
      <c r="AB751" s="123"/>
      <c r="AC751" s="123">
        <v>0.0</v>
      </c>
      <c r="AD751" s="44">
        <f t="shared" si="7"/>
        <v>0</v>
      </c>
      <c r="AE751" s="123">
        <v>0.0</v>
      </c>
    </row>
    <row r="752">
      <c r="A752" s="120">
        <v>2016.0</v>
      </c>
      <c r="B752" s="121">
        <v>12.0</v>
      </c>
      <c r="C752" s="122" t="s">
        <v>32</v>
      </c>
      <c r="D752" s="44"/>
      <c r="E752" s="123">
        <v>965.97</v>
      </c>
      <c r="F752" s="44"/>
      <c r="G752" s="123"/>
      <c r="H752" s="123">
        <v>-271.06</v>
      </c>
      <c r="I752" s="44"/>
      <c r="J752" s="44"/>
      <c r="K752" s="44"/>
      <c r="L752" s="123">
        <v>1938.75</v>
      </c>
      <c r="M752" s="44"/>
      <c r="N752" s="44"/>
      <c r="O752" s="123">
        <v>46647.0</v>
      </c>
      <c r="P752" s="52">
        <f t="shared" si="23"/>
        <v>46647.09</v>
      </c>
      <c r="Q752" s="124">
        <f t="shared" si="2"/>
        <v>-0.09000000001</v>
      </c>
      <c r="R752" s="52">
        <f t="array" ref="R752">IFERROR(INDEX('Fund YTD Target Values'!$1:$1000, MATCH($C752,'Fund YTD Target Values'!$A:$A,0), MATCH($A752,'Fund YTD Target Values'!$1:$1,0)),0)</f>
        <v>75677.97303</v>
      </c>
      <c r="S752" s="52">
        <f>IFERROR(__xludf.DUMMYFUNCTION("IFERROR(sum(FILTER('Fund Data'!$V:$V, 'Fund Data'!$C:$C = $C752, 'Fund Data'!$A:$A &lt; $A752)),0) + IFERROR(sum(FILTER('Fund Data'!$V:$V, 'Fund Data'!$C:$C = $C752, 'Fund Data'!$A:$A = $A752, 'Fund Data'!$B:$B &lt;= $B752)),0)"),49449.04)</f>
        <v>49449.04</v>
      </c>
      <c r="T752" s="123">
        <v>39268.0</v>
      </c>
      <c r="U752" s="44">
        <f t="shared" si="73"/>
        <v>10181.04</v>
      </c>
      <c r="V752" s="44">
        <f t="shared" si="3"/>
        <v>0</v>
      </c>
      <c r="W752" s="123"/>
      <c r="X752" s="123"/>
      <c r="Y752" s="123">
        <v>0.0</v>
      </c>
      <c r="Z752" s="123">
        <v>0.0</v>
      </c>
      <c r="AA752" s="123">
        <v>0.0</v>
      </c>
      <c r="AB752" s="123"/>
      <c r="AC752" s="123">
        <v>0.0</v>
      </c>
      <c r="AD752" s="44">
        <f t="shared" si="7"/>
        <v>0</v>
      </c>
      <c r="AE752" s="123">
        <v>0.0</v>
      </c>
    </row>
    <row r="753">
      <c r="A753" s="120">
        <v>2015.0</v>
      </c>
      <c r="B753" s="121">
        <v>12.0</v>
      </c>
      <c r="C753" s="122" t="s">
        <v>32</v>
      </c>
      <c r="D753" s="44"/>
      <c r="E753" s="123">
        <v>1062.85</v>
      </c>
      <c r="F753" s="44"/>
      <c r="G753" s="123"/>
      <c r="H753" s="123">
        <v>-273.93</v>
      </c>
      <c r="I753" s="44"/>
      <c r="J753" s="44"/>
      <c r="K753" s="44"/>
      <c r="L753" s="123">
        <v>-1978.56</v>
      </c>
      <c r="M753" s="44"/>
      <c r="N753" s="44"/>
      <c r="O753" s="123">
        <v>44014.0</v>
      </c>
      <c r="P753" s="52">
        <f t="shared" si="23"/>
        <v>44013.43</v>
      </c>
      <c r="Q753" s="124">
        <f t="shared" si="2"/>
        <v>0.57</v>
      </c>
      <c r="R753" s="52">
        <f t="array" ref="R753">IFERROR(INDEX('Fund YTD Target Values'!$1:$1000, MATCH($C753,'Fund YTD Target Values'!$A:$A,0), MATCH($A753,'Fund YTD Target Values'!$1:$1,0)),0)</f>
        <v>74734.93486</v>
      </c>
      <c r="S753" s="52">
        <f>IFERROR(__xludf.DUMMYFUNCTION("IFERROR(sum(FILTER('Fund Data'!$V:$V, 'Fund Data'!$C:$C = $C753, 'Fund Data'!$A:$A &lt; $A753)),0) + IFERROR(sum(FILTER('Fund Data'!$V:$V, 'Fund Data'!$C:$C = $C753, 'Fund Data'!$A:$A = $A753, 'Fund Data'!$B:$B &lt;= $B753)),0)"),49449.04)</f>
        <v>49449.04</v>
      </c>
      <c r="T753" s="123">
        <v>39268.0</v>
      </c>
      <c r="U753" s="44">
        <f t="shared" si="73"/>
        <v>10181.04</v>
      </c>
      <c r="V753" s="44">
        <f t="shared" si="3"/>
        <v>0</v>
      </c>
      <c r="W753" s="123"/>
      <c r="X753" s="123"/>
      <c r="Y753" s="123">
        <v>0.0</v>
      </c>
      <c r="Z753" s="123">
        <v>0.0</v>
      </c>
      <c r="AA753" s="123">
        <v>0.0</v>
      </c>
      <c r="AB753" s="123"/>
      <c r="AC753" s="123">
        <v>0.0</v>
      </c>
      <c r="AD753" s="44">
        <f t="shared" si="7"/>
        <v>0</v>
      </c>
      <c r="AE753" s="123">
        <v>0.0</v>
      </c>
    </row>
    <row r="754">
      <c r="A754" s="120">
        <v>2014.0</v>
      </c>
      <c r="B754" s="121">
        <v>12.0</v>
      </c>
      <c r="C754" s="122" t="s">
        <v>32</v>
      </c>
      <c r="D754" s="44"/>
      <c r="E754" s="123">
        <v>1040.61</v>
      </c>
      <c r="F754" s="123">
        <v>-14000.0</v>
      </c>
      <c r="G754" s="123"/>
      <c r="H754" s="123">
        <v>-335.21</v>
      </c>
      <c r="I754" s="44"/>
      <c r="J754" s="123">
        <v>3520.89</v>
      </c>
      <c r="K754" s="44"/>
      <c r="L754" s="123">
        <v>-2867.6</v>
      </c>
      <c r="M754" s="44"/>
      <c r="N754" s="44"/>
      <c r="O754" s="123">
        <v>45203.0</v>
      </c>
      <c r="P754" s="52">
        <f t="shared" si="23"/>
        <v>45203.07</v>
      </c>
      <c r="Q754" s="124">
        <f t="shared" si="2"/>
        <v>-0.07</v>
      </c>
      <c r="R754" s="52">
        <f t="array" ref="R754">IFERROR(INDEX('Fund YTD Target Values'!$1:$1000, MATCH($C754,'Fund YTD Target Values'!$A:$A,0), MATCH($A754,'Fund YTD Target Values'!$1:$1,0)),0)</f>
        <v>74646.18088</v>
      </c>
      <c r="S754" s="52">
        <f>IFERROR(__xludf.DUMMYFUNCTION("IFERROR(sum(FILTER('Fund Data'!$V:$V, 'Fund Data'!$C:$C = $C754, 'Fund Data'!$A:$A &lt; $A754)),0) + IFERROR(sum(FILTER('Fund Data'!$V:$V, 'Fund Data'!$C:$C = $C754, 'Fund Data'!$A:$A = $A754, 'Fund Data'!$B:$B &lt;= $B754)),0)"),49449.04)</f>
        <v>49449.04</v>
      </c>
      <c r="T754" s="123">
        <v>39268.0</v>
      </c>
      <c r="U754" s="44">
        <f t="shared" si="73"/>
        <v>10181.04</v>
      </c>
      <c r="V754" s="44">
        <f t="shared" si="3"/>
        <v>0</v>
      </c>
      <c r="W754" s="123"/>
      <c r="X754" s="123"/>
      <c r="Y754" s="123">
        <v>0.0</v>
      </c>
      <c r="Z754" s="123">
        <v>0.0</v>
      </c>
      <c r="AA754" s="123">
        <v>0.0</v>
      </c>
      <c r="AB754" s="123"/>
      <c r="AC754" s="123">
        <v>0.0</v>
      </c>
      <c r="AD754" s="44">
        <f t="shared" si="7"/>
        <v>-14000</v>
      </c>
      <c r="AE754" s="123">
        <v>0.0</v>
      </c>
    </row>
    <row r="755">
      <c r="A755" s="120">
        <v>2013.0</v>
      </c>
      <c r="B755" s="121">
        <v>12.0</v>
      </c>
      <c r="C755" s="122" t="s">
        <v>32</v>
      </c>
      <c r="D755" s="44"/>
      <c r="E755" s="123">
        <v>1188.84</v>
      </c>
      <c r="F755" s="123">
        <v>-5000.0</v>
      </c>
      <c r="G755" s="123"/>
      <c r="H755" s="123">
        <v>-348.78</v>
      </c>
      <c r="I755" s="44"/>
      <c r="J755" s="123">
        <v>1051.97</v>
      </c>
      <c r="K755" s="44"/>
      <c r="L755" s="123">
        <v>3892.75</v>
      </c>
      <c r="M755" s="44"/>
      <c r="N755" s="44"/>
      <c r="O755" s="123">
        <v>57845.0</v>
      </c>
      <c r="P755" s="52">
        <f t="shared" si="23"/>
        <v>57844.38</v>
      </c>
      <c r="Q755" s="124">
        <f t="shared" si="2"/>
        <v>0.62</v>
      </c>
      <c r="R755" s="52">
        <f t="array" ref="R755">IFERROR(INDEX('Fund YTD Target Values'!$1:$1000, MATCH($C755,'Fund YTD Target Values'!$A:$A,0), MATCH($A755,'Fund YTD Target Values'!$1:$1,0)),0)</f>
        <v>73454.81372</v>
      </c>
      <c r="S755" s="52">
        <f>IFERROR(__xludf.DUMMYFUNCTION("IFERROR(sum(FILTER('Fund Data'!$V:$V, 'Fund Data'!$C:$C = $C755, 'Fund Data'!$A:$A &lt; $A755)),0) + IFERROR(sum(FILTER('Fund Data'!$V:$V, 'Fund Data'!$C:$C = $C755, 'Fund Data'!$A:$A = $A755, 'Fund Data'!$B:$B &lt;= $B755)),0)"),49449.04)</f>
        <v>49449.04</v>
      </c>
      <c r="T755" s="123">
        <v>39268.0</v>
      </c>
      <c r="U755" s="44">
        <f t="shared" si="73"/>
        <v>10181.04</v>
      </c>
      <c r="V755" s="44">
        <f t="shared" si="3"/>
        <v>0</v>
      </c>
      <c r="W755" s="123"/>
      <c r="X755" s="123"/>
      <c r="Y755" s="123">
        <v>0.0</v>
      </c>
      <c r="Z755" s="123">
        <v>0.0</v>
      </c>
      <c r="AA755" s="123">
        <v>0.0</v>
      </c>
      <c r="AB755" s="123"/>
      <c r="AC755" s="123">
        <v>0.0</v>
      </c>
      <c r="AD755" s="44">
        <f t="shared" si="7"/>
        <v>-5000</v>
      </c>
      <c r="AE755" s="123">
        <v>0.0</v>
      </c>
    </row>
    <row r="756">
      <c r="A756" s="120">
        <v>2012.0</v>
      </c>
      <c r="B756" s="121">
        <v>12.0</v>
      </c>
      <c r="C756" s="122" t="s">
        <v>32</v>
      </c>
      <c r="D756" s="44"/>
      <c r="E756" s="123">
        <v>1186.09</v>
      </c>
      <c r="F756" s="123">
        <v>-5000.0</v>
      </c>
      <c r="G756" s="123"/>
      <c r="H756" s="123">
        <v>-351.28</v>
      </c>
      <c r="I756" s="44"/>
      <c r="J756" s="123">
        <v>865.55</v>
      </c>
      <c r="K756" s="44"/>
      <c r="L756" s="123">
        <v>4949.35</v>
      </c>
      <c r="M756" s="44"/>
      <c r="N756" s="44"/>
      <c r="O756" s="123">
        <v>57061.0</v>
      </c>
      <c r="P756" s="52">
        <f t="shared" si="23"/>
        <v>57059.6</v>
      </c>
      <c r="Q756" s="124">
        <f t="shared" si="2"/>
        <v>1.4</v>
      </c>
      <c r="R756" s="52">
        <f t="array" ref="R756">IFERROR(INDEX('Fund YTD Target Values'!$1:$1000, MATCH($C756,'Fund YTD Target Values'!$A:$A,0), MATCH($A756,'Fund YTD Target Values'!$1:$1,0)),0)</f>
        <v>72393.49216</v>
      </c>
      <c r="S756" s="52">
        <f>IFERROR(__xludf.DUMMYFUNCTION("IFERROR(sum(FILTER('Fund Data'!$V:$V, 'Fund Data'!$C:$C = $C756, 'Fund Data'!$A:$A &lt; $A756)),0) + IFERROR(sum(FILTER('Fund Data'!$V:$V, 'Fund Data'!$C:$C = $C756, 'Fund Data'!$A:$A = $A756, 'Fund Data'!$B:$B &lt;= $B756)),0)"),49449.04)</f>
        <v>49449.04</v>
      </c>
      <c r="T756" s="123">
        <v>39268.0</v>
      </c>
      <c r="U756" s="44">
        <f t="shared" si="73"/>
        <v>10181.04</v>
      </c>
      <c r="V756" s="44">
        <f t="shared" si="3"/>
        <v>0</v>
      </c>
      <c r="W756" s="123"/>
      <c r="X756" s="123"/>
      <c r="Y756" s="123">
        <v>0.0</v>
      </c>
      <c r="Z756" s="123">
        <v>0.0</v>
      </c>
      <c r="AA756" s="123">
        <v>0.0</v>
      </c>
      <c r="AB756" s="123"/>
      <c r="AC756" s="123">
        <v>0.0</v>
      </c>
      <c r="AD756" s="44">
        <f t="shared" si="7"/>
        <v>-5000</v>
      </c>
      <c r="AE756" s="123">
        <v>0.0</v>
      </c>
    </row>
    <row r="757">
      <c r="A757" s="120">
        <v>2011.0</v>
      </c>
      <c r="B757" s="121">
        <v>12.0</v>
      </c>
      <c r="C757" s="122" t="s">
        <v>32</v>
      </c>
      <c r="D757" s="44"/>
      <c r="E757" s="123">
        <v>1085.17</v>
      </c>
      <c r="F757" s="123">
        <v>-7000.0</v>
      </c>
      <c r="G757" s="123"/>
      <c r="H757" s="123">
        <v>-386.92</v>
      </c>
      <c r="I757" s="44"/>
      <c r="J757" s="123">
        <v>709.0</v>
      </c>
      <c r="K757" s="44"/>
      <c r="L757" s="123">
        <v>-4732.99</v>
      </c>
      <c r="M757" s="44"/>
      <c r="N757" s="44"/>
      <c r="O757" s="123">
        <v>55411.0</v>
      </c>
      <c r="P757" s="52">
        <f t="shared" si="23"/>
        <v>55409.89</v>
      </c>
      <c r="Q757" s="124">
        <f t="shared" si="2"/>
        <v>1.11</v>
      </c>
      <c r="R757" s="52">
        <f t="array" ref="R757">IFERROR(INDEX('Fund YTD Target Values'!$1:$1000, MATCH($C757,'Fund YTD Target Values'!$A:$A,0), MATCH($A757,'Fund YTD Target Values'!$1:$1,0)),0)</f>
        <v>70923.11921</v>
      </c>
      <c r="S757" s="52">
        <f>IFERROR(__xludf.DUMMYFUNCTION("IFERROR(sum(FILTER('Fund Data'!$V:$V, 'Fund Data'!$C:$C = $C757, 'Fund Data'!$A:$A &lt; $A757)),0) + IFERROR(sum(FILTER('Fund Data'!$V:$V, 'Fund Data'!$C:$C = $C757, 'Fund Data'!$A:$A = $A757, 'Fund Data'!$B:$B &lt;= $B757)),0)"),49449.04)</f>
        <v>49449.04</v>
      </c>
      <c r="T757" s="123">
        <v>39268.0</v>
      </c>
      <c r="U757" s="44">
        <f t="shared" si="73"/>
        <v>10181.04</v>
      </c>
      <c r="V757" s="44">
        <f t="shared" si="3"/>
        <v>0</v>
      </c>
      <c r="W757" s="123"/>
      <c r="X757" s="123"/>
      <c r="Y757" s="123">
        <v>0.0</v>
      </c>
      <c r="Z757" s="123">
        <v>0.0</v>
      </c>
      <c r="AA757" s="123">
        <v>0.0</v>
      </c>
      <c r="AB757" s="123"/>
      <c r="AC757" s="123">
        <v>0.0</v>
      </c>
      <c r="AD757" s="44">
        <f t="shared" si="7"/>
        <v>-7000</v>
      </c>
      <c r="AE757" s="123">
        <v>0.0</v>
      </c>
    </row>
    <row r="758">
      <c r="A758" s="120">
        <v>2010.0</v>
      </c>
      <c r="B758" s="121">
        <v>12.0</v>
      </c>
      <c r="C758" s="122" t="s">
        <v>32</v>
      </c>
      <c r="D758" s="44"/>
      <c r="E758" s="123">
        <v>1318.57</v>
      </c>
      <c r="F758" s="123">
        <v>-4747.0</v>
      </c>
      <c r="G758" s="123"/>
      <c r="H758" s="123">
        <v>-376.71</v>
      </c>
      <c r="I758" s="44"/>
      <c r="J758" s="123">
        <v>310.44</v>
      </c>
      <c r="K758" s="44"/>
      <c r="L758" s="123">
        <v>6731.24</v>
      </c>
      <c r="M758" s="44"/>
      <c r="N758" s="44"/>
      <c r="O758" s="123">
        <v>65737.0</v>
      </c>
      <c r="P758" s="52">
        <f t="shared" si="23"/>
        <v>65735.63</v>
      </c>
      <c r="Q758" s="124">
        <f t="shared" si="2"/>
        <v>1.37</v>
      </c>
      <c r="R758" s="52">
        <f t="array" ref="R758">IFERROR(INDEX('Fund YTD Target Values'!$1:$1000, MATCH($C758,'Fund YTD Target Values'!$A:$A,0), MATCH($A758,'Fund YTD Target Values'!$1:$1,0)),0)</f>
        <v>68753.79839</v>
      </c>
      <c r="S758" s="52">
        <f>IFERROR(__xludf.DUMMYFUNCTION("IFERROR(sum(FILTER('Fund Data'!$V:$V, 'Fund Data'!$C:$C = $C758, 'Fund Data'!$A:$A &lt; $A758)),0) + IFERROR(sum(FILTER('Fund Data'!$V:$V, 'Fund Data'!$C:$C = $C758, 'Fund Data'!$A:$A = $A758, 'Fund Data'!$B:$B &lt;= $B758)),0)"),49449.04)</f>
        <v>49449.04</v>
      </c>
      <c r="T758" s="123">
        <v>39268.0</v>
      </c>
      <c r="U758" s="44">
        <f t="shared" si="73"/>
        <v>10181.04</v>
      </c>
      <c r="V758" s="44">
        <f t="shared" si="3"/>
        <v>0</v>
      </c>
      <c r="W758" s="123"/>
      <c r="X758" s="123"/>
      <c r="Y758" s="123">
        <v>0.0</v>
      </c>
      <c r="Z758" s="123">
        <v>0.0</v>
      </c>
      <c r="AA758" s="123">
        <v>0.0</v>
      </c>
      <c r="AB758" s="123"/>
      <c r="AC758" s="123">
        <v>0.0</v>
      </c>
      <c r="AD758" s="44">
        <f t="shared" si="7"/>
        <v>-4747</v>
      </c>
      <c r="AE758" s="123">
        <v>0.0</v>
      </c>
    </row>
    <row r="759">
      <c r="A759" s="120">
        <v>2009.0</v>
      </c>
      <c r="B759" s="121">
        <v>12.0</v>
      </c>
      <c r="C759" s="122" t="s">
        <v>32</v>
      </c>
      <c r="D759" s="44"/>
      <c r="E759" s="123">
        <v>1720.41</v>
      </c>
      <c r="F759" s="123">
        <v>-6000.0</v>
      </c>
      <c r="G759" s="123"/>
      <c r="H759" s="123">
        <v>-351.45</v>
      </c>
      <c r="I759" s="44"/>
      <c r="J759" s="123">
        <v>56.66</v>
      </c>
      <c r="K759" s="44"/>
      <c r="L759" s="123">
        <v>10048.14</v>
      </c>
      <c r="M759" s="44"/>
      <c r="N759" s="44"/>
      <c r="O759" s="123">
        <v>62500.0</v>
      </c>
      <c r="P759" s="52">
        <f t="shared" si="23"/>
        <v>62499.09</v>
      </c>
      <c r="Q759" s="124">
        <f t="shared" si="2"/>
        <v>0.91</v>
      </c>
      <c r="R759" s="52">
        <f t="array" ref="R759">IFERROR(INDEX('Fund YTD Target Values'!$1:$1000, MATCH($C759,'Fund YTD Target Values'!$A:$A,0), MATCH($A759,'Fund YTD Target Values'!$1:$1,0)),0)</f>
        <v>67641.5551</v>
      </c>
      <c r="S759" s="52">
        <f>IFERROR(__xludf.DUMMYFUNCTION("IFERROR(sum(FILTER('Fund Data'!$V:$V, 'Fund Data'!$C:$C = $C759, 'Fund Data'!$A:$A &lt; $A759)),0) + IFERROR(sum(FILTER('Fund Data'!$V:$V, 'Fund Data'!$C:$C = $C759, 'Fund Data'!$A:$A = $A759, 'Fund Data'!$B:$B &lt;= $B759)),0)"),49449.04)</f>
        <v>49449.04</v>
      </c>
      <c r="T759" s="123">
        <v>39268.0</v>
      </c>
      <c r="U759" s="44">
        <f t="shared" si="73"/>
        <v>10181.04</v>
      </c>
      <c r="V759" s="44">
        <f t="shared" si="3"/>
        <v>0</v>
      </c>
      <c r="W759" s="123"/>
      <c r="X759" s="123"/>
      <c r="Y759" s="123">
        <v>0.0</v>
      </c>
      <c r="Z759" s="123">
        <v>0.0</v>
      </c>
      <c r="AA759" s="123">
        <v>0.0</v>
      </c>
      <c r="AB759" s="123"/>
      <c r="AC759" s="123">
        <v>0.0</v>
      </c>
      <c r="AD759" s="44">
        <f t="shared" si="7"/>
        <v>-6000</v>
      </c>
      <c r="AE759" s="123">
        <v>0.0</v>
      </c>
    </row>
    <row r="760">
      <c r="A760" s="120">
        <v>2008.0</v>
      </c>
      <c r="B760" s="121">
        <v>12.0</v>
      </c>
      <c r="C760" s="122" t="s">
        <v>32</v>
      </c>
      <c r="D760" s="44"/>
      <c r="E760" s="123">
        <v>1805.64</v>
      </c>
      <c r="F760" s="44"/>
      <c r="G760" s="123"/>
      <c r="H760" s="123">
        <v>-407.12</v>
      </c>
      <c r="I760" s="44"/>
      <c r="J760" s="44"/>
      <c r="K760" s="44"/>
      <c r="L760" s="123">
        <v>-18604.39</v>
      </c>
      <c r="M760" s="44"/>
      <c r="N760" s="44"/>
      <c r="O760" s="123">
        <v>57026.0</v>
      </c>
      <c r="P760" s="52">
        <f t="shared" si="23"/>
        <v>57025.33</v>
      </c>
      <c r="Q760" s="124">
        <f t="shared" si="2"/>
        <v>0.67</v>
      </c>
      <c r="R760" s="52">
        <f t="array" ref="R760">IFERROR(INDEX('Fund YTD Target Values'!$1:$1000, MATCH($C760,'Fund YTD Target Values'!$A:$A,0), MATCH($A760,'Fund YTD Target Values'!$1:$1,0)),0)</f>
        <v>67870.82274</v>
      </c>
      <c r="S760" s="52">
        <f>IFERROR(__xludf.DUMMYFUNCTION("IFERROR(sum(FILTER('Fund Data'!$V:$V, 'Fund Data'!$C:$C = $C760, 'Fund Data'!$A:$A &lt; $A760)),0) + IFERROR(sum(FILTER('Fund Data'!$V:$V, 'Fund Data'!$C:$C = $C760, 'Fund Data'!$A:$A = $A760, 'Fund Data'!$B:$B &lt;= $B760)),0)"),49449.04)</f>
        <v>49449.04</v>
      </c>
      <c r="T760" s="123">
        <v>39268.0</v>
      </c>
      <c r="U760" s="44">
        <f t="shared" si="73"/>
        <v>10181.04</v>
      </c>
      <c r="V760" s="44">
        <f t="shared" si="3"/>
        <v>0</v>
      </c>
      <c r="W760" s="123"/>
      <c r="X760" s="123"/>
      <c r="Y760" s="123">
        <v>0.0</v>
      </c>
      <c r="Z760" s="123">
        <v>0.0</v>
      </c>
      <c r="AA760" s="123">
        <v>0.0</v>
      </c>
      <c r="AB760" s="123"/>
      <c r="AC760" s="123">
        <v>0.0</v>
      </c>
      <c r="AD760" s="44">
        <f t="shared" si="7"/>
        <v>0</v>
      </c>
      <c r="AE760" s="123">
        <v>0.0</v>
      </c>
    </row>
    <row r="761">
      <c r="A761" s="120">
        <v>2007.0</v>
      </c>
      <c r="B761" s="121">
        <v>12.0</v>
      </c>
      <c r="C761" s="122" t="s">
        <v>32</v>
      </c>
      <c r="D761" s="44"/>
      <c r="E761" s="123">
        <v>1185.31</v>
      </c>
      <c r="F761" s="123">
        <v>-4685.0</v>
      </c>
      <c r="G761" s="123"/>
      <c r="H761" s="123">
        <v>-457.33</v>
      </c>
      <c r="I761" s="44"/>
      <c r="J761" s="123">
        <v>844.94</v>
      </c>
      <c r="K761" s="44"/>
      <c r="L761" s="123">
        <v>5641.67</v>
      </c>
      <c r="M761" s="123">
        <v>-1.0</v>
      </c>
      <c r="N761" s="44"/>
      <c r="O761" s="123">
        <v>74232.0</v>
      </c>
      <c r="P761" s="52">
        <f t="shared" si="23"/>
        <v>74231.2</v>
      </c>
      <c r="Q761" s="124">
        <f t="shared" si="2"/>
        <v>0.8</v>
      </c>
      <c r="R761" s="52">
        <f t="array" ref="R761">IFERROR(INDEX('Fund YTD Target Values'!$1:$1000, MATCH($C761,'Fund YTD Target Values'!$A:$A,0), MATCH($A761,'Fund YTD Target Values'!$1:$1,0)),0)</f>
        <v>65357.41643</v>
      </c>
      <c r="S761" s="52">
        <f>IFERROR(__xludf.DUMMYFUNCTION("IFERROR(sum(FILTER('Fund Data'!$V:$V, 'Fund Data'!$C:$C = $C761, 'Fund Data'!$A:$A &lt; $A761)),0) + IFERROR(sum(FILTER('Fund Data'!$V:$V, 'Fund Data'!$C:$C = $C761, 'Fund Data'!$A:$A = $A761, 'Fund Data'!$B:$B &lt;= $B761)),0)"),49449.04)</f>
        <v>49449.04</v>
      </c>
      <c r="T761" s="123">
        <v>39268.0</v>
      </c>
      <c r="U761" s="44">
        <f t="shared" si="73"/>
        <v>10181.04</v>
      </c>
      <c r="V761" s="44">
        <f t="shared" si="3"/>
        <v>0</v>
      </c>
      <c r="W761" s="123"/>
      <c r="X761" s="123"/>
      <c r="Y761" s="123">
        <v>0.0</v>
      </c>
      <c r="Z761" s="123">
        <v>0.0</v>
      </c>
      <c r="AA761" s="123">
        <v>0.0</v>
      </c>
      <c r="AB761" s="123"/>
      <c r="AC761" s="123">
        <v>0.0</v>
      </c>
      <c r="AD761" s="44">
        <f t="shared" si="7"/>
        <v>-4685</v>
      </c>
      <c r="AE761" s="123">
        <v>0.0</v>
      </c>
    </row>
    <row r="762">
      <c r="A762" s="120">
        <v>2006.0</v>
      </c>
      <c r="B762" s="121">
        <v>12.0</v>
      </c>
      <c r="C762" s="122" t="s">
        <v>32</v>
      </c>
      <c r="D762" s="44"/>
      <c r="E762" s="123">
        <v>1156.18</v>
      </c>
      <c r="F762" s="123">
        <v>-4271.0</v>
      </c>
      <c r="G762" s="123"/>
      <c r="H762" s="123">
        <v>-431.62</v>
      </c>
      <c r="I762" s="44"/>
      <c r="J762" s="123">
        <v>235.07</v>
      </c>
      <c r="K762" s="44"/>
      <c r="L762" s="123">
        <v>5877.39</v>
      </c>
      <c r="M762" s="123">
        <v>-195.89</v>
      </c>
      <c r="N762" s="44"/>
      <c r="O762" s="123">
        <v>71703.0</v>
      </c>
      <c r="P762" s="52">
        <f t="shared" si="23"/>
        <v>71702.61</v>
      </c>
      <c r="Q762" s="124">
        <f t="shared" si="2"/>
        <v>0.39</v>
      </c>
      <c r="R762" s="52">
        <f t="array" ref="R762">IFERROR(INDEX('Fund YTD Target Values'!$1:$1000, MATCH($C762,'Fund YTD Target Values'!$A:$A,0), MATCH($A762,'Fund YTD Target Values'!$1:$1,0)),0)</f>
        <v>63544.89197</v>
      </c>
      <c r="S762" s="52">
        <f>IFERROR(__xludf.DUMMYFUNCTION("IFERROR(sum(FILTER('Fund Data'!$V:$V, 'Fund Data'!$C:$C = $C762, 'Fund Data'!$A:$A &lt; $A762)),0) + IFERROR(sum(FILTER('Fund Data'!$V:$V, 'Fund Data'!$C:$C = $C762, 'Fund Data'!$A:$A = $A762, 'Fund Data'!$B:$B &lt;= $B762)),0)"),49449.04)</f>
        <v>49449.04</v>
      </c>
      <c r="T762" s="123">
        <v>39268.0</v>
      </c>
      <c r="U762" s="44">
        <f t="shared" si="73"/>
        <v>10181.04</v>
      </c>
      <c r="V762" s="44">
        <f t="shared" si="3"/>
        <v>0</v>
      </c>
      <c r="W762" s="123"/>
      <c r="X762" s="123"/>
      <c r="Y762" s="123">
        <v>0.0</v>
      </c>
      <c r="Z762" s="123">
        <v>0.0</v>
      </c>
      <c r="AA762" s="123">
        <v>0.0</v>
      </c>
      <c r="AB762" s="123"/>
      <c r="AC762" s="123">
        <v>0.0</v>
      </c>
      <c r="AD762" s="44">
        <f t="shared" si="7"/>
        <v>-4271</v>
      </c>
      <c r="AE762" s="123">
        <v>0.0</v>
      </c>
    </row>
    <row r="763">
      <c r="A763" s="120">
        <v>2005.0</v>
      </c>
      <c r="B763" s="121">
        <v>12.0</v>
      </c>
      <c r="C763" s="122" t="s">
        <v>32</v>
      </c>
      <c r="D763" s="44"/>
      <c r="E763" s="123">
        <v>1428.23</v>
      </c>
      <c r="F763" s="123">
        <v>-4515.0</v>
      </c>
      <c r="G763" s="123"/>
      <c r="H763" s="123">
        <v>-377.2</v>
      </c>
      <c r="I763" s="44"/>
      <c r="J763" s="123">
        <v>10336.74</v>
      </c>
      <c r="K763" s="44"/>
      <c r="L763" s="123">
        <v>-7573.49</v>
      </c>
      <c r="M763" s="123">
        <v>195.33</v>
      </c>
      <c r="N763" s="44"/>
      <c r="O763" s="123">
        <v>69333.0</v>
      </c>
      <c r="P763" s="52">
        <f t="shared" si="23"/>
        <v>69332.48</v>
      </c>
      <c r="Q763" s="124">
        <f t="shared" si="2"/>
        <v>0.52</v>
      </c>
      <c r="R763" s="52">
        <f t="array" ref="R763">IFERROR(INDEX('Fund YTD Target Values'!$1:$1000, MATCH($C763,'Fund YTD Target Values'!$A:$A,0), MATCH($A763,'Fund YTD Target Values'!$1:$1,0)),0)</f>
        <v>61553.50076</v>
      </c>
      <c r="S763" s="52">
        <f>IFERROR(__xludf.DUMMYFUNCTION("IFERROR(sum(FILTER('Fund Data'!$V:$V, 'Fund Data'!$C:$C = $C763, 'Fund Data'!$A:$A &lt; $A763)),0) + IFERROR(sum(FILTER('Fund Data'!$V:$V, 'Fund Data'!$C:$C = $C763, 'Fund Data'!$A:$A = $A763, 'Fund Data'!$B:$B &lt;= $B763)),0)"),49449.04)</f>
        <v>49449.04</v>
      </c>
      <c r="T763" s="123">
        <v>39268.0</v>
      </c>
      <c r="U763" s="44">
        <f t="shared" si="73"/>
        <v>10181.04</v>
      </c>
      <c r="V763" s="44">
        <f t="shared" si="3"/>
        <v>0</v>
      </c>
      <c r="W763" s="123"/>
      <c r="X763" s="123"/>
      <c r="Y763" s="123">
        <v>0.0</v>
      </c>
      <c r="Z763" s="123">
        <v>0.0</v>
      </c>
      <c r="AA763" s="123">
        <v>0.0</v>
      </c>
      <c r="AB763" s="123"/>
      <c r="AC763" s="123">
        <v>0.0</v>
      </c>
      <c r="AD763" s="44">
        <f t="shared" si="7"/>
        <v>-4515</v>
      </c>
      <c r="AE763" s="123">
        <v>0.0</v>
      </c>
    </row>
    <row r="764">
      <c r="A764" s="120">
        <v>2004.0</v>
      </c>
      <c r="B764" s="121">
        <v>12.0</v>
      </c>
      <c r="C764" s="122" t="s">
        <v>32</v>
      </c>
      <c r="D764" s="44"/>
      <c r="E764" s="123">
        <v>1949.0</v>
      </c>
      <c r="F764" s="123">
        <v>-4480.0</v>
      </c>
      <c r="G764" s="123"/>
      <c r="H764" s="123">
        <v>-312.0</v>
      </c>
      <c r="I764" s="123"/>
      <c r="J764" s="123">
        <v>1620.0</v>
      </c>
      <c r="K764" s="123">
        <v>-855.0</v>
      </c>
      <c r="L764" s="123">
        <v>3429.0</v>
      </c>
      <c r="M764" s="123">
        <v>-2.0</v>
      </c>
      <c r="N764" s="123">
        <v>708.0</v>
      </c>
      <c r="O764" s="123">
        <v>69838.0</v>
      </c>
      <c r="P764" s="52">
        <f t="shared" si="23"/>
        <v>69837.87</v>
      </c>
      <c r="Q764" s="124">
        <f t="shared" si="2"/>
        <v>0.13</v>
      </c>
      <c r="R764" s="52">
        <f t="array" ref="R764">IFERROR(INDEX('Fund YTD Target Values'!$1:$1000, MATCH($C764,'Fund YTD Target Values'!$A:$A,0), MATCH($A764,'Fund YTD Target Values'!$1:$1,0)),0)</f>
        <v>59535.06145</v>
      </c>
      <c r="S764" s="52">
        <f>IFERROR(__xludf.DUMMYFUNCTION("IFERROR(sum(FILTER('Fund Data'!$V:$V, 'Fund Data'!$C:$C = $C764, 'Fund Data'!$A:$A &lt; $A764)),0) + IFERROR(sum(FILTER('Fund Data'!$V:$V, 'Fund Data'!$C:$C = $C764, 'Fund Data'!$A:$A = $A764, 'Fund Data'!$B:$B &lt;= $B764)),0)"),49449.04)</f>
        <v>49449.04</v>
      </c>
      <c r="T764" s="123">
        <v>39268.0</v>
      </c>
      <c r="U764" s="44">
        <f t="shared" si="73"/>
        <v>10181.04</v>
      </c>
      <c r="V764" s="44">
        <f t="shared" si="3"/>
        <v>0</v>
      </c>
      <c r="W764" s="123"/>
      <c r="X764" s="123"/>
      <c r="Y764" s="123">
        <v>0.0</v>
      </c>
      <c r="Z764" s="123">
        <v>0.0</v>
      </c>
      <c r="AA764" s="123">
        <v>0.0</v>
      </c>
      <c r="AB764" s="123"/>
      <c r="AC764" s="123">
        <v>0.0</v>
      </c>
      <c r="AD764" s="44">
        <f t="shared" si="7"/>
        <v>-4480</v>
      </c>
      <c r="AE764" s="123">
        <v>0.0</v>
      </c>
    </row>
    <row r="765">
      <c r="A765" s="120">
        <v>2003.0</v>
      </c>
      <c r="B765" s="121">
        <v>12.0</v>
      </c>
      <c r="C765" s="122" t="s">
        <v>32</v>
      </c>
      <c r="D765" s="44"/>
      <c r="E765" s="123">
        <v>1673.7</v>
      </c>
      <c r="F765" s="123">
        <v>-2100.0</v>
      </c>
      <c r="G765" s="123"/>
      <c r="H765" s="123">
        <v>-234.44</v>
      </c>
      <c r="I765" s="123"/>
      <c r="J765" s="123">
        <v>5640.16</v>
      </c>
      <c r="K765" s="123">
        <v>-328.1</v>
      </c>
      <c r="L765" s="123">
        <v>7548.0</v>
      </c>
      <c r="M765" s="123">
        <v>2.47</v>
      </c>
      <c r="N765" s="123">
        <v>679.68</v>
      </c>
      <c r="O765" s="123">
        <v>67780.0</v>
      </c>
      <c r="P765" s="52">
        <f t="shared" si="23"/>
        <v>67780.87</v>
      </c>
      <c r="Q765" s="124">
        <f t="shared" si="2"/>
        <v>-0.87</v>
      </c>
      <c r="R765" s="52">
        <f t="array" ref="R765">IFERROR(INDEX('Fund YTD Target Values'!$1:$1000, MATCH($C765,'Fund YTD Target Values'!$A:$A,0), MATCH($A765,'Fund YTD Target Values'!$1:$1,0)),0)</f>
        <v>57983.50296</v>
      </c>
      <c r="S765" s="52">
        <f>IFERROR(__xludf.DUMMYFUNCTION("IFERROR(sum(FILTER('Fund Data'!$V:$V, 'Fund Data'!$C:$C = $C765, 'Fund Data'!$A:$A &lt; $A765)),0) + IFERROR(sum(FILTER('Fund Data'!$V:$V, 'Fund Data'!$C:$C = $C765, 'Fund Data'!$A:$A = $A765, 'Fund Data'!$B:$B &lt;= $B765)),0)"),49449.04)</f>
        <v>49449.04</v>
      </c>
      <c r="T765" s="123">
        <v>39268.0</v>
      </c>
      <c r="U765" s="44">
        <f t="shared" si="73"/>
        <v>10181.04</v>
      </c>
      <c r="V765" s="44">
        <f t="shared" si="3"/>
        <v>0</v>
      </c>
      <c r="W765" s="123"/>
      <c r="X765" s="123"/>
      <c r="Y765" s="123">
        <v>0.0</v>
      </c>
      <c r="Z765" s="123">
        <v>0.0</v>
      </c>
      <c r="AA765" s="123">
        <v>0.0</v>
      </c>
      <c r="AB765" s="123"/>
      <c r="AC765" s="123">
        <v>0.0</v>
      </c>
      <c r="AD765" s="44">
        <f t="shared" si="7"/>
        <v>-2100</v>
      </c>
      <c r="AE765" s="123">
        <v>0.0</v>
      </c>
    </row>
    <row r="766">
      <c r="A766" s="120">
        <v>2002.0</v>
      </c>
      <c r="B766" s="121">
        <v>12.0</v>
      </c>
      <c r="C766" s="122" t="s">
        <v>32</v>
      </c>
      <c r="D766" s="44"/>
      <c r="E766" s="123">
        <v>1485.17</v>
      </c>
      <c r="F766" s="123">
        <v>-2000.0</v>
      </c>
      <c r="G766" s="123"/>
      <c r="H766" s="123">
        <v>-198.87</v>
      </c>
      <c r="I766" s="123"/>
      <c r="J766" s="123">
        <v>235.8</v>
      </c>
      <c r="K766" s="123">
        <v>-6447.93</v>
      </c>
      <c r="L766" s="123">
        <v>-3551.96</v>
      </c>
      <c r="M766" s="123">
        <v>-0.73</v>
      </c>
      <c r="N766" s="123">
        <v>818.35</v>
      </c>
      <c r="O766" s="123">
        <v>54899.0</v>
      </c>
      <c r="P766" s="52">
        <f t="shared" si="23"/>
        <v>54899.4</v>
      </c>
      <c r="Q766" s="124">
        <f t="shared" si="2"/>
        <v>-0.4</v>
      </c>
      <c r="R766" s="52">
        <f t="array" ref="R766">IFERROR(INDEX('Fund YTD Target Values'!$1:$1000, MATCH($C766,'Fund YTD Target Values'!$A:$A,0), MATCH($A766,'Fund YTD Target Values'!$1:$1,0)),0)</f>
        <v>56695.23476</v>
      </c>
      <c r="S766" s="52">
        <f>IFERROR(__xludf.DUMMYFUNCTION("IFERROR(sum(FILTER('Fund Data'!$V:$V, 'Fund Data'!$C:$C = $C766, 'Fund Data'!$A:$A &lt; $A766)),0) + IFERROR(sum(FILTER('Fund Data'!$V:$V, 'Fund Data'!$C:$C = $C766, 'Fund Data'!$A:$A = $A766, 'Fund Data'!$B:$B &lt;= $B766)),0)"),49449.04)</f>
        <v>49449.04</v>
      </c>
      <c r="T766" s="123">
        <v>39268.0</v>
      </c>
      <c r="U766" s="44">
        <f t="shared" si="73"/>
        <v>10181.04</v>
      </c>
      <c r="V766" s="44">
        <f t="shared" si="3"/>
        <v>0</v>
      </c>
      <c r="W766" s="123"/>
      <c r="X766" s="123"/>
      <c r="Y766" s="123">
        <v>0.0</v>
      </c>
      <c r="Z766" s="123">
        <v>0.0</v>
      </c>
      <c r="AA766" s="123">
        <v>0.0</v>
      </c>
      <c r="AB766" s="123"/>
      <c r="AC766" s="123">
        <v>0.0</v>
      </c>
      <c r="AD766" s="44">
        <f t="shared" si="7"/>
        <v>-2000</v>
      </c>
      <c r="AE766" s="123">
        <v>0.0</v>
      </c>
    </row>
    <row r="767">
      <c r="A767" s="120">
        <v>2001.0</v>
      </c>
      <c r="B767" s="121">
        <v>12.0</v>
      </c>
      <c r="C767" s="122" t="s">
        <v>32</v>
      </c>
      <c r="D767" s="44"/>
      <c r="E767" s="123">
        <v>1864.8</v>
      </c>
      <c r="F767" s="123">
        <v>-2100.0</v>
      </c>
      <c r="G767" s="123"/>
      <c r="H767" s="123">
        <v>-199.26</v>
      </c>
      <c r="I767" s="123"/>
      <c r="J767" s="123">
        <v>823.49</v>
      </c>
      <c r="K767" s="123">
        <v>-2301.71</v>
      </c>
      <c r="L767" s="123">
        <v>-2368.58</v>
      </c>
      <c r="M767" s="123">
        <v>-146.61</v>
      </c>
      <c r="N767" s="123">
        <v>185.11</v>
      </c>
      <c r="O767" s="123">
        <v>64559.0</v>
      </c>
      <c r="P767" s="52">
        <f t="shared" si="23"/>
        <v>64559.57</v>
      </c>
      <c r="Q767" s="124">
        <f t="shared" si="2"/>
        <v>-0.57</v>
      </c>
      <c r="R767" s="52">
        <f t="array" ref="R767">IFERROR(INDEX('Fund YTD Target Values'!$1:$1000, MATCH($C767,'Fund YTD Target Values'!$A:$A,0), MATCH($A767,'Fund YTD Target Values'!$1:$1,0)),0)</f>
        <v>55810.3107</v>
      </c>
      <c r="S767" s="52">
        <f>IFERROR(__xludf.DUMMYFUNCTION("IFERROR(sum(FILTER('Fund Data'!$V:$V, 'Fund Data'!$C:$C = $C767, 'Fund Data'!$A:$A &lt; $A767)),0) + IFERROR(sum(FILTER('Fund Data'!$V:$V, 'Fund Data'!$C:$C = $C767, 'Fund Data'!$A:$A = $A767, 'Fund Data'!$B:$B &lt;= $B767)),0)"),49449.04)</f>
        <v>49449.04</v>
      </c>
      <c r="T767" s="44"/>
      <c r="U767" s="44"/>
      <c r="V767" s="44">
        <f t="shared" si="3"/>
        <v>0</v>
      </c>
      <c r="W767" s="123"/>
      <c r="X767" s="123"/>
      <c r="Y767" s="123">
        <v>0.0</v>
      </c>
      <c r="Z767" s="123">
        <v>0.0</v>
      </c>
      <c r="AA767" s="123">
        <v>0.0</v>
      </c>
      <c r="AB767" s="123"/>
      <c r="AC767" s="123">
        <v>0.0</v>
      </c>
      <c r="AD767" s="44">
        <f t="shared" si="7"/>
        <v>-2100</v>
      </c>
      <c r="AE767" s="123">
        <v>0.0</v>
      </c>
    </row>
    <row r="768">
      <c r="A768" s="120">
        <v>2000.0</v>
      </c>
      <c r="B768" s="121">
        <v>12.0</v>
      </c>
      <c r="C768" s="122" t="s">
        <v>32</v>
      </c>
      <c r="D768" s="44"/>
      <c r="E768" s="123">
        <v>1426.39</v>
      </c>
      <c r="F768" s="123">
        <v>-1500.0</v>
      </c>
      <c r="G768" s="123"/>
      <c r="H768" s="123">
        <v>-215.09</v>
      </c>
      <c r="I768" s="123"/>
      <c r="J768" s="123">
        <v>74.97</v>
      </c>
      <c r="K768" s="123">
        <v>-333.67</v>
      </c>
      <c r="L768" s="123">
        <v>-6166.41</v>
      </c>
      <c r="M768" s="123">
        <v>142.64</v>
      </c>
      <c r="N768" s="123">
        <v>5850.2</v>
      </c>
      <c r="O768" s="123">
        <v>68802.0</v>
      </c>
      <c r="P768" s="52">
        <f t="shared" si="23"/>
        <v>68802.33</v>
      </c>
      <c r="Q768" s="124">
        <f t="shared" si="2"/>
        <v>-0.33</v>
      </c>
      <c r="R768" s="52">
        <f t="array" ref="R768">IFERROR(INDEX('Fund YTD Target Values'!$1:$1000, MATCH($C768,'Fund YTD Target Values'!$A:$A,0), MATCH($A768,'Fund YTD Target Values'!$1:$1,0)),0)</f>
        <v>54273.44161</v>
      </c>
      <c r="S768" s="52">
        <f>IFERROR(__xludf.DUMMYFUNCTION("IFERROR(sum(FILTER('Fund Data'!$V:$V, 'Fund Data'!$C:$C = $C768, 'Fund Data'!$A:$A &lt; $A768)),0) + IFERROR(sum(FILTER('Fund Data'!$V:$V, 'Fund Data'!$C:$C = $C768, 'Fund Data'!$A:$A = $A768, 'Fund Data'!$B:$B &lt;= $B768)),0)"),49449.04)</f>
        <v>49449.04</v>
      </c>
      <c r="T768" s="44"/>
      <c r="U768" s="44"/>
      <c r="V768" s="44">
        <f t="shared" si="3"/>
        <v>0</v>
      </c>
      <c r="W768" s="123"/>
      <c r="X768" s="123"/>
      <c r="Y768" s="123">
        <v>0.0</v>
      </c>
      <c r="Z768" s="123">
        <v>0.0</v>
      </c>
      <c r="AA768" s="123">
        <v>0.0</v>
      </c>
      <c r="AB768" s="123"/>
      <c r="AC768" s="123">
        <v>0.0</v>
      </c>
      <c r="AD768" s="44">
        <f t="shared" si="7"/>
        <v>-1500</v>
      </c>
      <c r="AE768" s="123">
        <v>0.0</v>
      </c>
    </row>
    <row r="769">
      <c r="A769" s="120">
        <v>1999.0</v>
      </c>
      <c r="B769" s="121">
        <v>12.0</v>
      </c>
      <c r="C769" s="122" t="s">
        <v>32</v>
      </c>
      <c r="D769" s="44"/>
      <c r="E769" s="123">
        <v>1748.36</v>
      </c>
      <c r="F769" s="123">
        <v>-2000.0</v>
      </c>
      <c r="G769" s="123">
        <v>56.15</v>
      </c>
      <c r="H769" s="123">
        <v>-178.68</v>
      </c>
      <c r="I769" s="123"/>
      <c r="J769" s="123">
        <v>3000.06</v>
      </c>
      <c r="K769" s="123">
        <v>-300.61</v>
      </c>
      <c r="L769" s="123">
        <v>-1565.25</v>
      </c>
      <c r="M769" s="123">
        <v>2.85</v>
      </c>
      <c r="N769" s="123">
        <v>4005.39</v>
      </c>
      <c r="O769" s="123">
        <v>69523.0</v>
      </c>
      <c r="P769" s="52">
        <f t="shared" si="23"/>
        <v>69523.3</v>
      </c>
      <c r="Q769" s="124">
        <f t="shared" si="2"/>
        <v>-0.3</v>
      </c>
      <c r="R769" s="52">
        <f t="array" ref="R769">IFERROR(INDEX('Fund YTD Target Values'!$1:$1000, MATCH($C769,'Fund YTD Target Values'!$A:$A,0), MATCH($A769,'Fund YTD Target Values'!$1:$1,0)),0)</f>
        <v>52500.9878</v>
      </c>
      <c r="S769" s="52">
        <f>IFERROR(__xludf.DUMMYFUNCTION("IFERROR(sum(FILTER('Fund Data'!$V:$V, 'Fund Data'!$C:$C = $C769, 'Fund Data'!$A:$A &lt; $A769)),0) + IFERROR(sum(FILTER('Fund Data'!$V:$V, 'Fund Data'!$C:$C = $C769, 'Fund Data'!$A:$A = $A769, 'Fund Data'!$B:$B &lt;= $B769)),0)"),49449.04)</f>
        <v>49449.04</v>
      </c>
      <c r="T769" s="44"/>
      <c r="U769" s="44"/>
      <c r="V769" s="44">
        <f t="shared" si="3"/>
        <v>0</v>
      </c>
      <c r="W769" s="123"/>
      <c r="X769" s="123"/>
      <c r="Y769" s="123">
        <v>0.0</v>
      </c>
      <c r="Z769" s="123">
        <v>0.0</v>
      </c>
      <c r="AA769" s="123">
        <v>0.0</v>
      </c>
      <c r="AB769" s="123"/>
      <c r="AC769" s="123">
        <v>0.0</v>
      </c>
      <c r="AD769" s="44">
        <f t="shared" si="7"/>
        <v>-2000</v>
      </c>
      <c r="AE769" s="123">
        <v>0.0</v>
      </c>
    </row>
    <row r="770">
      <c r="A770" s="120">
        <v>1998.0</v>
      </c>
      <c r="B770" s="121">
        <v>12.0</v>
      </c>
      <c r="C770" s="122" t="s">
        <v>32</v>
      </c>
      <c r="D770" s="44"/>
      <c r="E770" s="123">
        <v>1854.57</v>
      </c>
      <c r="F770" s="123">
        <v>-2000.0</v>
      </c>
      <c r="G770" s="123"/>
      <c r="H770" s="44"/>
      <c r="I770" s="123"/>
      <c r="J770" s="123">
        <v>1268.98</v>
      </c>
      <c r="K770" s="44"/>
      <c r="L770" s="123">
        <v>3381.65</v>
      </c>
      <c r="M770" s="123">
        <v>0.75</v>
      </c>
      <c r="N770" s="123">
        <v>2297.53</v>
      </c>
      <c r="O770" s="123">
        <v>64755.0</v>
      </c>
      <c r="P770" s="52">
        <f t="shared" si="23"/>
        <v>64755.03</v>
      </c>
      <c r="Q770" s="124">
        <f t="shared" si="2"/>
        <v>-0.03</v>
      </c>
      <c r="R770" s="52">
        <f t="array" ref="R770">IFERROR(INDEX('Fund YTD Target Values'!$1:$1000, MATCH($C770,'Fund YTD Target Values'!$A:$A,0), MATCH($A770,'Fund YTD Target Values'!$1:$1,0)),0)</f>
        <v>51377.68355</v>
      </c>
      <c r="S770" s="52">
        <f>IFERROR(__xludf.DUMMYFUNCTION("IFERROR(sum(FILTER('Fund Data'!$V:$V, 'Fund Data'!$C:$C = $C770, 'Fund Data'!$A:$A &lt; $A770)),0) + IFERROR(sum(FILTER('Fund Data'!$V:$V, 'Fund Data'!$C:$C = $C770, 'Fund Data'!$A:$A = $A770, 'Fund Data'!$B:$B &lt;= $B770)),0)"),49449.04)</f>
        <v>49449.04</v>
      </c>
      <c r="T770" s="44"/>
      <c r="U770" s="44"/>
      <c r="V770" s="44">
        <f t="shared" si="3"/>
        <v>0</v>
      </c>
      <c r="W770" s="123"/>
      <c r="X770" s="123"/>
      <c r="Y770" s="123">
        <v>0.0</v>
      </c>
      <c r="Z770" s="123">
        <v>0.0</v>
      </c>
      <c r="AA770" s="123">
        <v>0.0</v>
      </c>
      <c r="AB770" s="123"/>
      <c r="AC770" s="123">
        <v>0.0</v>
      </c>
      <c r="AD770" s="44">
        <f t="shared" si="7"/>
        <v>-2000</v>
      </c>
      <c r="AE770" s="123">
        <v>0.0</v>
      </c>
    </row>
    <row r="771">
      <c r="A771" s="120">
        <v>1997.0</v>
      </c>
      <c r="B771" s="121">
        <v>12.0</v>
      </c>
      <c r="C771" s="122" t="s">
        <v>32</v>
      </c>
      <c r="D771" s="123">
        <v>610.0</v>
      </c>
      <c r="E771" s="123">
        <v>1934.67</v>
      </c>
      <c r="F771" s="123">
        <v>-1500.0</v>
      </c>
      <c r="G771" s="123"/>
      <c r="H771" s="44"/>
      <c r="I771" s="123"/>
      <c r="J771" s="123">
        <v>123.51</v>
      </c>
      <c r="K771" s="123">
        <v>-112.87</v>
      </c>
      <c r="L771" s="123">
        <v>6742.0</v>
      </c>
      <c r="M771" s="123">
        <v>-8.0</v>
      </c>
      <c r="N771" s="123">
        <v>1209.24</v>
      </c>
      <c r="O771" s="123">
        <v>57952.0</v>
      </c>
      <c r="P771" s="52">
        <f t="shared" si="23"/>
        <v>57951.55</v>
      </c>
      <c r="Q771" s="124">
        <f t="shared" si="2"/>
        <v>0.45</v>
      </c>
      <c r="R771" s="52">
        <f t="array" ref="R771">IFERROR(INDEX('Fund YTD Target Values'!$1:$1000, MATCH($C771,'Fund YTD Target Values'!$A:$A,0), MATCH($A771,'Fund YTD Target Values'!$1:$1,0)),0)</f>
        <v>50592.36498</v>
      </c>
      <c r="S771" s="52">
        <f>IFERROR(__xludf.DUMMYFUNCTION("IFERROR(sum(FILTER('Fund Data'!$V:$V, 'Fund Data'!$C:$C = $C771, 'Fund Data'!$A:$A &lt; $A771)),0) + IFERROR(sum(FILTER('Fund Data'!$V:$V, 'Fund Data'!$C:$C = $C771, 'Fund Data'!$A:$A = $A771, 'Fund Data'!$B:$B &lt;= $B771)),0)"),49449.04)</f>
        <v>49449.04</v>
      </c>
      <c r="T771" s="44"/>
      <c r="U771" s="44"/>
      <c r="V771" s="44">
        <f t="shared" si="3"/>
        <v>610</v>
      </c>
      <c r="W771" s="123"/>
      <c r="X771" s="123"/>
      <c r="Y771" s="123">
        <v>0.0</v>
      </c>
      <c r="Z771" s="123">
        <v>0.0</v>
      </c>
      <c r="AA771" s="123">
        <v>0.0</v>
      </c>
      <c r="AB771" s="123"/>
      <c r="AC771" s="123">
        <v>0.0</v>
      </c>
      <c r="AD771" s="44">
        <f t="shared" si="7"/>
        <v>-1500</v>
      </c>
      <c r="AE771" s="123">
        <v>0.0</v>
      </c>
    </row>
    <row r="772">
      <c r="A772" s="120">
        <v>1996.0</v>
      </c>
      <c r="B772" s="121">
        <v>12.0</v>
      </c>
      <c r="C772" s="122" t="s">
        <v>32</v>
      </c>
      <c r="D772" s="123">
        <v>48839.04</v>
      </c>
      <c r="E772" s="123">
        <v>2839.96</v>
      </c>
      <c r="F772" s="123">
        <v>-2000.0</v>
      </c>
      <c r="G772" s="123"/>
      <c r="H772" s="123">
        <v>-77.0</v>
      </c>
      <c r="I772" s="44"/>
      <c r="J772" s="44"/>
      <c r="K772" s="123">
        <v>-269.0</v>
      </c>
      <c r="L772" s="123">
        <v>-362.0</v>
      </c>
      <c r="M772" s="123">
        <v>-18.0</v>
      </c>
      <c r="N772" s="44"/>
      <c r="O772" s="123">
        <v>48953.0</v>
      </c>
      <c r="P772" s="52">
        <f t="shared" si="23"/>
        <v>48953</v>
      </c>
      <c r="Q772" s="124">
        <f t="shared" si="2"/>
        <v>0</v>
      </c>
      <c r="R772" s="52">
        <f t="array" ref="R772">IFERROR(INDEX('Fund YTD Target Values'!$1:$1000, MATCH($C772,'Fund YTD Target Values'!$A:$A,0), MATCH($A772,'Fund YTD Target Values'!$1:$1,0)),0)</f>
        <v>48839.04</v>
      </c>
      <c r="S772" s="52">
        <f>IFERROR(__xludf.DUMMYFUNCTION("IFERROR(sum(FILTER('Fund Data'!$V:$V, 'Fund Data'!$C:$C = $C772, 'Fund Data'!$A:$A &lt; $A772)),0) + IFERROR(sum(FILTER('Fund Data'!$V:$V, 'Fund Data'!$C:$C = $C772, 'Fund Data'!$A:$A = $A772, 'Fund Data'!$B:$B &lt;= $B772)),0)"),48839.04)</f>
        <v>48839.04</v>
      </c>
      <c r="T772" s="44"/>
      <c r="U772" s="44"/>
      <c r="V772" s="44">
        <f t="shared" si="3"/>
        <v>48839.04</v>
      </c>
      <c r="W772" s="123"/>
      <c r="X772" s="123"/>
      <c r="Y772" s="123">
        <v>0.0</v>
      </c>
      <c r="Z772" s="123">
        <v>0.0</v>
      </c>
      <c r="AA772" s="123">
        <v>0.0</v>
      </c>
      <c r="AB772" s="123"/>
      <c r="AC772" s="123">
        <v>0.0</v>
      </c>
      <c r="AD772" s="44">
        <f t="shared" si="7"/>
        <v>-2000</v>
      </c>
      <c r="AE772" s="123">
        <v>0.0</v>
      </c>
    </row>
    <row r="773">
      <c r="A773" s="120">
        <v>2019.0</v>
      </c>
      <c r="B773" s="121">
        <v>6.0</v>
      </c>
      <c r="C773" s="122" t="s">
        <v>54</v>
      </c>
      <c r="D773" s="44"/>
      <c r="E773" s="123">
        <v>1809.63</v>
      </c>
      <c r="F773" s="123">
        <v>-7000.0</v>
      </c>
      <c r="G773" s="44"/>
      <c r="H773" s="123">
        <v>-408.04</v>
      </c>
      <c r="I773" s="44"/>
      <c r="J773" s="123">
        <v>1434.63</v>
      </c>
      <c r="K773" s="44"/>
      <c r="L773" s="123">
        <v>12847.65</v>
      </c>
      <c r="M773" s="44"/>
      <c r="N773" s="44"/>
      <c r="O773" s="123">
        <v>145129.02</v>
      </c>
      <c r="P773" s="52">
        <f t="shared" si="23"/>
        <v>145128.98</v>
      </c>
      <c r="Q773" s="124">
        <f t="shared" si="2"/>
        <v>0.04000000001</v>
      </c>
      <c r="R773" s="52">
        <f t="array" ref="R773">IFERROR(INDEX('Fund YTD Target Values'!$1:$1000, MATCH($C773,'Fund YTD Target Values'!$A:$A,0), MATCH($A773,'Fund YTD Target Values'!$1:$1,0)),0)</f>
        <v>164177.3213</v>
      </c>
      <c r="S773" s="52">
        <f>IFERROR(__xludf.DUMMYFUNCTION("IFERROR(sum(FILTER('Fund Data'!$V:$V, 'Fund Data'!$C:$C = $C773, 'Fund Data'!$A:$A &lt; $A773)),0) + IFERROR(sum(FILTER('Fund Data'!$V:$V, 'Fund Data'!$C:$C = $C773, 'Fund Data'!$A:$A = $A773, 'Fund Data'!$B:$B &lt;= $B773)),0)"),129703.74)</f>
        <v>129703.74</v>
      </c>
      <c r="T773" s="44"/>
      <c r="U773" s="44"/>
      <c r="V773" s="44">
        <f t="shared" si="3"/>
        <v>0</v>
      </c>
      <c r="W773" s="52">
        <f>IFERROR(__xludf.DUMMYFUNCTION("iFERROR((FILTER('Fund Data'!$Y:$Y, 'Fund Data'!$C:$C = $C773, 'Fund Data'!$A:$A = $A773 - 1, 'Fund Data'!$B:$B = 12) + FILTER('Fund Data'!$AA:$AA, 'Fund Data'!$C:$C = $C773, 'Fund Data'!$A:$A = $A773 - 1, 'Fund Data'!$B:$B = 12)) * (1 + AVERAGE(FILTER('In"&amp;"flation Data'!$C:$C,'Inflation Data'!$A:$A = ($A773 - 2)))) * 'Parameters and Distribution Sum'!$A$4,0)"),4980.550706212943)</f>
        <v>4980.550706</v>
      </c>
      <c r="X773" s="52">
        <f>IFERROR(__xludf.DUMMYFUNCTION("IFERROR((IFERROR(FILTER('Fund Data'!$P:$P,'Fund Data'!$C:$C = $C773,'Fund Data'!$A:$A = ($A773 - 2), 'Fund Data'!$B:$B = 12),0) - SUM(FILTER('Fund Data'!$V:$V, 'Fund Data'!$C:$C = $C773, 'Fund Data'!$A:$A = ($A773 - 2), 'Fund Data'!$B:$B &gt; 3)))  * 'Parame"&amp;"ters and Distribution Sum'!$B$4 * (1 - 'Parameters and Distribution Sum'!$A$4),0)"),2089.9715850000002)</f>
        <v>2089.971585</v>
      </c>
      <c r="Y773" s="52">
        <f t="shared" ref="Y773:Y778" si="74">sum($W773:$X773)</f>
        <v>7070.522291</v>
      </c>
      <c r="Z773" s="52">
        <f>IFERROR(__xludf.DUMMYFUNCTION("((IFERROR((SUM(FILTER('Fund Data'!$V:$V, 'Fund Data'!$C:$C = $C773, 'Fund Data'!$A:$A = $A773 - 1, 'Fund Data'!$B:$B &gt;= 4, 'Fund Data'!$B:$B &lt;= ($B773 + 5))) / 12) * ($B773 - 3) * 'Parameters and Distribution Sum'!$B$4, 0) + IF($B773 &gt;= 9, IFERROR(SUM(FIL"&amp;"TER('Fund Data'!$V:$V, 'Fund Data'!$C:$C = $C773, 'Fund Data'!$A:$A = $A773, 'Fund Data'!$B:$B &lt;= 3)) * 'Parameters and Distribution Sum'!$B$4, 0),0)))"),0.0)</f>
        <v>0</v>
      </c>
      <c r="AA773" s="44">
        <f>IFERROR(__xludf.DUMMYFUNCTION("IFERROR(((IFERROR(SUM(FILTER('Fund Data'!$V:$V, 'Fund Data'!$C:$C = $C773, 'Fund Data'!$A:$A = $A773 - 2, 'Fund Data'!$B:$B &gt;= 4)) * 'Parameters and Distribution Sum'!$B$4,0) + IFERROR(SUM(FILTER('Fund Data'!$V:$V, 'Fund Data'!$C:$C = $C773, 'Fund Data'!$"&amp;"A:$A = $A773 - 1, 'Fund Data'!$B:$B &lt;= 3)) * 'Parameters and Distribution Sum'!$B$4,0))),0)"),0.0)</f>
        <v>0</v>
      </c>
      <c r="AB773" s="44">
        <f t="shared" ref="AB773:AB779" si="75">IFERROR(__xludf.DUMMYFUNCTION("IFERROR(FILTER($AE:$AE,$C:$C = $C773,$A:$A = $A773 - 1,$B:$B = 12),0)"),0.0)</f>
        <v>0</v>
      </c>
      <c r="AC773" s="44">
        <f t="shared" ref="AC773:AC779" si="76">sum($Y773:$AB773)</f>
        <v>7070.522291</v>
      </c>
      <c r="AD773" s="44">
        <f t="shared" si="7"/>
        <v>70.52229121</v>
      </c>
      <c r="AE773" s="44"/>
    </row>
    <row r="774">
      <c r="A774" s="120">
        <v>2019.0</v>
      </c>
      <c r="B774" s="121">
        <v>5.0</v>
      </c>
      <c r="C774" s="122" t="s">
        <v>54</v>
      </c>
      <c r="D774" s="44"/>
      <c r="E774" s="123">
        <v>1658.5</v>
      </c>
      <c r="F774" s="123">
        <v>-7000.0</v>
      </c>
      <c r="G774" s="44"/>
      <c r="H774" s="123">
        <v>-342.17</v>
      </c>
      <c r="I774" s="44"/>
      <c r="J774" s="123">
        <v>1434.63</v>
      </c>
      <c r="K774" s="44"/>
      <c r="L774" s="123">
        <v>7301.03</v>
      </c>
      <c r="M774" s="44"/>
      <c r="N774" s="44"/>
      <c r="O774" s="123">
        <v>139497.14</v>
      </c>
      <c r="P774" s="52">
        <f t="shared" si="23"/>
        <v>139497.1</v>
      </c>
      <c r="Q774" s="124">
        <f t="shared" si="2"/>
        <v>0.04000000004</v>
      </c>
      <c r="R774" s="52">
        <f t="array" ref="R774">IFERROR(INDEX('Fund YTD Target Values'!$1:$1000, MATCH($C774,'Fund YTD Target Values'!$A:$A,0), MATCH($A774,'Fund YTD Target Values'!$1:$1,0)),0)</f>
        <v>164177.3213</v>
      </c>
      <c r="S774" s="52">
        <f>IFERROR(__xludf.DUMMYFUNCTION("IFERROR(sum(FILTER('Fund Data'!$V:$V, 'Fund Data'!$C:$C = $C774, 'Fund Data'!$A:$A &lt; $A774)),0) + IFERROR(sum(FILTER('Fund Data'!$V:$V, 'Fund Data'!$C:$C = $C774, 'Fund Data'!$A:$A = $A774, 'Fund Data'!$B:$B &lt;= $B774)),0)"),129703.74)</f>
        <v>129703.74</v>
      </c>
      <c r="T774" s="44"/>
      <c r="U774" s="44"/>
      <c r="V774" s="44">
        <f t="shared" si="3"/>
        <v>0</v>
      </c>
      <c r="W774" s="52">
        <f>IFERROR(__xludf.DUMMYFUNCTION("iFERROR((FILTER('Fund Data'!$Y:$Y, 'Fund Data'!$C:$C = $C774, 'Fund Data'!$A:$A = $A774 - 1, 'Fund Data'!$B:$B = 12) + FILTER('Fund Data'!$AA:$AA, 'Fund Data'!$C:$C = $C774, 'Fund Data'!$A:$A = $A774 - 1, 'Fund Data'!$B:$B = 12)) * (1 + AVERAGE(FILTER('In"&amp;"flation Data'!$C:$C,'Inflation Data'!$A:$A = ($A774 - 2)))) * 'Parameters and Distribution Sum'!$A$4,0)"),4980.550706212943)</f>
        <v>4980.550706</v>
      </c>
      <c r="X774" s="52">
        <f>IFERROR(__xludf.DUMMYFUNCTION("IFERROR((IFERROR(FILTER('Fund Data'!$P:$P,'Fund Data'!$C:$C = $C774,'Fund Data'!$A:$A = ($A774 - 2), 'Fund Data'!$B:$B = 12),0) - SUM(FILTER('Fund Data'!$V:$V, 'Fund Data'!$C:$C = $C774, 'Fund Data'!$A:$A = ($A774 - 2), 'Fund Data'!$B:$B &gt; 3)))  * 'Parame"&amp;"ters and Distribution Sum'!$B$4 * (1 - 'Parameters and Distribution Sum'!$A$4),0)"),2089.9715850000002)</f>
        <v>2089.971585</v>
      </c>
      <c r="Y774" s="52">
        <f t="shared" si="74"/>
        <v>7070.522291</v>
      </c>
      <c r="Z774" s="52">
        <f>IFERROR(__xludf.DUMMYFUNCTION("((IFERROR((SUM(FILTER('Fund Data'!$V:$V, 'Fund Data'!$C:$C = $C774, 'Fund Data'!$A:$A = $A774 - 1, 'Fund Data'!$B:$B &gt;= 4, 'Fund Data'!$B:$B &lt;= ($B774 + 5))) / 12) * ($B774 - 3) * 'Parameters and Distribution Sum'!$B$4, 0) + IF($B774 &gt;= 9, IFERROR(SUM(FIL"&amp;"TER('Fund Data'!$V:$V, 'Fund Data'!$C:$C = $C774, 'Fund Data'!$A:$A = $A774, 'Fund Data'!$B:$B &lt;= 3)) * 'Parameters and Distribution Sum'!$B$4, 0),0)))"),0.0)</f>
        <v>0</v>
      </c>
      <c r="AA774" s="44">
        <f>IFERROR(__xludf.DUMMYFUNCTION("IFERROR(((IFERROR(SUM(FILTER('Fund Data'!$V:$V, 'Fund Data'!$C:$C = $C774, 'Fund Data'!$A:$A = $A774 - 2, 'Fund Data'!$B:$B &gt;= 4)) * 'Parameters and Distribution Sum'!$B$4,0) + IFERROR(SUM(FILTER('Fund Data'!$V:$V, 'Fund Data'!$C:$C = $C774, 'Fund Data'!$"&amp;"A:$A = $A774 - 1, 'Fund Data'!$B:$B &lt;= 3)) * 'Parameters and Distribution Sum'!$B$4,0))),0)"),0.0)</f>
        <v>0</v>
      </c>
      <c r="AB774" s="44">
        <f t="shared" si="75"/>
        <v>0</v>
      </c>
      <c r="AC774" s="44">
        <f t="shared" si="76"/>
        <v>7070.522291</v>
      </c>
      <c r="AD774" s="44">
        <f t="shared" si="7"/>
        <v>70.52229121</v>
      </c>
      <c r="AE774" s="44"/>
    </row>
    <row r="775">
      <c r="A775" s="120">
        <v>2019.0</v>
      </c>
      <c r="B775" s="121">
        <v>4.0</v>
      </c>
      <c r="C775" s="122" t="s">
        <v>54</v>
      </c>
      <c r="D775" s="44"/>
      <c r="E775" s="123">
        <v>1530.89</v>
      </c>
      <c r="F775" s="44"/>
      <c r="G775" s="44"/>
      <c r="H775" s="123">
        <v>-271.19</v>
      </c>
      <c r="I775" s="44"/>
      <c r="J775" s="44"/>
      <c r="K775" s="44"/>
      <c r="L775" s="123">
        <v>14339.55</v>
      </c>
      <c r="M775" s="44"/>
      <c r="N775" s="44"/>
      <c r="O775" s="123">
        <v>152044.0</v>
      </c>
      <c r="P775" s="52">
        <f t="shared" si="23"/>
        <v>152044.36</v>
      </c>
      <c r="Q775" s="124">
        <f t="shared" si="2"/>
        <v>-0.36</v>
      </c>
      <c r="R775" s="52">
        <f t="array" ref="R775">IFERROR(INDEX('Fund YTD Target Values'!$1:$1000, MATCH($C775,'Fund YTD Target Values'!$A:$A,0), MATCH($A775,'Fund YTD Target Values'!$1:$1,0)),0)</f>
        <v>164177.3213</v>
      </c>
      <c r="S775" s="52">
        <f>IFERROR(__xludf.DUMMYFUNCTION("IFERROR(sum(FILTER('Fund Data'!$V:$V, 'Fund Data'!$C:$C = $C775, 'Fund Data'!$A:$A &lt; $A775)),0) + IFERROR(sum(FILTER('Fund Data'!$V:$V, 'Fund Data'!$C:$C = $C775, 'Fund Data'!$A:$A = $A775, 'Fund Data'!$B:$B &lt;= $B775)),0)"),129703.74)</f>
        <v>129703.74</v>
      </c>
      <c r="T775" s="44"/>
      <c r="U775" s="44"/>
      <c r="V775" s="44">
        <f t="shared" si="3"/>
        <v>0</v>
      </c>
      <c r="W775" s="52">
        <f>IFERROR(__xludf.DUMMYFUNCTION("iFERROR((FILTER('Fund Data'!$Y:$Y, 'Fund Data'!$C:$C = $C775, 'Fund Data'!$A:$A = $A775 - 1, 'Fund Data'!$B:$B = 12) + FILTER('Fund Data'!$AA:$AA, 'Fund Data'!$C:$C = $C775, 'Fund Data'!$A:$A = $A775 - 1, 'Fund Data'!$B:$B = 12)) * (1 + AVERAGE(FILTER('In"&amp;"flation Data'!$C:$C,'Inflation Data'!$A:$A = ($A775 - 2)))) * 'Parameters and Distribution Sum'!$A$4,0)"),4980.550706212943)</f>
        <v>4980.550706</v>
      </c>
      <c r="X775" s="52">
        <f>IFERROR(__xludf.DUMMYFUNCTION("IFERROR((IFERROR(FILTER('Fund Data'!$P:$P,'Fund Data'!$C:$C = $C775,'Fund Data'!$A:$A = ($A775 - 2), 'Fund Data'!$B:$B = 12),0) - SUM(FILTER('Fund Data'!$V:$V, 'Fund Data'!$C:$C = $C775, 'Fund Data'!$A:$A = ($A775 - 2), 'Fund Data'!$B:$B &gt; 3)))  * 'Parame"&amp;"ters and Distribution Sum'!$B$4 * (1 - 'Parameters and Distribution Sum'!$A$4),0)"),2089.9715850000002)</f>
        <v>2089.971585</v>
      </c>
      <c r="Y775" s="52">
        <f t="shared" si="74"/>
        <v>7070.522291</v>
      </c>
      <c r="Z775" s="52">
        <f>IFERROR(__xludf.DUMMYFUNCTION("((IFERROR((SUM(FILTER('Fund Data'!$V:$V, 'Fund Data'!$C:$C = $C775, 'Fund Data'!$A:$A = $A775 - 1, 'Fund Data'!$B:$B &gt;= 4, 'Fund Data'!$B:$B &lt;= ($B775 + 5))) / 12) * ($B775 - 3) * 'Parameters and Distribution Sum'!$B$4, 0) + IF($B775 &gt;= 9, IFERROR(SUM(FIL"&amp;"TER('Fund Data'!$V:$V, 'Fund Data'!$C:$C = $C775, 'Fund Data'!$A:$A = $A775, 'Fund Data'!$B:$B &lt;= 3)) * 'Parameters and Distribution Sum'!$B$4, 0),0)))"),0.0)</f>
        <v>0</v>
      </c>
      <c r="AA775" s="44">
        <f>IFERROR(__xludf.DUMMYFUNCTION("IFERROR(((IFERROR(SUM(FILTER('Fund Data'!$V:$V, 'Fund Data'!$C:$C = $C775, 'Fund Data'!$A:$A = $A775 - 2, 'Fund Data'!$B:$B &gt;= 4)) * 'Parameters and Distribution Sum'!$B$4,0) + IFERROR(SUM(FILTER('Fund Data'!$V:$V, 'Fund Data'!$C:$C = $C775, 'Fund Data'!$"&amp;"A:$A = $A775 - 1, 'Fund Data'!$B:$B &lt;= 3)) * 'Parameters and Distribution Sum'!$B$4,0))),0)"),0.0)</f>
        <v>0</v>
      </c>
      <c r="AB775" s="44">
        <f t="shared" si="75"/>
        <v>0</v>
      </c>
      <c r="AC775" s="44">
        <f t="shared" si="76"/>
        <v>7070.522291</v>
      </c>
      <c r="AD775" s="44">
        <f t="shared" si="7"/>
        <v>7070.522291</v>
      </c>
      <c r="AE775" s="44"/>
    </row>
    <row r="776">
      <c r="A776" s="120">
        <v>2019.0</v>
      </c>
      <c r="B776" s="121">
        <v>3.0</v>
      </c>
      <c r="C776" s="122" t="s">
        <v>54</v>
      </c>
      <c r="D776" s="44"/>
      <c r="E776" s="123">
        <v>1156.95</v>
      </c>
      <c r="F776" s="44"/>
      <c r="G776" s="44"/>
      <c r="H776" s="123">
        <v>-201.62</v>
      </c>
      <c r="I776" s="44"/>
      <c r="J776" s="44"/>
      <c r="K776" s="44"/>
      <c r="L776" s="123">
        <v>11378.3</v>
      </c>
      <c r="M776" s="44"/>
      <c r="N776" s="44"/>
      <c r="O776" s="123">
        <v>148779.0</v>
      </c>
      <c r="P776" s="52">
        <f t="shared" si="23"/>
        <v>148778.74</v>
      </c>
      <c r="Q776" s="124">
        <f t="shared" si="2"/>
        <v>0.26</v>
      </c>
      <c r="R776" s="52">
        <f t="array" ref="R776">IFERROR(INDEX('Fund YTD Target Values'!$1:$1000, MATCH($C776,'Fund YTD Target Values'!$A:$A,0), MATCH($A776,'Fund YTD Target Values'!$1:$1,0)),0)</f>
        <v>164177.3213</v>
      </c>
      <c r="S776" s="52">
        <f>IFERROR(__xludf.DUMMYFUNCTION("IFERROR(sum(FILTER('Fund Data'!$V:$V, 'Fund Data'!$C:$C = $C776, 'Fund Data'!$A:$A &lt; $A776)),0) + IFERROR(sum(FILTER('Fund Data'!$V:$V, 'Fund Data'!$C:$C = $C776, 'Fund Data'!$A:$A = $A776, 'Fund Data'!$B:$B &lt;= $B776)),0)"),129703.74)</f>
        <v>129703.74</v>
      </c>
      <c r="T776" s="123"/>
      <c r="U776" s="44"/>
      <c r="V776" s="44">
        <f t="shared" si="3"/>
        <v>0</v>
      </c>
      <c r="W776" s="52">
        <f>IFERROR(__xludf.DUMMYFUNCTION("iFERROR((FILTER('Fund Data'!$Y:$Y, 'Fund Data'!$C:$C = $C776, 'Fund Data'!$A:$A = $A776 - 1, 'Fund Data'!$B:$B = 12) + FILTER('Fund Data'!$AA:$AA, 'Fund Data'!$C:$C = $C776, 'Fund Data'!$A:$A = $A776 - 1, 'Fund Data'!$B:$B = 12)) * (1 + AVERAGE(FILTER('In"&amp;"flation Data'!$C:$C,'Inflation Data'!$A:$A = ($A776 - 2)))) * 'Parameters and Distribution Sum'!$A$4,0)"),4980.550706212943)</f>
        <v>4980.550706</v>
      </c>
      <c r="X776" s="52">
        <f>IFERROR(__xludf.DUMMYFUNCTION("IFERROR((IFERROR(FILTER('Fund Data'!$P:$P,'Fund Data'!$C:$C = $C776,'Fund Data'!$A:$A = ($A776 - 2), 'Fund Data'!$B:$B = 12),0) - SUM(FILTER('Fund Data'!$V:$V, 'Fund Data'!$C:$C = $C776, 'Fund Data'!$A:$A = ($A776 - 2), 'Fund Data'!$B:$B &gt; 3)))  * 'Parame"&amp;"ters and Distribution Sum'!$B$4 * (1 - 'Parameters and Distribution Sum'!$A$4),0)"),2089.9715850000002)</f>
        <v>2089.971585</v>
      </c>
      <c r="Y776" s="52">
        <f t="shared" si="74"/>
        <v>7070.522291</v>
      </c>
      <c r="Z776" s="52">
        <f>IFERROR(__xludf.DUMMYFUNCTION("((IFERROR((SUM(FILTER('Fund Data'!$V:$V, 'Fund Data'!$C:$C = $C776, 'Fund Data'!$A:$A = $A776 - 1, 'Fund Data'!$B:$B &gt;= 4, 'Fund Data'!$B:$B &lt;= ($B776 + 5))) / 12) * ($B776 - 3) * 'Parameters and Distribution Sum'!$B$4, 0) + IF($B776 &gt;= 9, IFERROR(SUM(FIL"&amp;"TER('Fund Data'!$V:$V, 'Fund Data'!$C:$C = $C776, 'Fund Data'!$A:$A = $A776, 'Fund Data'!$B:$B &lt;= 3)) * 'Parameters and Distribution Sum'!$B$4, 0),0)))"),0.0)</f>
        <v>0</v>
      </c>
      <c r="AA776" s="44">
        <f>IFERROR(__xludf.DUMMYFUNCTION("IFERROR(((IFERROR(SUM(FILTER('Fund Data'!$V:$V, 'Fund Data'!$C:$C = $C776, 'Fund Data'!$A:$A = $A776 - 2, 'Fund Data'!$B:$B &gt;= 4)) * 'Parameters and Distribution Sum'!$B$4,0) + IFERROR(SUM(FILTER('Fund Data'!$V:$V, 'Fund Data'!$C:$C = $C776, 'Fund Data'!$"&amp;"A:$A = $A776 - 1, 'Fund Data'!$B:$B &lt;= 3)) * 'Parameters and Distribution Sum'!$B$4,0))),0)"),0.0)</f>
        <v>0</v>
      </c>
      <c r="AB776" s="44">
        <f t="shared" si="75"/>
        <v>0</v>
      </c>
      <c r="AC776" s="44">
        <f t="shared" si="76"/>
        <v>7070.522291</v>
      </c>
      <c r="AD776" s="44">
        <f t="shared" si="7"/>
        <v>7070.522291</v>
      </c>
      <c r="AE776" s="44"/>
    </row>
    <row r="777">
      <c r="A777" s="120">
        <v>2019.0</v>
      </c>
      <c r="B777" s="121">
        <v>2.0</v>
      </c>
      <c r="C777" s="122" t="s">
        <v>54</v>
      </c>
      <c r="D777" s="44"/>
      <c r="E777" s="123">
        <v>978.13</v>
      </c>
      <c r="F777" s="44"/>
      <c r="G777" s="44"/>
      <c r="H777" s="123">
        <v>-132.5</v>
      </c>
      <c r="I777" s="44"/>
      <c r="J777" s="44"/>
      <c r="K777" s="44"/>
      <c r="L777" s="123">
        <v>10532.94</v>
      </c>
      <c r="M777" s="44"/>
      <c r="N777" s="44"/>
      <c r="O777" s="123">
        <v>147824.0</v>
      </c>
      <c r="P777" s="52">
        <f t="shared" si="23"/>
        <v>147823.68</v>
      </c>
      <c r="Q777" s="124">
        <f t="shared" si="2"/>
        <v>0.32</v>
      </c>
      <c r="R777" s="52">
        <f t="array" ref="R777">IFERROR(INDEX('Fund YTD Target Values'!$1:$1000, MATCH($C777,'Fund YTD Target Values'!$A:$A,0), MATCH($A777,'Fund YTD Target Values'!$1:$1,0)),0)</f>
        <v>164177.3213</v>
      </c>
      <c r="S777" s="52">
        <f>IFERROR(__xludf.DUMMYFUNCTION("IFERROR(sum(FILTER('Fund Data'!$V:$V, 'Fund Data'!$C:$C = $C777, 'Fund Data'!$A:$A &lt; $A777)),0) + IFERROR(sum(FILTER('Fund Data'!$V:$V, 'Fund Data'!$C:$C = $C777, 'Fund Data'!$A:$A = $A777, 'Fund Data'!$B:$B &lt;= $B777)),0)"),129703.74)</f>
        <v>129703.74</v>
      </c>
      <c r="T777" s="123">
        <v>129723.0</v>
      </c>
      <c r="U777" s="44">
        <f t="shared" ref="U777:U813" si="77">S777-T777</f>
        <v>-19.26</v>
      </c>
      <c r="V777" s="44">
        <f t="shared" si="3"/>
        <v>0</v>
      </c>
      <c r="W777" s="52">
        <f>IFERROR(__xludf.DUMMYFUNCTION("iFERROR((FILTER('Fund Data'!$Y:$Y, 'Fund Data'!$C:$C = $C777, 'Fund Data'!$A:$A = $A777 - 1, 'Fund Data'!$B:$B = 12) + FILTER('Fund Data'!$AA:$AA, 'Fund Data'!$C:$C = $C777, 'Fund Data'!$A:$A = $A777 - 1, 'Fund Data'!$B:$B = 12)) * (1 + AVERAGE(FILTER('In"&amp;"flation Data'!$C:$C,'Inflation Data'!$A:$A = ($A777 - 2)))) * 'Parameters and Distribution Sum'!$A$4,0)"),4980.550706212943)</f>
        <v>4980.550706</v>
      </c>
      <c r="X777" s="52">
        <f>IFERROR(__xludf.DUMMYFUNCTION("IFERROR((IFERROR(FILTER('Fund Data'!$P:$P,'Fund Data'!$C:$C = $C777,'Fund Data'!$A:$A = ($A777 - 2), 'Fund Data'!$B:$B = 12),0) - SUM(FILTER('Fund Data'!$V:$V, 'Fund Data'!$C:$C = $C777, 'Fund Data'!$A:$A = ($A777 - 2), 'Fund Data'!$B:$B &gt; 3)))  * 'Parame"&amp;"ters and Distribution Sum'!$B$4 * (1 - 'Parameters and Distribution Sum'!$A$4),0)"),2089.9715850000002)</f>
        <v>2089.971585</v>
      </c>
      <c r="Y777" s="52">
        <f t="shared" si="74"/>
        <v>7070.522291</v>
      </c>
      <c r="Z777" s="52">
        <f>IFERROR(__xludf.DUMMYFUNCTION("((IFERROR((SUM(FILTER('Fund Data'!$V:$V, 'Fund Data'!$C:$C = $C777, 'Fund Data'!$A:$A = $A777 - 1, 'Fund Data'!$B:$B &gt;= 4, 'Fund Data'!$B:$B &lt;= ($B777 + 5))) / 12) * ($B777 - 3) * 'Parameters and Distribution Sum'!$B$4, 0) + IF($B777 &gt;= 9, IFERROR(SUM(FIL"&amp;"TER('Fund Data'!$V:$V, 'Fund Data'!$C:$C = $C777, 'Fund Data'!$A:$A = $A777, 'Fund Data'!$B:$B &lt;= 3)) * 'Parameters and Distribution Sum'!$B$4, 0),0)))"),0.0)</f>
        <v>0</v>
      </c>
      <c r="AA777" s="44">
        <f>IFERROR(__xludf.DUMMYFUNCTION("IFERROR(((IFERROR(SUM(FILTER('Fund Data'!$V:$V, 'Fund Data'!$C:$C = $C777, 'Fund Data'!$A:$A = $A777 - 2, 'Fund Data'!$B:$B &gt;= 4)) * 'Parameters and Distribution Sum'!$B$4,0) + IFERROR(SUM(FILTER('Fund Data'!$V:$V, 'Fund Data'!$C:$C = $C777, 'Fund Data'!$"&amp;"A:$A = $A777 - 1, 'Fund Data'!$B:$B &lt;= 3)) * 'Parameters and Distribution Sum'!$B$4,0))),0)"),0.0)</f>
        <v>0</v>
      </c>
      <c r="AB777" s="44">
        <f t="shared" si="75"/>
        <v>0</v>
      </c>
      <c r="AC777" s="44">
        <f t="shared" si="76"/>
        <v>7070.522291</v>
      </c>
      <c r="AD777" s="44">
        <f t="shared" si="7"/>
        <v>7070.522291</v>
      </c>
      <c r="AE777" s="44"/>
    </row>
    <row r="778">
      <c r="A778" s="120">
        <v>2019.0</v>
      </c>
      <c r="B778" s="121">
        <v>1.0</v>
      </c>
      <c r="C778" s="122" t="s">
        <v>54</v>
      </c>
      <c r="D778" s="44"/>
      <c r="E778" s="123">
        <v>904.68</v>
      </c>
      <c r="F778" s="44"/>
      <c r="G778" s="44"/>
      <c r="H778" s="123">
        <v>-64.37</v>
      </c>
      <c r="I778" s="44"/>
      <c r="J778" s="44"/>
      <c r="K778" s="44"/>
      <c r="L778" s="123">
        <v>8148.12</v>
      </c>
      <c r="M778" s="44"/>
      <c r="N778" s="44"/>
      <c r="O778" s="123">
        <v>145434.0</v>
      </c>
      <c r="P778" s="52">
        <f t="shared" si="23"/>
        <v>145433.54</v>
      </c>
      <c r="Q778" s="124">
        <f t="shared" si="2"/>
        <v>0.46</v>
      </c>
      <c r="R778" s="52">
        <f t="array" ref="R778">IFERROR(INDEX('Fund YTD Target Values'!$1:$1000, MATCH($C778,'Fund YTD Target Values'!$A:$A,0), MATCH($A778,'Fund YTD Target Values'!$1:$1,0)),0)</f>
        <v>164177.3213</v>
      </c>
      <c r="S778" s="52">
        <f>IFERROR(__xludf.DUMMYFUNCTION("IFERROR(sum(FILTER('Fund Data'!$V:$V, 'Fund Data'!$C:$C = $C778, 'Fund Data'!$A:$A &lt; $A778)),0) + IFERROR(sum(FILTER('Fund Data'!$V:$V, 'Fund Data'!$C:$C = $C778, 'Fund Data'!$A:$A = $A778, 'Fund Data'!$B:$B &lt;= $B778)),0)"),129703.74)</f>
        <v>129703.74</v>
      </c>
      <c r="T778" s="123">
        <v>129723.0</v>
      </c>
      <c r="U778" s="44">
        <f t="shared" si="77"/>
        <v>-19.26</v>
      </c>
      <c r="V778" s="44">
        <f t="shared" si="3"/>
        <v>0</v>
      </c>
      <c r="W778" s="52">
        <f>IFERROR(__xludf.DUMMYFUNCTION("iFERROR((FILTER('Fund Data'!$Y:$Y, 'Fund Data'!$C:$C = $C778, 'Fund Data'!$A:$A = $A778 - 1, 'Fund Data'!$B:$B = 12) + FILTER('Fund Data'!$AA:$AA, 'Fund Data'!$C:$C = $C778, 'Fund Data'!$A:$A = $A778 - 1, 'Fund Data'!$B:$B = 12)) * (1 + AVERAGE(FILTER('In"&amp;"flation Data'!$C:$C,'Inflation Data'!$A:$A = ($A778 - 2)))) * 'Parameters and Distribution Sum'!$A$4,0)"),4980.550706212943)</f>
        <v>4980.550706</v>
      </c>
      <c r="X778" s="52">
        <f>IFERROR(__xludf.DUMMYFUNCTION("IFERROR((IFERROR(FILTER('Fund Data'!$P:$P,'Fund Data'!$C:$C = $C778,'Fund Data'!$A:$A = ($A778 - 2), 'Fund Data'!$B:$B = 12),0) - SUM(FILTER('Fund Data'!$V:$V, 'Fund Data'!$C:$C = $C778, 'Fund Data'!$A:$A = ($A778 - 2), 'Fund Data'!$B:$B &gt; 3)))  * 'Parame"&amp;"ters and Distribution Sum'!$B$4 * (1 - 'Parameters and Distribution Sum'!$A$4),0)"),2089.9715850000002)</f>
        <v>2089.971585</v>
      </c>
      <c r="Y778" s="52">
        <f t="shared" si="74"/>
        <v>7070.522291</v>
      </c>
      <c r="Z778" s="52">
        <f>IFERROR(__xludf.DUMMYFUNCTION("((IFERROR((SUM(FILTER('Fund Data'!$V:$V, 'Fund Data'!$C:$C = $C778, 'Fund Data'!$A:$A = $A778 - 1, 'Fund Data'!$B:$B &gt;= 4, 'Fund Data'!$B:$B &lt;= ($B778 + 5))) / 12) * ($B778 - 3) * 'Parameters and Distribution Sum'!$B$4, 0) + IF($B778 &gt;= 9, IFERROR(SUM(FIL"&amp;"TER('Fund Data'!$V:$V, 'Fund Data'!$C:$C = $C778, 'Fund Data'!$A:$A = $A778, 'Fund Data'!$B:$B &lt;= 3)) * 'Parameters and Distribution Sum'!$B$4, 0),0)))"),0.0)</f>
        <v>0</v>
      </c>
      <c r="AA778" s="44">
        <f>IFERROR(__xludf.DUMMYFUNCTION("IFERROR(((IFERROR(SUM(FILTER('Fund Data'!$V:$V, 'Fund Data'!$C:$C = $C778, 'Fund Data'!$A:$A = $A778 - 2, 'Fund Data'!$B:$B &gt;= 4)) * 'Parameters and Distribution Sum'!$B$4,0) + IFERROR(SUM(FILTER('Fund Data'!$V:$V, 'Fund Data'!$C:$C = $C778, 'Fund Data'!$"&amp;"A:$A = $A778 - 1, 'Fund Data'!$B:$B &lt;= 3)) * 'Parameters and Distribution Sum'!$B$4,0))),0)"),0.0)</f>
        <v>0</v>
      </c>
      <c r="AB778" s="44">
        <f t="shared" si="75"/>
        <v>0</v>
      </c>
      <c r="AC778" s="44">
        <f t="shared" si="76"/>
        <v>7070.522291</v>
      </c>
      <c r="AD778" s="44">
        <f t="shared" si="7"/>
        <v>7070.522291</v>
      </c>
      <c r="AE778" s="44"/>
    </row>
    <row r="779">
      <c r="A779" s="120">
        <v>2018.0</v>
      </c>
      <c r="B779" s="121">
        <v>12.0</v>
      </c>
      <c r="C779" s="122" t="s">
        <v>54</v>
      </c>
      <c r="D779" s="44"/>
      <c r="E779" s="123">
        <v>3277.04</v>
      </c>
      <c r="F779" s="123">
        <v>-7000.0</v>
      </c>
      <c r="G779" s="44"/>
      <c r="H779" s="123">
        <v>-901.9</v>
      </c>
      <c r="I779" s="44"/>
      <c r="J779" s="123">
        <v>1389.77</v>
      </c>
      <c r="K779" s="44"/>
      <c r="L779" s="123">
        <v>-15132.51</v>
      </c>
      <c r="M779" s="44"/>
      <c r="N779" s="44"/>
      <c r="O779" s="123">
        <v>136445.0</v>
      </c>
      <c r="P779" s="52">
        <f t="shared" si="23"/>
        <v>136445.11</v>
      </c>
      <c r="Q779" s="124">
        <f t="shared" si="2"/>
        <v>-0.11</v>
      </c>
      <c r="R779" s="52">
        <f t="array" ref="R779">IFERROR(INDEX('Fund YTD Target Values'!$1:$1000, MATCH($C779,'Fund YTD Target Values'!$A:$A,0), MATCH($A779,'Fund YTD Target Values'!$1:$1,0)),0)</f>
        <v>161362.9699</v>
      </c>
      <c r="S779" s="52">
        <f>IFERROR(__xludf.DUMMYFUNCTION("IFERROR(sum(FILTER('Fund Data'!$V:$V, 'Fund Data'!$C:$C = $C779, 'Fund Data'!$A:$A &lt; $A779)),0) + IFERROR(sum(FILTER('Fund Data'!$V:$V, 'Fund Data'!$C:$C = $C779, 'Fund Data'!$A:$A = $A779, 'Fund Data'!$B:$B &lt;= $B779)),0)"),129703.74)</f>
        <v>129703.74</v>
      </c>
      <c r="T779" s="123">
        <v>129723.0</v>
      </c>
      <c r="U779" s="44">
        <f t="shared" si="77"/>
        <v>-19.26</v>
      </c>
      <c r="V779" s="44">
        <f t="shared" si="3"/>
        <v>0</v>
      </c>
      <c r="W779" s="52"/>
      <c r="X779" s="52"/>
      <c r="Y779" s="52">
        <v>6966.571949999998</v>
      </c>
      <c r="Z779" s="123">
        <v>0.0</v>
      </c>
      <c r="AA779" s="123">
        <v>0.0</v>
      </c>
      <c r="AB779" s="44">
        <f t="shared" si="75"/>
        <v>0</v>
      </c>
      <c r="AC779" s="44">
        <f t="shared" si="76"/>
        <v>6966.57195</v>
      </c>
      <c r="AD779" s="44">
        <f t="shared" si="7"/>
        <v>-33.42805</v>
      </c>
      <c r="AE779" s="123">
        <v>0.0</v>
      </c>
    </row>
    <row r="780">
      <c r="A780" s="120">
        <v>2018.0</v>
      </c>
      <c r="B780" s="121">
        <v>11.0</v>
      </c>
      <c r="C780" s="122" t="s">
        <v>54</v>
      </c>
      <c r="D780" s="44"/>
      <c r="E780" s="123">
        <v>3084.76</v>
      </c>
      <c r="F780" s="123">
        <v>-7000.0</v>
      </c>
      <c r="G780" s="44"/>
      <c r="H780" s="123">
        <v>-834.17</v>
      </c>
      <c r="I780" s="44"/>
      <c r="J780" s="123">
        <v>1389.77</v>
      </c>
      <c r="K780" s="44"/>
      <c r="L780" s="123">
        <v>-7070.41</v>
      </c>
      <c r="M780" s="44"/>
      <c r="N780" s="44"/>
      <c r="O780" s="123">
        <v>144383.0</v>
      </c>
      <c r="P780" s="52">
        <f t="shared" si="23"/>
        <v>144382.66</v>
      </c>
      <c r="Q780" s="124">
        <f t="shared" si="2"/>
        <v>0.34</v>
      </c>
      <c r="R780" s="52">
        <f t="array" ref="R780">IFERROR(INDEX('Fund YTD Target Values'!$1:$1000, MATCH($C780,'Fund YTD Target Values'!$A:$A,0), MATCH($A780,'Fund YTD Target Values'!$1:$1,0)),0)</f>
        <v>161362.9699</v>
      </c>
      <c r="S780" s="52">
        <f>IFERROR(__xludf.DUMMYFUNCTION("IFERROR(sum(FILTER('Fund Data'!$V:$V, 'Fund Data'!$C:$C = $C780, 'Fund Data'!$A:$A &lt; $A780)),0) + IFERROR(sum(FILTER('Fund Data'!$V:$V, 'Fund Data'!$C:$C = $C780, 'Fund Data'!$A:$A = $A780, 'Fund Data'!$B:$B &lt;= $B780)),0)"),129703.74)</f>
        <v>129703.74</v>
      </c>
      <c r="T780" s="123">
        <v>129723.0</v>
      </c>
      <c r="U780" s="44">
        <f t="shared" si="77"/>
        <v>-19.26</v>
      </c>
      <c r="V780" s="44">
        <f t="shared" si="3"/>
        <v>0</v>
      </c>
      <c r="W780" s="123"/>
      <c r="X780" s="123"/>
      <c r="Y780" s="123">
        <v>0.0</v>
      </c>
      <c r="Z780" s="123">
        <v>0.0</v>
      </c>
      <c r="AA780" s="123">
        <v>0.0</v>
      </c>
      <c r="AB780" s="123"/>
      <c r="AC780" s="123">
        <v>0.0</v>
      </c>
      <c r="AD780" s="44">
        <f t="shared" si="7"/>
        <v>-7000</v>
      </c>
      <c r="AE780" s="123">
        <v>0.0</v>
      </c>
    </row>
    <row r="781">
      <c r="A781" s="120">
        <v>2018.0</v>
      </c>
      <c r="B781" s="121">
        <v>10.0</v>
      </c>
      <c r="C781" s="135" t="s">
        <v>54</v>
      </c>
      <c r="D781" s="138"/>
      <c r="E781" s="137">
        <v>2956.47</v>
      </c>
      <c r="F781" s="136">
        <v>-7000.0</v>
      </c>
      <c r="G781" s="138"/>
      <c r="H781" s="137">
        <v>-696.74</v>
      </c>
      <c r="I781" s="138"/>
      <c r="J781" s="136">
        <v>1389.77</v>
      </c>
      <c r="K781" s="138"/>
      <c r="L781" s="136">
        <v>-8316.21</v>
      </c>
      <c r="M781" s="44"/>
      <c r="N781" s="44"/>
      <c r="O781" s="136">
        <v>143146.0</v>
      </c>
      <c r="P781" s="52">
        <f t="shared" si="23"/>
        <v>143146</v>
      </c>
      <c r="Q781" s="124">
        <f t="shared" si="2"/>
        <v>0</v>
      </c>
      <c r="R781" s="52">
        <f t="array" ref="R781">IFERROR(INDEX('Fund YTD Target Values'!$1:$1000, MATCH($C781,'Fund YTD Target Values'!$A:$A,0), MATCH($A781,'Fund YTD Target Values'!$1:$1,0)),0)</f>
        <v>161362.9699</v>
      </c>
      <c r="S781" s="52">
        <f>IFERROR(__xludf.DUMMYFUNCTION("IFERROR(sum(FILTER('Fund Data'!$V:$V, 'Fund Data'!$C:$C = $C781, 'Fund Data'!$A:$A &lt; $A781)),0) + IFERROR(sum(FILTER('Fund Data'!$V:$V, 'Fund Data'!$C:$C = $C781, 'Fund Data'!$A:$A = $A781, 'Fund Data'!$B:$B &lt;= $B781)),0)"),129703.74)</f>
        <v>129703.74</v>
      </c>
      <c r="T781" s="123">
        <v>129723.0</v>
      </c>
      <c r="U781" s="44">
        <f t="shared" si="77"/>
        <v>-19.26</v>
      </c>
      <c r="V781" s="44">
        <f t="shared" si="3"/>
        <v>0</v>
      </c>
      <c r="W781" s="123"/>
      <c r="X781" s="123"/>
      <c r="Y781" s="123">
        <v>0.0</v>
      </c>
      <c r="Z781" s="123">
        <v>0.0</v>
      </c>
      <c r="AA781" s="123">
        <v>0.0</v>
      </c>
      <c r="AB781" s="123"/>
      <c r="AC781" s="123">
        <v>0.0</v>
      </c>
      <c r="AD781" s="44">
        <f t="shared" si="7"/>
        <v>-7000</v>
      </c>
      <c r="AE781" s="123">
        <v>0.0</v>
      </c>
    </row>
    <row r="782">
      <c r="A782" s="120">
        <v>2018.0</v>
      </c>
      <c r="B782" s="121">
        <v>9.0</v>
      </c>
      <c r="C782" s="122" t="s">
        <v>54</v>
      </c>
      <c r="D782" s="44"/>
      <c r="E782" s="123">
        <v>2525.61</v>
      </c>
      <c r="F782" s="123">
        <v>-7000.0</v>
      </c>
      <c r="G782" s="44"/>
      <c r="H782" s="123">
        <v>-696.74</v>
      </c>
      <c r="I782" s="44"/>
      <c r="J782" s="123">
        <v>1389.77</v>
      </c>
      <c r="K782" s="44"/>
      <c r="L782" s="123">
        <v>-636.75</v>
      </c>
      <c r="M782" s="44"/>
      <c r="N782" s="44"/>
      <c r="O782" s="123">
        <v>150395.0</v>
      </c>
      <c r="P782" s="52">
        <f t="shared" si="23"/>
        <v>150394.6</v>
      </c>
      <c r="Q782" s="124">
        <f t="shared" si="2"/>
        <v>0.4</v>
      </c>
      <c r="R782" s="52">
        <f t="array" ref="R782">IFERROR(INDEX('Fund YTD Target Values'!$1:$1000, MATCH($C782,'Fund YTD Target Values'!$A:$A,0), MATCH($A782,'Fund YTD Target Values'!$1:$1,0)),0)</f>
        <v>161362.9699</v>
      </c>
      <c r="S782" s="52">
        <f>IFERROR(__xludf.DUMMYFUNCTION("IFERROR(sum(FILTER('Fund Data'!$V:$V, 'Fund Data'!$C:$C = $C782, 'Fund Data'!$A:$A &lt; $A782)),0) + IFERROR(sum(FILTER('Fund Data'!$V:$V, 'Fund Data'!$C:$C = $C782, 'Fund Data'!$A:$A = $A782, 'Fund Data'!$B:$B &lt;= $B782)),0)"),129703.74)</f>
        <v>129703.74</v>
      </c>
      <c r="T782" s="123">
        <v>129723.0</v>
      </c>
      <c r="U782" s="44">
        <f t="shared" si="77"/>
        <v>-19.26</v>
      </c>
      <c r="V782" s="44">
        <f t="shared" si="3"/>
        <v>0</v>
      </c>
      <c r="W782" s="123"/>
      <c r="X782" s="123"/>
      <c r="Y782" s="123">
        <v>0.0</v>
      </c>
      <c r="Z782" s="123">
        <v>0.0</v>
      </c>
      <c r="AA782" s="123">
        <v>0.0</v>
      </c>
      <c r="AB782" s="123"/>
      <c r="AC782" s="123">
        <v>0.0</v>
      </c>
      <c r="AD782" s="44">
        <f t="shared" si="7"/>
        <v>-7000</v>
      </c>
      <c r="AE782" s="123">
        <v>0.0</v>
      </c>
    </row>
    <row r="783">
      <c r="A783" s="120">
        <v>2018.0</v>
      </c>
      <c r="B783" s="121">
        <v>8.0</v>
      </c>
      <c r="C783" s="122" t="s">
        <v>54</v>
      </c>
      <c r="D783" s="44"/>
      <c r="E783" s="123">
        <v>2394.31</v>
      </c>
      <c r="F783" s="123">
        <v>-4200.0</v>
      </c>
      <c r="G783" s="44"/>
      <c r="H783" s="123">
        <v>-619.89</v>
      </c>
      <c r="I783" s="44"/>
      <c r="J783" s="123">
        <v>745.49</v>
      </c>
      <c r="K783" s="44"/>
      <c r="L783" s="123">
        <v>568.78</v>
      </c>
      <c r="M783" s="44"/>
      <c r="N783" s="44"/>
      <c r="O783" s="123">
        <v>153701.0</v>
      </c>
      <c r="P783" s="52">
        <f t="shared" si="23"/>
        <v>153701.4</v>
      </c>
      <c r="Q783" s="124">
        <f t="shared" si="2"/>
        <v>-0.4</v>
      </c>
      <c r="R783" s="52">
        <f t="array" ref="R783">IFERROR(INDEX('Fund YTD Target Values'!$1:$1000, MATCH($C783,'Fund YTD Target Values'!$A:$A,0), MATCH($A783,'Fund YTD Target Values'!$1:$1,0)),0)</f>
        <v>161362.9699</v>
      </c>
      <c r="S783" s="52">
        <f>IFERROR(__xludf.DUMMYFUNCTION("IFERROR(sum(FILTER('Fund Data'!$V:$V, 'Fund Data'!$C:$C = $C783, 'Fund Data'!$A:$A &lt; $A783)),0) + IFERROR(sum(FILTER('Fund Data'!$V:$V, 'Fund Data'!$C:$C = $C783, 'Fund Data'!$A:$A = $A783, 'Fund Data'!$B:$B &lt;= $B783)),0)"),129703.74)</f>
        <v>129703.74</v>
      </c>
      <c r="T783" s="123">
        <v>129723.0</v>
      </c>
      <c r="U783" s="44">
        <f t="shared" si="77"/>
        <v>-19.26</v>
      </c>
      <c r="V783" s="44">
        <f t="shared" si="3"/>
        <v>0</v>
      </c>
      <c r="W783" s="123"/>
      <c r="X783" s="123"/>
      <c r="Y783" s="123">
        <v>0.0</v>
      </c>
      <c r="Z783" s="123">
        <v>0.0</v>
      </c>
      <c r="AA783" s="123">
        <v>0.0</v>
      </c>
      <c r="AB783" s="123"/>
      <c r="AC783" s="123">
        <v>0.0</v>
      </c>
      <c r="AD783" s="44">
        <f t="shared" si="7"/>
        <v>-4200</v>
      </c>
      <c r="AE783" s="123">
        <v>0.0</v>
      </c>
    </row>
    <row r="784">
      <c r="A784" s="120">
        <v>2018.0</v>
      </c>
      <c r="B784" s="121">
        <v>7.0</v>
      </c>
      <c r="C784" s="122" t="s">
        <v>54</v>
      </c>
      <c r="D784" s="44"/>
      <c r="E784" s="123">
        <v>2268.2</v>
      </c>
      <c r="F784" s="123">
        <v>-4200.0</v>
      </c>
      <c r="G784" s="44"/>
      <c r="H784" s="123">
        <v>-543.31</v>
      </c>
      <c r="I784" s="44"/>
      <c r="J784" s="123">
        <v>745.49</v>
      </c>
      <c r="K784" s="44"/>
      <c r="L784" s="123">
        <v>70.72</v>
      </c>
      <c r="M784" s="44"/>
      <c r="N784" s="44"/>
      <c r="O784" s="123">
        <v>153154.0</v>
      </c>
      <c r="P784" s="52">
        <f t="shared" si="23"/>
        <v>153153.81</v>
      </c>
      <c r="Q784" s="124">
        <f t="shared" si="2"/>
        <v>0.19</v>
      </c>
      <c r="R784" s="52">
        <f t="array" ref="R784">IFERROR(INDEX('Fund YTD Target Values'!$1:$1000, MATCH($C784,'Fund YTD Target Values'!$A:$A,0), MATCH($A784,'Fund YTD Target Values'!$1:$1,0)),0)</f>
        <v>161362.9699</v>
      </c>
      <c r="S784" s="52">
        <f>IFERROR(__xludf.DUMMYFUNCTION("IFERROR(sum(FILTER('Fund Data'!$V:$V, 'Fund Data'!$C:$C = $C784, 'Fund Data'!$A:$A &lt; $A784)),0) + IFERROR(sum(FILTER('Fund Data'!$V:$V, 'Fund Data'!$C:$C = $C784, 'Fund Data'!$A:$A = $A784, 'Fund Data'!$B:$B &lt;= $B784)),0)"),129703.74)</f>
        <v>129703.74</v>
      </c>
      <c r="T784" s="123">
        <v>129723.0</v>
      </c>
      <c r="U784" s="44">
        <f t="shared" si="77"/>
        <v>-19.26</v>
      </c>
      <c r="V784" s="44">
        <f t="shared" si="3"/>
        <v>0</v>
      </c>
      <c r="W784" s="123"/>
      <c r="X784" s="123"/>
      <c r="Y784" s="123">
        <v>0.0</v>
      </c>
      <c r="Z784" s="123">
        <v>0.0</v>
      </c>
      <c r="AA784" s="123">
        <v>0.0</v>
      </c>
      <c r="AB784" s="123"/>
      <c r="AC784" s="123">
        <v>0.0</v>
      </c>
      <c r="AD784" s="44">
        <f t="shared" si="7"/>
        <v>-4200</v>
      </c>
      <c r="AE784" s="123">
        <v>0.0</v>
      </c>
    </row>
    <row r="785">
      <c r="A785" s="120">
        <v>2018.0</v>
      </c>
      <c r="B785" s="121">
        <v>6.0</v>
      </c>
      <c r="C785" s="122" t="s">
        <v>54</v>
      </c>
      <c r="D785" s="44"/>
      <c r="E785" s="123">
        <v>1925.75</v>
      </c>
      <c r="F785" s="123">
        <v>-4200.0</v>
      </c>
      <c r="G785" s="44"/>
      <c r="H785" s="123">
        <v>-468.11</v>
      </c>
      <c r="I785" s="44"/>
      <c r="J785" s="123">
        <v>745.49</v>
      </c>
      <c r="K785" s="44"/>
      <c r="L785" s="123">
        <v>-2418.53</v>
      </c>
      <c r="M785" s="44"/>
      <c r="N785" s="44"/>
      <c r="O785" s="123">
        <v>150397.0</v>
      </c>
      <c r="P785" s="52">
        <f t="shared" si="23"/>
        <v>150397.31</v>
      </c>
      <c r="Q785" s="124">
        <f t="shared" si="2"/>
        <v>-0.31</v>
      </c>
      <c r="R785" s="52">
        <f t="array" ref="R785">IFERROR(INDEX('Fund YTD Target Values'!$1:$1000, MATCH($C785,'Fund YTD Target Values'!$A:$A,0), MATCH($A785,'Fund YTD Target Values'!$1:$1,0)),0)</f>
        <v>161362.9699</v>
      </c>
      <c r="S785" s="52">
        <f>IFERROR(__xludf.DUMMYFUNCTION("IFERROR(sum(FILTER('Fund Data'!$V:$V, 'Fund Data'!$C:$C = $C785, 'Fund Data'!$A:$A &lt; $A785)),0) + IFERROR(sum(FILTER('Fund Data'!$V:$V, 'Fund Data'!$C:$C = $C785, 'Fund Data'!$A:$A = $A785, 'Fund Data'!$B:$B &lt;= $B785)),0)"),129703.74)</f>
        <v>129703.74</v>
      </c>
      <c r="T785" s="123">
        <v>129723.0</v>
      </c>
      <c r="U785" s="44">
        <f t="shared" si="77"/>
        <v>-19.26</v>
      </c>
      <c r="V785" s="44">
        <f t="shared" si="3"/>
        <v>0</v>
      </c>
      <c r="W785" s="123"/>
      <c r="X785" s="123"/>
      <c r="Y785" s="123">
        <v>0.0</v>
      </c>
      <c r="Z785" s="123">
        <v>0.0</v>
      </c>
      <c r="AA785" s="123">
        <v>0.0</v>
      </c>
      <c r="AB785" s="123"/>
      <c r="AC785" s="123">
        <v>0.0</v>
      </c>
      <c r="AD785" s="44">
        <f t="shared" si="7"/>
        <v>-4200</v>
      </c>
      <c r="AE785" s="123">
        <v>0.0</v>
      </c>
    </row>
    <row r="786">
      <c r="A786" s="120">
        <v>2018.0</v>
      </c>
      <c r="B786" s="121">
        <v>5.0</v>
      </c>
      <c r="C786" s="122" t="s">
        <v>54</v>
      </c>
      <c r="D786" s="44"/>
      <c r="E786" s="123">
        <v>1704.64</v>
      </c>
      <c r="F786" s="44"/>
      <c r="G786" s="44"/>
      <c r="H786" s="123">
        <v>-390.33</v>
      </c>
      <c r="I786" s="44"/>
      <c r="J786" s="44"/>
      <c r="K786" s="44"/>
      <c r="L786" s="123">
        <v>-560.01</v>
      </c>
      <c r="M786" s="44"/>
      <c r="N786" s="44"/>
      <c r="O786" s="123">
        <v>155567.0</v>
      </c>
      <c r="P786" s="52">
        <f t="shared" si="23"/>
        <v>155567.01</v>
      </c>
      <c r="Q786" s="124">
        <f t="shared" si="2"/>
        <v>-0.00999999998</v>
      </c>
      <c r="R786" s="52">
        <f t="array" ref="R786">IFERROR(INDEX('Fund YTD Target Values'!$1:$1000, MATCH($C786,'Fund YTD Target Values'!$A:$A,0), MATCH($A786,'Fund YTD Target Values'!$1:$1,0)),0)</f>
        <v>161362.9699</v>
      </c>
      <c r="S786" s="52">
        <f>IFERROR(__xludf.DUMMYFUNCTION("IFERROR(sum(FILTER('Fund Data'!$V:$V, 'Fund Data'!$C:$C = $C786, 'Fund Data'!$A:$A &lt; $A786)),0) + IFERROR(sum(FILTER('Fund Data'!$V:$V, 'Fund Data'!$C:$C = $C786, 'Fund Data'!$A:$A = $A786, 'Fund Data'!$B:$B &lt;= $B786)),0)"),129703.74)</f>
        <v>129703.74</v>
      </c>
      <c r="T786" s="123">
        <v>129723.0</v>
      </c>
      <c r="U786" s="44">
        <f t="shared" si="77"/>
        <v>-19.26</v>
      </c>
      <c r="V786" s="44">
        <f t="shared" si="3"/>
        <v>0</v>
      </c>
      <c r="W786" s="123"/>
      <c r="X786" s="123"/>
      <c r="Y786" s="123">
        <v>0.0</v>
      </c>
      <c r="Z786" s="123">
        <v>0.0</v>
      </c>
      <c r="AA786" s="123">
        <v>0.0</v>
      </c>
      <c r="AB786" s="123"/>
      <c r="AC786" s="123">
        <v>0.0</v>
      </c>
      <c r="AD786" s="44">
        <f t="shared" si="7"/>
        <v>0</v>
      </c>
      <c r="AE786" s="123">
        <v>0.0</v>
      </c>
    </row>
    <row r="787">
      <c r="A787" s="120">
        <v>2018.0</v>
      </c>
      <c r="B787" s="121">
        <v>4.0</v>
      </c>
      <c r="C787" s="122" t="s">
        <v>54</v>
      </c>
      <c r="D787" s="44"/>
      <c r="E787" s="123">
        <v>1582.23</v>
      </c>
      <c r="F787" s="44"/>
      <c r="G787" s="44"/>
      <c r="H787" s="123">
        <v>-312.73</v>
      </c>
      <c r="I787" s="44"/>
      <c r="J787" s="44"/>
      <c r="K787" s="44"/>
      <c r="L787" s="123">
        <v>-886.0</v>
      </c>
      <c r="M787" s="44"/>
      <c r="N787" s="44"/>
      <c r="O787" s="123">
        <v>155196.0</v>
      </c>
      <c r="P787" s="52">
        <f t="shared" si="23"/>
        <v>155196.21</v>
      </c>
      <c r="Q787" s="124">
        <f t="shared" si="2"/>
        <v>-0.21</v>
      </c>
      <c r="R787" s="52">
        <f t="array" ref="R787">IFERROR(INDEX('Fund YTD Target Values'!$1:$1000, MATCH($C787,'Fund YTD Target Values'!$A:$A,0), MATCH($A787,'Fund YTD Target Values'!$1:$1,0)),0)</f>
        <v>161362.9699</v>
      </c>
      <c r="S787" s="52">
        <f>IFERROR(__xludf.DUMMYFUNCTION("IFERROR(sum(FILTER('Fund Data'!$V:$V, 'Fund Data'!$C:$C = $C787, 'Fund Data'!$A:$A &lt; $A787)),0) + IFERROR(sum(FILTER('Fund Data'!$V:$V, 'Fund Data'!$C:$C = $C787, 'Fund Data'!$A:$A = $A787, 'Fund Data'!$B:$B &lt;= $B787)),0)"),129703.74)</f>
        <v>129703.74</v>
      </c>
      <c r="T787" s="123">
        <v>129723.0</v>
      </c>
      <c r="U787" s="44">
        <f t="shared" si="77"/>
        <v>-19.26</v>
      </c>
      <c r="V787" s="44">
        <f t="shared" si="3"/>
        <v>0</v>
      </c>
      <c r="W787" s="123"/>
      <c r="X787" s="123"/>
      <c r="Y787" s="123">
        <v>0.0</v>
      </c>
      <c r="Z787" s="123">
        <v>0.0</v>
      </c>
      <c r="AA787" s="123">
        <v>0.0</v>
      </c>
      <c r="AB787" s="123"/>
      <c r="AC787" s="123">
        <v>0.0</v>
      </c>
      <c r="AD787" s="44">
        <f t="shared" si="7"/>
        <v>0</v>
      </c>
      <c r="AE787" s="123">
        <v>0.0</v>
      </c>
    </row>
    <row r="788">
      <c r="A788" s="120">
        <v>2018.0</v>
      </c>
      <c r="B788" s="121">
        <v>3.0</v>
      </c>
      <c r="C788" s="122" t="s">
        <v>54</v>
      </c>
      <c r="D788" s="44"/>
      <c r="E788" s="123">
        <v>1208.76</v>
      </c>
      <c r="F788" s="44"/>
      <c r="G788" s="44"/>
      <c r="H788" s="123">
        <v>-235.34</v>
      </c>
      <c r="I788" s="44"/>
      <c r="J788" s="44"/>
      <c r="K788" s="44"/>
      <c r="L788" s="123">
        <v>-1012.71</v>
      </c>
      <c r="M788" s="44"/>
      <c r="N788" s="44"/>
      <c r="O788" s="123">
        <v>154773.0</v>
      </c>
      <c r="P788" s="52">
        <f t="shared" si="23"/>
        <v>154773.42</v>
      </c>
      <c r="Q788" s="124">
        <f t="shared" si="2"/>
        <v>-0.42</v>
      </c>
      <c r="R788" s="52">
        <f t="array" ref="R788">IFERROR(INDEX('Fund YTD Target Values'!$1:$1000, MATCH($C788,'Fund YTD Target Values'!$A:$A,0), MATCH($A788,'Fund YTD Target Values'!$1:$1,0)),0)</f>
        <v>161362.9699</v>
      </c>
      <c r="S788" s="52">
        <f>IFERROR(__xludf.DUMMYFUNCTION("IFERROR(sum(FILTER('Fund Data'!$V:$V, 'Fund Data'!$C:$C = $C788, 'Fund Data'!$A:$A &lt; $A788)),0) + IFERROR(sum(FILTER('Fund Data'!$V:$V, 'Fund Data'!$C:$C = $C788, 'Fund Data'!$A:$A = $A788, 'Fund Data'!$B:$B &lt;= $B788)),0)"),129703.74)</f>
        <v>129703.74</v>
      </c>
      <c r="T788" s="123">
        <v>129723.0</v>
      </c>
      <c r="U788" s="44">
        <f t="shared" si="77"/>
        <v>-19.26</v>
      </c>
      <c r="V788" s="44">
        <f t="shared" si="3"/>
        <v>0</v>
      </c>
      <c r="W788" s="123"/>
      <c r="X788" s="123"/>
      <c r="Y788" s="123">
        <v>0.0</v>
      </c>
      <c r="Z788" s="123">
        <v>0.0</v>
      </c>
      <c r="AA788" s="123">
        <v>0.0</v>
      </c>
      <c r="AB788" s="123"/>
      <c r="AC788" s="123">
        <v>0.0</v>
      </c>
      <c r="AD788" s="44">
        <f t="shared" si="7"/>
        <v>0</v>
      </c>
      <c r="AE788" s="123">
        <v>0.0</v>
      </c>
    </row>
    <row r="789">
      <c r="A789" s="120">
        <v>2018.0</v>
      </c>
      <c r="B789" s="121">
        <v>2.0</v>
      </c>
      <c r="C789" s="122" t="s">
        <v>54</v>
      </c>
      <c r="D789" s="44"/>
      <c r="E789" s="123">
        <v>1072.55</v>
      </c>
      <c r="F789" s="44"/>
      <c r="G789" s="44"/>
      <c r="H789" s="123">
        <v>-384.24</v>
      </c>
      <c r="I789" s="44"/>
      <c r="J789" s="44"/>
      <c r="K789" s="44"/>
      <c r="L789" s="123">
        <v>66.42</v>
      </c>
      <c r="M789" s="44"/>
      <c r="N789" s="44"/>
      <c r="O789" s="123">
        <v>155567.0</v>
      </c>
      <c r="P789" s="52">
        <f t="shared" si="23"/>
        <v>155567.44</v>
      </c>
      <c r="Q789" s="124">
        <f t="shared" si="2"/>
        <v>-0.44</v>
      </c>
      <c r="R789" s="52">
        <f t="array" ref="R789">IFERROR(INDEX('Fund YTD Target Values'!$1:$1000, MATCH($C789,'Fund YTD Target Values'!$A:$A,0), MATCH($A789,'Fund YTD Target Values'!$1:$1,0)),0)</f>
        <v>161362.9699</v>
      </c>
      <c r="S789" s="52">
        <f>IFERROR(__xludf.DUMMYFUNCTION("IFERROR(sum(FILTER('Fund Data'!$V:$V, 'Fund Data'!$C:$C = $C789, 'Fund Data'!$A:$A &lt; $A789)),0) + IFERROR(sum(FILTER('Fund Data'!$V:$V, 'Fund Data'!$C:$C = $C789, 'Fund Data'!$A:$A = $A789, 'Fund Data'!$B:$B &lt;= $B789)),0)"),129703.74)</f>
        <v>129703.74</v>
      </c>
      <c r="T789" s="123">
        <v>129723.0</v>
      </c>
      <c r="U789" s="44">
        <f t="shared" si="77"/>
        <v>-19.26</v>
      </c>
      <c r="V789" s="44">
        <f t="shared" si="3"/>
        <v>0</v>
      </c>
      <c r="W789" s="123"/>
      <c r="X789" s="123"/>
      <c r="Y789" s="123">
        <v>0.0</v>
      </c>
      <c r="Z789" s="123">
        <v>0.0</v>
      </c>
      <c r="AA789" s="123">
        <v>0.0</v>
      </c>
      <c r="AB789" s="123"/>
      <c r="AC789" s="123">
        <v>0.0</v>
      </c>
      <c r="AD789" s="44">
        <f t="shared" si="7"/>
        <v>0</v>
      </c>
      <c r="AE789" s="123">
        <v>0.0</v>
      </c>
    </row>
    <row r="790">
      <c r="A790" s="120">
        <v>2018.0</v>
      </c>
      <c r="B790" s="121">
        <v>1.0</v>
      </c>
      <c r="C790" s="122" t="s">
        <v>54</v>
      </c>
      <c r="D790" s="44"/>
      <c r="E790" s="123">
        <v>957.47</v>
      </c>
      <c r="F790" s="44"/>
      <c r="G790" s="44"/>
      <c r="H790" s="123">
        <v>-304.09</v>
      </c>
      <c r="I790" s="44"/>
      <c r="J790" s="44"/>
      <c r="K790" s="44"/>
      <c r="L790" s="123">
        <v>4832.62</v>
      </c>
      <c r="M790" s="44"/>
      <c r="N790" s="44"/>
      <c r="O790" s="123">
        <v>160299.0</v>
      </c>
      <c r="P790" s="52">
        <f t="shared" si="23"/>
        <v>160298.71</v>
      </c>
      <c r="Q790" s="124">
        <f t="shared" si="2"/>
        <v>0.29</v>
      </c>
      <c r="R790" s="52">
        <f t="array" ref="R790">IFERROR(INDEX('Fund YTD Target Values'!$1:$1000, MATCH($C790,'Fund YTD Target Values'!$A:$A,0), MATCH($A790,'Fund YTD Target Values'!$1:$1,0)),0)</f>
        <v>161362.9699</v>
      </c>
      <c r="S790" s="52">
        <f>IFERROR(__xludf.DUMMYFUNCTION("IFERROR(sum(FILTER('Fund Data'!$V:$V, 'Fund Data'!$C:$C = $C790, 'Fund Data'!$A:$A &lt; $A790)),0) + IFERROR(sum(FILTER('Fund Data'!$V:$V, 'Fund Data'!$C:$C = $C790, 'Fund Data'!$A:$A = $A790, 'Fund Data'!$B:$B &lt;= $B790)),0)"),129703.74)</f>
        <v>129703.74</v>
      </c>
      <c r="T790" s="123">
        <v>129723.0</v>
      </c>
      <c r="U790" s="44">
        <f t="shared" si="77"/>
        <v>-19.26</v>
      </c>
      <c r="V790" s="44">
        <f t="shared" si="3"/>
        <v>0</v>
      </c>
      <c r="W790" s="123"/>
      <c r="X790" s="123"/>
      <c r="Y790" s="123">
        <v>0.0</v>
      </c>
      <c r="Z790" s="123">
        <v>0.0</v>
      </c>
      <c r="AA790" s="123">
        <v>0.0</v>
      </c>
      <c r="AB790" s="123"/>
      <c r="AC790" s="123">
        <v>0.0</v>
      </c>
      <c r="AD790" s="44">
        <f t="shared" si="7"/>
        <v>0</v>
      </c>
      <c r="AE790" s="123">
        <v>0.0</v>
      </c>
    </row>
    <row r="791">
      <c r="A791" s="120">
        <v>2017.0</v>
      </c>
      <c r="B791" s="121">
        <v>12.0</v>
      </c>
      <c r="C791" s="122" t="s">
        <v>54</v>
      </c>
      <c r="D791" s="44"/>
      <c r="E791" s="123">
        <v>3259.8</v>
      </c>
      <c r="F791" s="123">
        <v>-5000.0</v>
      </c>
      <c r="G791" s="123"/>
      <c r="H791" s="123">
        <v>-891.59</v>
      </c>
      <c r="I791" s="44"/>
      <c r="J791" s="123">
        <v>586.12</v>
      </c>
      <c r="K791" s="44"/>
      <c r="L791" s="123">
        <v>17850.68</v>
      </c>
      <c r="M791" s="44"/>
      <c r="N791" s="44"/>
      <c r="O791" s="123">
        <v>154813.0</v>
      </c>
      <c r="P791" s="52">
        <f t="shared" si="23"/>
        <v>154812.71</v>
      </c>
      <c r="Q791" s="124">
        <f t="shared" si="2"/>
        <v>0.29</v>
      </c>
      <c r="R791" s="52">
        <f t="array" ref="R791">IFERROR(INDEX('Fund YTD Target Values'!$1:$1000, MATCH($C791,'Fund YTD Target Values'!$A:$A,0), MATCH($A791,'Fund YTD Target Values'!$1:$1,0)),0)</f>
        <v>157515.3664</v>
      </c>
      <c r="S791" s="52">
        <f>IFERROR(__xludf.DUMMYFUNCTION("IFERROR(sum(FILTER('Fund Data'!$V:$V, 'Fund Data'!$C:$C = $C791, 'Fund Data'!$A:$A &lt; $A791)),0) + IFERROR(sum(FILTER('Fund Data'!$V:$V, 'Fund Data'!$C:$C = $C791, 'Fund Data'!$A:$A = $A791, 'Fund Data'!$B:$B &lt;= $B791)),0)"),129703.74)</f>
        <v>129703.74</v>
      </c>
      <c r="T791" s="123">
        <v>129723.0</v>
      </c>
      <c r="U791" s="44">
        <f t="shared" si="77"/>
        <v>-19.26</v>
      </c>
      <c r="V791" s="44">
        <f t="shared" si="3"/>
        <v>0</v>
      </c>
      <c r="W791" s="123"/>
      <c r="X791" s="123"/>
      <c r="Y791" s="123">
        <v>0.0</v>
      </c>
      <c r="Z791" s="123">
        <v>0.0</v>
      </c>
      <c r="AA791" s="123">
        <v>0.0</v>
      </c>
      <c r="AB791" s="123"/>
      <c r="AC791" s="123">
        <v>0.0</v>
      </c>
      <c r="AD791" s="44">
        <f t="shared" si="7"/>
        <v>-5000</v>
      </c>
      <c r="AE791" s="123">
        <v>0.0</v>
      </c>
    </row>
    <row r="792">
      <c r="A792" s="120">
        <v>2017.0</v>
      </c>
      <c r="B792" s="121">
        <v>11.0</v>
      </c>
      <c r="C792" s="122" t="s">
        <v>54</v>
      </c>
      <c r="D792" s="44"/>
      <c r="E792" s="123">
        <v>3042.22</v>
      </c>
      <c r="F792" s="123">
        <v>-5000.0</v>
      </c>
      <c r="G792" s="44"/>
      <c r="H792" s="123">
        <v>-814.61</v>
      </c>
      <c r="I792" s="44"/>
      <c r="J792" s="123">
        <v>586.12</v>
      </c>
      <c r="K792" s="44"/>
      <c r="L792" s="123">
        <v>17106.73</v>
      </c>
      <c r="M792" s="44"/>
      <c r="N792" s="44"/>
      <c r="O792" s="123">
        <v>153928.0</v>
      </c>
      <c r="P792" s="52">
        <f t="shared" si="23"/>
        <v>153928.16</v>
      </c>
      <c r="Q792" s="124">
        <f t="shared" si="2"/>
        <v>-0.16</v>
      </c>
      <c r="R792" s="52">
        <f t="array" ref="R792">IFERROR(INDEX('Fund YTD Target Values'!$1:$1000, MATCH($C792,'Fund YTD Target Values'!$A:$A,0), MATCH($A792,'Fund YTD Target Values'!$1:$1,0)),0)</f>
        <v>157515.3664</v>
      </c>
      <c r="S792" s="52">
        <f>IFERROR(__xludf.DUMMYFUNCTION("IFERROR(sum(FILTER('Fund Data'!$V:$V, 'Fund Data'!$C:$C = $C792, 'Fund Data'!$A:$A &lt; $A792)),0) + IFERROR(sum(FILTER('Fund Data'!$V:$V, 'Fund Data'!$C:$C = $C792, 'Fund Data'!$A:$A = $A792, 'Fund Data'!$B:$B &lt;= $B792)),0)"),129703.74)</f>
        <v>129703.74</v>
      </c>
      <c r="T792" s="123">
        <v>129723.0</v>
      </c>
      <c r="U792" s="44">
        <f t="shared" si="77"/>
        <v>-19.26</v>
      </c>
      <c r="V792" s="44">
        <f t="shared" si="3"/>
        <v>0</v>
      </c>
      <c r="W792" s="123"/>
      <c r="X792" s="123"/>
      <c r="Y792" s="123">
        <v>0.0</v>
      </c>
      <c r="Z792" s="123">
        <v>0.0</v>
      </c>
      <c r="AA792" s="123">
        <v>0.0</v>
      </c>
      <c r="AB792" s="123"/>
      <c r="AC792" s="123">
        <v>0.0</v>
      </c>
      <c r="AD792" s="44">
        <f t="shared" si="7"/>
        <v>-5000</v>
      </c>
      <c r="AE792" s="123">
        <v>0.0</v>
      </c>
    </row>
    <row r="793">
      <c r="A793" s="120">
        <v>2017.0</v>
      </c>
      <c r="B793" s="121">
        <v>10.0</v>
      </c>
      <c r="C793" s="122" t="s">
        <v>54</v>
      </c>
      <c r="D793" s="44"/>
      <c r="E793" s="123">
        <v>2937.72</v>
      </c>
      <c r="F793" s="123">
        <v>-2300.0</v>
      </c>
      <c r="G793" s="44"/>
      <c r="H793" s="123">
        <v>-737.17</v>
      </c>
      <c r="I793" s="44"/>
      <c r="J793" s="44"/>
      <c r="K793" s="44"/>
      <c r="L793" s="123">
        <v>15980.69</v>
      </c>
      <c r="M793" s="44"/>
      <c r="N793" s="44"/>
      <c r="O793" s="123">
        <v>154889.0</v>
      </c>
      <c r="P793" s="52">
        <f t="shared" si="23"/>
        <v>154888.94</v>
      </c>
      <c r="Q793" s="124">
        <f t="shared" si="2"/>
        <v>0.06000000003</v>
      </c>
      <c r="R793" s="52">
        <f t="array" ref="R793">IFERROR(INDEX('Fund YTD Target Values'!$1:$1000, MATCH($C793,'Fund YTD Target Values'!$A:$A,0), MATCH($A793,'Fund YTD Target Values'!$1:$1,0)),0)</f>
        <v>157515.3664</v>
      </c>
      <c r="S793" s="52">
        <f>IFERROR(__xludf.DUMMYFUNCTION("IFERROR(sum(FILTER('Fund Data'!$V:$V, 'Fund Data'!$C:$C = $C793, 'Fund Data'!$A:$A &lt; $A793)),0) + IFERROR(sum(FILTER('Fund Data'!$V:$V, 'Fund Data'!$C:$C = $C793, 'Fund Data'!$A:$A = $A793, 'Fund Data'!$B:$B &lt;= $B793)),0)"),129703.74)</f>
        <v>129703.74</v>
      </c>
      <c r="T793" s="123">
        <v>129723.0</v>
      </c>
      <c r="U793" s="44">
        <f t="shared" si="77"/>
        <v>-19.26</v>
      </c>
      <c r="V793" s="44">
        <f t="shared" si="3"/>
        <v>0</v>
      </c>
      <c r="W793" s="123"/>
      <c r="X793" s="123"/>
      <c r="Y793" s="123">
        <v>0.0</v>
      </c>
      <c r="Z793" s="123">
        <v>0.0</v>
      </c>
      <c r="AA793" s="123">
        <v>0.0</v>
      </c>
      <c r="AB793" s="123"/>
      <c r="AC793" s="123">
        <v>0.0</v>
      </c>
      <c r="AD793" s="44">
        <f t="shared" si="7"/>
        <v>-2300</v>
      </c>
      <c r="AE793" s="123">
        <v>0.0</v>
      </c>
    </row>
    <row r="794">
      <c r="A794" s="120">
        <v>2017.0</v>
      </c>
      <c r="B794" s="121">
        <v>9.0</v>
      </c>
      <c r="C794" s="122" t="s">
        <v>54</v>
      </c>
      <c r="D794" s="44"/>
      <c r="E794" s="123">
        <v>2620.05</v>
      </c>
      <c r="F794" s="123">
        <v>-2300.0</v>
      </c>
      <c r="G794" s="44"/>
      <c r="H794" s="123">
        <v>-660.84</v>
      </c>
      <c r="I794" s="44"/>
      <c r="J794" s="44"/>
      <c r="K794" s="44"/>
      <c r="L794" s="123">
        <v>14000.74</v>
      </c>
      <c r="M794" s="44"/>
      <c r="N794" s="44"/>
      <c r="O794" s="123">
        <v>152668.0</v>
      </c>
      <c r="P794" s="52">
        <f t="shared" si="23"/>
        <v>152667.65</v>
      </c>
      <c r="Q794" s="124">
        <f t="shared" si="2"/>
        <v>0.35</v>
      </c>
      <c r="R794" s="52">
        <f t="array" ref="R794">IFERROR(INDEX('Fund YTD Target Values'!$1:$1000, MATCH($C794,'Fund YTD Target Values'!$A:$A,0), MATCH($A794,'Fund YTD Target Values'!$1:$1,0)),0)</f>
        <v>157515.3664</v>
      </c>
      <c r="S794" s="52">
        <f>IFERROR(__xludf.DUMMYFUNCTION("IFERROR(sum(FILTER('Fund Data'!$V:$V, 'Fund Data'!$C:$C = $C794, 'Fund Data'!$A:$A &lt; $A794)),0) + IFERROR(sum(FILTER('Fund Data'!$V:$V, 'Fund Data'!$C:$C = $C794, 'Fund Data'!$A:$A = $A794, 'Fund Data'!$B:$B &lt;= $B794)),0)"),129703.74)</f>
        <v>129703.74</v>
      </c>
      <c r="T794" s="123">
        <v>129723.0</v>
      </c>
      <c r="U794" s="44">
        <f t="shared" si="77"/>
        <v>-19.26</v>
      </c>
      <c r="V794" s="44">
        <f t="shared" si="3"/>
        <v>0</v>
      </c>
      <c r="W794" s="123"/>
      <c r="X794" s="123"/>
      <c r="Y794" s="123">
        <v>0.0</v>
      </c>
      <c r="Z794" s="123">
        <v>0.0</v>
      </c>
      <c r="AA794" s="123">
        <v>0.0</v>
      </c>
      <c r="AB794" s="123"/>
      <c r="AC794" s="123">
        <v>0.0</v>
      </c>
      <c r="AD794" s="44">
        <f t="shared" si="7"/>
        <v>-2300</v>
      </c>
      <c r="AE794" s="123">
        <v>0.0</v>
      </c>
    </row>
    <row r="795">
      <c r="A795" s="120">
        <v>2017.0</v>
      </c>
      <c r="B795" s="121">
        <v>8.0</v>
      </c>
      <c r="C795" s="122" t="s">
        <v>54</v>
      </c>
      <c r="D795" s="44"/>
      <c r="E795" s="123">
        <v>2429.93</v>
      </c>
      <c r="F795" s="123">
        <v>-2300.0</v>
      </c>
      <c r="G795" s="44"/>
      <c r="H795" s="123">
        <v>-585.31</v>
      </c>
      <c r="I795" s="44"/>
      <c r="J795" s="44"/>
      <c r="K795" s="44"/>
      <c r="L795" s="123">
        <v>12504.1</v>
      </c>
      <c r="M795" s="44"/>
      <c r="N795" s="44"/>
      <c r="O795" s="123">
        <v>151056.0</v>
      </c>
      <c r="P795" s="52">
        <f t="shared" si="23"/>
        <v>151056.42</v>
      </c>
      <c r="Q795" s="124">
        <f t="shared" si="2"/>
        <v>-0.42</v>
      </c>
      <c r="R795" s="52">
        <f t="array" ref="R795">IFERROR(INDEX('Fund YTD Target Values'!$1:$1000, MATCH($C795,'Fund YTD Target Values'!$A:$A,0), MATCH($A795,'Fund YTD Target Values'!$1:$1,0)),0)</f>
        <v>157515.3664</v>
      </c>
      <c r="S795" s="52">
        <f>IFERROR(__xludf.DUMMYFUNCTION("IFERROR(sum(FILTER('Fund Data'!$V:$V, 'Fund Data'!$C:$C = $C795, 'Fund Data'!$A:$A &lt; $A795)),0) + IFERROR(sum(FILTER('Fund Data'!$V:$V, 'Fund Data'!$C:$C = $C795, 'Fund Data'!$A:$A = $A795, 'Fund Data'!$B:$B &lt;= $B795)),0)"),129703.74)</f>
        <v>129703.74</v>
      </c>
      <c r="T795" s="123">
        <v>129723.0</v>
      </c>
      <c r="U795" s="44">
        <f t="shared" si="77"/>
        <v>-19.26</v>
      </c>
      <c r="V795" s="44">
        <f t="shared" si="3"/>
        <v>0</v>
      </c>
      <c r="W795" s="123"/>
      <c r="X795" s="123"/>
      <c r="Y795" s="123">
        <v>0.0</v>
      </c>
      <c r="Z795" s="123">
        <v>0.0</v>
      </c>
      <c r="AA795" s="123">
        <v>0.0</v>
      </c>
      <c r="AB795" s="123"/>
      <c r="AC795" s="123">
        <v>0.0</v>
      </c>
      <c r="AD795" s="44">
        <f t="shared" si="7"/>
        <v>-2300</v>
      </c>
      <c r="AE795" s="123">
        <v>0.0</v>
      </c>
    </row>
    <row r="796">
      <c r="A796" s="120">
        <v>2017.0</v>
      </c>
      <c r="B796" s="121">
        <v>7.0</v>
      </c>
      <c r="C796" s="122" t="s">
        <v>54</v>
      </c>
      <c r="D796" s="44"/>
      <c r="E796" s="123">
        <v>2325.41</v>
      </c>
      <c r="F796" s="44"/>
      <c r="G796" s="44"/>
      <c r="H796" s="123">
        <v>-508.84</v>
      </c>
      <c r="I796" s="44"/>
      <c r="J796" s="44"/>
      <c r="K796" s="44"/>
      <c r="L796" s="123">
        <v>12109.98</v>
      </c>
      <c r="M796" s="44"/>
      <c r="N796" s="44"/>
      <c r="O796" s="123">
        <v>152934.0</v>
      </c>
      <c r="P796" s="52">
        <f t="shared" si="23"/>
        <v>152934.25</v>
      </c>
      <c r="Q796" s="124">
        <f t="shared" si="2"/>
        <v>-0.25</v>
      </c>
      <c r="R796" s="52">
        <f t="array" ref="R796">IFERROR(INDEX('Fund YTD Target Values'!$1:$1000, MATCH($C796,'Fund YTD Target Values'!$A:$A,0), MATCH($A796,'Fund YTD Target Values'!$1:$1,0)),0)</f>
        <v>157515.3664</v>
      </c>
      <c r="S796" s="52">
        <f>IFERROR(__xludf.DUMMYFUNCTION("IFERROR(sum(FILTER('Fund Data'!$V:$V, 'Fund Data'!$C:$C = $C796, 'Fund Data'!$A:$A &lt; $A796)),0) + IFERROR(sum(FILTER('Fund Data'!$V:$V, 'Fund Data'!$C:$C = $C796, 'Fund Data'!$A:$A = $A796, 'Fund Data'!$B:$B &lt;= $B796)),0)"),129703.74)</f>
        <v>129703.74</v>
      </c>
      <c r="T796" s="123">
        <v>129723.0</v>
      </c>
      <c r="U796" s="44">
        <f t="shared" si="77"/>
        <v>-19.26</v>
      </c>
      <c r="V796" s="44">
        <f t="shared" si="3"/>
        <v>0</v>
      </c>
      <c r="W796" s="123"/>
      <c r="X796" s="123"/>
      <c r="Y796" s="123">
        <v>0.0</v>
      </c>
      <c r="Z796" s="123">
        <v>0.0</v>
      </c>
      <c r="AA796" s="123">
        <v>0.0</v>
      </c>
      <c r="AB796" s="123"/>
      <c r="AC796" s="123">
        <v>0.0</v>
      </c>
      <c r="AD796" s="44">
        <f t="shared" si="7"/>
        <v>0</v>
      </c>
      <c r="AE796" s="123">
        <v>0.0</v>
      </c>
    </row>
    <row r="797">
      <c r="A797" s="120">
        <v>2017.0</v>
      </c>
      <c r="B797" s="121">
        <v>6.0</v>
      </c>
      <c r="C797" s="122" t="s">
        <v>54</v>
      </c>
      <c r="D797" s="44"/>
      <c r="E797" s="123">
        <v>1850.05</v>
      </c>
      <c r="F797" s="44"/>
      <c r="G797" s="44"/>
      <c r="H797" s="123">
        <v>-434.13</v>
      </c>
      <c r="I797" s="44"/>
      <c r="J797" s="44"/>
      <c r="K797" s="44"/>
      <c r="L797" s="123">
        <v>8993.29</v>
      </c>
      <c r="M797" s="44"/>
      <c r="N797" s="44"/>
      <c r="O797" s="123">
        <v>149417.0</v>
      </c>
      <c r="P797" s="52">
        <f t="shared" si="23"/>
        <v>149416.91</v>
      </c>
      <c r="Q797" s="124">
        <f t="shared" si="2"/>
        <v>0.09000000003</v>
      </c>
      <c r="R797" s="52">
        <f t="array" ref="R797">IFERROR(INDEX('Fund YTD Target Values'!$1:$1000, MATCH($C797,'Fund YTD Target Values'!$A:$A,0), MATCH($A797,'Fund YTD Target Values'!$1:$1,0)),0)</f>
        <v>157515.3664</v>
      </c>
      <c r="S797" s="52">
        <f>IFERROR(__xludf.DUMMYFUNCTION("IFERROR(sum(FILTER('Fund Data'!$V:$V, 'Fund Data'!$C:$C = $C797, 'Fund Data'!$A:$A &lt; $A797)),0) + IFERROR(sum(FILTER('Fund Data'!$V:$V, 'Fund Data'!$C:$C = $C797, 'Fund Data'!$A:$A = $A797, 'Fund Data'!$B:$B &lt;= $B797)),0)"),129703.74)</f>
        <v>129703.74</v>
      </c>
      <c r="T797" s="123">
        <v>129723.0</v>
      </c>
      <c r="U797" s="44">
        <f t="shared" si="77"/>
        <v>-19.26</v>
      </c>
      <c r="V797" s="44">
        <f t="shared" si="3"/>
        <v>0</v>
      </c>
      <c r="W797" s="123"/>
      <c r="X797" s="123"/>
      <c r="Y797" s="123">
        <v>0.0</v>
      </c>
      <c r="Z797" s="123">
        <v>0.0</v>
      </c>
      <c r="AA797" s="123">
        <v>0.0</v>
      </c>
      <c r="AB797" s="123"/>
      <c r="AC797" s="123">
        <v>0.0</v>
      </c>
      <c r="AD797" s="44">
        <f t="shared" si="7"/>
        <v>0</v>
      </c>
      <c r="AE797" s="123">
        <v>0.0</v>
      </c>
    </row>
    <row r="798">
      <c r="A798" s="120">
        <v>2017.0</v>
      </c>
      <c r="B798" s="121">
        <v>5.0</v>
      </c>
      <c r="C798" s="122" t="s">
        <v>54</v>
      </c>
      <c r="D798" s="44"/>
      <c r="E798" s="123">
        <v>1750.66</v>
      </c>
      <c r="F798" s="44"/>
      <c r="G798" s="44"/>
      <c r="H798" s="123">
        <v>-359.59</v>
      </c>
      <c r="I798" s="44"/>
      <c r="J798" s="44"/>
      <c r="K798" s="44"/>
      <c r="L798" s="123">
        <v>8672.8</v>
      </c>
      <c r="M798" s="44"/>
      <c r="N798" s="44"/>
      <c r="O798" s="123">
        <v>149072.0</v>
      </c>
      <c r="P798" s="52">
        <f t="shared" si="23"/>
        <v>149071.57</v>
      </c>
      <c r="Q798" s="124">
        <f t="shared" si="2"/>
        <v>0.43</v>
      </c>
      <c r="R798" s="52">
        <f t="array" ref="R798">IFERROR(INDEX('Fund YTD Target Values'!$1:$1000, MATCH($C798,'Fund YTD Target Values'!$A:$A,0), MATCH($A798,'Fund YTD Target Values'!$1:$1,0)),0)</f>
        <v>157515.3664</v>
      </c>
      <c r="S798" s="52">
        <f>IFERROR(__xludf.DUMMYFUNCTION("IFERROR(sum(FILTER('Fund Data'!$V:$V, 'Fund Data'!$C:$C = $C798, 'Fund Data'!$A:$A &lt; $A798)),0) + IFERROR(sum(FILTER('Fund Data'!$V:$V, 'Fund Data'!$C:$C = $C798, 'Fund Data'!$A:$A = $A798, 'Fund Data'!$B:$B &lt;= $B798)),0)"),129703.74)</f>
        <v>129703.74</v>
      </c>
      <c r="T798" s="123">
        <v>129723.0</v>
      </c>
      <c r="U798" s="44">
        <f t="shared" si="77"/>
        <v>-19.26</v>
      </c>
      <c r="V798" s="44">
        <f t="shared" si="3"/>
        <v>0</v>
      </c>
      <c r="W798" s="123"/>
      <c r="X798" s="123"/>
      <c r="Y798" s="123">
        <v>0.0</v>
      </c>
      <c r="Z798" s="123">
        <v>0.0</v>
      </c>
      <c r="AA798" s="123">
        <v>0.0</v>
      </c>
      <c r="AB798" s="123"/>
      <c r="AC798" s="123">
        <v>0.0</v>
      </c>
      <c r="AD798" s="44">
        <f t="shared" si="7"/>
        <v>0</v>
      </c>
      <c r="AE798" s="123">
        <v>0.0</v>
      </c>
    </row>
    <row r="799">
      <c r="A799" s="120">
        <v>2017.0</v>
      </c>
      <c r="B799" s="121">
        <v>4.0</v>
      </c>
      <c r="C799" s="122" t="s">
        <v>54</v>
      </c>
      <c r="D799" s="44"/>
      <c r="E799" s="123">
        <v>1654.95</v>
      </c>
      <c r="F799" s="44"/>
      <c r="G799" s="44"/>
      <c r="H799" s="123">
        <v>-285.9</v>
      </c>
      <c r="I799" s="44"/>
      <c r="J799" s="44"/>
      <c r="K799" s="44"/>
      <c r="L799" s="123">
        <v>7011.26</v>
      </c>
      <c r="M799" s="44"/>
      <c r="N799" s="44"/>
      <c r="O799" s="123">
        <v>147388.0</v>
      </c>
      <c r="P799" s="52">
        <f t="shared" si="23"/>
        <v>147388.01</v>
      </c>
      <c r="Q799" s="124">
        <f t="shared" si="2"/>
        <v>-0.00999999998</v>
      </c>
      <c r="R799" s="52">
        <f t="array" ref="R799">IFERROR(INDEX('Fund YTD Target Values'!$1:$1000, MATCH($C799,'Fund YTD Target Values'!$A:$A,0), MATCH($A799,'Fund YTD Target Values'!$1:$1,0)),0)</f>
        <v>157515.3664</v>
      </c>
      <c r="S799" s="52">
        <f>IFERROR(__xludf.DUMMYFUNCTION("IFERROR(sum(FILTER('Fund Data'!$V:$V, 'Fund Data'!$C:$C = $C799, 'Fund Data'!$A:$A &lt; $A799)),0) + IFERROR(sum(FILTER('Fund Data'!$V:$V, 'Fund Data'!$C:$C = $C799, 'Fund Data'!$A:$A = $A799, 'Fund Data'!$B:$B &lt;= $B799)),0)"),129703.74)</f>
        <v>129703.74</v>
      </c>
      <c r="T799" s="123">
        <v>129723.0</v>
      </c>
      <c r="U799" s="44">
        <f t="shared" si="77"/>
        <v>-19.26</v>
      </c>
      <c r="V799" s="44">
        <f t="shared" si="3"/>
        <v>0</v>
      </c>
      <c r="W799" s="123"/>
      <c r="X799" s="123"/>
      <c r="Y799" s="123">
        <v>0.0</v>
      </c>
      <c r="Z799" s="123">
        <v>0.0</v>
      </c>
      <c r="AA799" s="123">
        <v>0.0</v>
      </c>
      <c r="AB799" s="123"/>
      <c r="AC799" s="123">
        <v>0.0</v>
      </c>
      <c r="AD799" s="44">
        <f t="shared" si="7"/>
        <v>0</v>
      </c>
      <c r="AE799" s="123">
        <v>0.0</v>
      </c>
    </row>
    <row r="800">
      <c r="A800" s="120">
        <v>2017.0</v>
      </c>
      <c r="B800" s="121">
        <v>3.0</v>
      </c>
      <c r="C800" s="122" t="s">
        <v>54</v>
      </c>
      <c r="D800" s="44"/>
      <c r="E800" s="123">
        <v>1252.38</v>
      </c>
      <c r="F800" s="44"/>
      <c r="G800" s="44"/>
      <c r="H800" s="123">
        <v>-213.11</v>
      </c>
      <c r="I800" s="44"/>
      <c r="J800" s="44"/>
      <c r="K800" s="44"/>
      <c r="L800" s="123">
        <v>5536.41</v>
      </c>
      <c r="M800" s="44"/>
      <c r="N800" s="44"/>
      <c r="O800" s="123">
        <v>145583.0</v>
      </c>
      <c r="P800" s="52">
        <f t="shared" si="23"/>
        <v>145583.38</v>
      </c>
      <c r="Q800" s="124">
        <f t="shared" si="2"/>
        <v>-0.38</v>
      </c>
      <c r="R800" s="52">
        <f t="array" ref="R800">IFERROR(INDEX('Fund YTD Target Values'!$1:$1000, MATCH($C800,'Fund YTD Target Values'!$A:$A,0), MATCH($A800,'Fund YTD Target Values'!$1:$1,0)),0)</f>
        <v>157515.3664</v>
      </c>
      <c r="S800" s="52">
        <f>IFERROR(__xludf.DUMMYFUNCTION("IFERROR(sum(FILTER('Fund Data'!$V:$V, 'Fund Data'!$C:$C = $C800, 'Fund Data'!$A:$A &lt; $A800)),0) + IFERROR(sum(FILTER('Fund Data'!$V:$V, 'Fund Data'!$C:$C = $C800, 'Fund Data'!$A:$A = $A800, 'Fund Data'!$B:$B &lt;= $B800)),0)"),129703.74)</f>
        <v>129703.74</v>
      </c>
      <c r="T800" s="123">
        <v>129723.0</v>
      </c>
      <c r="U800" s="44">
        <f t="shared" si="77"/>
        <v>-19.26</v>
      </c>
      <c r="V800" s="44">
        <f t="shared" si="3"/>
        <v>0</v>
      </c>
      <c r="W800" s="123"/>
      <c r="X800" s="123"/>
      <c r="Y800" s="123">
        <v>0.0</v>
      </c>
      <c r="Z800" s="123">
        <v>0.0</v>
      </c>
      <c r="AA800" s="123">
        <v>0.0</v>
      </c>
      <c r="AB800" s="123"/>
      <c r="AC800" s="123">
        <v>0.0</v>
      </c>
      <c r="AD800" s="44">
        <f t="shared" si="7"/>
        <v>0</v>
      </c>
      <c r="AE800" s="123">
        <v>0.0</v>
      </c>
    </row>
    <row r="801">
      <c r="A801" s="120">
        <v>2017.0</v>
      </c>
      <c r="B801" s="121">
        <v>2.0</v>
      </c>
      <c r="C801" s="122" t="s">
        <v>54</v>
      </c>
      <c r="D801" s="44"/>
      <c r="E801" s="123">
        <v>1155.13</v>
      </c>
      <c r="F801" s="44"/>
      <c r="G801" s="44"/>
      <c r="H801" s="123">
        <v>-140.59</v>
      </c>
      <c r="I801" s="44"/>
      <c r="J801" s="44"/>
      <c r="K801" s="44"/>
      <c r="L801" s="123">
        <v>5017.82</v>
      </c>
      <c r="M801" s="44"/>
      <c r="N801" s="44"/>
      <c r="O801" s="123">
        <v>145040.0</v>
      </c>
      <c r="P801" s="52">
        <f t="shared" si="23"/>
        <v>145040.06</v>
      </c>
      <c r="Q801" s="124">
        <f t="shared" si="2"/>
        <v>-0.05999999997</v>
      </c>
      <c r="R801" s="52">
        <f t="array" ref="R801">IFERROR(INDEX('Fund YTD Target Values'!$1:$1000, MATCH($C801,'Fund YTD Target Values'!$A:$A,0), MATCH($A801,'Fund YTD Target Values'!$1:$1,0)),0)</f>
        <v>157515.3664</v>
      </c>
      <c r="S801" s="52">
        <f>IFERROR(__xludf.DUMMYFUNCTION("IFERROR(sum(FILTER('Fund Data'!$V:$V, 'Fund Data'!$C:$C = $C801, 'Fund Data'!$A:$A &lt; $A801)),0) + IFERROR(sum(FILTER('Fund Data'!$V:$V, 'Fund Data'!$C:$C = $C801, 'Fund Data'!$A:$A = $A801, 'Fund Data'!$B:$B &lt;= $B801)),0)"),129703.74)</f>
        <v>129703.74</v>
      </c>
      <c r="T801" s="123">
        <v>129723.0</v>
      </c>
      <c r="U801" s="44">
        <f t="shared" si="77"/>
        <v>-19.26</v>
      </c>
      <c r="V801" s="44">
        <f t="shared" si="3"/>
        <v>0</v>
      </c>
      <c r="W801" s="123"/>
      <c r="X801" s="123"/>
      <c r="Y801" s="123">
        <v>0.0</v>
      </c>
      <c r="Z801" s="123">
        <v>0.0</v>
      </c>
      <c r="AA801" s="123">
        <v>0.0</v>
      </c>
      <c r="AB801" s="123"/>
      <c r="AC801" s="123">
        <v>0.0</v>
      </c>
      <c r="AD801" s="44">
        <f t="shared" si="7"/>
        <v>0</v>
      </c>
      <c r="AE801" s="123">
        <v>0.0</v>
      </c>
    </row>
    <row r="802">
      <c r="A802" s="120">
        <v>2017.0</v>
      </c>
      <c r="B802" s="121">
        <v>1.0</v>
      </c>
      <c r="C802" s="122" t="s">
        <v>54</v>
      </c>
      <c r="D802" s="44"/>
      <c r="E802" s="123">
        <v>1054.94</v>
      </c>
      <c r="F802" s="44"/>
      <c r="G802" s="44"/>
      <c r="H802" s="123">
        <v>-69.5</v>
      </c>
      <c r="I802" s="44"/>
      <c r="J802" s="44"/>
      <c r="K802" s="44"/>
      <c r="L802" s="123">
        <v>2193.61</v>
      </c>
      <c r="M802" s="44"/>
      <c r="N802" s="44"/>
      <c r="O802" s="123">
        <v>142187.0</v>
      </c>
      <c r="P802" s="52">
        <f t="shared" si="23"/>
        <v>142186.75</v>
      </c>
      <c r="Q802" s="124">
        <f t="shared" si="2"/>
        <v>0.25</v>
      </c>
      <c r="R802" s="52">
        <f t="array" ref="R802">IFERROR(INDEX('Fund YTD Target Values'!$1:$1000, MATCH($C802,'Fund YTD Target Values'!$A:$A,0), MATCH($A802,'Fund YTD Target Values'!$1:$1,0)),0)</f>
        <v>157515.3664</v>
      </c>
      <c r="S802" s="52">
        <f>IFERROR(__xludf.DUMMYFUNCTION("IFERROR(sum(FILTER('Fund Data'!$V:$V, 'Fund Data'!$C:$C = $C802, 'Fund Data'!$A:$A &lt; $A802)),0) + IFERROR(sum(FILTER('Fund Data'!$V:$V, 'Fund Data'!$C:$C = $C802, 'Fund Data'!$A:$A = $A802, 'Fund Data'!$B:$B &lt;= $B802)),0)"),129703.74)</f>
        <v>129703.74</v>
      </c>
      <c r="T802" s="123">
        <v>129723.0</v>
      </c>
      <c r="U802" s="44">
        <f t="shared" si="77"/>
        <v>-19.26</v>
      </c>
      <c r="V802" s="44">
        <f t="shared" si="3"/>
        <v>0</v>
      </c>
      <c r="W802" s="123"/>
      <c r="X802" s="123"/>
      <c r="Y802" s="123">
        <v>0.0</v>
      </c>
      <c r="Z802" s="123">
        <v>0.0</v>
      </c>
      <c r="AA802" s="123">
        <v>0.0</v>
      </c>
      <c r="AB802" s="123"/>
      <c r="AC802" s="123">
        <v>0.0</v>
      </c>
      <c r="AD802" s="44">
        <f t="shared" si="7"/>
        <v>0</v>
      </c>
      <c r="AE802" s="123">
        <v>0.0</v>
      </c>
    </row>
    <row r="803">
      <c r="A803" s="120">
        <v>2016.0</v>
      </c>
      <c r="B803" s="121">
        <v>12.0</v>
      </c>
      <c r="C803" s="122" t="s">
        <v>54</v>
      </c>
      <c r="D803" s="44"/>
      <c r="E803" s="123">
        <v>3109.55</v>
      </c>
      <c r="F803" s="123">
        <v>-12000.0</v>
      </c>
      <c r="G803" s="123"/>
      <c r="H803" s="123">
        <v>-851.5</v>
      </c>
      <c r="I803" s="44"/>
      <c r="J803" s="123">
        <v>1632.05</v>
      </c>
      <c r="K803" s="44"/>
      <c r="L803" s="123">
        <v>4779.08</v>
      </c>
      <c r="M803" s="44"/>
      <c r="N803" s="44"/>
      <c r="O803" s="123">
        <v>139008.0</v>
      </c>
      <c r="P803" s="52">
        <f t="shared" si="23"/>
        <v>139007.7</v>
      </c>
      <c r="Q803" s="124">
        <f t="shared" si="2"/>
        <v>0.3</v>
      </c>
      <c r="R803" s="52">
        <f t="array" ref="R803">IFERROR(INDEX('Fund YTD Target Values'!$1:$1000, MATCH($C803,'Fund YTD Target Values'!$A:$A,0), MATCH($A803,'Fund YTD Target Values'!$1:$1,0)),0)</f>
        <v>154227.8231</v>
      </c>
      <c r="S803" s="52">
        <f>IFERROR(__xludf.DUMMYFUNCTION("IFERROR(sum(FILTER('Fund Data'!$V:$V, 'Fund Data'!$C:$C = $C803, 'Fund Data'!$A:$A &lt; $A803)),0) + IFERROR(sum(FILTER('Fund Data'!$V:$V, 'Fund Data'!$C:$C = $C803, 'Fund Data'!$A:$A = $A803, 'Fund Data'!$B:$B &lt;= $B803)),0)"),129703.74)</f>
        <v>129703.74</v>
      </c>
      <c r="T803" s="123">
        <v>129723.0</v>
      </c>
      <c r="U803" s="44">
        <f t="shared" si="77"/>
        <v>-19.26</v>
      </c>
      <c r="V803" s="44">
        <f t="shared" si="3"/>
        <v>0</v>
      </c>
      <c r="W803" s="123"/>
      <c r="X803" s="123"/>
      <c r="Y803" s="123">
        <v>0.0</v>
      </c>
      <c r="Z803" s="123">
        <v>0.0</v>
      </c>
      <c r="AA803" s="123">
        <v>0.0</v>
      </c>
      <c r="AB803" s="123"/>
      <c r="AC803" s="123">
        <v>0.0</v>
      </c>
      <c r="AD803" s="44">
        <f t="shared" si="7"/>
        <v>-12000</v>
      </c>
      <c r="AE803" s="123">
        <v>0.0</v>
      </c>
    </row>
    <row r="804">
      <c r="A804" s="120">
        <v>2015.0</v>
      </c>
      <c r="B804" s="121">
        <v>12.0</v>
      </c>
      <c r="C804" s="122" t="s">
        <v>54</v>
      </c>
      <c r="D804" s="44"/>
      <c r="E804" s="123">
        <v>3522.83</v>
      </c>
      <c r="F804" s="123">
        <v>-5000.0</v>
      </c>
      <c r="G804" s="123"/>
      <c r="H804" s="123">
        <v>-901.27</v>
      </c>
      <c r="I804" s="44"/>
      <c r="J804" s="123">
        <v>120.95</v>
      </c>
      <c r="K804" s="44"/>
      <c r="L804" s="123">
        <v>-6561.29</v>
      </c>
      <c r="M804" s="44"/>
      <c r="N804" s="44"/>
      <c r="O804" s="123">
        <v>142339.0</v>
      </c>
      <c r="P804" s="52">
        <f t="shared" si="23"/>
        <v>142338.52</v>
      </c>
      <c r="Q804" s="124">
        <f t="shared" si="2"/>
        <v>0.48</v>
      </c>
      <c r="R804" s="52">
        <f t="array" ref="R804">IFERROR(INDEX('Fund YTD Target Values'!$1:$1000, MATCH($C804,'Fund YTD Target Values'!$A:$A,0), MATCH($A804,'Fund YTD Target Values'!$1:$1,0)),0)</f>
        <v>152305.9597</v>
      </c>
      <c r="S804" s="52">
        <f>IFERROR(__xludf.DUMMYFUNCTION("IFERROR(sum(FILTER('Fund Data'!$V:$V, 'Fund Data'!$C:$C = $C804, 'Fund Data'!$A:$A &lt; $A804)),0) + IFERROR(sum(FILTER('Fund Data'!$V:$V, 'Fund Data'!$C:$C = $C804, 'Fund Data'!$A:$A = $A804, 'Fund Data'!$B:$B &lt;= $B804)),0)"),129703.74)</f>
        <v>129703.74</v>
      </c>
      <c r="T804" s="123">
        <v>129723.0</v>
      </c>
      <c r="U804" s="44">
        <f t="shared" si="77"/>
        <v>-19.26</v>
      </c>
      <c r="V804" s="44">
        <f t="shared" si="3"/>
        <v>0</v>
      </c>
      <c r="W804" s="123"/>
      <c r="X804" s="123"/>
      <c r="Y804" s="123">
        <v>0.0</v>
      </c>
      <c r="Z804" s="123">
        <v>0.0</v>
      </c>
      <c r="AA804" s="123">
        <v>0.0</v>
      </c>
      <c r="AB804" s="123"/>
      <c r="AC804" s="123">
        <v>0.0</v>
      </c>
      <c r="AD804" s="44">
        <f t="shared" si="7"/>
        <v>-5000</v>
      </c>
      <c r="AE804" s="123">
        <v>0.0</v>
      </c>
    </row>
    <row r="805">
      <c r="A805" s="120">
        <v>2014.0</v>
      </c>
      <c r="B805" s="121">
        <v>12.0</v>
      </c>
      <c r="C805" s="122" t="s">
        <v>54</v>
      </c>
      <c r="D805" s="44"/>
      <c r="E805" s="123">
        <v>2868.59</v>
      </c>
      <c r="F805" s="123">
        <v>-4000.0</v>
      </c>
      <c r="G805" s="123"/>
      <c r="H805" s="123">
        <v>-930.91</v>
      </c>
      <c r="I805" s="44"/>
      <c r="J805" s="44"/>
      <c r="K805" s="44"/>
      <c r="L805" s="123">
        <v>623.24</v>
      </c>
      <c r="M805" s="44"/>
      <c r="N805" s="44"/>
      <c r="O805" s="123">
        <v>151157.0</v>
      </c>
      <c r="P805" s="52">
        <f t="shared" si="23"/>
        <v>151157.3</v>
      </c>
      <c r="Q805" s="124">
        <f t="shared" si="2"/>
        <v>-0.3</v>
      </c>
      <c r="R805" s="52">
        <f t="array" ref="R805">IFERROR(INDEX('Fund YTD Target Values'!$1:$1000, MATCH($C805,'Fund YTD Target Values'!$A:$A,0), MATCH($A805,'Fund YTD Target Values'!$1:$1,0)),0)</f>
        <v>152125.0836</v>
      </c>
      <c r="S805" s="52">
        <f>IFERROR(__xludf.DUMMYFUNCTION("IFERROR(sum(FILTER('Fund Data'!$V:$V, 'Fund Data'!$C:$C = $C805, 'Fund Data'!$A:$A &lt; $A805)),0) + IFERROR(sum(FILTER('Fund Data'!$V:$V, 'Fund Data'!$C:$C = $C805, 'Fund Data'!$A:$A = $A805, 'Fund Data'!$B:$B &lt;= $B805)),0)"),129703.74)</f>
        <v>129703.74</v>
      </c>
      <c r="T805" s="123">
        <v>129723.0</v>
      </c>
      <c r="U805" s="44">
        <f t="shared" si="77"/>
        <v>-19.26</v>
      </c>
      <c r="V805" s="44">
        <f t="shared" si="3"/>
        <v>0</v>
      </c>
      <c r="W805" s="123"/>
      <c r="X805" s="123"/>
      <c r="Y805" s="123">
        <v>0.0</v>
      </c>
      <c r="Z805" s="123">
        <v>0.0</v>
      </c>
      <c r="AA805" s="123">
        <v>0.0</v>
      </c>
      <c r="AB805" s="123"/>
      <c r="AC805" s="123">
        <v>0.0</v>
      </c>
      <c r="AD805" s="44">
        <f t="shared" si="7"/>
        <v>-4000</v>
      </c>
      <c r="AE805" s="123">
        <v>0.0</v>
      </c>
    </row>
    <row r="806">
      <c r="A806" s="120">
        <v>2013.0</v>
      </c>
      <c r="B806" s="121">
        <v>12.0</v>
      </c>
      <c r="C806" s="122" t="s">
        <v>54</v>
      </c>
      <c r="D806" s="44"/>
      <c r="E806" s="123">
        <v>3100.65</v>
      </c>
      <c r="F806" s="123">
        <v>-10000.0</v>
      </c>
      <c r="G806" s="123"/>
      <c r="H806" s="123">
        <v>-903.25</v>
      </c>
      <c r="I806" s="44"/>
      <c r="J806" s="123">
        <v>1081.61</v>
      </c>
      <c r="K806" s="44"/>
      <c r="L806" s="123">
        <v>11661.77</v>
      </c>
      <c r="M806" s="44"/>
      <c r="N806" s="44"/>
      <c r="O806" s="123">
        <v>152596.0</v>
      </c>
      <c r="P806" s="52">
        <f t="shared" si="23"/>
        <v>152596.38</v>
      </c>
      <c r="Q806" s="124">
        <f t="shared" si="2"/>
        <v>-0.38</v>
      </c>
      <c r="R806" s="52">
        <f t="array" ref="R806">IFERROR(INDEX('Fund YTD Target Values'!$1:$1000, MATCH($C806,'Fund YTD Target Values'!$A:$A,0), MATCH($A806,'Fund YTD Target Values'!$1:$1,0)),0)</f>
        <v>149697.1386</v>
      </c>
      <c r="S806" s="52">
        <f>IFERROR(__xludf.DUMMYFUNCTION("IFERROR(sum(FILTER('Fund Data'!$V:$V, 'Fund Data'!$C:$C = $C806, 'Fund Data'!$A:$A &lt; $A806)),0) + IFERROR(sum(FILTER('Fund Data'!$V:$V, 'Fund Data'!$C:$C = $C806, 'Fund Data'!$A:$A = $A806, 'Fund Data'!$B:$B &lt;= $B806)),0)"),129703.74)</f>
        <v>129703.74</v>
      </c>
      <c r="T806" s="123">
        <v>129723.0</v>
      </c>
      <c r="U806" s="44">
        <f t="shared" si="77"/>
        <v>-19.26</v>
      </c>
      <c r="V806" s="44">
        <f t="shared" si="3"/>
        <v>0</v>
      </c>
      <c r="W806" s="123"/>
      <c r="X806" s="123"/>
      <c r="Y806" s="123">
        <v>0.0</v>
      </c>
      <c r="Z806" s="123">
        <v>0.0</v>
      </c>
      <c r="AA806" s="123">
        <v>0.0</v>
      </c>
      <c r="AB806" s="123"/>
      <c r="AC806" s="123">
        <v>0.0</v>
      </c>
      <c r="AD806" s="44">
        <f t="shared" si="7"/>
        <v>-10000</v>
      </c>
      <c r="AE806" s="123">
        <v>0.0</v>
      </c>
    </row>
    <row r="807">
      <c r="A807" s="120">
        <v>2012.0</v>
      </c>
      <c r="B807" s="121">
        <v>12.0</v>
      </c>
      <c r="C807" s="122" t="s">
        <v>54</v>
      </c>
      <c r="D807" s="123">
        <v>310.0</v>
      </c>
      <c r="E807" s="123">
        <v>2981.13</v>
      </c>
      <c r="F807" s="123">
        <v>-9000.0</v>
      </c>
      <c r="G807" s="123"/>
      <c r="H807" s="123">
        <v>-893.94</v>
      </c>
      <c r="I807" s="44"/>
      <c r="J807" s="123">
        <v>485.68</v>
      </c>
      <c r="K807" s="44"/>
      <c r="L807" s="123">
        <v>14006.07</v>
      </c>
      <c r="M807" s="44"/>
      <c r="N807" s="44"/>
      <c r="O807" s="123">
        <v>147656.0</v>
      </c>
      <c r="P807" s="52">
        <f t="shared" si="23"/>
        <v>147655.6</v>
      </c>
      <c r="Q807" s="124">
        <f t="shared" si="2"/>
        <v>0.4</v>
      </c>
      <c r="R807" s="52">
        <f t="array" ref="R807">IFERROR(INDEX('Fund YTD Target Values'!$1:$1000, MATCH($C807,'Fund YTD Target Values'!$A:$A,0), MATCH($A807,'Fund YTD Target Values'!$1:$1,0)),0)</f>
        <v>147534.2197</v>
      </c>
      <c r="S807" s="52">
        <f>IFERROR(__xludf.DUMMYFUNCTION("IFERROR(sum(FILTER('Fund Data'!$V:$V, 'Fund Data'!$C:$C = $C807, 'Fund Data'!$A:$A &lt; $A807)),0) + IFERROR(sum(FILTER('Fund Data'!$V:$V, 'Fund Data'!$C:$C = $C807, 'Fund Data'!$A:$A = $A807, 'Fund Data'!$B:$B &lt;= $B807)),0)"),129703.74)</f>
        <v>129703.74</v>
      </c>
      <c r="T807" s="123">
        <v>129723.0</v>
      </c>
      <c r="U807" s="44">
        <f t="shared" si="77"/>
        <v>-19.26</v>
      </c>
      <c r="V807" s="44">
        <f t="shared" si="3"/>
        <v>310</v>
      </c>
      <c r="W807" s="123"/>
      <c r="X807" s="123"/>
      <c r="Y807" s="123">
        <v>0.0</v>
      </c>
      <c r="Z807" s="123">
        <v>0.0</v>
      </c>
      <c r="AA807" s="123">
        <v>0.0</v>
      </c>
      <c r="AB807" s="123"/>
      <c r="AC807" s="123">
        <v>0.0</v>
      </c>
      <c r="AD807" s="44">
        <f t="shared" si="7"/>
        <v>-9000</v>
      </c>
      <c r="AE807" s="123">
        <v>0.0</v>
      </c>
    </row>
    <row r="808">
      <c r="A808" s="120">
        <v>2011.0</v>
      </c>
      <c r="B808" s="121">
        <v>12.0</v>
      </c>
      <c r="C808" s="122" t="s">
        <v>54</v>
      </c>
      <c r="D808" s="123">
        <v>250.0</v>
      </c>
      <c r="E808" s="123">
        <v>2509.42</v>
      </c>
      <c r="F808" s="123">
        <v>-3000.0</v>
      </c>
      <c r="G808" s="123"/>
      <c r="H808" s="123">
        <v>-903.21</v>
      </c>
      <c r="I808" s="44"/>
      <c r="J808" s="123">
        <v>33.14</v>
      </c>
      <c r="K808" s="44"/>
      <c r="L808" s="123">
        <v>-9288.87</v>
      </c>
      <c r="M808" s="44"/>
      <c r="N808" s="44"/>
      <c r="O808" s="123">
        <v>139767.0</v>
      </c>
      <c r="P808" s="52">
        <f t="shared" si="23"/>
        <v>139766.66</v>
      </c>
      <c r="Q808" s="124">
        <f t="shared" si="2"/>
        <v>0.34</v>
      </c>
      <c r="R808" s="52">
        <f t="array" ref="R808">IFERROR(INDEX('Fund YTD Target Values'!$1:$1000, MATCH($C808,'Fund YTD Target Values'!$A:$A,0), MATCH($A808,'Fund YTD Target Values'!$1:$1,0)),0)</f>
        <v>144233.9715</v>
      </c>
      <c r="S808" s="52">
        <f>IFERROR(__xludf.DUMMYFUNCTION("IFERROR(sum(FILTER('Fund Data'!$V:$V, 'Fund Data'!$C:$C = $C808, 'Fund Data'!$A:$A &lt; $A808)),0) + IFERROR(sum(FILTER('Fund Data'!$V:$V, 'Fund Data'!$C:$C = $C808, 'Fund Data'!$A:$A = $A808, 'Fund Data'!$B:$B &lt;= $B808)),0)"),129393.74)</f>
        <v>129393.74</v>
      </c>
      <c r="T808" s="123">
        <v>129413.0</v>
      </c>
      <c r="U808" s="44">
        <f t="shared" si="77"/>
        <v>-19.26</v>
      </c>
      <c r="V808" s="44">
        <f t="shared" si="3"/>
        <v>250</v>
      </c>
      <c r="W808" s="123"/>
      <c r="X808" s="123"/>
      <c r="Y808" s="123">
        <v>0.0</v>
      </c>
      <c r="Z808" s="123">
        <v>0.0</v>
      </c>
      <c r="AA808" s="123">
        <v>0.0</v>
      </c>
      <c r="AB808" s="123"/>
      <c r="AC808" s="123">
        <v>0.0</v>
      </c>
      <c r="AD808" s="44">
        <f t="shared" si="7"/>
        <v>-3000</v>
      </c>
      <c r="AE808" s="123">
        <v>0.0</v>
      </c>
    </row>
    <row r="809">
      <c r="A809" s="120">
        <v>2010.0</v>
      </c>
      <c r="B809" s="121">
        <v>12.0</v>
      </c>
      <c r="C809" s="122" t="s">
        <v>54</v>
      </c>
      <c r="D809" s="123">
        <v>250.0</v>
      </c>
      <c r="E809" s="123">
        <v>2772.6</v>
      </c>
      <c r="F809" s="44"/>
      <c r="G809" s="123"/>
      <c r="H809" s="123">
        <v>-807.96</v>
      </c>
      <c r="I809" s="44"/>
      <c r="J809" s="44"/>
      <c r="K809" s="44"/>
      <c r="L809" s="123">
        <v>15704.24</v>
      </c>
      <c r="M809" s="44"/>
      <c r="N809" s="44"/>
      <c r="O809" s="123">
        <v>150167.0</v>
      </c>
      <c r="P809" s="52">
        <f t="shared" si="23"/>
        <v>150166.18</v>
      </c>
      <c r="Q809" s="124">
        <f t="shared" si="2"/>
        <v>0.82</v>
      </c>
      <c r="R809" s="52">
        <f t="array" ref="R809">IFERROR(INDEX('Fund YTD Target Values'!$1:$1000, MATCH($C809,'Fund YTD Target Values'!$A:$A,0), MATCH($A809,'Fund YTD Target Values'!$1:$1,0)),0)</f>
        <v>139579.9432</v>
      </c>
      <c r="S809" s="52">
        <f>IFERROR(__xludf.DUMMYFUNCTION("IFERROR(sum(FILTER('Fund Data'!$V:$V, 'Fund Data'!$C:$C = $C809, 'Fund Data'!$A:$A &lt; $A809)),0) + IFERROR(sum(FILTER('Fund Data'!$V:$V, 'Fund Data'!$C:$C = $C809, 'Fund Data'!$A:$A = $A809, 'Fund Data'!$B:$B &lt;= $B809)),0)"),129143.74)</f>
        <v>129143.74</v>
      </c>
      <c r="T809" s="123">
        <v>129163.0</v>
      </c>
      <c r="U809" s="44">
        <f t="shared" si="77"/>
        <v>-19.26</v>
      </c>
      <c r="V809" s="44">
        <f t="shared" si="3"/>
        <v>250</v>
      </c>
      <c r="W809" s="123"/>
      <c r="X809" s="123"/>
      <c r="Y809" s="123">
        <v>0.0</v>
      </c>
      <c r="Z809" s="123">
        <v>0.0</v>
      </c>
      <c r="AA809" s="123">
        <v>0.0</v>
      </c>
      <c r="AB809" s="123"/>
      <c r="AC809" s="123">
        <v>0.0</v>
      </c>
      <c r="AD809" s="44">
        <f t="shared" si="7"/>
        <v>0</v>
      </c>
      <c r="AE809" s="123">
        <v>0.0</v>
      </c>
    </row>
    <row r="810">
      <c r="A810" s="120">
        <v>2009.0</v>
      </c>
      <c r="B810" s="121">
        <v>12.0</v>
      </c>
      <c r="C810" s="122" t="s">
        <v>54</v>
      </c>
      <c r="D810" s="123">
        <v>250.0</v>
      </c>
      <c r="E810" s="123">
        <v>3371.34</v>
      </c>
      <c r="F810" s="44"/>
      <c r="G810" s="123">
        <v>150.0</v>
      </c>
      <c r="H810" s="123">
        <v>-692.65</v>
      </c>
      <c r="I810" s="44"/>
      <c r="J810" s="44"/>
      <c r="K810" s="44"/>
      <c r="L810" s="123">
        <v>19875.16</v>
      </c>
      <c r="M810" s="44"/>
      <c r="N810" s="44"/>
      <c r="O810" s="123">
        <v>132248.0</v>
      </c>
      <c r="P810" s="52">
        <f t="shared" si="23"/>
        <v>132247.3</v>
      </c>
      <c r="Q810" s="124">
        <f t="shared" si="2"/>
        <v>0.7</v>
      </c>
      <c r="R810" s="52">
        <f t="array" ref="R810">IFERROR(INDEX('Fund YTD Target Values'!$1:$1000, MATCH($C810,'Fund YTD Target Values'!$A:$A,0), MATCH($A810,'Fund YTD Target Values'!$1:$1,0)),0)</f>
        <v>137075.9761</v>
      </c>
      <c r="S810" s="52">
        <f>IFERROR(__xludf.DUMMYFUNCTION("IFERROR(sum(FILTER('Fund Data'!$V:$V, 'Fund Data'!$C:$C = $C810, 'Fund Data'!$A:$A &lt; $A810)),0) + IFERROR(sum(FILTER('Fund Data'!$V:$V, 'Fund Data'!$C:$C = $C810, 'Fund Data'!$A:$A = $A810, 'Fund Data'!$B:$B &lt;= $B810)),0)"),128893.74)</f>
        <v>128893.74</v>
      </c>
      <c r="T810" s="123">
        <v>128913.0</v>
      </c>
      <c r="U810" s="44">
        <f t="shared" si="77"/>
        <v>-19.26</v>
      </c>
      <c r="V810" s="44">
        <f t="shared" si="3"/>
        <v>250</v>
      </c>
      <c r="W810" s="123"/>
      <c r="X810" s="123"/>
      <c r="Y810" s="123">
        <v>0.0</v>
      </c>
      <c r="Z810" s="123">
        <v>0.0</v>
      </c>
      <c r="AA810" s="123">
        <v>0.0</v>
      </c>
      <c r="AB810" s="123"/>
      <c r="AC810" s="123">
        <v>0.0</v>
      </c>
      <c r="AD810" s="44">
        <f t="shared" si="7"/>
        <v>0</v>
      </c>
      <c r="AE810" s="123">
        <v>0.0</v>
      </c>
    </row>
    <row r="811">
      <c r="A811" s="120">
        <v>2008.0</v>
      </c>
      <c r="B811" s="121">
        <v>12.0</v>
      </c>
      <c r="C811" s="122" t="s">
        <v>54</v>
      </c>
      <c r="D811" s="123">
        <v>400.0</v>
      </c>
      <c r="E811" s="123">
        <v>3476.62</v>
      </c>
      <c r="F811" s="44"/>
      <c r="G811" s="123">
        <v>-150.0</v>
      </c>
      <c r="H811" s="123">
        <v>-779.91</v>
      </c>
      <c r="I811" s="44"/>
      <c r="J811" s="44"/>
      <c r="K811" s="44"/>
      <c r="L811" s="123">
        <v>-35370.08</v>
      </c>
      <c r="M811" s="44"/>
      <c r="N811" s="44"/>
      <c r="O811" s="123">
        <v>109294.0</v>
      </c>
      <c r="P811" s="52">
        <f t="shared" si="23"/>
        <v>109293.45</v>
      </c>
      <c r="Q811" s="124">
        <f t="shared" si="2"/>
        <v>0.55</v>
      </c>
      <c r="R811" s="52">
        <f t="array" ref="R811">IFERROR(INDEX('Fund YTD Target Values'!$1:$1000, MATCH($C811,'Fund YTD Target Values'!$A:$A,0), MATCH($A811,'Fund YTD Target Values'!$1:$1,0)),0)</f>
        <v>137289.7409</v>
      </c>
      <c r="S811" s="52">
        <f>IFERROR(__xludf.DUMMYFUNCTION("IFERROR(sum(FILTER('Fund Data'!$V:$V, 'Fund Data'!$C:$C = $C811, 'Fund Data'!$A:$A &lt; $A811)),0) + IFERROR(sum(FILTER('Fund Data'!$V:$V, 'Fund Data'!$C:$C = $C811, 'Fund Data'!$A:$A = $A811, 'Fund Data'!$B:$B &lt;= $B811)),0)"),128643.74)</f>
        <v>128643.74</v>
      </c>
      <c r="T811" s="123">
        <v>128663.0</v>
      </c>
      <c r="U811" s="44">
        <f t="shared" si="77"/>
        <v>-19.26</v>
      </c>
      <c r="V811" s="44">
        <f t="shared" si="3"/>
        <v>400</v>
      </c>
      <c r="W811" s="123"/>
      <c r="X811" s="123"/>
      <c r="Y811" s="123">
        <v>0.0</v>
      </c>
      <c r="Z811" s="123">
        <v>0.0</v>
      </c>
      <c r="AA811" s="123">
        <v>0.0</v>
      </c>
      <c r="AB811" s="123"/>
      <c r="AC811" s="123">
        <v>0.0</v>
      </c>
      <c r="AD811" s="44">
        <f t="shared" si="7"/>
        <v>0</v>
      </c>
      <c r="AE811" s="123">
        <v>0.0</v>
      </c>
    </row>
    <row r="812">
      <c r="A812" s="120">
        <v>2007.0</v>
      </c>
      <c r="B812" s="121">
        <v>12.0</v>
      </c>
      <c r="C812" s="122" t="s">
        <v>54</v>
      </c>
      <c r="D812" s="123">
        <v>2850.0</v>
      </c>
      <c r="E812" s="123">
        <v>2305.8</v>
      </c>
      <c r="F812" s="44"/>
      <c r="G812" s="123"/>
      <c r="H812" s="123">
        <v>-788.92</v>
      </c>
      <c r="I812" s="44"/>
      <c r="J812" s="44"/>
      <c r="K812" s="44"/>
      <c r="L812" s="123">
        <v>10945.18</v>
      </c>
      <c r="M812" s="123">
        <v>-73.0</v>
      </c>
      <c r="N812" s="44"/>
      <c r="O812" s="123">
        <v>141717.0</v>
      </c>
      <c r="P812" s="52">
        <f t="shared" si="23"/>
        <v>141716.82</v>
      </c>
      <c r="Q812" s="124">
        <f t="shared" si="2"/>
        <v>0.18</v>
      </c>
      <c r="R812" s="52">
        <f t="array" ref="R812">IFERROR(INDEX('Fund YTD Target Values'!$1:$1000, MATCH($C812,'Fund YTD Target Values'!$A:$A,0), MATCH($A812,'Fund YTD Target Values'!$1:$1,0)),0)</f>
        <v>131820.4117</v>
      </c>
      <c r="S812" s="52">
        <f>IFERROR(__xludf.DUMMYFUNCTION("IFERROR(sum(FILTER('Fund Data'!$V:$V, 'Fund Data'!$C:$C = $C812, 'Fund Data'!$A:$A &lt; $A812)),0) + IFERROR(sum(FILTER('Fund Data'!$V:$V, 'Fund Data'!$C:$C = $C812, 'Fund Data'!$A:$A = $A812, 'Fund Data'!$B:$B &lt;= $B812)),0)"),128243.74)</f>
        <v>128243.74</v>
      </c>
      <c r="T812" s="123">
        <v>128263.0</v>
      </c>
      <c r="U812" s="44">
        <f t="shared" si="77"/>
        <v>-19.26</v>
      </c>
      <c r="V812" s="44">
        <f t="shared" si="3"/>
        <v>2850</v>
      </c>
      <c r="W812" s="123"/>
      <c r="X812" s="123"/>
      <c r="Y812" s="123">
        <v>0.0</v>
      </c>
      <c r="Z812" s="123">
        <v>0.0</v>
      </c>
      <c r="AA812" s="123">
        <v>0.0</v>
      </c>
      <c r="AB812" s="123"/>
      <c r="AC812" s="123">
        <v>0.0</v>
      </c>
      <c r="AD812" s="44">
        <f t="shared" si="7"/>
        <v>0</v>
      </c>
      <c r="AE812" s="123">
        <v>0.0</v>
      </c>
    </row>
    <row r="813">
      <c r="A813" s="120">
        <v>2006.0</v>
      </c>
      <c r="B813" s="121">
        <v>12.0</v>
      </c>
      <c r="C813" s="122" t="s">
        <v>54</v>
      </c>
      <c r="D813" s="123">
        <f>102493.74+22900</f>
        <v>125393.74</v>
      </c>
      <c r="E813" s="123">
        <v>17.81</v>
      </c>
      <c r="F813" s="44"/>
      <c r="G813" s="123"/>
      <c r="H813" s="123">
        <v>0.0</v>
      </c>
      <c r="I813" s="44"/>
      <c r="J813" s="44"/>
      <c r="K813" s="44"/>
      <c r="L813" s="123">
        <v>993.25</v>
      </c>
      <c r="M813" s="123">
        <v>72.96</v>
      </c>
      <c r="N813" s="44"/>
      <c r="O813" s="123">
        <v>126478.0</v>
      </c>
      <c r="P813" s="52">
        <f t="shared" si="23"/>
        <v>126477.76</v>
      </c>
      <c r="Q813" s="124">
        <f t="shared" si="2"/>
        <v>0.24</v>
      </c>
      <c r="R813" s="52">
        <f t="array" ref="R813">IFERROR(INDEX('Fund YTD Target Values'!$1:$1000, MATCH($C813,'Fund YTD Target Values'!$A:$A,0), MATCH($A813,'Fund YTD Target Values'!$1:$1,0)),0)</f>
        <v>125393.74</v>
      </c>
      <c r="S813" s="52">
        <f>IFERROR(__xludf.DUMMYFUNCTION("IFERROR(sum(FILTER('Fund Data'!$V:$V, 'Fund Data'!$C:$C = $C813, 'Fund Data'!$A:$A &lt; $A813)),0) + IFERROR(sum(FILTER('Fund Data'!$V:$V, 'Fund Data'!$C:$C = $C813, 'Fund Data'!$A:$A = $A813, 'Fund Data'!$B:$B &lt;= $B813)),0)"),125393.74)</f>
        <v>125393.74</v>
      </c>
      <c r="T813" s="123">
        <v>125413.0</v>
      </c>
      <c r="U813" s="44">
        <f t="shared" si="77"/>
        <v>-19.26</v>
      </c>
      <c r="V813" s="44">
        <f t="shared" si="3"/>
        <v>125393.74</v>
      </c>
      <c r="W813" s="123"/>
      <c r="X813" s="123"/>
      <c r="Y813" s="123">
        <v>0.0</v>
      </c>
      <c r="Z813" s="123">
        <v>0.0</v>
      </c>
      <c r="AA813" s="123">
        <v>0.0</v>
      </c>
      <c r="AB813" s="123"/>
      <c r="AC813" s="123">
        <v>0.0</v>
      </c>
      <c r="AD813" s="44">
        <f t="shared" si="7"/>
        <v>0</v>
      </c>
      <c r="AE813" s="123">
        <v>0.0</v>
      </c>
    </row>
    <row r="814">
      <c r="A814" s="120">
        <v>2019.0</v>
      </c>
      <c r="B814" s="121">
        <v>6.0</v>
      </c>
      <c r="C814" s="122" t="s">
        <v>72</v>
      </c>
      <c r="D814" s="123">
        <v>1000.0</v>
      </c>
      <c r="E814" s="123">
        <v>5845.32</v>
      </c>
      <c r="F814" s="44"/>
      <c r="G814" s="44"/>
      <c r="H814" s="123">
        <v>-1329.75</v>
      </c>
      <c r="I814" s="44"/>
      <c r="J814" s="44"/>
      <c r="K814" s="44"/>
      <c r="L814" s="123">
        <v>44487.29</v>
      </c>
      <c r="M814" s="44"/>
      <c r="N814" s="44"/>
      <c r="O814" s="123">
        <v>492132.89</v>
      </c>
      <c r="P814" s="52">
        <f t="shared" si="23"/>
        <v>492132.87</v>
      </c>
      <c r="Q814" s="124">
        <f t="shared" si="2"/>
        <v>0.02000000008</v>
      </c>
      <c r="R814" s="52">
        <f t="array" ref="R814">IFERROR(INDEX('Fund YTD Target Values'!$1:$1000, MATCH($C814,'Fund YTD Target Values'!$A:$A,0), MATCH($A814,'Fund YTD Target Values'!$1:$1,0)),0)</f>
        <v>459049.4512</v>
      </c>
      <c r="S814" s="52">
        <f>IFERROR(__xludf.DUMMYFUNCTION("IFERROR(sum(FILTER('Fund Data'!$V:$V, 'Fund Data'!$C:$C = $C814, 'Fund Data'!$A:$A &lt; $A814)),0) + IFERROR(sum(FILTER('Fund Data'!$V:$V, 'Fund Data'!$C:$C = $C814, 'Fund Data'!$A:$A = $A814, 'Fund Data'!$B:$B &lt;= $B814)),0)"),420073.55)</f>
        <v>420073.55</v>
      </c>
      <c r="T814" s="44"/>
      <c r="U814" s="44"/>
      <c r="V814" s="44">
        <f t="shared" si="3"/>
        <v>0</v>
      </c>
      <c r="W814" s="52">
        <f>IFERROR(__xludf.DUMMYFUNCTION("iFERROR((FILTER('Fund Data'!$Y:$Y, 'Fund Data'!$C:$C = $C814, 'Fund Data'!$A:$A = $A814 - 1, 'Fund Data'!$B:$B = 12) + FILTER('Fund Data'!$AA:$AA, 'Fund Data'!$C:$C = $C814, 'Fund Data'!$A:$A = $A814 - 1, 'Fund Data'!$B:$B = 12)) * (1 + AVERAGE(FILTER('In"&amp;"flation Data'!$C:$C,'Inflation Data'!$A:$A = ($A814 - 2)))) * 'Parameters and Distribution Sum'!$A$4,0)"),14060.066994776611)</f>
        <v>14060.06699</v>
      </c>
      <c r="X814" s="52">
        <f>IFERROR(__xludf.DUMMYFUNCTION("IFERROR((IFERROR(FILTER('Fund Data'!$P:$P,'Fund Data'!$C:$C = $C814,'Fund Data'!$A:$A = ($A814 - 2), 'Fund Data'!$B:$B = 12),0) - SUM(FILTER('Fund Data'!$V:$V, 'Fund Data'!$C:$C = $C814, 'Fund Data'!$A:$A = ($A814 - 2), 'Fund Data'!$B:$B &gt; 3)))  * 'Parame"&amp;"ters and Distribution Sum'!$B$4 * (1 - 'Parameters and Distribution Sum'!$A$4),0)"),6507.7010549999995)</f>
        <v>6507.701055</v>
      </c>
      <c r="Y814" s="52">
        <f t="shared" ref="Y814:Y819" si="78">sum($W814:$X814)</f>
        <v>20567.76805</v>
      </c>
      <c r="Z814" s="52">
        <f>IFERROR(__xludf.DUMMYFUNCTION("((IFERROR((SUM(FILTER('Fund Data'!$V:$V, 'Fund Data'!$C:$C = $C814, 'Fund Data'!$A:$A = $A814 - 1, 'Fund Data'!$B:$B &gt;= 4, 'Fund Data'!$B:$B &lt;= ($B814 + 5))) / 12) * ($B814 - 3) * 'Parameters and Distribution Sum'!$B$4, 0) + IF($B814 &gt;= 9, IFERROR(SUM(FIL"&amp;"TER('Fund Data'!$V:$V, 'Fund Data'!$C:$C = $C814, 'Fund Data'!$A:$A = $A814, 'Fund Data'!$B:$B &lt;= 3)) * 'Parameters and Distribution Sum'!$B$4, 0),0)))"),28.6875)</f>
        <v>28.6875</v>
      </c>
      <c r="AA814" s="44">
        <f>IFERROR(__xludf.DUMMYFUNCTION("IFERROR(((IFERROR(SUM(FILTER('Fund Data'!$V:$V, 'Fund Data'!$C:$C = $C814, 'Fund Data'!$A:$A = $A814 - 2, 'Fund Data'!$B:$B &gt;= 4)) * 'Parameters and Distribution Sum'!$B$4,0) + IFERROR(SUM(FILTER('Fund Data'!$V:$V, 'Fund Data'!$C:$C = $C814, 'Fund Data'!$"&amp;"A:$A = $A814 - 1, 'Fund Data'!$B:$B &lt;= 3)) * 'Parameters and Distribution Sum'!$B$4,0))),0)"),153.0)</f>
        <v>153</v>
      </c>
      <c r="AB814" s="44">
        <f t="shared" ref="AB814:AB820" si="79">IFERROR(__xludf.DUMMYFUNCTION("IFERROR(FILTER($AE:$AE,$C:$C = $C814,$A:$A = $A814 - 1,$B:$B = 12),0)"),14700.0)</f>
        <v>14700</v>
      </c>
      <c r="AC814" s="44">
        <f t="shared" ref="AC814:AC820" si="80">sum($Y814:$AB814)</f>
        <v>35449.45555</v>
      </c>
      <c r="AD814" s="44">
        <f t="shared" si="7"/>
        <v>35449.45555</v>
      </c>
      <c r="AE814" s="44"/>
    </row>
    <row r="815">
      <c r="A815" s="120">
        <v>2019.0</v>
      </c>
      <c r="B815" s="121">
        <v>5.0</v>
      </c>
      <c r="C815" s="122" t="s">
        <v>72</v>
      </c>
      <c r="D815" s="123">
        <v>1000.0</v>
      </c>
      <c r="E815" s="123">
        <v>5315.0</v>
      </c>
      <c r="F815" s="44"/>
      <c r="G815" s="44"/>
      <c r="H815" s="123">
        <v>-1105.97</v>
      </c>
      <c r="I815" s="44"/>
      <c r="J815" s="44"/>
      <c r="K815" s="44"/>
      <c r="L815" s="123">
        <v>26588.27</v>
      </c>
      <c r="M815" s="44"/>
      <c r="N815" s="44"/>
      <c r="O815" s="123">
        <v>473927.33</v>
      </c>
      <c r="P815" s="52">
        <f t="shared" si="23"/>
        <v>473927.31</v>
      </c>
      <c r="Q815" s="124">
        <f t="shared" si="2"/>
        <v>0.02000000008</v>
      </c>
      <c r="R815" s="52">
        <f t="array" ref="R815">IFERROR(INDEX('Fund YTD Target Values'!$1:$1000, MATCH($C815,'Fund YTD Target Values'!$A:$A,0), MATCH($A815,'Fund YTD Target Values'!$1:$1,0)),0)</f>
        <v>459049.4512</v>
      </c>
      <c r="S815" s="52">
        <f>IFERROR(__xludf.DUMMYFUNCTION("IFERROR(sum(FILTER('Fund Data'!$V:$V, 'Fund Data'!$C:$C = $C815, 'Fund Data'!$A:$A &lt; $A815)),0) + IFERROR(sum(FILTER('Fund Data'!$V:$V, 'Fund Data'!$C:$C = $C815, 'Fund Data'!$A:$A = $A815, 'Fund Data'!$B:$B &lt;= $B815)),0)"),420073.55)</f>
        <v>420073.55</v>
      </c>
      <c r="T815" s="44"/>
      <c r="U815" s="44"/>
      <c r="V815" s="44">
        <f t="shared" si="3"/>
        <v>1000</v>
      </c>
      <c r="W815" s="52">
        <f>IFERROR(__xludf.DUMMYFUNCTION("iFERROR((FILTER('Fund Data'!$Y:$Y, 'Fund Data'!$C:$C = $C815, 'Fund Data'!$A:$A = $A815 - 1, 'Fund Data'!$B:$B = 12) + FILTER('Fund Data'!$AA:$AA, 'Fund Data'!$C:$C = $C815, 'Fund Data'!$A:$A = $A815 - 1, 'Fund Data'!$B:$B = 12)) * (1 + AVERAGE(FILTER('In"&amp;"flation Data'!$C:$C,'Inflation Data'!$A:$A = ($A815 - 2)))) * 'Parameters and Distribution Sum'!$A$4,0)"),14060.066994776611)</f>
        <v>14060.06699</v>
      </c>
      <c r="X815" s="52">
        <f>IFERROR(__xludf.DUMMYFUNCTION("IFERROR((IFERROR(FILTER('Fund Data'!$P:$P,'Fund Data'!$C:$C = $C815,'Fund Data'!$A:$A = ($A815 - 2), 'Fund Data'!$B:$B = 12),0) - SUM(FILTER('Fund Data'!$V:$V, 'Fund Data'!$C:$C = $C815, 'Fund Data'!$A:$A = ($A815 - 2), 'Fund Data'!$B:$B &gt; 3)))  * 'Parame"&amp;"ters and Distribution Sum'!$B$4 * (1 - 'Parameters and Distribution Sum'!$A$4),0)"),6507.7010549999995)</f>
        <v>6507.701055</v>
      </c>
      <c r="Y815" s="52">
        <f t="shared" si="78"/>
        <v>20567.76805</v>
      </c>
      <c r="Z815" s="52">
        <f>IFERROR(__xludf.DUMMYFUNCTION("((IFERROR((SUM(FILTER('Fund Data'!$V:$V, 'Fund Data'!$C:$C = $C815, 'Fund Data'!$A:$A = $A815 - 1, 'Fund Data'!$B:$B &gt;= 4, 'Fund Data'!$B:$B &lt;= ($B815 + 5))) / 12) * ($B815 - 3) * 'Parameters and Distribution Sum'!$B$4, 0) + IF($B815 &gt;= 9, IFERROR(SUM(FIL"&amp;"TER('Fund Data'!$V:$V, 'Fund Data'!$C:$C = $C815, 'Fund Data'!$A:$A = $A815, 'Fund Data'!$B:$B &lt;= 3)) * 'Parameters and Distribution Sum'!$B$4, 0),0)))"),19.125)</f>
        <v>19.125</v>
      </c>
      <c r="AA815" s="44">
        <f>IFERROR(__xludf.DUMMYFUNCTION("IFERROR(((IFERROR(SUM(FILTER('Fund Data'!$V:$V, 'Fund Data'!$C:$C = $C815, 'Fund Data'!$A:$A = $A815 - 2, 'Fund Data'!$B:$B &gt;= 4)) * 'Parameters and Distribution Sum'!$B$4,0) + IFERROR(SUM(FILTER('Fund Data'!$V:$V, 'Fund Data'!$C:$C = $C815, 'Fund Data'!$"&amp;"A:$A = $A815 - 1, 'Fund Data'!$B:$B &lt;= 3)) * 'Parameters and Distribution Sum'!$B$4,0))),0)"),153.0)</f>
        <v>153</v>
      </c>
      <c r="AB815" s="44">
        <f t="shared" si="79"/>
        <v>14700</v>
      </c>
      <c r="AC815" s="44">
        <f t="shared" si="80"/>
        <v>35439.89305</v>
      </c>
      <c r="AD815" s="44">
        <f t="shared" si="7"/>
        <v>35439.89305</v>
      </c>
      <c r="AE815" s="44"/>
    </row>
    <row r="816">
      <c r="A816" s="120">
        <v>2019.0</v>
      </c>
      <c r="B816" s="121">
        <v>4.0</v>
      </c>
      <c r="C816" s="122" t="s">
        <v>72</v>
      </c>
      <c r="D816" s="44"/>
      <c r="E816" s="123">
        <v>4877.13</v>
      </c>
      <c r="F816" s="44"/>
      <c r="G816" s="44"/>
      <c r="H816" s="123">
        <v>-876.87</v>
      </c>
      <c r="I816" s="44"/>
      <c r="J816" s="44"/>
      <c r="K816" s="44"/>
      <c r="L816" s="123">
        <v>44672.1</v>
      </c>
      <c r="M816" s="44"/>
      <c r="N816" s="44"/>
      <c r="O816" s="123">
        <v>490802.0</v>
      </c>
      <c r="P816" s="52">
        <f t="shared" si="23"/>
        <v>490802.37</v>
      </c>
      <c r="Q816" s="124">
        <f t="shared" si="2"/>
        <v>-0.3699999999</v>
      </c>
      <c r="R816" s="52">
        <f t="array" ref="R816">IFERROR(INDEX('Fund YTD Target Values'!$1:$1000, MATCH($C816,'Fund YTD Target Values'!$A:$A,0), MATCH($A816,'Fund YTD Target Values'!$1:$1,0)),0)</f>
        <v>459049.4512</v>
      </c>
      <c r="S816" s="52">
        <f>IFERROR(__xludf.DUMMYFUNCTION("IFERROR(sum(FILTER('Fund Data'!$V:$V, 'Fund Data'!$C:$C = $C816, 'Fund Data'!$A:$A &lt; $A816)),0) + IFERROR(sum(FILTER('Fund Data'!$V:$V, 'Fund Data'!$C:$C = $C816, 'Fund Data'!$A:$A = $A816, 'Fund Data'!$B:$B &lt;= $B816)),0)"),419073.55)</f>
        <v>419073.55</v>
      </c>
      <c r="T816" s="44"/>
      <c r="U816" s="44"/>
      <c r="V816" s="44">
        <f t="shared" si="3"/>
        <v>0</v>
      </c>
      <c r="W816" s="52">
        <f>IFERROR(__xludf.DUMMYFUNCTION("iFERROR((FILTER('Fund Data'!$Y:$Y, 'Fund Data'!$C:$C = $C816, 'Fund Data'!$A:$A = $A816 - 1, 'Fund Data'!$B:$B = 12) + FILTER('Fund Data'!$AA:$AA, 'Fund Data'!$C:$C = $C816, 'Fund Data'!$A:$A = $A816 - 1, 'Fund Data'!$B:$B = 12)) * (1 + AVERAGE(FILTER('In"&amp;"flation Data'!$C:$C,'Inflation Data'!$A:$A = ($A816 - 2)))) * 'Parameters and Distribution Sum'!$A$4,0)"),14060.066994776611)</f>
        <v>14060.06699</v>
      </c>
      <c r="X816" s="52">
        <f>IFERROR(__xludf.DUMMYFUNCTION("IFERROR((IFERROR(FILTER('Fund Data'!$P:$P,'Fund Data'!$C:$C = $C816,'Fund Data'!$A:$A = ($A816 - 2), 'Fund Data'!$B:$B = 12),0) - SUM(FILTER('Fund Data'!$V:$V, 'Fund Data'!$C:$C = $C816, 'Fund Data'!$A:$A = ($A816 - 2), 'Fund Data'!$B:$B &gt; 3)))  * 'Parame"&amp;"ters and Distribution Sum'!$B$4 * (1 - 'Parameters and Distribution Sum'!$A$4),0)"),6507.7010549999995)</f>
        <v>6507.701055</v>
      </c>
      <c r="Y816" s="52">
        <f t="shared" si="78"/>
        <v>20567.76805</v>
      </c>
      <c r="Z816" s="52">
        <f>IFERROR(__xludf.DUMMYFUNCTION("((IFERROR((SUM(FILTER('Fund Data'!$V:$V, 'Fund Data'!$C:$C = $C816, 'Fund Data'!$A:$A = $A816 - 1, 'Fund Data'!$B:$B &gt;= 4, 'Fund Data'!$B:$B &lt;= ($B816 + 5))) / 12) * ($B816 - 3) * 'Parameters and Distribution Sum'!$B$4, 0) + IF($B816 &gt;= 9, IFERROR(SUM(FIL"&amp;"TER('Fund Data'!$V:$V, 'Fund Data'!$C:$C = $C816, 'Fund Data'!$A:$A = $A816, 'Fund Data'!$B:$B &lt;= 3)) * 'Parameters and Distribution Sum'!$B$4, 0),0)))"),9.5625)</f>
        <v>9.5625</v>
      </c>
      <c r="AA816" s="44">
        <f>IFERROR(__xludf.DUMMYFUNCTION("IFERROR(((IFERROR(SUM(FILTER('Fund Data'!$V:$V, 'Fund Data'!$C:$C = $C816, 'Fund Data'!$A:$A = $A816 - 2, 'Fund Data'!$B:$B &gt;= 4)) * 'Parameters and Distribution Sum'!$B$4,0) + IFERROR(SUM(FILTER('Fund Data'!$V:$V, 'Fund Data'!$C:$C = $C816, 'Fund Data'!$"&amp;"A:$A = $A816 - 1, 'Fund Data'!$B:$B &lt;= 3)) * 'Parameters and Distribution Sum'!$B$4,0))),0)"),153.0)</f>
        <v>153</v>
      </c>
      <c r="AB816" s="44">
        <f t="shared" si="79"/>
        <v>14700</v>
      </c>
      <c r="AC816" s="44">
        <f t="shared" si="80"/>
        <v>35430.33055</v>
      </c>
      <c r="AD816" s="44">
        <f t="shared" si="7"/>
        <v>35430.33055</v>
      </c>
      <c r="AE816" s="44"/>
    </row>
    <row r="817">
      <c r="A817" s="120">
        <v>2019.0</v>
      </c>
      <c r="B817" s="121">
        <v>3.0</v>
      </c>
      <c r="C817" s="122" t="s">
        <v>72</v>
      </c>
      <c r="D817" s="44"/>
      <c r="E817" s="123">
        <v>3678.81</v>
      </c>
      <c r="F817" s="44"/>
      <c r="G817" s="44"/>
      <c r="H817" s="123">
        <v>-652.16</v>
      </c>
      <c r="I817" s="44"/>
      <c r="J817" s="44"/>
      <c r="K817" s="44"/>
      <c r="L817" s="123">
        <v>35446.91</v>
      </c>
      <c r="M817" s="44"/>
      <c r="N817" s="44"/>
      <c r="O817" s="123">
        <v>480604.0</v>
      </c>
      <c r="P817" s="52">
        <f t="shared" si="23"/>
        <v>480603.57</v>
      </c>
      <c r="Q817" s="124">
        <f t="shared" si="2"/>
        <v>0.4300000001</v>
      </c>
      <c r="R817" s="52">
        <f t="array" ref="R817">IFERROR(INDEX('Fund YTD Target Values'!$1:$1000, MATCH($C817,'Fund YTD Target Values'!$A:$A,0), MATCH($A817,'Fund YTD Target Values'!$1:$1,0)),0)</f>
        <v>459049.4512</v>
      </c>
      <c r="S817" s="52">
        <f>IFERROR(__xludf.DUMMYFUNCTION("IFERROR(sum(FILTER('Fund Data'!$V:$V, 'Fund Data'!$C:$C = $C817, 'Fund Data'!$A:$A &lt; $A817)),0) + IFERROR(sum(FILTER('Fund Data'!$V:$V, 'Fund Data'!$C:$C = $C817, 'Fund Data'!$A:$A = $A817, 'Fund Data'!$B:$B &lt;= $B817)),0)"),419073.55)</f>
        <v>419073.55</v>
      </c>
      <c r="T817" s="123"/>
      <c r="U817" s="44"/>
      <c r="V817" s="44">
        <f t="shared" si="3"/>
        <v>0</v>
      </c>
      <c r="W817" s="52">
        <f>IFERROR(__xludf.DUMMYFUNCTION("iFERROR((FILTER('Fund Data'!$Y:$Y, 'Fund Data'!$C:$C = $C817, 'Fund Data'!$A:$A = $A817 - 1, 'Fund Data'!$B:$B = 12) + FILTER('Fund Data'!$AA:$AA, 'Fund Data'!$C:$C = $C817, 'Fund Data'!$A:$A = $A817 - 1, 'Fund Data'!$B:$B = 12)) * (1 + AVERAGE(FILTER('In"&amp;"flation Data'!$C:$C,'Inflation Data'!$A:$A = ($A817 - 2)))) * 'Parameters and Distribution Sum'!$A$4,0)"),14060.066994776611)</f>
        <v>14060.06699</v>
      </c>
      <c r="X817" s="52">
        <f>IFERROR(__xludf.DUMMYFUNCTION("IFERROR((IFERROR(FILTER('Fund Data'!$P:$P,'Fund Data'!$C:$C = $C817,'Fund Data'!$A:$A = ($A817 - 2), 'Fund Data'!$B:$B = 12),0) - SUM(FILTER('Fund Data'!$V:$V, 'Fund Data'!$C:$C = $C817, 'Fund Data'!$A:$A = ($A817 - 2), 'Fund Data'!$B:$B &gt; 3)))  * 'Parame"&amp;"ters and Distribution Sum'!$B$4 * (1 - 'Parameters and Distribution Sum'!$A$4),0)"),6507.7010549999995)</f>
        <v>6507.701055</v>
      </c>
      <c r="Y817" s="52">
        <f t="shared" si="78"/>
        <v>20567.76805</v>
      </c>
      <c r="Z817" s="52">
        <f>IFERROR(__xludf.DUMMYFUNCTION("((IFERROR((SUM(FILTER('Fund Data'!$V:$V, 'Fund Data'!$C:$C = $C817, 'Fund Data'!$A:$A = $A817 - 1, 'Fund Data'!$B:$B &gt;= 4, 'Fund Data'!$B:$B &lt;= ($B817 + 5))) / 12) * ($B817 - 3) * 'Parameters and Distribution Sum'!$B$4, 0) + IF($B817 &gt;= 9, IFERROR(SUM(FIL"&amp;"TER('Fund Data'!$V:$V, 'Fund Data'!$C:$C = $C817, 'Fund Data'!$A:$A = $A817, 'Fund Data'!$B:$B &lt;= 3)) * 'Parameters and Distribution Sum'!$B$4, 0),0)))"),0.0)</f>
        <v>0</v>
      </c>
      <c r="AA817" s="44">
        <f>IFERROR(__xludf.DUMMYFUNCTION("IFERROR(((IFERROR(SUM(FILTER('Fund Data'!$V:$V, 'Fund Data'!$C:$C = $C817, 'Fund Data'!$A:$A = $A817 - 2, 'Fund Data'!$B:$B &gt;= 4)) * 'Parameters and Distribution Sum'!$B$4,0) + IFERROR(SUM(FILTER('Fund Data'!$V:$V, 'Fund Data'!$C:$C = $C817, 'Fund Data'!$"&amp;"A:$A = $A817 - 1, 'Fund Data'!$B:$B &lt;= 3)) * 'Parameters and Distribution Sum'!$B$4,0))),0)"),153.0)</f>
        <v>153</v>
      </c>
      <c r="AB817" s="44">
        <f t="shared" si="79"/>
        <v>14700</v>
      </c>
      <c r="AC817" s="44">
        <f t="shared" si="80"/>
        <v>35420.76805</v>
      </c>
      <c r="AD817" s="44">
        <f t="shared" si="7"/>
        <v>35420.76805</v>
      </c>
      <c r="AE817" s="44"/>
    </row>
    <row r="818">
      <c r="A818" s="120">
        <v>2019.0</v>
      </c>
      <c r="B818" s="121">
        <v>2.0</v>
      </c>
      <c r="C818" s="122" t="s">
        <v>72</v>
      </c>
      <c r="D818" s="44"/>
      <c r="E818" s="123">
        <v>3091.81</v>
      </c>
      <c r="F818" s="44"/>
      <c r="G818" s="44"/>
      <c r="H818" s="123">
        <v>-428.83</v>
      </c>
      <c r="I818" s="44"/>
      <c r="J818" s="44"/>
      <c r="K818" s="44"/>
      <c r="L818" s="123">
        <v>32813.34</v>
      </c>
      <c r="M818" s="44"/>
      <c r="N818" s="44"/>
      <c r="O818" s="123">
        <v>477606.0</v>
      </c>
      <c r="P818" s="52">
        <f t="shared" si="23"/>
        <v>477606.33</v>
      </c>
      <c r="Q818" s="124">
        <f t="shared" si="2"/>
        <v>-0.33</v>
      </c>
      <c r="R818" s="52">
        <f t="array" ref="R818">IFERROR(INDEX('Fund YTD Target Values'!$1:$1000, MATCH($C818,'Fund YTD Target Values'!$A:$A,0), MATCH($A818,'Fund YTD Target Values'!$1:$1,0)),0)</f>
        <v>459049.4512</v>
      </c>
      <c r="S818" s="52">
        <f>IFERROR(__xludf.DUMMYFUNCTION("IFERROR(sum(FILTER('Fund Data'!$V:$V, 'Fund Data'!$C:$C = $C818, 'Fund Data'!$A:$A &lt; $A818)),0) + IFERROR(sum(FILTER('Fund Data'!$V:$V, 'Fund Data'!$C:$C = $C818, 'Fund Data'!$A:$A = $A818, 'Fund Data'!$B:$B &lt;= $B818)),0)"),419073.55)</f>
        <v>419073.55</v>
      </c>
      <c r="T818" s="44"/>
      <c r="U818" s="44"/>
      <c r="V818" s="44">
        <f t="shared" si="3"/>
        <v>0</v>
      </c>
      <c r="W818" s="52">
        <f>IFERROR(__xludf.DUMMYFUNCTION("iFERROR((FILTER('Fund Data'!$Y:$Y, 'Fund Data'!$C:$C = $C818, 'Fund Data'!$A:$A = $A818 - 1, 'Fund Data'!$B:$B = 12) + FILTER('Fund Data'!$AA:$AA, 'Fund Data'!$C:$C = $C818, 'Fund Data'!$A:$A = $A818 - 1, 'Fund Data'!$B:$B = 12)) * (1 + AVERAGE(FILTER('In"&amp;"flation Data'!$C:$C,'Inflation Data'!$A:$A = ($A818 - 2)))) * 'Parameters and Distribution Sum'!$A$4,0)"),14060.066994776611)</f>
        <v>14060.06699</v>
      </c>
      <c r="X818" s="52">
        <f>IFERROR(__xludf.DUMMYFUNCTION("IFERROR((IFERROR(FILTER('Fund Data'!$P:$P,'Fund Data'!$C:$C = $C818,'Fund Data'!$A:$A = ($A818 - 2), 'Fund Data'!$B:$B = 12),0) - SUM(FILTER('Fund Data'!$V:$V, 'Fund Data'!$C:$C = $C818, 'Fund Data'!$A:$A = ($A818 - 2), 'Fund Data'!$B:$B &gt; 3)))  * 'Parame"&amp;"ters and Distribution Sum'!$B$4 * (1 - 'Parameters and Distribution Sum'!$A$4),0)"),6507.7010549999995)</f>
        <v>6507.701055</v>
      </c>
      <c r="Y818" s="52">
        <f t="shared" si="78"/>
        <v>20567.76805</v>
      </c>
      <c r="Z818" s="52">
        <f>IFERROR(__xludf.DUMMYFUNCTION("((IFERROR((SUM(FILTER('Fund Data'!$V:$V, 'Fund Data'!$C:$C = $C818, 'Fund Data'!$A:$A = $A818 - 1, 'Fund Data'!$B:$B &gt;= 4, 'Fund Data'!$B:$B &lt;= ($B818 + 5))) / 12) * ($B818 - 3) * 'Parameters and Distribution Sum'!$B$4, 0) + IF($B818 &gt;= 9, IFERROR(SUM(FIL"&amp;"TER('Fund Data'!$V:$V, 'Fund Data'!$C:$C = $C818, 'Fund Data'!$A:$A = $A818, 'Fund Data'!$B:$B &lt;= 3)) * 'Parameters and Distribution Sum'!$B$4, 0),0)))"),-0.1875)</f>
        <v>-0.1875</v>
      </c>
      <c r="AA818" s="44">
        <f>IFERROR(__xludf.DUMMYFUNCTION("IFERROR(((IFERROR(SUM(FILTER('Fund Data'!$V:$V, 'Fund Data'!$C:$C = $C818, 'Fund Data'!$A:$A = $A818 - 2, 'Fund Data'!$B:$B &gt;= 4)) * 'Parameters and Distribution Sum'!$B$4,0) + IFERROR(SUM(FILTER('Fund Data'!$V:$V, 'Fund Data'!$C:$C = $C818, 'Fund Data'!$"&amp;"A:$A = $A818 - 1, 'Fund Data'!$B:$B &lt;= 3)) * 'Parameters and Distribution Sum'!$B$4,0))),0)"),153.0)</f>
        <v>153</v>
      </c>
      <c r="AB818" s="44">
        <f t="shared" si="79"/>
        <v>14700</v>
      </c>
      <c r="AC818" s="44">
        <f t="shared" si="80"/>
        <v>35420.58055</v>
      </c>
      <c r="AD818" s="44">
        <f t="shared" si="7"/>
        <v>35420.58055</v>
      </c>
      <c r="AE818" s="44"/>
    </row>
    <row r="819">
      <c r="A819" s="120">
        <v>2019.0</v>
      </c>
      <c r="B819" s="121">
        <v>1.0</v>
      </c>
      <c r="C819" s="122" t="s">
        <v>72</v>
      </c>
      <c r="D819" s="44"/>
      <c r="E819" s="123">
        <v>2829.99</v>
      </c>
      <c r="F819" s="44"/>
      <c r="G819" s="44"/>
      <c r="H819" s="123">
        <v>-208.6</v>
      </c>
      <c r="I819" s="44"/>
      <c r="J819" s="44"/>
      <c r="K819" s="44"/>
      <c r="L819" s="123">
        <v>25383.91</v>
      </c>
      <c r="M819" s="44"/>
      <c r="N819" s="44"/>
      <c r="O819" s="123">
        <v>470135.0</v>
      </c>
      <c r="P819" s="52">
        <f t="shared" si="23"/>
        <v>470135.31</v>
      </c>
      <c r="Q819" s="124">
        <f t="shared" si="2"/>
        <v>-0.3099999999</v>
      </c>
      <c r="R819" s="52">
        <f t="array" ref="R819">IFERROR(INDEX('Fund YTD Target Values'!$1:$1000, MATCH($C819,'Fund YTD Target Values'!$A:$A,0), MATCH($A819,'Fund YTD Target Values'!$1:$1,0)),0)</f>
        <v>459049.4512</v>
      </c>
      <c r="S819" s="52">
        <f>IFERROR(__xludf.DUMMYFUNCTION("IFERROR(sum(FILTER('Fund Data'!$V:$V, 'Fund Data'!$C:$C = $C819, 'Fund Data'!$A:$A &lt; $A819)),0) + IFERROR(sum(FILTER('Fund Data'!$V:$V, 'Fund Data'!$C:$C = $C819, 'Fund Data'!$A:$A = $A819, 'Fund Data'!$B:$B &lt;= $B819)),0)"),419073.55)</f>
        <v>419073.55</v>
      </c>
      <c r="T819" s="44"/>
      <c r="U819" s="44"/>
      <c r="V819" s="44">
        <f t="shared" si="3"/>
        <v>0</v>
      </c>
      <c r="W819" s="52">
        <f>IFERROR(__xludf.DUMMYFUNCTION("iFERROR((FILTER('Fund Data'!$Y:$Y, 'Fund Data'!$C:$C = $C819, 'Fund Data'!$A:$A = $A819 - 1, 'Fund Data'!$B:$B = 12) + FILTER('Fund Data'!$AA:$AA, 'Fund Data'!$C:$C = $C819, 'Fund Data'!$A:$A = $A819 - 1, 'Fund Data'!$B:$B = 12)) * (1 + AVERAGE(FILTER('In"&amp;"flation Data'!$C:$C,'Inflation Data'!$A:$A = ($A819 - 2)))) * 'Parameters and Distribution Sum'!$A$4,0)"),14060.066994776611)</f>
        <v>14060.06699</v>
      </c>
      <c r="X819" s="52">
        <f>IFERROR(__xludf.DUMMYFUNCTION("IFERROR((IFERROR(FILTER('Fund Data'!$P:$P,'Fund Data'!$C:$C = $C819,'Fund Data'!$A:$A = ($A819 - 2), 'Fund Data'!$B:$B = 12),0) - SUM(FILTER('Fund Data'!$V:$V, 'Fund Data'!$C:$C = $C819, 'Fund Data'!$A:$A = ($A819 - 2), 'Fund Data'!$B:$B &gt; 3)))  * 'Parame"&amp;"ters and Distribution Sum'!$B$4 * (1 - 'Parameters and Distribution Sum'!$A$4),0)"),6507.7010549999995)</f>
        <v>6507.701055</v>
      </c>
      <c r="Y819" s="52">
        <f t="shared" si="78"/>
        <v>20567.76805</v>
      </c>
      <c r="Z819" s="52">
        <f>IFERROR(__xludf.DUMMYFUNCTION("((IFERROR((SUM(FILTER('Fund Data'!$V:$V, 'Fund Data'!$C:$C = $C819, 'Fund Data'!$A:$A = $A819 - 1, 'Fund Data'!$B:$B &gt;= 4, 'Fund Data'!$B:$B &lt;= ($B819 + 5))) / 12) * ($B819 - 3) * 'Parameters and Distribution Sum'!$B$4, 0) + IF($B819 &gt;= 9, IFERROR(SUM(FIL"&amp;"TER('Fund Data'!$V:$V, 'Fund Data'!$C:$C = $C819, 'Fund Data'!$A:$A = $A819, 'Fund Data'!$B:$B &lt;= 3)) * 'Parameters and Distribution Sum'!$B$4, 0),0)))"),-0.375)</f>
        <v>-0.375</v>
      </c>
      <c r="AA819" s="44">
        <f>IFERROR(__xludf.DUMMYFUNCTION("IFERROR(((IFERROR(SUM(FILTER('Fund Data'!$V:$V, 'Fund Data'!$C:$C = $C819, 'Fund Data'!$A:$A = $A819 - 2, 'Fund Data'!$B:$B &gt;= 4)) * 'Parameters and Distribution Sum'!$B$4,0) + IFERROR(SUM(FILTER('Fund Data'!$V:$V, 'Fund Data'!$C:$C = $C819, 'Fund Data'!$"&amp;"A:$A = $A819 - 1, 'Fund Data'!$B:$B &lt;= 3)) * 'Parameters and Distribution Sum'!$B$4,0))),0)"),153.0)</f>
        <v>153</v>
      </c>
      <c r="AB819" s="44">
        <f t="shared" si="79"/>
        <v>14700</v>
      </c>
      <c r="AC819" s="44">
        <f t="shared" si="80"/>
        <v>35420.39305</v>
      </c>
      <c r="AD819" s="44">
        <f t="shared" si="7"/>
        <v>35420.39305</v>
      </c>
      <c r="AE819" s="44"/>
    </row>
    <row r="820">
      <c r="A820" s="120">
        <v>2018.0</v>
      </c>
      <c r="B820" s="121">
        <v>12.0</v>
      </c>
      <c r="C820" s="122" t="s">
        <v>72</v>
      </c>
      <c r="D820" s="123">
        <v>2650.0</v>
      </c>
      <c r="E820" s="123">
        <v>10226.23</v>
      </c>
      <c r="F820" s="123">
        <v>-25143.0</v>
      </c>
      <c r="G820" s="123">
        <v>14700.0</v>
      </c>
      <c r="H820" s="123">
        <v>-2823.47</v>
      </c>
      <c r="I820" s="44"/>
      <c r="J820" s="123">
        <v>1507.92</v>
      </c>
      <c r="K820" s="44"/>
      <c r="L820" s="123">
        <v>-44339.6</v>
      </c>
      <c r="M820" s="44"/>
      <c r="N820" s="44"/>
      <c r="O820" s="123">
        <v>442130.0</v>
      </c>
      <c r="P820" s="52">
        <f t="shared" si="23"/>
        <v>442130.01</v>
      </c>
      <c r="Q820" s="124">
        <f t="shared" si="2"/>
        <v>-0.01000000001</v>
      </c>
      <c r="R820" s="52">
        <f t="array" ref="R820">IFERROR(INDEX('Fund YTD Target Values'!$1:$1000, MATCH($C820,'Fund YTD Target Values'!$A:$A,0), MATCH($A820,'Fund YTD Target Values'!$1:$1,0)),0)</f>
        <v>451180.3592</v>
      </c>
      <c r="S820" s="52">
        <f>IFERROR(__xludf.DUMMYFUNCTION("IFERROR(sum(FILTER('Fund Data'!$V:$V, 'Fund Data'!$C:$C = $C820, 'Fund Data'!$A:$A &lt; $A820)),0) + IFERROR(sum(FILTER('Fund Data'!$V:$V, 'Fund Data'!$C:$C = $C820, 'Fund Data'!$A:$A = $A820, 'Fund Data'!$B:$B &lt;= $B820)),0)"),419073.55)</f>
        <v>419073.55</v>
      </c>
      <c r="T820" s="123">
        <v>424146.0</v>
      </c>
      <c r="U820" s="44">
        <f>S820-T820</f>
        <v>-5072.45</v>
      </c>
      <c r="V820" s="44">
        <f t="shared" si="3"/>
        <v>0</v>
      </c>
      <c r="W820" s="52"/>
      <c r="X820" s="52"/>
      <c r="Y820" s="52">
        <v>19554.093940855593</v>
      </c>
      <c r="Z820" s="123">
        <v>144.5625</v>
      </c>
      <c r="AA820" s="123">
        <v>112.5</v>
      </c>
      <c r="AB820" s="44">
        <f t="shared" si="79"/>
        <v>0</v>
      </c>
      <c r="AC820" s="44">
        <f t="shared" si="80"/>
        <v>19811.15644</v>
      </c>
      <c r="AD820" s="44">
        <f t="shared" si="7"/>
        <v>-5331.843559</v>
      </c>
      <c r="AE820" s="123">
        <v>14700.0</v>
      </c>
    </row>
    <row r="821">
      <c r="A821" s="120">
        <v>2018.0</v>
      </c>
      <c r="B821" s="121">
        <v>11.0</v>
      </c>
      <c r="C821" s="122" t="s">
        <v>72</v>
      </c>
      <c r="D821" s="123">
        <v>2650.0</v>
      </c>
      <c r="E821" s="123">
        <v>9623.17</v>
      </c>
      <c r="F821" s="123">
        <v>-25143.0</v>
      </c>
      <c r="G821" s="44"/>
      <c r="H821" s="123">
        <v>-2611.36</v>
      </c>
      <c r="I821" s="44"/>
      <c r="J821" s="123">
        <v>1507.92</v>
      </c>
      <c r="K821" s="44"/>
      <c r="L821" s="123">
        <v>-19223.67</v>
      </c>
      <c r="M821" s="44"/>
      <c r="N821" s="44"/>
      <c r="O821" s="123">
        <v>452155.0</v>
      </c>
      <c r="P821" s="52">
        <f t="shared" si="23"/>
        <v>452154.99</v>
      </c>
      <c r="Q821" s="124">
        <f t="shared" si="2"/>
        <v>0.01000000001</v>
      </c>
      <c r="R821" s="52">
        <f t="array" ref="R821">IFERROR(INDEX('Fund YTD Target Values'!$1:$1000, MATCH($C821,'Fund YTD Target Values'!$A:$A,0), MATCH($A821,'Fund YTD Target Values'!$1:$1,0)),0)</f>
        <v>451180.3592</v>
      </c>
      <c r="S821" s="52">
        <f>IFERROR(__xludf.DUMMYFUNCTION("IFERROR(sum(FILTER('Fund Data'!$V:$V, 'Fund Data'!$C:$C = $C821, 'Fund Data'!$A:$A &lt; $A821)),0) + IFERROR(sum(FILTER('Fund Data'!$V:$V, 'Fund Data'!$C:$C = $C821, 'Fund Data'!$A:$A = $A821, 'Fund Data'!$B:$B &lt;= $B821)),0)"),419073.55)</f>
        <v>419073.55</v>
      </c>
      <c r="T821" s="44"/>
      <c r="U821" s="44"/>
      <c r="V821" s="44">
        <f t="shared" si="3"/>
        <v>0</v>
      </c>
      <c r="W821" s="123"/>
      <c r="X821" s="123"/>
      <c r="Y821" s="123">
        <v>0.0</v>
      </c>
      <c r="Z821" s="123">
        <v>0.0</v>
      </c>
      <c r="AA821" s="123">
        <v>0.0</v>
      </c>
      <c r="AB821" s="123"/>
      <c r="AC821" s="123">
        <v>0.0</v>
      </c>
      <c r="AD821" s="44">
        <f t="shared" si="7"/>
        <v>-25143</v>
      </c>
      <c r="AE821" s="123">
        <v>0.0</v>
      </c>
    </row>
    <row r="822">
      <c r="A822" s="120">
        <v>2018.0</v>
      </c>
      <c r="B822" s="121">
        <v>10.0</v>
      </c>
      <c r="C822" s="135" t="s">
        <v>72</v>
      </c>
      <c r="D822" s="136">
        <v>2650.0</v>
      </c>
      <c r="E822" s="137">
        <v>9219.22</v>
      </c>
      <c r="F822" s="136">
        <v>-25000.0</v>
      </c>
      <c r="G822" s="174"/>
      <c r="H822" s="137">
        <v>-2180.92</v>
      </c>
      <c r="I822" s="138"/>
      <c r="J822" s="136">
        <v>1507.92</v>
      </c>
      <c r="K822" s="138"/>
      <c r="L822" s="136">
        <v>-23104.72</v>
      </c>
      <c r="M822" s="44"/>
      <c r="N822" s="44"/>
      <c r="O822" s="136">
        <v>448443.0</v>
      </c>
      <c r="P822" s="52">
        <f t="shared" si="23"/>
        <v>448443.43</v>
      </c>
      <c r="Q822" s="124">
        <f t="shared" si="2"/>
        <v>-0.43</v>
      </c>
      <c r="R822" s="52">
        <f t="array" ref="R822">IFERROR(INDEX('Fund YTD Target Values'!$1:$1000, MATCH($C822,'Fund YTD Target Values'!$A:$A,0), MATCH($A822,'Fund YTD Target Values'!$1:$1,0)),0)</f>
        <v>451180.3592</v>
      </c>
      <c r="S822" s="52">
        <f>IFERROR(__xludf.DUMMYFUNCTION("IFERROR(sum(FILTER('Fund Data'!$V:$V, 'Fund Data'!$C:$C = $C822, 'Fund Data'!$A:$A &lt; $A822)),0) + IFERROR(sum(FILTER('Fund Data'!$V:$V, 'Fund Data'!$C:$C = $C822, 'Fund Data'!$A:$A = $A822, 'Fund Data'!$B:$B &lt;= $B822)),0)"),419073.55)</f>
        <v>419073.55</v>
      </c>
      <c r="T822" s="44"/>
      <c r="U822" s="44"/>
      <c r="V822" s="44">
        <f t="shared" si="3"/>
        <v>0</v>
      </c>
      <c r="W822" s="123"/>
      <c r="X822" s="123"/>
      <c r="Y822" s="123">
        <v>0.0</v>
      </c>
      <c r="Z822" s="123">
        <v>0.0</v>
      </c>
      <c r="AA822" s="123">
        <v>0.0</v>
      </c>
      <c r="AB822" s="123"/>
      <c r="AC822" s="123">
        <v>0.0</v>
      </c>
      <c r="AD822" s="44">
        <f t="shared" si="7"/>
        <v>-25000</v>
      </c>
      <c r="AE822" s="123">
        <v>0.0</v>
      </c>
    </row>
    <row r="823">
      <c r="A823" s="120">
        <v>2018.0</v>
      </c>
      <c r="B823" s="121">
        <v>9.0</v>
      </c>
      <c r="C823" s="122" t="s">
        <v>72</v>
      </c>
      <c r="D823" s="123">
        <v>2650.0</v>
      </c>
      <c r="E823" s="123">
        <v>7877.66</v>
      </c>
      <c r="F823" s="123">
        <v>-25000.0</v>
      </c>
      <c r="G823" s="123"/>
      <c r="H823" s="123">
        <v>-2180.92</v>
      </c>
      <c r="I823" s="44"/>
      <c r="J823" s="123">
        <v>1507.92</v>
      </c>
      <c r="K823" s="44"/>
      <c r="L823" s="123">
        <v>819.17</v>
      </c>
      <c r="M823" s="44"/>
      <c r="N823" s="44"/>
      <c r="O823" s="123">
        <v>471026.0</v>
      </c>
      <c r="P823" s="52">
        <f t="shared" si="23"/>
        <v>471025.76</v>
      </c>
      <c r="Q823" s="124">
        <f t="shared" si="2"/>
        <v>0.24</v>
      </c>
      <c r="R823" s="52">
        <f t="array" ref="R823">IFERROR(INDEX('Fund YTD Target Values'!$1:$1000, MATCH($C823,'Fund YTD Target Values'!$A:$A,0), MATCH($A823,'Fund YTD Target Values'!$1:$1,0)),0)</f>
        <v>451180.3592</v>
      </c>
      <c r="S823" s="52">
        <f>IFERROR(__xludf.DUMMYFUNCTION("IFERROR(sum(FILTER('Fund Data'!$V:$V, 'Fund Data'!$C:$C = $C823, 'Fund Data'!$A:$A &lt; $A823)),0) + IFERROR(sum(FILTER('Fund Data'!$V:$V, 'Fund Data'!$C:$C = $C823, 'Fund Data'!$A:$A = $A823, 'Fund Data'!$B:$B &lt;= $B823)),0)"),419073.55)</f>
        <v>419073.55</v>
      </c>
      <c r="T823" s="44"/>
      <c r="U823" s="44"/>
      <c r="V823" s="44">
        <f t="shared" si="3"/>
        <v>2500</v>
      </c>
      <c r="W823" s="123"/>
      <c r="X823" s="123"/>
      <c r="Y823" s="123">
        <v>0.0</v>
      </c>
      <c r="Z823" s="123">
        <v>0.0</v>
      </c>
      <c r="AA823" s="123">
        <v>0.0</v>
      </c>
      <c r="AB823" s="123"/>
      <c r="AC823" s="123">
        <v>0.0</v>
      </c>
      <c r="AD823" s="44">
        <f t="shared" si="7"/>
        <v>-25000</v>
      </c>
      <c r="AE823" s="123">
        <v>0.0</v>
      </c>
    </row>
    <row r="824">
      <c r="A824" s="120">
        <v>2018.0</v>
      </c>
      <c r="B824" s="121">
        <v>8.0</v>
      </c>
      <c r="C824" s="122" t="s">
        <v>72</v>
      </c>
      <c r="D824" s="123">
        <v>150.0</v>
      </c>
      <c r="E824" s="123">
        <v>7466.18</v>
      </c>
      <c r="F824" s="123">
        <v>-12600.0</v>
      </c>
      <c r="G824" s="123"/>
      <c r="H824" s="123">
        <v>-1939.65</v>
      </c>
      <c r="I824" s="44"/>
      <c r="J824" s="44"/>
      <c r="K824" s="44"/>
      <c r="L824" s="123">
        <v>4100.73</v>
      </c>
      <c r="M824" s="44"/>
      <c r="N824" s="44"/>
      <c r="O824" s="123">
        <v>482529.0</v>
      </c>
      <c r="P824" s="52">
        <f t="shared" si="23"/>
        <v>482529.19</v>
      </c>
      <c r="Q824" s="124">
        <f t="shared" si="2"/>
        <v>-0.19</v>
      </c>
      <c r="R824" s="52">
        <f t="array" ref="R824">IFERROR(INDEX('Fund YTD Target Values'!$1:$1000, MATCH($C824,'Fund YTD Target Values'!$A:$A,0), MATCH($A824,'Fund YTD Target Values'!$1:$1,0)),0)</f>
        <v>451180.3592</v>
      </c>
      <c r="S824" s="52">
        <f>IFERROR(__xludf.DUMMYFUNCTION("IFERROR(sum(FILTER('Fund Data'!$V:$V, 'Fund Data'!$C:$C = $C824, 'Fund Data'!$A:$A &lt; $A824)),0) + IFERROR(sum(FILTER('Fund Data'!$V:$V, 'Fund Data'!$C:$C = $C824, 'Fund Data'!$A:$A = $A824, 'Fund Data'!$B:$B &lt;= $B824)),0)"),416573.55)</f>
        <v>416573.55</v>
      </c>
      <c r="T824" s="123"/>
      <c r="U824" s="44"/>
      <c r="V824" s="44">
        <f t="shared" si="3"/>
        <v>0</v>
      </c>
      <c r="W824" s="123"/>
      <c r="X824" s="123"/>
      <c r="Y824" s="123">
        <v>0.0</v>
      </c>
      <c r="Z824" s="123">
        <v>0.0</v>
      </c>
      <c r="AA824" s="123">
        <v>0.0</v>
      </c>
      <c r="AB824" s="123"/>
      <c r="AC824" s="123">
        <v>0.0</v>
      </c>
      <c r="AD824" s="44">
        <f t="shared" si="7"/>
        <v>-12600</v>
      </c>
      <c r="AE824" s="123">
        <v>0.0</v>
      </c>
    </row>
    <row r="825">
      <c r="A825" s="120">
        <v>2018.0</v>
      </c>
      <c r="B825" s="121">
        <v>7.0</v>
      </c>
      <c r="C825" s="122" t="s">
        <v>72</v>
      </c>
      <c r="D825" s="123">
        <v>150.0</v>
      </c>
      <c r="E825" s="123">
        <v>7069.66</v>
      </c>
      <c r="F825" s="123">
        <v>-12600.0</v>
      </c>
      <c r="G825" s="123"/>
      <c r="H825" s="123">
        <v>-1699.25</v>
      </c>
      <c r="I825" s="44"/>
      <c r="J825" s="44"/>
      <c r="K825" s="44"/>
      <c r="L825" s="123">
        <v>2533.73</v>
      </c>
      <c r="M825" s="44"/>
      <c r="N825" s="44"/>
      <c r="O825" s="123">
        <v>480806.0</v>
      </c>
      <c r="P825" s="52">
        <f t="shared" si="23"/>
        <v>480806.07</v>
      </c>
      <c r="Q825" s="124">
        <f t="shared" si="2"/>
        <v>-0.07000000001</v>
      </c>
      <c r="R825" s="52">
        <f t="array" ref="R825">IFERROR(INDEX('Fund YTD Target Values'!$1:$1000, MATCH($C825,'Fund YTD Target Values'!$A:$A,0), MATCH($A825,'Fund YTD Target Values'!$1:$1,0)),0)</f>
        <v>451180.3592</v>
      </c>
      <c r="S825" s="52">
        <f>IFERROR(__xludf.DUMMYFUNCTION("IFERROR(sum(FILTER('Fund Data'!$V:$V, 'Fund Data'!$C:$C = $C825, 'Fund Data'!$A:$A &lt; $A825)),0) + IFERROR(sum(FILTER('Fund Data'!$V:$V, 'Fund Data'!$C:$C = $C825, 'Fund Data'!$A:$A = $A825, 'Fund Data'!$B:$B &lt;= $B825)),0)"),416573.55)</f>
        <v>416573.55</v>
      </c>
      <c r="T825" s="123"/>
      <c r="U825" s="44"/>
      <c r="V825" s="44">
        <f t="shared" si="3"/>
        <v>0</v>
      </c>
      <c r="W825" s="123"/>
      <c r="X825" s="123"/>
      <c r="Y825" s="123">
        <v>0.0</v>
      </c>
      <c r="Z825" s="123">
        <v>0.0</v>
      </c>
      <c r="AA825" s="123">
        <v>0.0</v>
      </c>
      <c r="AB825" s="123"/>
      <c r="AC825" s="123">
        <v>0.0</v>
      </c>
      <c r="AD825" s="44">
        <f t="shared" si="7"/>
        <v>-12600</v>
      </c>
      <c r="AE825" s="123">
        <v>0.0</v>
      </c>
    </row>
    <row r="826">
      <c r="A826" s="120">
        <v>2018.0</v>
      </c>
      <c r="B826" s="121">
        <v>6.0</v>
      </c>
      <c r="C826" s="122" t="s">
        <v>72</v>
      </c>
      <c r="D826" s="123">
        <v>150.0</v>
      </c>
      <c r="E826" s="123">
        <v>5994.61</v>
      </c>
      <c r="F826" s="123">
        <v>-11500.0</v>
      </c>
      <c r="G826" s="123"/>
      <c r="H826" s="123">
        <v>-1462.63</v>
      </c>
      <c r="I826" s="44"/>
      <c r="J826" s="44"/>
      <c r="K826" s="44"/>
      <c r="L826" s="123">
        <v>-5298.09</v>
      </c>
      <c r="M826" s="44"/>
      <c r="N826" s="44"/>
      <c r="O826" s="123">
        <v>473236.0</v>
      </c>
      <c r="P826" s="52">
        <f t="shared" si="23"/>
        <v>473235.82</v>
      </c>
      <c r="Q826" s="124">
        <f t="shared" si="2"/>
        <v>0.18</v>
      </c>
      <c r="R826" s="52">
        <f t="array" ref="R826">IFERROR(INDEX('Fund YTD Target Values'!$1:$1000, MATCH($C826,'Fund YTD Target Values'!$A:$A,0), MATCH($A826,'Fund YTD Target Values'!$1:$1,0)),0)</f>
        <v>451180.3592</v>
      </c>
      <c r="S826" s="52">
        <f>IFERROR(__xludf.DUMMYFUNCTION("IFERROR(sum(FILTER('Fund Data'!$V:$V, 'Fund Data'!$C:$C = $C826, 'Fund Data'!$A:$A &lt; $A826)),0) + IFERROR(sum(FILTER('Fund Data'!$V:$V, 'Fund Data'!$C:$C = $C826, 'Fund Data'!$A:$A = $A826, 'Fund Data'!$B:$B &lt;= $B826)),0)"),416573.55)</f>
        <v>416573.55</v>
      </c>
      <c r="T826" s="123"/>
      <c r="U826" s="44"/>
      <c r="V826" s="44">
        <f t="shared" si="3"/>
        <v>0</v>
      </c>
      <c r="W826" s="123"/>
      <c r="X826" s="123"/>
      <c r="Y826" s="123">
        <v>0.0</v>
      </c>
      <c r="Z826" s="123">
        <v>0.0</v>
      </c>
      <c r="AA826" s="123">
        <v>0.0</v>
      </c>
      <c r="AB826" s="123"/>
      <c r="AC826" s="123">
        <v>0.0</v>
      </c>
      <c r="AD826" s="44">
        <f t="shared" si="7"/>
        <v>-11500</v>
      </c>
      <c r="AE826" s="123">
        <v>0.0</v>
      </c>
    </row>
    <row r="827">
      <c r="A827" s="120">
        <v>2018.0</v>
      </c>
      <c r="B827" s="121">
        <v>5.0</v>
      </c>
      <c r="C827" s="122" t="s">
        <v>72</v>
      </c>
      <c r="D827" s="123">
        <v>150.0</v>
      </c>
      <c r="E827" s="123">
        <v>5306.03</v>
      </c>
      <c r="F827" s="123">
        <v>-10000.0</v>
      </c>
      <c r="G827" s="123"/>
      <c r="H827" s="123">
        <v>-1223.7</v>
      </c>
      <c r="I827" s="44"/>
      <c r="J827" s="44"/>
      <c r="K827" s="44"/>
      <c r="L827" s="123">
        <v>-1731.28</v>
      </c>
      <c r="M827" s="44"/>
      <c r="N827" s="44"/>
      <c r="O827" s="123">
        <v>477853.0</v>
      </c>
      <c r="P827" s="52">
        <f t="shared" si="23"/>
        <v>477852.98</v>
      </c>
      <c r="Q827" s="124">
        <f t="shared" si="2"/>
        <v>0.02000000002</v>
      </c>
      <c r="R827" s="52">
        <f t="array" ref="R827">IFERROR(INDEX('Fund YTD Target Values'!$1:$1000, MATCH($C827,'Fund YTD Target Values'!$A:$A,0), MATCH($A827,'Fund YTD Target Values'!$1:$1,0)),0)</f>
        <v>451180.3592</v>
      </c>
      <c r="S827" s="52">
        <f>IFERROR(__xludf.DUMMYFUNCTION("IFERROR(sum(FILTER('Fund Data'!$V:$V, 'Fund Data'!$C:$C = $C827, 'Fund Data'!$A:$A &lt; $A827)),0) + IFERROR(sum(FILTER('Fund Data'!$V:$V, 'Fund Data'!$C:$C = $C827, 'Fund Data'!$A:$A = $A827, 'Fund Data'!$B:$B &lt;= $B827)),0)"),416573.55)</f>
        <v>416573.55</v>
      </c>
      <c r="T827" s="123">
        <v>419027.0</v>
      </c>
      <c r="U827" s="44">
        <f t="shared" ref="U827:U847" si="81">S827-T827</f>
        <v>-2453.45</v>
      </c>
      <c r="V827" s="44">
        <f t="shared" si="3"/>
        <v>0</v>
      </c>
      <c r="W827" s="123"/>
      <c r="X827" s="123"/>
      <c r="Y827" s="123">
        <v>0.0</v>
      </c>
      <c r="Z827" s="123">
        <v>0.0</v>
      </c>
      <c r="AA827" s="123">
        <v>0.0</v>
      </c>
      <c r="AB827" s="123"/>
      <c r="AC827" s="123">
        <v>0.0</v>
      </c>
      <c r="AD827" s="44">
        <f t="shared" si="7"/>
        <v>-10000</v>
      </c>
      <c r="AE827" s="123">
        <v>0.0</v>
      </c>
    </row>
    <row r="828">
      <c r="A828" s="120">
        <v>2018.0</v>
      </c>
      <c r="B828" s="121">
        <v>4.0</v>
      </c>
      <c r="C828" s="122" t="s">
        <v>72</v>
      </c>
      <c r="D828" s="123">
        <v>150.0</v>
      </c>
      <c r="E828" s="123">
        <v>4918.89</v>
      </c>
      <c r="F828" s="44"/>
      <c r="G828" s="123"/>
      <c r="H828" s="123">
        <v>-980.35</v>
      </c>
      <c r="I828" s="44"/>
      <c r="J828" s="44"/>
      <c r="K828" s="44"/>
      <c r="L828" s="123">
        <v>-2739.08</v>
      </c>
      <c r="M828" s="44"/>
      <c r="N828" s="44"/>
      <c r="O828" s="123">
        <v>486701.0</v>
      </c>
      <c r="P828" s="52">
        <f t="shared" si="23"/>
        <v>486701.39</v>
      </c>
      <c r="Q828" s="124">
        <f t="shared" si="2"/>
        <v>-0.39</v>
      </c>
      <c r="R828" s="52">
        <f t="array" ref="R828">IFERROR(INDEX('Fund YTD Target Values'!$1:$1000, MATCH($C828,'Fund YTD Target Values'!$A:$A,0), MATCH($A828,'Fund YTD Target Values'!$1:$1,0)),0)</f>
        <v>451180.3592</v>
      </c>
      <c r="S828" s="52">
        <f>IFERROR(__xludf.DUMMYFUNCTION("IFERROR(sum(FILTER('Fund Data'!$V:$V, 'Fund Data'!$C:$C = $C828, 'Fund Data'!$A:$A &lt; $A828)),0) + IFERROR(sum(FILTER('Fund Data'!$V:$V, 'Fund Data'!$C:$C = $C828, 'Fund Data'!$A:$A = $A828, 'Fund Data'!$B:$B &lt;= $B828)),0)"),416573.55)</f>
        <v>416573.55</v>
      </c>
      <c r="T828" s="123">
        <v>419027.0</v>
      </c>
      <c r="U828" s="44">
        <f t="shared" si="81"/>
        <v>-2453.45</v>
      </c>
      <c r="V828" s="44">
        <f t="shared" si="3"/>
        <v>50</v>
      </c>
      <c r="W828" s="123"/>
      <c r="X828" s="123"/>
      <c r="Y828" s="123">
        <v>0.0</v>
      </c>
      <c r="Z828" s="123">
        <v>0.0</v>
      </c>
      <c r="AA828" s="123">
        <v>0.0</v>
      </c>
      <c r="AB828" s="123"/>
      <c r="AC828" s="123">
        <v>0.0</v>
      </c>
      <c r="AD828" s="44">
        <f t="shared" si="7"/>
        <v>0</v>
      </c>
      <c r="AE828" s="123">
        <v>0.0</v>
      </c>
    </row>
    <row r="829">
      <c r="A829" s="120">
        <v>2018.0</v>
      </c>
      <c r="B829" s="121">
        <v>3.0</v>
      </c>
      <c r="C829" s="122" t="s">
        <v>72</v>
      </c>
      <c r="D829" s="123">
        <v>100.0</v>
      </c>
      <c r="E829" s="123">
        <v>3756.31</v>
      </c>
      <c r="F829" s="44"/>
      <c r="G829" s="123"/>
      <c r="H829" s="123">
        <v>-737.68</v>
      </c>
      <c r="I829" s="44"/>
      <c r="J829" s="44"/>
      <c r="K829" s="44"/>
      <c r="L829" s="123">
        <v>-3130.83</v>
      </c>
      <c r="M829" s="44"/>
      <c r="N829" s="44"/>
      <c r="O829" s="123">
        <v>485340.0</v>
      </c>
      <c r="P829" s="52">
        <f t="shared" si="23"/>
        <v>485339.73</v>
      </c>
      <c r="Q829" s="124">
        <f t="shared" si="2"/>
        <v>0.27</v>
      </c>
      <c r="R829" s="52">
        <f t="array" ref="R829">IFERROR(INDEX('Fund YTD Target Values'!$1:$1000, MATCH($C829,'Fund YTD Target Values'!$A:$A,0), MATCH($A829,'Fund YTD Target Values'!$1:$1,0)),0)</f>
        <v>451180.3592</v>
      </c>
      <c r="S829" s="52">
        <f>IFERROR(__xludf.DUMMYFUNCTION("IFERROR(sum(FILTER('Fund Data'!$V:$V, 'Fund Data'!$C:$C = $C829, 'Fund Data'!$A:$A &lt; $A829)),0) + IFERROR(sum(FILTER('Fund Data'!$V:$V, 'Fund Data'!$C:$C = $C829, 'Fund Data'!$A:$A = $A829, 'Fund Data'!$B:$B &lt;= $B829)),0)"),416523.55)</f>
        <v>416523.55</v>
      </c>
      <c r="T829" s="123">
        <v>419027.0</v>
      </c>
      <c r="U829" s="44">
        <f t="shared" si="81"/>
        <v>-2503.45</v>
      </c>
      <c r="V829" s="44">
        <f t="shared" si="3"/>
        <v>50</v>
      </c>
      <c r="W829" s="123"/>
      <c r="X829" s="123"/>
      <c r="Y829" s="123">
        <v>0.0</v>
      </c>
      <c r="Z829" s="123">
        <v>0.0</v>
      </c>
      <c r="AA829" s="123">
        <v>0.0</v>
      </c>
      <c r="AB829" s="123"/>
      <c r="AC829" s="123">
        <v>0.0</v>
      </c>
      <c r="AD829" s="44">
        <f t="shared" si="7"/>
        <v>0</v>
      </c>
      <c r="AE829" s="123">
        <v>0.0</v>
      </c>
    </row>
    <row r="830">
      <c r="A830" s="120">
        <v>2018.0</v>
      </c>
      <c r="B830" s="121">
        <v>2.0</v>
      </c>
      <c r="C830" s="122" t="s">
        <v>72</v>
      </c>
      <c r="D830" s="123">
        <v>50.0</v>
      </c>
      <c r="E830" s="123">
        <v>3328.76</v>
      </c>
      <c r="F830" s="44"/>
      <c r="G830" s="123"/>
      <c r="H830" s="123">
        <v>-1194.6</v>
      </c>
      <c r="I830" s="44"/>
      <c r="J830" s="44"/>
      <c r="K830" s="44"/>
      <c r="L830" s="123">
        <v>205.35</v>
      </c>
      <c r="M830" s="44"/>
      <c r="N830" s="44"/>
      <c r="O830" s="123">
        <v>487741.0</v>
      </c>
      <c r="P830" s="52">
        <f t="shared" si="23"/>
        <v>487741.44</v>
      </c>
      <c r="Q830" s="124">
        <f t="shared" si="2"/>
        <v>-0.44</v>
      </c>
      <c r="R830" s="52">
        <f t="array" ref="R830">IFERROR(INDEX('Fund YTD Target Values'!$1:$1000, MATCH($C830,'Fund YTD Target Values'!$A:$A,0), MATCH($A830,'Fund YTD Target Values'!$1:$1,0)),0)</f>
        <v>451180.3592</v>
      </c>
      <c r="S830" s="52">
        <f>IFERROR(__xludf.DUMMYFUNCTION("IFERROR(sum(FILTER('Fund Data'!$V:$V, 'Fund Data'!$C:$C = $C830, 'Fund Data'!$A:$A &lt; $A830)),0) + IFERROR(sum(FILTER('Fund Data'!$V:$V, 'Fund Data'!$C:$C = $C830, 'Fund Data'!$A:$A = $A830, 'Fund Data'!$B:$B &lt;= $B830)),0)"),416473.55)</f>
        <v>416473.55</v>
      </c>
      <c r="T830" s="123">
        <v>418927.0</v>
      </c>
      <c r="U830" s="44">
        <f t="shared" si="81"/>
        <v>-2453.45</v>
      </c>
      <c r="V830" s="44">
        <f t="shared" si="3"/>
        <v>50</v>
      </c>
      <c r="W830" s="123"/>
      <c r="X830" s="123"/>
      <c r="Y830" s="123">
        <v>0.0</v>
      </c>
      <c r="Z830" s="123">
        <v>0.0</v>
      </c>
      <c r="AA830" s="123">
        <v>0.0</v>
      </c>
      <c r="AB830" s="123"/>
      <c r="AC830" s="123">
        <v>0.0</v>
      </c>
      <c r="AD830" s="44">
        <f t="shared" si="7"/>
        <v>0</v>
      </c>
      <c r="AE830" s="123">
        <v>0.0</v>
      </c>
    </row>
    <row r="831">
      <c r="A831" s="120">
        <v>2018.0</v>
      </c>
      <c r="B831" s="121">
        <v>1.0</v>
      </c>
      <c r="C831" s="122" t="s">
        <v>72</v>
      </c>
      <c r="D831" s="44"/>
      <c r="E831" s="123">
        <v>2966.14</v>
      </c>
      <c r="F831" s="44"/>
      <c r="G831" s="123"/>
      <c r="H831" s="123">
        <v>-943.44</v>
      </c>
      <c r="I831" s="44"/>
      <c r="J831" s="44"/>
      <c r="K831" s="44"/>
      <c r="L831" s="123">
        <v>14940.17</v>
      </c>
      <c r="M831" s="44"/>
      <c r="N831" s="44"/>
      <c r="O831" s="123">
        <v>502315.0</v>
      </c>
      <c r="P831" s="52">
        <f t="shared" si="23"/>
        <v>502314.8</v>
      </c>
      <c r="Q831" s="124">
        <f t="shared" si="2"/>
        <v>0.2</v>
      </c>
      <c r="R831" s="52">
        <f t="array" ref="R831">IFERROR(INDEX('Fund YTD Target Values'!$1:$1000, MATCH($C831,'Fund YTD Target Values'!$A:$A,0), MATCH($A831,'Fund YTD Target Values'!$1:$1,0)),0)</f>
        <v>451180.3592</v>
      </c>
      <c r="S831" s="52">
        <f>IFERROR(__xludf.DUMMYFUNCTION("IFERROR(sum(FILTER('Fund Data'!$V:$V, 'Fund Data'!$C:$C = $C831, 'Fund Data'!$A:$A &lt; $A831)),0) + IFERROR(sum(FILTER('Fund Data'!$V:$V, 'Fund Data'!$C:$C = $C831, 'Fund Data'!$A:$A = $A831, 'Fund Data'!$B:$B &lt;= $B831)),0)"),416423.55)</f>
        <v>416423.55</v>
      </c>
      <c r="T831" s="123">
        <v>418877.0</v>
      </c>
      <c r="U831" s="44">
        <f t="shared" si="81"/>
        <v>-2453.45</v>
      </c>
      <c r="V831" s="44">
        <f t="shared" si="3"/>
        <v>0</v>
      </c>
      <c r="W831" s="123"/>
      <c r="X831" s="123"/>
      <c r="Y831" s="123">
        <v>0.0</v>
      </c>
      <c r="Z831" s="123">
        <v>0.0</v>
      </c>
      <c r="AA831" s="123">
        <v>0.0</v>
      </c>
      <c r="AB831" s="123"/>
      <c r="AC831" s="123">
        <v>0.0</v>
      </c>
      <c r="AD831" s="44">
        <f t="shared" si="7"/>
        <v>0</v>
      </c>
      <c r="AE831" s="123">
        <v>0.0</v>
      </c>
    </row>
    <row r="832">
      <c r="A832" s="120">
        <v>2017.0</v>
      </c>
      <c r="B832" s="121">
        <v>12.0</v>
      </c>
      <c r="C832" s="122" t="s">
        <v>72</v>
      </c>
      <c r="D832" s="123">
        <v>3300.0</v>
      </c>
      <c r="E832" s="123">
        <v>9954.67</v>
      </c>
      <c r="F832" s="123">
        <v>-5000.0</v>
      </c>
      <c r="G832" s="123"/>
      <c r="H832" s="123">
        <v>-2734.6</v>
      </c>
      <c r="I832" s="44"/>
      <c r="J832" s="44"/>
      <c r="K832" s="44"/>
      <c r="L832" s="123">
        <v>56294.96</v>
      </c>
      <c r="M832" s="44"/>
      <c r="N832" s="44"/>
      <c r="O832" s="123">
        <v>485302.0</v>
      </c>
      <c r="P832" s="52">
        <f t="shared" si="23"/>
        <v>485351.93</v>
      </c>
      <c r="Q832" s="124">
        <f t="shared" si="2"/>
        <v>-49.93</v>
      </c>
      <c r="R832" s="52">
        <f t="array" ref="R832">IFERROR(INDEX('Fund YTD Target Values'!$1:$1000, MATCH($C832,'Fund YTD Target Values'!$A:$A,0), MATCH($A832,'Fund YTD Target Values'!$1:$1,0)),0)</f>
        <v>437835.4209</v>
      </c>
      <c r="S832" s="52">
        <f>IFERROR(__xludf.DUMMYFUNCTION("IFERROR(sum(FILTER('Fund Data'!$V:$V, 'Fund Data'!$C:$C = $C832, 'Fund Data'!$A:$A &lt; $A832)),0) + IFERROR(sum(FILTER('Fund Data'!$V:$V, 'Fund Data'!$C:$C = $C832, 'Fund Data'!$A:$A = $A832, 'Fund Data'!$B:$B &lt;= $B832)),0)"),416423.55)</f>
        <v>416423.55</v>
      </c>
      <c r="T832" s="123">
        <v>418877.0</v>
      </c>
      <c r="U832" s="44">
        <f t="shared" si="81"/>
        <v>-2453.45</v>
      </c>
      <c r="V832" s="44">
        <f t="shared" si="3"/>
        <v>50</v>
      </c>
      <c r="W832" s="123"/>
      <c r="X832" s="123"/>
      <c r="Y832" s="123">
        <v>0.0</v>
      </c>
      <c r="Z832" s="123">
        <v>0.0</v>
      </c>
      <c r="AA832" s="123">
        <v>0.0</v>
      </c>
      <c r="AB832" s="123"/>
      <c r="AC832" s="123">
        <v>0.0</v>
      </c>
      <c r="AD832" s="44">
        <f t="shared" si="7"/>
        <v>-5000</v>
      </c>
      <c r="AE832" s="123">
        <v>0.0</v>
      </c>
    </row>
    <row r="833">
      <c r="A833" s="120">
        <v>2017.0</v>
      </c>
      <c r="B833" s="121">
        <v>11.0</v>
      </c>
      <c r="C833" s="122" t="s">
        <v>72</v>
      </c>
      <c r="D833" s="123">
        <v>3250.0</v>
      </c>
      <c r="E833" s="123">
        <v>9278.5</v>
      </c>
      <c r="F833" s="123">
        <v>-5000.0</v>
      </c>
      <c r="G833" s="44"/>
      <c r="H833" s="123">
        <v>-2493.34</v>
      </c>
      <c r="I833" s="44"/>
      <c r="J833" s="44"/>
      <c r="K833" s="44"/>
      <c r="L833" s="123">
        <v>53995.01</v>
      </c>
      <c r="M833" s="44"/>
      <c r="N833" s="44"/>
      <c r="O833" s="123">
        <v>482567.0</v>
      </c>
      <c r="P833" s="52">
        <f t="shared" si="23"/>
        <v>482567.07</v>
      </c>
      <c r="Q833" s="124">
        <f t="shared" si="2"/>
        <v>-0.06999999995</v>
      </c>
      <c r="R833" s="52">
        <f t="array" ref="R833">IFERROR(INDEX('Fund YTD Target Values'!$1:$1000, MATCH($C833,'Fund YTD Target Values'!$A:$A,0), MATCH($A833,'Fund YTD Target Values'!$1:$1,0)),0)</f>
        <v>437835.4209</v>
      </c>
      <c r="S833" s="52">
        <f>IFERROR(__xludf.DUMMYFUNCTION("IFERROR(sum(FILTER('Fund Data'!$V:$V, 'Fund Data'!$C:$C = $C833, 'Fund Data'!$A:$A &lt; $A833)),0) + IFERROR(sum(FILTER('Fund Data'!$V:$V, 'Fund Data'!$C:$C = $C833, 'Fund Data'!$A:$A = $A833, 'Fund Data'!$B:$B &lt;= $B833)),0)"),416373.55)</f>
        <v>416373.55</v>
      </c>
      <c r="T833" s="123">
        <v>417180.0</v>
      </c>
      <c r="U833" s="44">
        <f t="shared" si="81"/>
        <v>-806.45</v>
      </c>
      <c r="V833" s="44">
        <f t="shared" si="3"/>
        <v>50</v>
      </c>
      <c r="W833" s="123"/>
      <c r="X833" s="123"/>
      <c r="Y833" s="123">
        <v>0.0</v>
      </c>
      <c r="Z833" s="123">
        <v>0.0</v>
      </c>
      <c r="AA833" s="123">
        <v>0.0</v>
      </c>
      <c r="AB833" s="123"/>
      <c r="AC833" s="123">
        <v>0.0</v>
      </c>
      <c r="AD833" s="44">
        <f t="shared" si="7"/>
        <v>-5000</v>
      </c>
      <c r="AE833" s="123">
        <v>0.0</v>
      </c>
    </row>
    <row r="834">
      <c r="A834" s="120">
        <v>2017.0</v>
      </c>
      <c r="B834" s="121">
        <v>10.0</v>
      </c>
      <c r="C834" s="122" t="s">
        <v>72</v>
      </c>
      <c r="D834" s="123">
        <v>3200.0</v>
      </c>
      <c r="E834" s="123">
        <v>8953.16</v>
      </c>
      <c r="F834" s="123">
        <v>-5000.0</v>
      </c>
      <c r="G834" s="44"/>
      <c r="H834" s="123">
        <v>-2254.83</v>
      </c>
      <c r="I834" s="44"/>
      <c r="J834" s="44"/>
      <c r="K834" s="44"/>
      <c r="L834" s="123">
        <v>48677.97</v>
      </c>
      <c r="M834" s="44"/>
      <c r="N834" s="44"/>
      <c r="O834" s="123">
        <v>477113.0</v>
      </c>
      <c r="P834" s="52">
        <f t="shared" si="23"/>
        <v>477113.2</v>
      </c>
      <c r="Q834" s="124">
        <f t="shared" si="2"/>
        <v>-0.2</v>
      </c>
      <c r="R834" s="52">
        <f t="array" ref="R834">IFERROR(INDEX('Fund YTD Target Values'!$1:$1000, MATCH($C834,'Fund YTD Target Values'!$A:$A,0), MATCH($A834,'Fund YTD Target Values'!$1:$1,0)),0)</f>
        <v>437835.4209</v>
      </c>
      <c r="S834" s="52">
        <f>IFERROR(__xludf.DUMMYFUNCTION("IFERROR(sum(FILTER('Fund Data'!$V:$V, 'Fund Data'!$C:$C = $C834, 'Fund Data'!$A:$A &lt; $A834)),0) + IFERROR(sum(FILTER('Fund Data'!$V:$V, 'Fund Data'!$C:$C = $C834, 'Fund Data'!$A:$A = $A834, 'Fund Data'!$B:$B &lt;= $B834)),0)"),416323.55)</f>
        <v>416323.55</v>
      </c>
      <c r="T834" s="123">
        <v>417180.0</v>
      </c>
      <c r="U834" s="44">
        <f t="shared" si="81"/>
        <v>-856.45</v>
      </c>
      <c r="V834" s="44">
        <f t="shared" si="3"/>
        <v>50</v>
      </c>
      <c r="W834" s="123"/>
      <c r="X834" s="123"/>
      <c r="Y834" s="123">
        <v>0.0</v>
      </c>
      <c r="Z834" s="123">
        <v>0.0</v>
      </c>
      <c r="AA834" s="123">
        <v>0.0</v>
      </c>
      <c r="AB834" s="123"/>
      <c r="AC834" s="123">
        <v>0.0</v>
      </c>
      <c r="AD834" s="44">
        <f t="shared" si="7"/>
        <v>-5000</v>
      </c>
      <c r="AE834" s="123">
        <v>0.0</v>
      </c>
    </row>
    <row r="835">
      <c r="A835" s="120">
        <v>2017.0</v>
      </c>
      <c r="B835" s="121">
        <v>9.0</v>
      </c>
      <c r="C835" s="122" t="s">
        <v>72</v>
      </c>
      <c r="D835" s="123">
        <v>3150.0</v>
      </c>
      <c r="E835" s="123">
        <v>7981.69</v>
      </c>
      <c r="F835" s="123">
        <v>-5000.0</v>
      </c>
      <c r="G835" s="44"/>
      <c r="H835" s="123">
        <v>-2012.23</v>
      </c>
      <c r="I835" s="44"/>
      <c r="J835" s="44"/>
      <c r="K835" s="44"/>
      <c r="L835" s="123">
        <v>42646.93</v>
      </c>
      <c r="M835" s="44"/>
      <c r="N835" s="44"/>
      <c r="O835" s="123">
        <v>470303.0</v>
      </c>
      <c r="P835" s="52">
        <f t="shared" si="23"/>
        <v>470303.29</v>
      </c>
      <c r="Q835" s="124">
        <f t="shared" si="2"/>
        <v>-0.29</v>
      </c>
      <c r="R835" s="52">
        <f t="array" ref="R835">IFERROR(INDEX('Fund YTD Target Values'!$1:$1000, MATCH($C835,'Fund YTD Target Values'!$A:$A,0), MATCH($A835,'Fund YTD Target Values'!$1:$1,0)),0)</f>
        <v>437835.4209</v>
      </c>
      <c r="S835" s="52">
        <f>IFERROR(__xludf.DUMMYFUNCTION("IFERROR(sum(FILTER('Fund Data'!$V:$V, 'Fund Data'!$C:$C = $C835, 'Fund Data'!$A:$A &lt; $A835)),0) + IFERROR(sum(FILTER('Fund Data'!$V:$V, 'Fund Data'!$C:$C = $C835, 'Fund Data'!$A:$A = $A835, 'Fund Data'!$B:$B &lt;= $B835)),0)"),416273.55)</f>
        <v>416273.55</v>
      </c>
      <c r="T835" s="123">
        <v>432080.0</v>
      </c>
      <c r="U835" s="44">
        <f t="shared" si="81"/>
        <v>-15806.45</v>
      </c>
      <c r="V835" s="44">
        <f t="shared" si="3"/>
        <v>50</v>
      </c>
      <c r="W835" s="123"/>
      <c r="X835" s="123"/>
      <c r="Y835" s="123">
        <v>0.0</v>
      </c>
      <c r="Z835" s="123">
        <v>0.0</v>
      </c>
      <c r="AA835" s="123">
        <v>0.0</v>
      </c>
      <c r="AB835" s="123"/>
      <c r="AC835" s="123">
        <v>0.0</v>
      </c>
      <c r="AD835" s="44">
        <f t="shared" si="7"/>
        <v>-5000</v>
      </c>
      <c r="AE835" s="123">
        <v>0.0</v>
      </c>
    </row>
    <row r="836">
      <c r="A836" s="120">
        <v>2017.0</v>
      </c>
      <c r="B836" s="121">
        <v>8.0</v>
      </c>
      <c r="C836" s="122" t="s">
        <v>72</v>
      </c>
      <c r="D836" s="123">
        <v>3100.0</v>
      </c>
      <c r="E836" s="123">
        <v>7398.86</v>
      </c>
      <c r="F836" s="123">
        <v>-5000.0</v>
      </c>
      <c r="G836" s="44"/>
      <c r="H836" s="123">
        <v>-1779.58</v>
      </c>
      <c r="I836" s="44"/>
      <c r="J836" s="44"/>
      <c r="K836" s="44"/>
      <c r="L836" s="123">
        <v>38088.11</v>
      </c>
      <c r="M836" s="44"/>
      <c r="N836" s="44"/>
      <c r="O836" s="123">
        <v>465344.0</v>
      </c>
      <c r="P836" s="52">
        <f t="shared" si="23"/>
        <v>465344.29</v>
      </c>
      <c r="Q836" s="124">
        <f t="shared" si="2"/>
        <v>-0.29</v>
      </c>
      <c r="R836" s="52">
        <f t="array" ref="R836">IFERROR(INDEX('Fund YTD Target Values'!$1:$1000, MATCH($C836,'Fund YTD Target Values'!$A:$A,0), MATCH($A836,'Fund YTD Target Values'!$1:$1,0)),0)</f>
        <v>437835.4209</v>
      </c>
      <c r="S836" s="52">
        <f>IFERROR(__xludf.DUMMYFUNCTION("IFERROR(sum(FILTER('Fund Data'!$V:$V, 'Fund Data'!$C:$C = $C836, 'Fund Data'!$A:$A &lt; $A836)),0) + IFERROR(sum(FILTER('Fund Data'!$V:$V, 'Fund Data'!$C:$C = $C836, 'Fund Data'!$A:$A = $A836, 'Fund Data'!$B:$B &lt;= $B836)),0)"),416223.55)</f>
        <v>416223.55</v>
      </c>
      <c r="T836" s="123">
        <v>417080.0</v>
      </c>
      <c r="U836" s="44">
        <f t="shared" si="81"/>
        <v>-856.45</v>
      </c>
      <c r="V836" s="44">
        <f t="shared" si="3"/>
        <v>50</v>
      </c>
      <c r="W836" s="123"/>
      <c r="X836" s="123"/>
      <c r="Y836" s="123">
        <v>0.0</v>
      </c>
      <c r="Z836" s="123">
        <v>0.0</v>
      </c>
      <c r="AA836" s="123">
        <v>0.0</v>
      </c>
      <c r="AB836" s="123"/>
      <c r="AC836" s="123">
        <v>0.0</v>
      </c>
      <c r="AD836" s="44">
        <f t="shared" si="7"/>
        <v>-5000</v>
      </c>
      <c r="AE836" s="123">
        <v>0.0</v>
      </c>
    </row>
    <row r="837">
      <c r="A837" s="120">
        <v>2017.0</v>
      </c>
      <c r="B837" s="121">
        <v>7.0</v>
      </c>
      <c r="C837" s="122" t="s">
        <v>72</v>
      </c>
      <c r="D837" s="123">
        <v>3050.0</v>
      </c>
      <c r="E837" s="123">
        <v>7081.25</v>
      </c>
      <c r="F837" s="123">
        <v>-3800.0</v>
      </c>
      <c r="G837" s="44"/>
      <c r="H837" s="123">
        <v>-1547.0</v>
      </c>
      <c r="I837" s="44"/>
      <c r="J837" s="44"/>
      <c r="K837" s="44"/>
      <c r="L837" s="123">
        <v>36887.59</v>
      </c>
      <c r="M837" s="44"/>
      <c r="N837" s="44"/>
      <c r="O837" s="123">
        <v>465209.0</v>
      </c>
      <c r="P837" s="52">
        <f t="shared" si="23"/>
        <v>465208.74</v>
      </c>
      <c r="Q837" s="124">
        <f t="shared" si="2"/>
        <v>0.26</v>
      </c>
      <c r="R837" s="52">
        <f t="array" ref="R837">IFERROR(INDEX('Fund YTD Target Values'!$1:$1000, MATCH($C837,'Fund YTD Target Values'!$A:$A,0), MATCH($A837,'Fund YTD Target Values'!$1:$1,0)),0)</f>
        <v>437835.4209</v>
      </c>
      <c r="S837" s="52">
        <f>IFERROR(__xludf.DUMMYFUNCTION("IFERROR(sum(FILTER('Fund Data'!$V:$V, 'Fund Data'!$C:$C = $C837, 'Fund Data'!$A:$A &lt; $A837)),0) + IFERROR(sum(FILTER('Fund Data'!$V:$V, 'Fund Data'!$C:$C = $C837, 'Fund Data'!$A:$A = $A837, 'Fund Data'!$B:$B &lt;= $B837)),0)"),416173.55)</f>
        <v>416173.55</v>
      </c>
      <c r="T837" s="123">
        <v>416980.0</v>
      </c>
      <c r="U837" s="44">
        <f t="shared" si="81"/>
        <v>-806.45</v>
      </c>
      <c r="V837" s="44">
        <f t="shared" si="3"/>
        <v>50</v>
      </c>
      <c r="W837" s="123"/>
      <c r="X837" s="123"/>
      <c r="Y837" s="123">
        <v>0.0</v>
      </c>
      <c r="Z837" s="123">
        <v>0.0</v>
      </c>
      <c r="AA837" s="123">
        <v>0.0</v>
      </c>
      <c r="AB837" s="123"/>
      <c r="AC837" s="123">
        <v>0.0</v>
      </c>
      <c r="AD837" s="44">
        <f t="shared" si="7"/>
        <v>-3800</v>
      </c>
      <c r="AE837" s="123">
        <v>0.0</v>
      </c>
    </row>
    <row r="838">
      <c r="A838" s="120">
        <v>2017.0</v>
      </c>
      <c r="B838" s="121">
        <v>6.0</v>
      </c>
      <c r="C838" s="122" t="s">
        <v>72</v>
      </c>
      <c r="D838" s="123">
        <v>3000.0</v>
      </c>
      <c r="E838" s="123">
        <v>5635.28</v>
      </c>
      <c r="F838" s="123">
        <v>-3800.0</v>
      </c>
      <c r="G838" s="44"/>
      <c r="H838" s="123">
        <v>-1321.05</v>
      </c>
      <c r="I838" s="44"/>
      <c r="J838" s="44"/>
      <c r="K838" s="44"/>
      <c r="L838" s="123">
        <v>27394.0</v>
      </c>
      <c r="M838" s="44"/>
      <c r="N838" s="44"/>
      <c r="O838" s="123">
        <v>454445.0</v>
      </c>
      <c r="P838" s="52">
        <f t="shared" si="23"/>
        <v>454445.13</v>
      </c>
      <c r="Q838" s="124">
        <f t="shared" si="2"/>
        <v>-0.1299999999</v>
      </c>
      <c r="R838" s="52">
        <f t="array" ref="R838">IFERROR(INDEX('Fund YTD Target Values'!$1:$1000, MATCH($C838,'Fund YTD Target Values'!$A:$A,0), MATCH($A838,'Fund YTD Target Values'!$1:$1,0)),0)</f>
        <v>437835.4209</v>
      </c>
      <c r="S838" s="52">
        <f>IFERROR(__xludf.DUMMYFUNCTION("IFERROR(sum(FILTER('Fund Data'!$V:$V, 'Fund Data'!$C:$C = $C838, 'Fund Data'!$A:$A &lt; $A838)),0) + IFERROR(sum(FILTER('Fund Data'!$V:$V, 'Fund Data'!$C:$C = $C838, 'Fund Data'!$A:$A = $A838, 'Fund Data'!$B:$B &lt;= $B838)),0)"),416123.55)</f>
        <v>416123.55</v>
      </c>
      <c r="T838" s="123">
        <v>416930.0</v>
      </c>
      <c r="U838" s="44">
        <f t="shared" si="81"/>
        <v>-806.45</v>
      </c>
      <c r="V838" s="44">
        <f t="shared" si="3"/>
        <v>2600</v>
      </c>
      <c r="W838" s="123"/>
      <c r="X838" s="123"/>
      <c r="Y838" s="123">
        <v>0.0</v>
      </c>
      <c r="Z838" s="123">
        <v>0.0</v>
      </c>
      <c r="AA838" s="123">
        <v>0.0</v>
      </c>
      <c r="AB838" s="123"/>
      <c r="AC838" s="123">
        <v>0.0</v>
      </c>
      <c r="AD838" s="44">
        <f t="shared" si="7"/>
        <v>-3800</v>
      </c>
      <c r="AE838" s="123">
        <v>0.0</v>
      </c>
    </row>
    <row r="839">
      <c r="A839" s="168">
        <v>2017.0</v>
      </c>
      <c r="B839" s="169">
        <v>5.0</v>
      </c>
      <c r="C839" s="122" t="s">
        <v>72</v>
      </c>
      <c r="D839" s="123">
        <v>400.0</v>
      </c>
      <c r="E839" s="123">
        <v>5332.99</v>
      </c>
      <c r="F839" s="123">
        <v>-3800.0</v>
      </c>
      <c r="G839" s="44"/>
      <c r="H839" s="123">
        <v>-1095.65</v>
      </c>
      <c r="I839" s="44"/>
      <c r="J839" s="44"/>
      <c r="K839" s="44"/>
      <c r="L839" s="123">
        <v>26417.78</v>
      </c>
      <c r="M839" s="44"/>
      <c r="N839" s="44"/>
      <c r="O839" s="123">
        <v>450792.0</v>
      </c>
      <c r="P839" s="52">
        <f t="shared" si="23"/>
        <v>450792.02</v>
      </c>
      <c r="Q839" s="124">
        <f t="shared" si="2"/>
        <v>-0.01999999996</v>
      </c>
      <c r="R839" s="52">
        <f t="array" ref="R839">IFERROR(INDEX('Fund YTD Target Values'!$1:$1000, MATCH($C839,'Fund YTD Target Values'!$A:$A,0), MATCH($A839,'Fund YTD Target Values'!$1:$1,0)),0)</f>
        <v>437835.4209</v>
      </c>
      <c r="S839" s="52">
        <f>IFERROR(__xludf.DUMMYFUNCTION("IFERROR(sum(FILTER('Fund Data'!$V:$V, 'Fund Data'!$C:$C = $C839, 'Fund Data'!$A:$A &lt; $A839)),0) + IFERROR(sum(FILTER('Fund Data'!$V:$V, 'Fund Data'!$C:$C = $C839, 'Fund Data'!$A:$A = $A839, 'Fund Data'!$B:$B &lt;= $B839)),0)"),413523.55)</f>
        <v>413523.55</v>
      </c>
      <c r="T839" s="123">
        <v>414430.0</v>
      </c>
      <c r="U839" s="44">
        <f t="shared" si="81"/>
        <v>-906.45</v>
      </c>
      <c r="V839" s="44">
        <f t="shared" si="3"/>
        <v>400</v>
      </c>
      <c r="W839" s="123"/>
      <c r="X839" s="123"/>
      <c r="Y839" s="123">
        <v>0.0</v>
      </c>
      <c r="Z839" s="123">
        <v>0.0</v>
      </c>
      <c r="AA839" s="123">
        <v>0.0</v>
      </c>
      <c r="AB839" s="123"/>
      <c r="AC839" s="123">
        <v>0.0</v>
      </c>
      <c r="AD839" s="44">
        <f t="shared" si="7"/>
        <v>-3800</v>
      </c>
      <c r="AE839" s="123">
        <v>0.0</v>
      </c>
    </row>
    <row r="840">
      <c r="A840" s="120">
        <v>2017.0</v>
      </c>
      <c r="B840" s="121">
        <v>4.0</v>
      </c>
      <c r="C840" s="122" t="s">
        <v>72</v>
      </c>
      <c r="D840" s="44"/>
      <c r="E840" s="123">
        <v>5041.4</v>
      </c>
      <c r="F840" s="44"/>
      <c r="G840" s="44"/>
      <c r="H840" s="123">
        <v>-871.12</v>
      </c>
      <c r="I840" s="44"/>
      <c r="J840" s="44"/>
      <c r="K840" s="44"/>
      <c r="L840" s="123">
        <v>21356.64</v>
      </c>
      <c r="M840" s="44"/>
      <c r="N840" s="44"/>
      <c r="O840" s="123">
        <v>449064.0</v>
      </c>
      <c r="P840" s="52">
        <f t="shared" si="23"/>
        <v>449063.82</v>
      </c>
      <c r="Q840" s="124">
        <f t="shared" si="2"/>
        <v>0.1800000001</v>
      </c>
      <c r="R840" s="52">
        <f t="array" ref="R840">IFERROR(INDEX('Fund YTD Target Values'!$1:$1000, MATCH($C840,'Fund YTD Target Values'!$A:$A,0), MATCH($A840,'Fund YTD Target Values'!$1:$1,0)),0)</f>
        <v>437835.4209</v>
      </c>
      <c r="S840" s="52">
        <f>IFERROR(__xludf.DUMMYFUNCTION("IFERROR(sum(FILTER('Fund Data'!$V:$V, 'Fund Data'!$C:$C = $C840, 'Fund Data'!$A:$A &lt; $A840)),0) + IFERROR(sum(FILTER('Fund Data'!$V:$V, 'Fund Data'!$C:$C = $C840, 'Fund Data'!$A:$A = $A840, 'Fund Data'!$B:$B &lt;= $B840)),0)"),413123.55)</f>
        <v>413123.55</v>
      </c>
      <c r="T840" s="123">
        <v>413980.0</v>
      </c>
      <c r="U840" s="44">
        <f t="shared" si="81"/>
        <v>-856.45</v>
      </c>
      <c r="V840" s="44">
        <f t="shared" si="3"/>
        <v>0</v>
      </c>
      <c r="W840" s="123"/>
      <c r="X840" s="123"/>
      <c r="Y840" s="123">
        <v>0.0</v>
      </c>
      <c r="Z840" s="123">
        <v>0.0</v>
      </c>
      <c r="AA840" s="123">
        <v>0.0</v>
      </c>
      <c r="AB840" s="123"/>
      <c r="AC840" s="123">
        <v>0.0</v>
      </c>
      <c r="AD840" s="44">
        <f t="shared" si="7"/>
        <v>0</v>
      </c>
      <c r="AE840" s="123">
        <v>0.0</v>
      </c>
    </row>
    <row r="841">
      <c r="A841" s="120">
        <v>2017.0</v>
      </c>
      <c r="B841" s="121">
        <v>3.0</v>
      </c>
      <c r="C841" s="122" t="s">
        <v>72</v>
      </c>
      <c r="D841" s="44"/>
      <c r="E841" s="123">
        <v>3815.12</v>
      </c>
      <c r="F841" s="44"/>
      <c r="G841" s="44"/>
      <c r="H841" s="123">
        <v>-649.34</v>
      </c>
      <c r="I841" s="44"/>
      <c r="J841" s="44"/>
      <c r="K841" s="44"/>
      <c r="L841" s="123">
        <v>16864.16</v>
      </c>
      <c r="M841" s="44"/>
      <c r="N841" s="44"/>
      <c r="O841" s="123">
        <v>443567.0</v>
      </c>
      <c r="P841" s="52">
        <f t="shared" si="23"/>
        <v>443566.84</v>
      </c>
      <c r="Q841" s="124">
        <f t="shared" si="2"/>
        <v>0.16</v>
      </c>
      <c r="R841" s="52">
        <f t="array" ref="R841">IFERROR(INDEX('Fund YTD Target Values'!$1:$1000, MATCH($C841,'Fund YTD Target Values'!$A:$A,0), MATCH($A841,'Fund YTD Target Values'!$1:$1,0)),0)</f>
        <v>437835.4209</v>
      </c>
      <c r="S841" s="52">
        <f>IFERROR(__xludf.DUMMYFUNCTION("IFERROR(sum(FILTER('Fund Data'!$V:$V, 'Fund Data'!$C:$C = $C841, 'Fund Data'!$A:$A &lt; $A841)),0) + IFERROR(sum(FILTER('Fund Data'!$V:$V, 'Fund Data'!$C:$C = $C841, 'Fund Data'!$A:$A = $A841, 'Fund Data'!$B:$B &lt;= $B841)),0)"),413123.55)</f>
        <v>413123.55</v>
      </c>
      <c r="T841" s="123">
        <v>413980.0</v>
      </c>
      <c r="U841" s="44">
        <f t="shared" si="81"/>
        <v>-856.45</v>
      </c>
      <c r="V841" s="44">
        <f t="shared" si="3"/>
        <v>0</v>
      </c>
      <c r="W841" s="123"/>
      <c r="X841" s="123"/>
      <c r="Y841" s="123">
        <v>0.0</v>
      </c>
      <c r="Z841" s="123">
        <v>0.0</v>
      </c>
      <c r="AA841" s="123">
        <v>0.0</v>
      </c>
      <c r="AB841" s="123"/>
      <c r="AC841" s="123">
        <v>0.0</v>
      </c>
      <c r="AD841" s="44">
        <f t="shared" si="7"/>
        <v>0</v>
      </c>
      <c r="AE841" s="123">
        <v>0.0</v>
      </c>
    </row>
    <row r="842">
      <c r="A842" s="168">
        <v>2017.0</v>
      </c>
      <c r="B842" s="169">
        <v>2.0</v>
      </c>
      <c r="C842" s="122" t="s">
        <v>72</v>
      </c>
      <c r="D842" s="44"/>
      <c r="E842" s="123">
        <v>3518.88</v>
      </c>
      <c r="F842" s="44"/>
      <c r="G842" s="44"/>
      <c r="H842" s="123">
        <v>-428.38</v>
      </c>
      <c r="I842" s="44"/>
      <c r="J842" s="44"/>
      <c r="K842" s="44"/>
      <c r="L842" s="123">
        <v>15284.53</v>
      </c>
      <c r="M842" s="44"/>
      <c r="N842" s="44"/>
      <c r="O842" s="123">
        <v>441912.0</v>
      </c>
      <c r="P842" s="52">
        <f t="shared" si="23"/>
        <v>441911.93</v>
      </c>
      <c r="Q842" s="124">
        <f t="shared" si="2"/>
        <v>0.07000000007</v>
      </c>
      <c r="R842" s="52">
        <f t="array" ref="R842">IFERROR(INDEX('Fund YTD Target Values'!$1:$1000, MATCH($C842,'Fund YTD Target Values'!$A:$A,0), MATCH($A842,'Fund YTD Target Values'!$1:$1,0)),0)</f>
        <v>437835.4209</v>
      </c>
      <c r="S842" s="52">
        <f>IFERROR(__xludf.DUMMYFUNCTION("IFERROR(sum(FILTER('Fund Data'!$V:$V, 'Fund Data'!$C:$C = $C842, 'Fund Data'!$A:$A &lt; $A842)),0) + IFERROR(sum(FILTER('Fund Data'!$V:$V, 'Fund Data'!$C:$C = $C842, 'Fund Data'!$A:$A = $A842, 'Fund Data'!$B:$B &lt;= $B842)),0)"),413123.55)</f>
        <v>413123.55</v>
      </c>
      <c r="T842" s="123">
        <v>413980.0</v>
      </c>
      <c r="U842" s="44">
        <f t="shared" si="81"/>
        <v>-856.45</v>
      </c>
      <c r="V842" s="44">
        <f t="shared" si="3"/>
        <v>0</v>
      </c>
      <c r="W842" s="123"/>
      <c r="X842" s="123"/>
      <c r="Y842" s="123">
        <v>0.0</v>
      </c>
      <c r="Z842" s="123">
        <v>0.0</v>
      </c>
      <c r="AA842" s="123">
        <v>0.0</v>
      </c>
      <c r="AB842" s="123"/>
      <c r="AC842" s="123">
        <v>0.0</v>
      </c>
      <c r="AD842" s="44">
        <f t="shared" si="7"/>
        <v>0</v>
      </c>
      <c r="AE842" s="123">
        <v>0.0</v>
      </c>
    </row>
    <row r="843">
      <c r="A843" s="168">
        <v>2017.0</v>
      </c>
      <c r="B843" s="169">
        <v>1.0</v>
      </c>
      <c r="C843" s="122" t="s">
        <v>72</v>
      </c>
      <c r="D843" s="44"/>
      <c r="E843" s="123">
        <v>3213.67</v>
      </c>
      <c r="F843" s="44"/>
      <c r="G843" s="44"/>
      <c r="H843" s="123">
        <v>-211.77</v>
      </c>
      <c r="I843" s="44"/>
      <c r="J843" s="44"/>
      <c r="K843" s="44"/>
      <c r="L843" s="123">
        <v>6681.85</v>
      </c>
      <c r="M843" s="44"/>
      <c r="N843" s="44"/>
      <c r="O843" s="123">
        <v>433221.0</v>
      </c>
      <c r="P843" s="52">
        <f t="shared" si="23"/>
        <v>433220.65</v>
      </c>
      <c r="Q843" s="124">
        <f t="shared" si="2"/>
        <v>0.35</v>
      </c>
      <c r="R843" s="52">
        <f t="array" ref="R843">IFERROR(INDEX('Fund YTD Target Values'!$1:$1000, MATCH($C843,'Fund YTD Target Values'!$A:$A,0), MATCH($A843,'Fund YTD Target Values'!$1:$1,0)),0)</f>
        <v>437835.4209</v>
      </c>
      <c r="S843" s="52">
        <f>IFERROR(__xludf.DUMMYFUNCTION("IFERROR(sum(FILTER('Fund Data'!$V:$V, 'Fund Data'!$C:$C = $C843, 'Fund Data'!$A:$A &lt; $A843)),0) + IFERROR(sum(FILTER('Fund Data'!$V:$V, 'Fund Data'!$C:$C = $C843, 'Fund Data'!$A:$A = $A843, 'Fund Data'!$B:$B &lt;= $B843)),0)"),413123.55)</f>
        <v>413123.55</v>
      </c>
      <c r="T843" s="123">
        <v>413980.0</v>
      </c>
      <c r="U843" s="44">
        <f t="shared" si="81"/>
        <v>-856.45</v>
      </c>
      <c r="V843" s="44">
        <f t="shared" si="3"/>
        <v>0</v>
      </c>
      <c r="W843" s="123"/>
      <c r="X843" s="123"/>
      <c r="Y843" s="123">
        <v>0.0</v>
      </c>
      <c r="Z843" s="123">
        <v>0.0</v>
      </c>
      <c r="AA843" s="123">
        <v>0.0</v>
      </c>
      <c r="AB843" s="123"/>
      <c r="AC843" s="123">
        <v>0.0</v>
      </c>
      <c r="AD843" s="44">
        <f t="shared" si="7"/>
        <v>0</v>
      </c>
      <c r="AE843" s="123">
        <v>0.0</v>
      </c>
    </row>
    <row r="844">
      <c r="A844" s="120">
        <v>2016.0</v>
      </c>
      <c r="B844" s="121">
        <v>12.0</v>
      </c>
      <c r="C844" s="122" t="s">
        <v>72</v>
      </c>
      <c r="D844" s="123">
        <v>2500.0</v>
      </c>
      <c r="E844" s="123">
        <v>8683.56</v>
      </c>
      <c r="F844" s="123">
        <v>-11200.0</v>
      </c>
      <c r="G844" s="123"/>
      <c r="H844" s="123">
        <v>-2501.39</v>
      </c>
      <c r="I844" s="44"/>
      <c r="J844" s="44"/>
      <c r="K844" s="44"/>
      <c r="L844" s="123">
        <v>17443.45</v>
      </c>
      <c r="M844" s="44"/>
      <c r="N844" s="44"/>
      <c r="O844" s="123">
        <v>423537.0</v>
      </c>
      <c r="P844" s="52">
        <f t="shared" si="23"/>
        <v>423536.9</v>
      </c>
      <c r="Q844" s="124">
        <f t="shared" si="2"/>
        <v>0.1</v>
      </c>
      <c r="R844" s="52">
        <f t="array" ref="R844">IFERROR(INDEX('Fund YTD Target Values'!$1:$1000, MATCH($C844,'Fund YTD Target Values'!$A:$A,0), MATCH($A844,'Fund YTD Target Values'!$1:$1,0)),0)</f>
        <v>425466.1216</v>
      </c>
      <c r="S844" s="52">
        <f>IFERROR(__xludf.DUMMYFUNCTION("IFERROR(sum(FILTER('Fund Data'!$V:$V, 'Fund Data'!$C:$C = $C844, 'Fund Data'!$A:$A &lt; $A844)),0) + IFERROR(sum(FILTER('Fund Data'!$V:$V, 'Fund Data'!$C:$C = $C844, 'Fund Data'!$A:$A = $A844, 'Fund Data'!$B:$B &lt;= $B844)),0)"),413123.55)</f>
        <v>413123.55</v>
      </c>
      <c r="T844" s="123">
        <v>413980.0</v>
      </c>
      <c r="U844" s="44">
        <f t="shared" si="81"/>
        <v>-856.45</v>
      </c>
      <c r="V844" s="44">
        <f t="shared" si="3"/>
        <v>2500</v>
      </c>
      <c r="W844" s="123"/>
      <c r="X844" s="123"/>
      <c r="Y844" s="123">
        <v>0.0</v>
      </c>
      <c r="Z844" s="123">
        <v>0.0</v>
      </c>
      <c r="AA844" s="123">
        <v>0.0</v>
      </c>
      <c r="AB844" s="123"/>
      <c r="AC844" s="123">
        <v>0.0</v>
      </c>
      <c r="AD844" s="44">
        <f t="shared" si="7"/>
        <v>-11200</v>
      </c>
      <c r="AE844" s="123">
        <v>0.0</v>
      </c>
    </row>
    <row r="845">
      <c r="A845" s="120">
        <v>2015.0</v>
      </c>
      <c r="B845" s="121">
        <v>12.0</v>
      </c>
      <c r="C845" s="122" t="s">
        <v>72</v>
      </c>
      <c r="D845" s="123">
        <v>2500.0</v>
      </c>
      <c r="E845" s="123">
        <v>9528.5</v>
      </c>
      <c r="F845" s="44"/>
      <c r="G845" s="123"/>
      <c r="H845" s="123">
        <v>-2527.38</v>
      </c>
      <c r="I845" s="44"/>
      <c r="J845" s="44"/>
      <c r="K845" s="44"/>
      <c r="L845" s="123">
        <v>-17689.91</v>
      </c>
      <c r="M845" s="44"/>
      <c r="N845" s="44"/>
      <c r="O845" s="123">
        <v>408611.0</v>
      </c>
      <c r="P845" s="52">
        <f t="shared" si="23"/>
        <v>408611.28</v>
      </c>
      <c r="Q845" s="124">
        <f t="shared" si="2"/>
        <v>-0.28</v>
      </c>
      <c r="R845" s="52">
        <f t="array" ref="R845">IFERROR(INDEX('Fund YTD Target Values'!$1:$1000, MATCH($C845,'Fund YTD Target Values'!$A:$A,0), MATCH($A845,'Fund YTD Target Values'!$1:$1,0)),0)</f>
        <v>417695.4572</v>
      </c>
      <c r="S845" s="52">
        <f>IFERROR(__xludf.DUMMYFUNCTION("IFERROR(sum(FILTER('Fund Data'!$V:$V, 'Fund Data'!$C:$C = $C845, 'Fund Data'!$A:$A &lt; $A845)),0) + IFERROR(sum(FILTER('Fund Data'!$V:$V, 'Fund Data'!$C:$C = $C845, 'Fund Data'!$A:$A = $A845, 'Fund Data'!$B:$B &lt;= $B845)),0)"),410623.55)</f>
        <v>410623.55</v>
      </c>
      <c r="T845" s="123">
        <v>411140.0</v>
      </c>
      <c r="U845" s="44">
        <f t="shared" si="81"/>
        <v>-516.45</v>
      </c>
      <c r="V845" s="44">
        <f t="shared" si="3"/>
        <v>2500</v>
      </c>
      <c r="W845" s="123"/>
      <c r="X845" s="123"/>
      <c r="Y845" s="123">
        <v>0.0</v>
      </c>
      <c r="Z845" s="123">
        <v>0.0</v>
      </c>
      <c r="AA845" s="123">
        <v>0.0</v>
      </c>
      <c r="AB845" s="123"/>
      <c r="AC845" s="123">
        <v>0.0</v>
      </c>
      <c r="AD845" s="44">
        <f t="shared" si="7"/>
        <v>0</v>
      </c>
      <c r="AE845" s="123">
        <v>0.0</v>
      </c>
    </row>
    <row r="846">
      <c r="A846" s="120">
        <v>2014.0</v>
      </c>
      <c r="B846" s="121">
        <v>12.0</v>
      </c>
      <c r="C846" s="122" t="s">
        <v>72</v>
      </c>
      <c r="D846" s="123">
        <v>2500.0</v>
      </c>
      <c r="E846" s="123">
        <v>7685.77</v>
      </c>
      <c r="F846" s="44"/>
      <c r="G846" s="123"/>
      <c r="H846" s="123">
        <v>-2508.38</v>
      </c>
      <c r="I846" s="44"/>
      <c r="J846" s="44"/>
      <c r="K846" s="44"/>
      <c r="L846" s="123">
        <v>1667.95</v>
      </c>
      <c r="M846" s="44"/>
      <c r="N846" s="44"/>
      <c r="O846" s="123">
        <v>416800.0</v>
      </c>
      <c r="P846" s="52">
        <f t="shared" si="23"/>
        <v>416800.07</v>
      </c>
      <c r="Q846" s="124">
        <f t="shared" si="2"/>
        <v>-0.07000000001</v>
      </c>
      <c r="R846" s="52">
        <f t="array" ref="R846">IFERROR(INDEX('Fund YTD Target Values'!$1:$1000, MATCH($C846,'Fund YTD Target Values'!$A:$A,0), MATCH($A846,'Fund YTD Target Values'!$1:$1,0)),0)</f>
        <v>414702.3779</v>
      </c>
      <c r="S846" s="52">
        <f>IFERROR(__xludf.DUMMYFUNCTION("IFERROR(sum(FILTER('Fund Data'!$V:$V, 'Fund Data'!$C:$C = $C846, 'Fund Data'!$A:$A &lt; $A846)),0) + IFERROR(sum(FILTER('Fund Data'!$V:$V, 'Fund Data'!$C:$C = $C846, 'Fund Data'!$A:$A = $A846, 'Fund Data'!$B:$B &lt;= $B846)),0)"),408123.55)</f>
        <v>408123.55</v>
      </c>
      <c r="T846" s="123">
        <v>408196.0</v>
      </c>
      <c r="U846" s="44">
        <f t="shared" si="81"/>
        <v>-72.45</v>
      </c>
      <c r="V846" s="44">
        <f t="shared" si="3"/>
        <v>2500</v>
      </c>
      <c r="W846" s="123"/>
      <c r="X846" s="123"/>
      <c r="Y846" s="123">
        <v>0.0</v>
      </c>
      <c r="Z846" s="123">
        <v>0.0</v>
      </c>
      <c r="AA846" s="123">
        <v>0.0</v>
      </c>
      <c r="AB846" s="123"/>
      <c r="AC846" s="123">
        <v>0.0</v>
      </c>
      <c r="AD846" s="44">
        <f t="shared" si="7"/>
        <v>0</v>
      </c>
      <c r="AE846" s="123">
        <v>0.0</v>
      </c>
    </row>
    <row r="847">
      <c r="A847" s="120">
        <v>2013.0</v>
      </c>
      <c r="B847" s="121">
        <v>12.0</v>
      </c>
      <c r="C847" s="122" t="s">
        <v>72</v>
      </c>
      <c r="D847" s="123">
        <v>405623.55</v>
      </c>
      <c r="E847" s="123">
        <v>320.07</v>
      </c>
      <c r="F847" s="44"/>
      <c r="G847" s="123"/>
      <c r="H847" s="44"/>
      <c r="I847" s="44"/>
      <c r="J847" s="44"/>
      <c r="K847" s="44"/>
      <c r="L847" s="123">
        <v>1511.11</v>
      </c>
      <c r="M847" s="44"/>
      <c r="N847" s="44"/>
      <c r="O847" s="123">
        <v>407455.0</v>
      </c>
      <c r="P847" s="52">
        <f t="shared" si="23"/>
        <v>407454.73</v>
      </c>
      <c r="Q847" s="124">
        <f t="shared" si="2"/>
        <v>0.27</v>
      </c>
      <c r="R847" s="52">
        <f t="array" ref="R847">IFERROR(INDEX('Fund YTD Target Values'!$1:$1000, MATCH($C847,'Fund YTD Target Values'!$A:$A,0), MATCH($A847,'Fund YTD Target Values'!$1:$1,0)),0)</f>
        <v>405623.55</v>
      </c>
      <c r="S847" s="52">
        <f>IFERROR(__xludf.DUMMYFUNCTION("IFERROR(sum(FILTER('Fund Data'!$V:$V, 'Fund Data'!$C:$C = $C847, 'Fund Data'!$A:$A &lt; $A847)),0) + IFERROR(sum(FILTER('Fund Data'!$V:$V, 'Fund Data'!$C:$C = $C847, 'Fund Data'!$A:$A = $A847, 'Fund Data'!$B:$B &lt;= $B847)),0)"),405623.55)</f>
        <v>405623.55</v>
      </c>
      <c r="T847" s="123">
        <v>405696.0</v>
      </c>
      <c r="U847" s="44">
        <f t="shared" si="81"/>
        <v>-72.45</v>
      </c>
      <c r="V847" s="44">
        <f t="shared" si="3"/>
        <v>405623.55</v>
      </c>
      <c r="W847" s="123"/>
      <c r="X847" s="123"/>
      <c r="Y847" s="123">
        <v>0.0</v>
      </c>
      <c r="Z847" s="123">
        <v>0.0</v>
      </c>
      <c r="AA847" s="123">
        <v>0.0</v>
      </c>
      <c r="AB847" s="123"/>
      <c r="AC847" s="123">
        <v>0.0</v>
      </c>
      <c r="AD847" s="44">
        <f t="shared" si="7"/>
        <v>0</v>
      </c>
      <c r="AE847" s="123">
        <v>0.0</v>
      </c>
    </row>
    <row r="848">
      <c r="A848" s="120">
        <v>2019.0</v>
      </c>
      <c r="B848" s="121">
        <v>6.0</v>
      </c>
      <c r="C848" s="122" t="s">
        <v>68</v>
      </c>
      <c r="D848" s="44"/>
      <c r="E848" s="123">
        <v>14515.71</v>
      </c>
      <c r="F848" s="123">
        <v>-23000.0</v>
      </c>
      <c r="G848" s="44"/>
      <c r="H848" s="123">
        <v>-3269.21</v>
      </c>
      <c r="I848" s="44"/>
      <c r="J848" s="123">
        <v>4652.33</v>
      </c>
      <c r="K848" s="44"/>
      <c r="L848" s="123">
        <v>109814.69</v>
      </c>
      <c r="M848" s="44"/>
      <c r="N848" s="44"/>
      <c r="O848" s="123">
        <v>1195928.23</v>
      </c>
      <c r="P848" s="52">
        <f t="shared" si="23"/>
        <v>1195926.91</v>
      </c>
      <c r="Q848" s="124">
        <f t="shared" si="2"/>
        <v>1.32</v>
      </c>
      <c r="R848" s="52">
        <f t="array" ref="R848">IFERROR(INDEX('Fund YTD Target Values'!$1:$1000, MATCH($C848,'Fund YTD Target Values'!$A:$A,0), MATCH($A848,'Fund YTD Target Values'!$1:$1,0)),0)</f>
        <v>1929347.388</v>
      </c>
      <c r="S848" s="52">
        <f>IFERROR(__xludf.DUMMYFUNCTION("IFERROR(sum(FILTER('Fund Data'!$V:$V, 'Fund Data'!$C:$C = $C848, 'Fund Data'!$A:$A &lt; $A848)),0) + IFERROR(sum(FILTER('Fund Data'!$V:$V, 'Fund Data'!$C:$C = $C848, 'Fund Data'!$A:$A = $A848, 'Fund Data'!$B:$B &lt;= $B848)),0)"),1183929.39)</f>
        <v>1183929.39</v>
      </c>
      <c r="T848" s="44"/>
      <c r="U848" s="44"/>
      <c r="V848" s="44">
        <f t="shared" si="3"/>
        <v>0</v>
      </c>
      <c r="W848" s="52">
        <f>IFERROR(__xludf.DUMMYFUNCTION("iFERROR((FILTER('Fund Data'!$Y:$Y, 'Fund Data'!$C:$C = $C848, 'Fund Data'!$A:$A = $A848 - 1, 'Fund Data'!$B:$B = 12) + FILTER('Fund Data'!$AA:$AA, 'Fund Data'!$C:$C = $C848, 'Fund Data'!$A:$A = $A848 - 1, 'Fund Data'!$B:$B = 12)) * (1 + AVERAGE(FILTER('In"&amp;"flation Data'!$C:$C,'Inflation Data'!$A:$A = ($A848 - 2)))) * 'Parameters and Distribution Sum'!$A$4,0)"),40170.623919220896)</f>
        <v>40170.62392</v>
      </c>
      <c r="X848" s="52">
        <f>IFERROR(__xludf.DUMMYFUNCTION("IFERROR((IFERROR(FILTER('Fund Data'!$P:$P,'Fund Data'!$C:$C = $C848,'Fund Data'!$A:$A = ($A848 - 2), 'Fund Data'!$B:$B = 12),0) - SUM(FILTER('Fund Data'!$V:$V, 'Fund Data'!$C:$C = $C848, 'Fund Data'!$A:$A = ($A848 - 2), 'Fund Data'!$B:$B &gt; 3)))  * 'Parame"&amp;"ters and Distribution Sum'!$B$4 * (1 - 'Parameters and Distribution Sum'!$A$4),0)"),16856.662545)</f>
        <v>16856.66255</v>
      </c>
      <c r="Y848" s="52">
        <f t="shared" ref="Y848:Y853" si="82">sum($W848:$X848)</f>
        <v>57027.28646</v>
      </c>
      <c r="Z848" s="52">
        <f>IFERROR(__xludf.DUMMYFUNCTION("((IFERROR((SUM(FILTER('Fund Data'!$V:$V, 'Fund Data'!$C:$C = $C848, 'Fund Data'!$A:$A = $A848 - 1, 'Fund Data'!$B:$B &gt;= 4, 'Fund Data'!$B:$B &lt;= ($B848 + 5))) / 12) * ($B848 - 3) * 'Parameters and Distribution Sum'!$B$4, 0) + IF($B848 &gt;= 9, IFERROR(SUM(FIL"&amp;"TER('Fund Data'!$V:$V, 'Fund Data'!$C:$C = $C848, 'Fund Data'!$A:$A = $A848, 'Fund Data'!$B:$B &lt;= 3)) * 'Parameters and Distribution Sum'!$B$4, 0),0)))"),0.0)</f>
        <v>0</v>
      </c>
      <c r="AA848" s="44">
        <f>IFERROR(__xludf.DUMMYFUNCTION("IFERROR(((IFERROR(SUM(FILTER('Fund Data'!$V:$V, 'Fund Data'!$C:$C = $C848, 'Fund Data'!$A:$A = $A848 - 2, 'Fund Data'!$B:$B &gt;= 4)) * 'Parameters and Distribution Sum'!$B$4,0) + IFERROR(SUM(FILTER('Fund Data'!$V:$V, 'Fund Data'!$C:$C = $C848, 'Fund Data'!$"&amp;"A:$A = $A848 - 1, 'Fund Data'!$B:$B &lt;= 3)) * 'Parameters and Distribution Sum'!$B$4,0))),0)"),0.0)</f>
        <v>0</v>
      </c>
      <c r="AB848" s="44">
        <f t="shared" ref="AB848:AB854" si="83">IFERROR(__xludf.DUMMYFUNCTION("IFERROR(FILTER($AE:$AE,$C:$C = $C848,$A:$A = $A848 - 1,$B:$B = 12),0)"),0.0)</f>
        <v>0</v>
      </c>
      <c r="AC848" s="44">
        <f t="shared" ref="AC848:AC854" si="84">sum($Y848:$AB848)</f>
        <v>57027.28646</v>
      </c>
      <c r="AD848" s="44">
        <f t="shared" si="7"/>
        <v>34027.28646</v>
      </c>
      <c r="AE848" s="44"/>
    </row>
    <row r="849">
      <c r="A849" s="120">
        <v>2019.0</v>
      </c>
      <c r="B849" s="121">
        <v>5.0</v>
      </c>
      <c r="C849" s="122" t="s">
        <v>68</v>
      </c>
      <c r="D849" s="44"/>
      <c r="E849" s="123">
        <v>13272.76</v>
      </c>
      <c r="F849" s="123">
        <v>-23000.0</v>
      </c>
      <c r="G849" s="44"/>
      <c r="H849" s="123">
        <v>-2726.38</v>
      </c>
      <c r="I849" s="44"/>
      <c r="J849" s="123">
        <v>4652.33</v>
      </c>
      <c r="K849" s="44"/>
      <c r="L849" s="123">
        <v>64200.42</v>
      </c>
      <c r="M849" s="44"/>
      <c r="N849" s="44"/>
      <c r="O849" s="123">
        <v>1149613.84</v>
      </c>
      <c r="P849" s="52">
        <f t="shared" si="23"/>
        <v>1149612.52</v>
      </c>
      <c r="Q849" s="124">
        <f t="shared" si="2"/>
        <v>1.32</v>
      </c>
      <c r="R849" s="52">
        <f t="array" ref="R849">IFERROR(INDEX('Fund YTD Target Values'!$1:$1000, MATCH($C849,'Fund YTD Target Values'!$A:$A,0), MATCH($A849,'Fund YTD Target Values'!$1:$1,0)),0)</f>
        <v>1929347.388</v>
      </c>
      <c r="S849" s="52">
        <f>IFERROR(__xludf.DUMMYFUNCTION("IFERROR(sum(FILTER('Fund Data'!$V:$V, 'Fund Data'!$C:$C = $C849, 'Fund Data'!$A:$A &lt; $A849)),0) + IFERROR(sum(FILTER('Fund Data'!$V:$V, 'Fund Data'!$C:$C = $C849, 'Fund Data'!$A:$A = $A849, 'Fund Data'!$B:$B &lt;= $B849)),0)"),1183929.39)</f>
        <v>1183929.39</v>
      </c>
      <c r="T849" s="44"/>
      <c r="U849" s="44"/>
      <c r="V849" s="44">
        <f t="shared" si="3"/>
        <v>0</v>
      </c>
      <c r="W849" s="52">
        <f>IFERROR(__xludf.DUMMYFUNCTION("iFERROR((FILTER('Fund Data'!$Y:$Y, 'Fund Data'!$C:$C = $C849, 'Fund Data'!$A:$A = $A849 - 1, 'Fund Data'!$B:$B = 12) + FILTER('Fund Data'!$AA:$AA, 'Fund Data'!$C:$C = $C849, 'Fund Data'!$A:$A = $A849 - 1, 'Fund Data'!$B:$B = 12)) * (1 + AVERAGE(FILTER('In"&amp;"flation Data'!$C:$C,'Inflation Data'!$A:$A = ($A849 - 2)))) * 'Parameters and Distribution Sum'!$A$4,0)"),40170.623919220896)</f>
        <v>40170.62392</v>
      </c>
      <c r="X849" s="52">
        <f>IFERROR(__xludf.DUMMYFUNCTION("IFERROR((IFERROR(FILTER('Fund Data'!$P:$P,'Fund Data'!$C:$C = $C849,'Fund Data'!$A:$A = ($A849 - 2), 'Fund Data'!$B:$B = 12),0) - SUM(FILTER('Fund Data'!$V:$V, 'Fund Data'!$C:$C = $C849, 'Fund Data'!$A:$A = ($A849 - 2), 'Fund Data'!$B:$B &gt; 3)))  * 'Parame"&amp;"ters and Distribution Sum'!$B$4 * (1 - 'Parameters and Distribution Sum'!$A$4),0)"),16856.662545)</f>
        <v>16856.66255</v>
      </c>
      <c r="Y849" s="52">
        <f t="shared" si="82"/>
        <v>57027.28646</v>
      </c>
      <c r="Z849" s="52">
        <f>IFERROR(__xludf.DUMMYFUNCTION("((IFERROR((SUM(FILTER('Fund Data'!$V:$V, 'Fund Data'!$C:$C = $C849, 'Fund Data'!$A:$A = $A849 - 1, 'Fund Data'!$B:$B &gt;= 4, 'Fund Data'!$B:$B &lt;= ($B849 + 5))) / 12) * ($B849 - 3) * 'Parameters and Distribution Sum'!$B$4, 0) + IF($B849 &gt;= 9, IFERROR(SUM(FIL"&amp;"TER('Fund Data'!$V:$V, 'Fund Data'!$C:$C = $C849, 'Fund Data'!$A:$A = $A849, 'Fund Data'!$B:$B &lt;= 3)) * 'Parameters and Distribution Sum'!$B$4, 0),0)))"),0.0)</f>
        <v>0</v>
      </c>
      <c r="AA849" s="44">
        <f>IFERROR(__xludf.DUMMYFUNCTION("IFERROR(((IFERROR(SUM(FILTER('Fund Data'!$V:$V, 'Fund Data'!$C:$C = $C849, 'Fund Data'!$A:$A = $A849 - 2, 'Fund Data'!$B:$B &gt;= 4)) * 'Parameters and Distribution Sum'!$B$4,0) + IFERROR(SUM(FILTER('Fund Data'!$V:$V, 'Fund Data'!$C:$C = $C849, 'Fund Data'!$"&amp;"A:$A = $A849 - 1, 'Fund Data'!$B:$B &lt;= 3)) * 'Parameters and Distribution Sum'!$B$4,0))),0)"),0.0)</f>
        <v>0</v>
      </c>
      <c r="AB849" s="44">
        <f t="shared" si="83"/>
        <v>0</v>
      </c>
      <c r="AC849" s="44">
        <f t="shared" si="84"/>
        <v>57027.28646</v>
      </c>
      <c r="AD849" s="44">
        <f t="shared" si="7"/>
        <v>34027.28646</v>
      </c>
      <c r="AE849" s="44"/>
    </row>
    <row r="850">
      <c r="A850" s="120">
        <v>2019.0</v>
      </c>
      <c r="B850" s="121">
        <v>4.0</v>
      </c>
      <c r="C850" s="122" t="s">
        <v>68</v>
      </c>
      <c r="D850" s="44"/>
      <c r="E850" s="123">
        <v>12261.31</v>
      </c>
      <c r="F850" s="123">
        <v>-23000.0</v>
      </c>
      <c r="G850" s="44"/>
      <c r="H850" s="123">
        <v>-2168.46</v>
      </c>
      <c r="I850" s="44"/>
      <c r="J850" s="123">
        <v>4652.33</v>
      </c>
      <c r="K850" s="44"/>
      <c r="L850" s="123">
        <v>110285.67</v>
      </c>
      <c r="M850" s="44"/>
      <c r="N850" s="44"/>
      <c r="O850" s="123">
        <v>1195246.0</v>
      </c>
      <c r="P850" s="52">
        <f t="shared" si="23"/>
        <v>1195244.24</v>
      </c>
      <c r="Q850" s="124">
        <f t="shared" si="2"/>
        <v>1.76</v>
      </c>
      <c r="R850" s="52">
        <f t="array" ref="R850">IFERROR(INDEX('Fund YTD Target Values'!$1:$1000, MATCH($C850,'Fund YTD Target Values'!$A:$A,0), MATCH($A850,'Fund YTD Target Values'!$1:$1,0)),0)</f>
        <v>1929347.388</v>
      </c>
      <c r="S850" s="52">
        <f>IFERROR(__xludf.DUMMYFUNCTION("IFERROR(sum(FILTER('Fund Data'!$V:$V, 'Fund Data'!$C:$C = $C850, 'Fund Data'!$A:$A &lt; $A850)),0) + IFERROR(sum(FILTER('Fund Data'!$V:$V, 'Fund Data'!$C:$C = $C850, 'Fund Data'!$A:$A = $A850, 'Fund Data'!$B:$B &lt;= $B850)),0)"),1183929.39)</f>
        <v>1183929.39</v>
      </c>
      <c r="T850" s="44"/>
      <c r="U850" s="44"/>
      <c r="V850" s="44">
        <f t="shared" si="3"/>
        <v>0</v>
      </c>
      <c r="W850" s="52">
        <f>IFERROR(__xludf.DUMMYFUNCTION("iFERROR((FILTER('Fund Data'!$Y:$Y, 'Fund Data'!$C:$C = $C850, 'Fund Data'!$A:$A = $A850 - 1, 'Fund Data'!$B:$B = 12) + FILTER('Fund Data'!$AA:$AA, 'Fund Data'!$C:$C = $C850, 'Fund Data'!$A:$A = $A850 - 1, 'Fund Data'!$B:$B = 12)) * (1 + AVERAGE(FILTER('In"&amp;"flation Data'!$C:$C,'Inflation Data'!$A:$A = ($A850 - 2)))) * 'Parameters and Distribution Sum'!$A$4,0)"),40170.623919220896)</f>
        <v>40170.62392</v>
      </c>
      <c r="X850" s="52">
        <f>IFERROR(__xludf.DUMMYFUNCTION("IFERROR((IFERROR(FILTER('Fund Data'!$P:$P,'Fund Data'!$C:$C = $C850,'Fund Data'!$A:$A = ($A850 - 2), 'Fund Data'!$B:$B = 12),0) - SUM(FILTER('Fund Data'!$V:$V, 'Fund Data'!$C:$C = $C850, 'Fund Data'!$A:$A = ($A850 - 2), 'Fund Data'!$B:$B &gt; 3)))  * 'Parame"&amp;"ters and Distribution Sum'!$B$4 * (1 - 'Parameters and Distribution Sum'!$A$4),0)"),16856.662545)</f>
        <v>16856.66255</v>
      </c>
      <c r="Y850" s="52">
        <f t="shared" si="82"/>
        <v>57027.28646</v>
      </c>
      <c r="Z850" s="52">
        <f>IFERROR(__xludf.DUMMYFUNCTION("((IFERROR((SUM(FILTER('Fund Data'!$V:$V, 'Fund Data'!$C:$C = $C850, 'Fund Data'!$A:$A = $A850 - 1, 'Fund Data'!$B:$B &gt;= 4, 'Fund Data'!$B:$B &lt;= ($B850 + 5))) / 12) * ($B850 - 3) * 'Parameters and Distribution Sum'!$B$4, 0) + IF($B850 &gt;= 9, IFERROR(SUM(FIL"&amp;"TER('Fund Data'!$V:$V, 'Fund Data'!$C:$C = $C850, 'Fund Data'!$A:$A = $A850, 'Fund Data'!$B:$B &lt;= 3)) * 'Parameters and Distribution Sum'!$B$4, 0),0)))"),0.0)</f>
        <v>0</v>
      </c>
      <c r="AA850" s="44">
        <f>IFERROR(__xludf.DUMMYFUNCTION("IFERROR(((IFERROR(SUM(FILTER('Fund Data'!$V:$V, 'Fund Data'!$C:$C = $C850, 'Fund Data'!$A:$A = $A850 - 2, 'Fund Data'!$B:$B &gt;= 4)) * 'Parameters and Distribution Sum'!$B$4,0) + IFERROR(SUM(FILTER('Fund Data'!$V:$V, 'Fund Data'!$C:$C = $C850, 'Fund Data'!$"&amp;"A:$A = $A850 - 1, 'Fund Data'!$B:$B &lt;= 3)) * 'Parameters and Distribution Sum'!$B$4,0))),0)"),0.0)</f>
        <v>0</v>
      </c>
      <c r="AB850" s="44">
        <f t="shared" si="83"/>
        <v>0</v>
      </c>
      <c r="AC850" s="44">
        <f t="shared" si="84"/>
        <v>57027.28646</v>
      </c>
      <c r="AD850" s="44">
        <f t="shared" si="7"/>
        <v>34027.28646</v>
      </c>
      <c r="AE850" s="44"/>
    </row>
    <row r="851">
      <c r="A851" s="120">
        <v>2019.0</v>
      </c>
      <c r="B851" s="121">
        <v>3.0</v>
      </c>
      <c r="C851" s="122" t="s">
        <v>68</v>
      </c>
      <c r="D851" s="44"/>
      <c r="E851" s="123">
        <v>9278.86</v>
      </c>
      <c r="F851" s="123">
        <v>-10000.0</v>
      </c>
      <c r="G851" s="44"/>
      <c r="H851" s="123">
        <v>-1615.65</v>
      </c>
      <c r="I851" s="44"/>
      <c r="J851" s="123">
        <v>539.44</v>
      </c>
      <c r="K851" s="44"/>
      <c r="L851" s="123">
        <v>90888.88</v>
      </c>
      <c r="M851" s="44"/>
      <c r="N851" s="44"/>
      <c r="O851" s="123">
        <v>1182306.0</v>
      </c>
      <c r="P851" s="52">
        <f t="shared" si="23"/>
        <v>1182304.92</v>
      </c>
      <c r="Q851" s="124">
        <f t="shared" si="2"/>
        <v>1.08</v>
      </c>
      <c r="R851" s="52">
        <f t="array" ref="R851">IFERROR(INDEX('Fund YTD Target Values'!$1:$1000, MATCH($C851,'Fund YTD Target Values'!$A:$A,0), MATCH($A851,'Fund YTD Target Values'!$1:$1,0)),0)</f>
        <v>1929347.388</v>
      </c>
      <c r="S851" s="52">
        <f>IFERROR(__xludf.DUMMYFUNCTION("IFERROR(sum(FILTER('Fund Data'!$V:$V, 'Fund Data'!$C:$C = $C851, 'Fund Data'!$A:$A &lt; $A851)),0) + IFERROR(sum(FILTER('Fund Data'!$V:$V, 'Fund Data'!$C:$C = $C851, 'Fund Data'!$A:$A = $A851, 'Fund Data'!$B:$B &lt;= $B851)),0)"),1183929.39)</f>
        <v>1183929.39</v>
      </c>
      <c r="T851" s="123"/>
      <c r="U851" s="44"/>
      <c r="V851" s="44">
        <f t="shared" si="3"/>
        <v>0</v>
      </c>
      <c r="W851" s="52">
        <f>IFERROR(__xludf.DUMMYFUNCTION("iFERROR((FILTER('Fund Data'!$Y:$Y, 'Fund Data'!$C:$C = $C851, 'Fund Data'!$A:$A = $A851 - 1, 'Fund Data'!$B:$B = 12) + FILTER('Fund Data'!$AA:$AA, 'Fund Data'!$C:$C = $C851, 'Fund Data'!$A:$A = $A851 - 1, 'Fund Data'!$B:$B = 12)) * (1 + AVERAGE(FILTER('In"&amp;"flation Data'!$C:$C,'Inflation Data'!$A:$A = ($A851 - 2)))) * 'Parameters and Distribution Sum'!$A$4,0)"),40170.623919220896)</f>
        <v>40170.62392</v>
      </c>
      <c r="X851" s="52">
        <f>IFERROR(__xludf.DUMMYFUNCTION("IFERROR((IFERROR(FILTER('Fund Data'!$P:$P,'Fund Data'!$C:$C = $C851,'Fund Data'!$A:$A = ($A851 - 2), 'Fund Data'!$B:$B = 12),0) - SUM(FILTER('Fund Data'!$V:$V, 'Fund Data'!$C:$C = $C851, 'Fund Data'!$A:$A = ($A851 - 2), 'Fund Data'!$B:$B &gt; 3)))  * 'Parame"&amp;"ters and Distribution Sum'!$B$4 * (1 - 'Parameters and Distribution Sum'!$A$4),0)"),16856.662545)</f>
        <v>16856.66255</v>
      </c>
      <c r="Y851" s="52">
        <f t="shared" si="82"/>
        <v>57027.28646</v>
      </c>
      <c r="Z851" s="52">
        <f>IFERROR(__xludf.DUMMYFUNCTION("((IFERROR((SUM(FILTER('Fund Data'!$V:$V, 'Fund Data'!$C:$C = $C851, 'Fund Data'!$A:$A = $A851 - 1, 'Fund Data'!$B:$B &gt;= 4, 'Fund Data'!$B:$B &lt;= ($B851 + 5))) / 12) * ($B851 - 3) * 'Parameters and Distribution Sum'!$B$4, 0) + IF($B851 &gt;= 9, IFERROR(SUM(FIL"&amp;"TER('Fund Data'!$V:$V, 'Fund Data'!$C:$C = $C851, 'Fund Data'!$A:$A = $A851, 'Fund Data'!$B:$B &lt;= 3)) * 'Parameters and Distribution Sum'!$B$4, 0),0)))"),0.0)</f>
        <v>0</v>
      </c>
      <c r="AA851" s="44">
        <f>IFERROR(__xludf.DUMMYFUNCTION("IFERROR(((IFERROR(SUM(FILTER('Fund Data'!$V:$V, 'Fund Data'!$C:$C = $C851, 'Fund Data'!$A:$A = $A851 - 2, 'Fund Data'!$B:$B &gt;= 4)) * 'Parameters and Distribution Sum'!$B$4,0) + IFERROR(SUM(FILTER('Fund Data'!$V:$V, 'Fund Data'!$C:$C = $C851, 'Fund Data'!$"&amp;"A:$A = $A851 - 1, 'Fund Data'!$B:$B &lt;= 3)) * 'Parameters and Distribution Sum'!$B$4,0))),0)"),0.0)</f>
        <v>0</v>
      </c>
      <c r="AB851" s="44">
        <f t="shared" si="83"/>
        <v>0</v>
      </c>
      <c r="AC851" s="44">
        <f t="shared" si="84"/>
        <v>57027.28646</v>
      </c>
      <c r="AD851" s="44">
        <f t="shared" si="7"/>
        <v>47027.28646</v>
      </c>
      <c r="AE851" s="44"/>
    </row>
    <row r="852">
      <c r="A852" s="120">
        <v>2019.0</v>
      </c>
      <c r="B852" s="121">
        <v>2.0</v>
      </c>
      <c r="C852" s="122" t="s">
        <v>68</v>
      </c>
      <c r="D852" s="44"/>
      <c r="E852" s="123">
        <v>7847.61</v>
      </c>
      <c r="F852" s="44"/>
      <c r="G852" s="44"/>
      <c r="H852" s="123">
        <v>-1061.73</v>
      </c>
      <c r="I852" s="44"/>
      <c r="J852" s="44"/>
      <c r="K852" s="44"/>
      <c r="L852" s="123">
        <v>84634.17</v>
      </c>
      <c r="M852" s="44"/>
      <c r="N852" s="44"/>
      <c r="O852" s="123">
        <v>1184635.0</v>
      </c>
      <c r="P852" s="52">
        <f t="shared" si="23"/>
        <v>1184633.44</v>
      </c>
      <c r="Q852" s="124">
        <f t="shared" si="2"/>
        <v>1.56</v>
      </c>
      <c r="R852" s="52">
        <f t="array" ref="R852">IFERROR(INDEX('Fund YTD Target Values'!$1:$1000, MATCH($C852,'Fund YTD Target Values'!$A:$A,0), MATCH($A852,'Fund YTD Target Values'!$1:$1,0)),0)</f>
        <v>1929347.388</v>
      </c>
      <c r="S852" s="52">
        <f>IFERROR(__xludf.DUMMYFUNCTION("IFERROR(sum(FILTER('Fund Data'!$V:$V, 'Fund Data'!$C:$C = $C852, 'Fund Data'!$A:$A &lt; $A852)),0) + IFERROR(sum(FILTER('Fund Data'!$V:$V, 'Fund Data'!$C:$C = $C852, 'Fund Data'!$A:$A = $A852, 'Fund Data'!$B:$B &lt;= $B852)),0)"),1183929.39)</f>
        <v>1183929.39</v>
      </c>
      <c r="T852" s="123">
        <v>1140040.0</v>
      </c>
      <c r="U852" s="44">
        <f t="shared" ref="U852:U943" si="85">S852-T852</f>
        <v>43889.39</v>
      </c>
      <c r="V852" s="44">
        <f t="shared" si="3"/>
        <v>0</v>
      </c>
      <c r="W852" s="52">
        <f>IFERROR(__xludf.DUMMYFUNCTION("iFERROR((FILTER('Fund Data'!$Y:$Y, 'Fund Data'!$C:$C = $C852, 'Fund Data'!$A:$A = $A852 - 1, 'Fund Data'!$B:$B = 12) + FILTER('Fund Data'!$AA:$AA, 'Fund Data'!$C:$C = $C852, 'Fund Data'!$A:$A = $A852 - 1, 'Fund Data'!$B:$B = 12)) * (1 + AVERAGE(FILTER('In"&amp;"flation Data'!$C:$C,'Inflation Data'!$A:$A = ($A852 - 2)))) * 'Parameters and Distribution Sum'!$A$4,0)"),40170.623919220896)</f>
        <v>40170.62392</v>
      </c>
      <c r="X852" s="52">
        <f>IFERROR(__xludf.DUMMYFUNCTION("IFERROR((IFERROR(FILTER('Fund Data'!$P:$P,'Fund Data'!$C:$C = $C852,'Fund Data'!$A:$A = ($A852 - 2), 'Fund Data'!$B:$B = 12),0) - SUM(FILTER('Fund Data'!$V:$V, 'Fund Data'!$C:$C = $C852, 'Fund Data'!$A:$A = ($A852 - 2), 'Fund Data'!$B:$B &gt; 3)))  * 'Parame"&amp;"ters and Distribution Sum'!$B$4 * (1 - 'Parameters and Distribution Sum'!$A$4),0)"),16856.662545)</f>
        <v>16856.66255</v>
      </c>
      <c r="Y852" s="52">
        <f t="shared" si="82"/>
        <v>57027.28646</v>
      </c>
      <c r="Z852" s="52">
        <f>IFERROR(__xludf.DUMMYFUNCTION("((IFERROR((SUM(FILTER('Fund Data'!$V:$V, 'Fund Data'!$C:$C = $C852, 'Fund Data'!$A:$A = $A852 - 1, 'Fund Data'!$B:$B &gt;= 4, 'Fund Data'!$B:$B &lt;= ($B852 + 5))) / 12) * ($B852 - 3) * 'Parameters and Distribution Sum'!$B$4, 0) + IF($B852 &gt;= 9, IFERROR(SUM(FIL"&amp;"TER('Fund Data'!$V:$V, 'Fund Data'!$C:$C = $C852, 'Fund Data'!$A:$A = $A852, 'Fund Data'!$B:$B &lt;= 3)) * 'Parameters and Distribution Sum'!$B$4, 0),0)))"),0.0)</f>
        <v>0</v>
      </c>
      <c r="AA852" s="44">
        <f>IFERROR(__xludf.DUMMYFUNCTION("IFERROR(((IFERROR(SUM(FILTER('Fund Data'!$V:$V, 'Fund Data'!$C:$C = $C852, 'Fund Data'!$A:$A = $A852 - 2, 'Fund Data'!$B:$B &gt;= 4)) * 'Parameters and Distribution Sum'!$B$4,0) + IFERROR(SUM(FILTER('Fund Data'!$V:$V, 'Fund Data'!$C:$C = $C852, 'Fund Data'!$"&amp;"A:$A = $A852 - 1, 'Fund Data'!$B:$B &lt;= 3)) * 'Parameters and Distribution Sum'!$B$4,0))),0)"),0.0)</f>
        <v>0</v>
      </c>
      <c r="AB852" s="44">
        <f t="shared" si="83"/>
        <v>0</v>
      </c>
      <c r="AC852" s="44">
        <f t="shared" si="84"/>
        <v>57027.28646</v>
      </c>
      <c r="AD852" s="44">
        <f t="shared" si="7"/>
        <v>57027.28646</v>
      </c>
      <c r="AE852" s="44"/>
    </row>
    <row r="853">
      <c r="A853" s="120">
        <v>2019.0</v>
      </c>
      <c r="B853" s="121">
        <v>1.0</v>
      </c>
      <c r="C853" s="122" t="s">
        <v>68</v>
      </c>
      <c r="D853" s="44"/>
      <c r="E853" s="123">
        <v>7263.49</v>
      </c>
      <c r="F853" s="44"/>
      <c r="G853" s="44"/>
      <c r="H853" s="123">
        <v>-515.8</v>
      </c>
      <c r="I853" s="44"/>
      <c r="J853" s="44"/>
      <c r="K853" s="44"/>
      <c r="L853" s="123">
        <v>65471.71</v>
      </c>
      <c r="M853" s="44"/>
      <c r="N853" s="44"/>
      <c r="O853" s="123">
        <v>1165434.0</v>
      </c>
      <c r="P853" s="52">
        <f t="shared" si="23"/>
        <v>1165432.79</v>
      </c>
      <c r="Q853" s="124">
        <f t="shared" si="2"/>
        <v>1.21</v>
      </c>
      <c r="R853" s="52">
        <f t="array" ref="R853">IFERROR(INDEX('Fund YTD Target Values'!$1:$1000, MATCH($C853,'Fund YTD Target Values'!$A:$A,0), MATCH($A853,'Fund YTD Target Values'!$1:$1,0)),0)</f>
        <v>1929347.388</v>
      </c>
      <c r="S853" s="52">
        <f>IFERROR(__xludf.DUMMYFUNCTION("IFERROR(sum(FILTER('Fund Data'!$V:$V, 'Fund Data'!$C:$C = $C853, 'Fund Data'!$A:$A &lt; $A853)),0) + IFERROR(sum(FILTER('Fund Data'!$V:$V, 'Fund Data'!$C:$C = $C853, 'Fund Data'!$A:$A = $A853, 'Fund Data'!$B:$B &lt;= $B853)),0)"),1183929.39)</f>
        <v>1183929.39</v>
      </c>
      <c r="T853" s="123">
        <v>1140040.0</v>
      </c>
      <c r="U853" s="44">
        <f t="shared" si="85"/>
        <v>43889.39</v>
      </c>
      <c r="V853" s="44">
        <f t="shared" si="3"/>
        <v>0</v>
      </c>
      <c r="W853" s="52">
        <f>IFERROR(__xludf.DUMMYFUNCTION("iFERROR((FILTER('Fund Data'!$Y:$Y, 'Fund Data'!$C:$C = $C853, 'Fund Data'!$A:$A = $A853 - 1, 'Fund Data'!$B:$B = 12) + FILTER('Fund Data'!$AA:$AA, 'Fund Data'!$C:$C = $C853, 'Fund Data'!$A:$A = $A853 - 1, 'Fund Data'!$B:$B = 12)) * (1 + AVERAGE(FILTER('In"&amp;"flation Data'!$C:$C,'Inflation Data'!$A:$A = ($A853 - 2)))) * 'Parameters and Distribution Sum'!$A$4,0)"),40170.623919220896)</f>
        <v>40170.62392</v>
      </c>
      <c r="X853" s="52">
        <f>IFERROR(__xludf.DUMMYFUNCTION("IFERROR((IFERROR(FILTER('Fund Data'!$P:$P,'Fund Data'!$C:$C = $C853,'Fund Data'!$A:$A = ($A853 - 2), 'Fund Data'!$B:$B = 12),0) - SUM(FILTER('Fund Data'!$V:$V, 'Fund Data'!$C:$C = $C853, 'Fund Data'!$A:$A = ($A853 - 2), 'Fund Data'!$B:$B &gt; 3)))  * 'Parame"&amp;"ters and Distribution Sum'!$B$4 * (1 - 'Parameters and Distribution Sum'!$A$4),0)"),16856.662545)</f>
        <v>16856.66255</v>
      </c>
      <c r="Y853" s="52">
        <f t="shared" si="82"/>
        <v>57027.28646</v>
      </c>
      <c r="Z853" s="52">
        <f>IFERROR(__xludf.DUMMYFUNCTION("((IFERROR((SUM(FILTER('Fund Data'!$V:$V, 'Fund Data'!$C:$C = $C853, 'Fund Data'!$A:$A = $A853 - 1, 'Fund Data'!$B:$B &gt;= 4, 'Fund Data'!$B:$B &lt;= ($B853 + 5))) / 12) * ($B853 - 3) * 'Parameters and Distribution Sum'!$B$4, 0) + IF($B853 &gt;= 9, IFERROR(SUM(FIL"&amp;"TER('Fund Data'!$V:$V, 'Fund Data'!$C:$C = $C853, 'Fund Data'!$A:$A = $A853, 'Fund Data'!$B:$B &lt;= 3)) * 'Parameters and Distribution Sum'!$B$4, 0),0)))"),0.0)</f>
        <v>0</v>
      </c>
      <c r="AA853" s="44">
        <f>IFERROR(__xludf.DUMMYFUNCTION("IFERROR(((IFERROR(SUM(FILTER('Fund Data'!$V:$V, 'Fund Data'!$C:$C = $C853, 'Fund Data'!$A:$A = $A853 - 2, 'Fund Data'!$B:$B &gt;= 4)) * 'Parameters and Distribution Sum'!$B$4,0) + IFERROR(SUM(FILTER('Fund Data'!$V:$V, 'Fund Data'!$C:$C = $C853, 'Fund Data'!$"&amp;"A:$A = $A853 - 1, 'Fund Data'!$B:$B &lt;= 3)) * 'Parameters and Distribution Sum'!$B$4,0))),0)"),0.0)</f>
        <v>0</v>
      </c>
      <c r="AB853" s="44">
        <f t="shared" si="83"/>
        <v>0</v>
      </c>
      <c r="AC853" s="44">
        <f t="shared" si="84"/>
        <v>57027.28646</v>
      </c>
      <c r="AD853" s="44">
        <f t="shared" si="7"/>
        <v>57027.28646</v>
      </c>
      <c r="AE853" s="44"/>
    </row>
    <row r="854">
      <c r="A854" s="120">
        <v>2018.0</v>
      </c>
      <c r="B854" s="121">
        <v>12.0</v>
      </c>
      <c r="C854" s="122" t="s">
        <v>68</v>
      </c>
      <c r="D854" s="44"/>
      <c r="E854" s="123">
        <v>26410.14</v>
      </c>
      <c r="F854" s="123">
        <v>-63750.0</v>
      </c>
      <c r="G854" s="44"/>
      <c r="H854" s="123">
        <v>-7261.88</v>
      </c>
      <c r="I854" s="44"/>
      <c r="J854" s="123">
        <v>15034.67</v>
      </c>
      <c r="K854" s="44"/>
      <c r="L854" s="123">
        <v>-125861.21</v>
      </c>
      <c r="M854" s="44"/>
      <c r="N854" s="44"/>
      <c r="O854" s="123">
        <v>1093215.0</v>
      </c>
      <c r="P854" s="52">
        <f t="shared" si="23"/>
        <v>1093213.39</v>
      </c>
      <c r="Q854" s="124">
        <f t="shared" si="2"/>
        <v>1.61</v>
      </c>
      <c r="R854" s="52">
        <f t="array" ref="R854">IFERROR(INDEX('Fund YTD Target Values'!$1:$1000, MATCH($C854,'Fund YTD Target Values'!$A:$A,0), MATCH($A854,'Fund YTD Target Values'!$1:$1,0)),0)</f>
        <v>1896274.236</v>
      </c>
      <c r="S854" s="52">
        <f>IFERROR(__xludf.DUMMYFUNCTION("IFERROR(sum(FILTER('Fund Data'!$V:$V, 'Fund Data'!$C:$C = $C854, 'Fund Data'!$A:$A &lt; $A854)),0) + IFERROR(sum(FILTER('Fund Data'!$V:$V, 'Fund Data'!$C:$C = $C854, 'Fund Data'!$A:$A = $A854, 'Fund Data'!$B:$B &lt;= $B854)),0)"),1183929.39)</f>
        <v>1183929.39</v>
      </c>
      <c r="T854" s="123">
        <v>1140040.0</v>
      </c>
      <c r="U854" s="44">
        <f t="shared" si="85"/>
        <v>43889.39</v>
      </c>
      <c r="V854" s="44">
        <f t="shared" si="3"/>
        <v>0</v>
      </c>
      <c r="W854" s="52"/>
      <c r="X854" s="52"/>
      <c r="Y854" s="52">
        <v>56188.875149999985</v>
      </c>
      <c r="Z854" s="123">
        <v>0.0</v>
      </c>
      <c r="AA854" s="123">
        <v>0.0</v>
      </c>
      <c r="AB854" s="44">
        <f t="shared" si="83"/>
        <v>0</v>
      </c>
      <c r="AC854" s="44">
        <f t="shared" si="84"/>
        <v>56188.87515</v>
      </c>
      <c r="AD854" s="44">
        <f t="shared" si="7"/>
        <v>-7561.12485</v>
      </c>
      <c r="AE854" s="123">
        <v>0.0</v>
      </c>
    </row>
    <row r="855">
      <c r="A855" s="120">
        <v>2018.0</v>
      </c>
      <c r="B855" s="121">
        <v>11.0</v>
      </c>
      <c r="C855" s="122" t="s">
        <v>68</v>
      </c>
      <c r="D855" s="44"/>
      <c r="E855" s="123">
        <v>24870.56</v>
      </c>
      <c r="F855" s="123">
        <v>-63750.0</v>
      </c>
      <c r="G855" s="44"/>
      <c r="H855" s="123">
        <v>-6719.12</v>
      </c>
      <c r="I855" s="44"/>
      <c r="J855" s="123">
        <v>15034.67</v>
      </c>
      <c r="K855" s="44"/>
      <c r="L855" s="123">
        <v>-61080.68</v>
      </c>
      <c r="M855" s="44"/>
      <c r="N855" s="44"/>
      <c r="O855" s="123">
        <v>1156998.0</v>
      </c>
      <c r="P855" s="52">
        <f t="shared" si="23"/>
        <v>1156997.1</v>
      </c>
      <c r="Q855" s="124">
        <f t="shared" si="2"/>
        <v>0.9000000001</v>
      </c>
      <c r="R855" s="52">
        <f t="array" ref="R855">IFERROR(INDEX('Fund YTD Target Values'!$1:$1000, MATCH($C855,'Fund YTD Target Values'!$A:$A,0), MATCH($A855,'Fund YTD Target Values'!$1:$1,0)),0)</f>
        <v>1896274.236</v>
      </c>
      <c r="S855" s="52">
        <f>IFERROR(__xludf.DUMMYFUNCTION("IFERROR(sum(FILTER('Fund Data'!$V:$V, 'Fund Data'!$C:$C = $C855, 'Fund Data'!$A:$A &lt; $A855)),0) + IFERROR(sum(FILTER('Fund Data'!$V:$V, 'Fund Data'!$C:$C = $C855, 'Fund Data'!$A:$A = $A855, 'Fund Data'!$B:$B &lt;= $B855)),0)"),1183929.39)</f>
        <v>1183929.39</v>
      </c>
      <c r="T855" s="123">
        <v>1140040.0</v>
      </c>
      <c r="U855" s="44">
        <f t="shared" si="85"/>
        <v>43889.39</v>
      </c>
      <c r="V855" s="44">
        <f t="shared" si="3"/>
        <v>0</v>
      </c>
      <c r="W855" s="123"/>
      <c r="X855" s="123"/>
      <c r="Y855" s="123">
        <v>0.0</v>
      </c>
      <c r="Z855" s="123">
        <v>0.0</v>
      </c>
      <c r="AA855" s="123">
        <v>0.0</v>
      </c>
      <c r="AB855" s="123"/>
      <c r="AC855" s="123">
        <v>0.0</v>
      </c>
      <c r="AD855" s="44">
        <f t="shared" si="7"/>
        <v>-63750</v>
      </c>
      <c r="AE855" s="123">
        <v>0.0</v>
      </c>
    </row>
    <row r="856">
      <c r="A856" s="120">
        <v>2018.0</v>
      </c>
      <c r="B856" s="121">
        <v>10.0</v>
      </c>
      <c r="C856" s="135" t="s">
        <v>68</v>
      </c>
      <c r="D856" s="138"/>
      <c r="E856" s="137">
        <v>23839.38</v>
      </c>
      <c r="F856" s="136">
        <v>-60000.0</v>
      </c>
      <c r="G856" s="138"/>
      <c r="H856" s="137">
        <v>-5614.3</v>
      </c>
      <c r="I856" s="138"/>
      <c r="J856" s="136">
        <v>14847.38</v>
      </c>
      <c r="K856" s="138"/>
      <c r="L856" s="136">
        <v>-70905.23</v>
      </c>
      <c r="M856" s="44"/>
      <c r="N856" s="44"/>
      <c r="O856" s="136">
        <v>1150810.0</v>
      </c>
      <c r="P856" s="52">
        <f t="shared" si="23"/>
        <v>1150808.9</v>
      </c>
      <c r="Q856" s="124">
        <f t="shared" si="2"/>
        <v>1.1</v>
      </c>
      <c r="R856" s="52">
        <f t="array" ref="R856">IFERROR(INDEX('Fund YTD Target Values'!$1:$1000, MATCH($C856,'Fund YTD Target Values'!$A:$A,0), MATCH($A856,'Fund YTD Target Values'!$1:$1,0)),0)</f>
        <v>1896274.236</v>
      </c>
      <c r="S856" s="52">
        <f>IFERROR(__xludf.DUMMYFUNCTION("IFERROR(sum(FILTER('Fund Data'!$V:$V, 'Fund Data'!$C:$C = $C856, 'Fund Data'!$A:$A &lt; $A856)),0) + IFERROR(sum(FILTER('Fund Data'!$V:$V, 'Fund Data'!$C:$C = $C856, 'Fund Data'!$A:$A = $A856, 'Fund Data'!$B:$B &lt;= $B856)),0)"),1183929.39)</f>
        <v>1183929.39</v>
      </c>
      <c r="T856" s="123">
        <v>1140040.0</v>
      </c>
      <c r="U856" s="44">
        <f t="shared" si="85"/>
        <v>43889.39</v>
      </c>
      <c r="V856" s="44">
        <f t="shared" si="3"/>
        <v>0</v>
      </c>
      <c r="W856" s="123"/>
      <c r="X856" s="123"/>
      <c r="Y856" s="123">
        <v>0.0</v>
      </c>
      <c r="Z856" s="123">
        <v>0.0</v>
      </c>
      <c r="AA856" s="123">
        <v>0.0</v>
      </c>
      <c r="AB856" s="123"/>
      <c r="AC856" s="123">
        <v>0.0</v>
      </c>
      <c r="AD856" s="44">
        <f t="shared" si="7"/>
        <v>-60000</v>
      </c>
      <c r="AE856" s="123">
        <v>0.0</v>
      </c>
    </row>
    <row r="857">
      <c r="A857" s="120">
        <v>2018.0</v>
      </c>
      <c r="B857" s="121">
        <v>9.0</v>
      </c>
      <c r="C857" s="122" t="s">
        <v>68</v>
      </c>
      <c r="D857" s="44"/>
      <c r="E857" s="123">
        <v>20379.19</v>
      </c>
      <c r="F857" s="123">
        <v>-60000.0</v>
      </c>
      <c r="G857" s="44"/>
      <c r="H857" s="123">
        <v>-5614.3</v>
      </c>
      <c r="I857" s="44"/>
      <c r="J857" s="123">
        <v>14847.38</v>
      </c>
      <c r="K857" s="44"/>
      <c r="L857" s="123">
        <v>-9166.75</v>
      </c>
      <c r="M857" s="44"/>
      <c r="N857" s="44"/>
      <c r="O857" s="123">
        <v>1209089.0</v>
      </c>
      <c r="P857" s="52">
        <f t="shared" si="23"/>
        <v>1209087.19</v>
      </c>
      <c r="Q857" s="124">
        <f t="shared" si="2"/>
        <v>1.81</v>
      </c>
      <c r="R857" s="52">
        <f t="array" ref="R857">IFERROR(INDEX('Fund YTD Target Values'!$1:$1000, MATCH($C857,'Fund YTD Target Values'!$A:$A,0), MATCH($A857,'Fund YTD Target Values'!$1:$1,0)),0)</f>
        <v>1896274.236</v>
      </c>
      <c r="S857" s="52">
        <f>IFERROR(__xludf.DUMMYFUNCTION("IFERROR(sum(FILTER('Fund Data'!$V:$V, 'Fund Data'!$C:$C = $C857, 'Fund Data'!$A:$A &lt; $A857)),0) + IFERROR(sum(FILTER('Fund Data'!$V:$V, 'Fund Data'!$C:$C = $C857, 'Fund Data'!$A:$A = $A857, 'Fund Data'!$B:$B &lt;= $B857)),0)"),1183929.39)</f>
        <v>1183929.39</v>
      </c>
      <c r="T857" s="123">
        <v>1140040.0</v>
      </c>
      <c r="U857" s="44">
        <f t="shared" si="85"/>
        <v>43889.39</v>
      </c>
      <c r="V857" s="44">
        <f t="shared" si="3"/>
        <v>0</v>
      </c>
      <c r="W857" s="123"/>
      <c r="X857" s="123"/>
      <c r="Y857" s="123">
        <v>0.0</v>
      </c>
      <c r="Z857" s="123">
        <v>0.0</v>
      </c>
      <c r="AA857" s="123">
        <v>0.0</v>
      </c>
      <c r="AB857" s="123"/>
      <c r="AC857" s="123">
        <v>0.0</v>
      </c>
      <c r="AD857" s="44">
        <f t="shared" si="7"/>
        <v>-60000</v>
      </c>
      <c r="AE857" s="123">
        <v>0.0</v>
      </c>
    </row>
    <row r="858">
      <c r="A858" s="120">
        <v>2018.0</v>
      </c>
      <c r="B858" s="121">
        <v>8.0</v>
      </c>
      <c r="C858" s="122" t="s">
        <v>68</v>
      </c>
      <c r="D858" s="44"/>
      <c r="E858" s="123">
        <v>19335.79</v>
      </c>
      <c r="F858" s="123">
        <v>-54800.0</v>
      </c>
      <c r="G858" s="44"/>
      <c r="H858" s="123">
        <v>-5005.08</v>
      </c>
      <c r="I858" s="44"/>
      <c r="J858" s="123">
        <v>13215.33</v>
      </c>
      <c r="K858" s="44"/>
      <c r="L858" s="123">
        <v>-3097.58</v>
      </c>
      <c r="M858" s="44"/>
      <c r="N858" s="44"/>
      <c r="O858" s="123">
        <v>1218291.0</v>
      </c>
      <c r="P858" s="52">
        <f t="shared" si="23"/>
        <v>1218290.13</v>
      </c>
      <c r="Q858" s="124">
        <f t="shared" si="2"/>
        <v>0.8700000001</v>
      </c>
      <c r="R858" s="52">
        <f t="array" ref="R858">IFERROR(INDEX('Fund YTD Target Values'!$1:$1000, MATCH($C858,'Fund YTD Target Values'!$A:$A,0), MATCH($A858,'Fund YTD Target Values'!$1:$1,0)),0)</f>
        <v>1896274.236</v>
      </c>
      <c r="S858" s="52">
        <f>IFERROR(__xludf.DUMMYFUNCTION("IFERROR(sum(FILTER('Fund Data'!$V:$V, 'Fund Data'!$C:$C = $C858, 'Fund Data'!$A:$A &lt; $A858)),0) + IFERROR(sum(FILTER('Fund Data'!$V:$V, 'Fund Data'!$C:$C = $C858, 'Fund Data'!$A:$A = $A858, 'Fund Data'!$B:$B &lt;= $B858)),0)"),1183929.39)</f>
        <v>1183929.39</v>
      </c>
      <c r="T858" s="123">
        <v>1140040.0</v>
      </c>
      <c r="U858" s="44">
        <f t="shared" si="85"/>
        <v>43889.39</v>
      </c>
      <c r="V858" s="44">
        <f t="shared" si="3"/>
        <v>0</v>
      </c>
      <c r="W858" s="123"/>
      <c r="X858" s="123"/>
      <c r="Y858" s="123">
        <v>0.0</v>
      </c>
      <c r="Z858" s="123">
        <v>0.0</v>
      </c>
      <c r="AA858" s="123">
        <v>0.0</v>
      </c>
      <c r="AB858" s="123"/>
      <c r="AC858" s="123">
        <v>0.0</v>
      </c>
      <c r="AD858" s="44">
        <f t="shared" si="7"/>
        <v>-54800</v>
      </c>
      <c r="AE858" s="123">
        <v>0.0</v>
      </c>
    </row>
    <row r="859">
      <c r="A859" s="120">
        <v>2018.0</v>
      </c>
      <c r="B859" s="121">
        <v>7.0</v>
      </c>
      <c r="C859" s="122" t="s">
        <v>68</v>
      </c>
      <c r="D859" s="44"/>
      <c r="E859" s="123">
        <v>18309.65</v>
      </c>
      <c r="F859" s="123">
        <v>-24800.0</v>
      </c>
      <c r="G859" s="44"/>
      <c r="H859" s="123">
        <v>-4382.9</v>
      </c>
      <c r="I859" s="44"/>
      <c r="J859" s="123">
        <v>3391.96</v>
      </c>
      <c r="K859" s="44"/>
      <c r="L859" s="123">
        <v>3205.97</v>
      </c>
      <c r="M859" s="44"/>
      <c r="N859" s="44"/>
      <c r="O859" s="123">
        <v>1244368.0</v>
      </c>
      <c r="P859" s="52">
        <f t="shared" si="23"/>
        <v>1244366.35</v>
      </c>
      <c r="Q859" s="124">
        <f t="shared" si="2"/>
        <v>1.65</v>
      </c>
      <c r="R859" s="52">
        <f t="array" ref="R859">IFERROR(INDEX('Fund YTD Target Values'!$1:$1000, MATCH($C859,'Fund YTD Target Values'!$A:$A,0), MATCH($A859,'Fund YTD Target Values'!$1:$1,0)),0)</f>
        <v>1896274.236</v>
      </c>
      <c r="S859" s="52">
        <f>IFERROR(__xludf.DUMMYFUNCTION("IFERROR(sum(FILTER('Fund Data'!$V:$V, 'Fund Data'!$C:$C = $C859, 'Fund Data'!$A:$A &lt; $A859)),0) + IFERROR(sum(FILTER('Fund Data'!$V:$V, 'Fund Data'!$C:$C = $C859, 'Fund Data'!$A:$A = $A859, 'Fund Data'!$B:$B &lt;= $B859)),0)"),1183929.39)</f>
        <v>1183929.39</v>
      </c>
      <c r="T859" s="123">
        <v>1140040.0</v>
      </c>
      <c r="U859" s="44">
        <f t="shared" si="85"/>
        <v>43889.39</v>
      </c>
      <c r="V859" s="44">
        <f t="shared" si="3"/>
        <v>0</v>
      </c>
      <c r="W859" s="123"/>
      <c r="X859" s="123"/>
      <c r="Y859" s="123">
        <v>0.0</v>
      </c>
      <c r="Z859" s="123">
        <v>0.0</v>
      </c>
      <c r="AA859" s="123">
        <v>0.0</v>
      </c>
      <c r="AB859" s="123"/>
      <c r="AC859" s="123">
        <v>0.0</v>
      </c>
      <c r="AD859" s="44">
        <f t="shared" si="7"/>
        <v>-24800</v>
      </c>
      <c r="AE859" s="123">
        <v>0.0</v>
      </c>
    </row>
    <row r="860">
      <c r="A860" s="120">
        <v>2018.0</v>
      </c>
      <c r="B860" s="121">
        <v>6.0</v>
      </c>
      <c r="C860" s="122" t="s">
        <v>68</v>
      </c>
      <c r="D860" s="44"/>
      <c r="E860" s="123">
        <v>15527.81</v>
      </c>
      <c r="F860" s="123">
        <v>-22000.0</v>
      </c>
      <c r="G860" s="44"/>
      <c r="H860" s="123">
        <v>-3770.53</v>
      </c>
      <c r="I860" s="44"/>
      <c r="J860" s="123">
        <v>3391.96</v>
      </c>
      <c r="K860" s="44"/>
      <c r="L860" s="123">
        <v>-17064.75</v>
      </c>
      <c r="M860" s="44"/>
      <c r="N860" s="44"/>
      <c r="O860" s="123">
        <v>1224727.0</v>
      </c>
      <c r="P860" s="52">
        <f t="shared" si="23"/>
        <v>1224726.16</v>
      </c>
      <c r="Q860" s="124">
        <f t="shared" si="2"/>
        <v>0.8400000001</v>
      </c>
      <c r="R860" s="52">
        <f t="array" ref="R860">IFERROR(INDEX('Fund YTD Target Values'!$1:$1000, MATCH($C860,'Fund YTD Target Values'!$A:$A,0), MATCH($A860,'Fund YTD Target Values'!$1:$1,0)),0)</f>
        <v>1896274.236</v>
      </c>
      <c r="S860" s="52">
        <f>IFERROR(__xludf.DUMMYFUNCTION("IFERROR(sum(FILTER('Fund Data'!$V:$V, 'Fund Data'!$C:$C = $C860, 'Fund Data'!$A:$A &lt; $A860)),0) + IFERROR(sum(FILTER('Fund Data'!$V:$V, 'Fund Data'!$C:$C = $C860, 'Fund Data'!$A:$A = $A860, 'Fund Data'!$B:$B &lt;= $B860)),0)"),1183929.39)</f>
        <v>1183929.39</v>
      </c>
      <c r="T860" s="123">
        <v>1140040.0</v>
      </c>
      <c r="U860" s="44">
        <f t="shared" si="85"/>
        <v>43889.39</v>
      </c>
      <c r="V860" s="44">
        <f t="shared" si="3"/>
        <v>0</v>
      </c>
      <c r="W860" s="123"/>
      <c r="X860" s="123"/>
      <c r="Y860" s="123">
        <v>0.0</v>
      </c>
      <c r="Z860" s="123">
        <v>0.0</v>
      </c>
      <c r="AA860" s="123">
        <v>0.0</v>
      </c>
      <c r="AB860" s="123"/>
      <c r="AC860" s="123">
        <v>0.0</v>
      </c>
      <c r="AD860" s="44">
        <f t="shared" si="7"/>
        <v>-22000</v>
      </c>
      <c r="AE860" s="123">
        <v>0.0</v>
      </c>
    </row>
    <row r="861">
      <c r="A861" s="120">
        <v>2018.0</v>
      </c>
      <c r="B861" s="121">
        <v>5.0</v>
      </c>
      <c r="C861" s="122" t="s">
        <v>68</v>
      </c>
      <c r="D861" s="44"/>
      <c r="E861" s="123">
        <v>13748.87</v>
      </c>
      <c r="F861" s="123">
        <v>-10000.0</v>
      </c>
      <c r="G861" s="44"/>
      <c r="H861" s="123">
        <v>-3148.17</v>
      </c>
      <c r="I861" s="44"/>
      <c r="J861" s="44"/>
      <c r="K861" s="44"/>
      <c r="L861" s="123">
        <v>-4516.74</v>
      </c>
      <c r="M861" s="44"/>
      <c r="N861" s="44"/>
      <c r="O861" s="123">
        <v>1244727.0</v>
      </c>
      <c r="P861" s="52">
        <f t="shared" si="23"/>
        <v>1244725.63</v>
      </c>
      <c r="Q861" s="124">
        <f t="shared" si="2"/>
        <v>1.37</v>
      </c>
      <c r="R861" s="52">
        <f t="array" ref="R861">IFERROR(INDEX('Fund YTD Target Values'!$1:$1000, MATCH($C861,'Fund YTD Target Values'!$A:$A,0), MATCH($A861,'Fund YTD Target Values'!$1:$1,0)),0)</f>
        <v>1896274.236</v>
      </c>
      <c r="S861" s="52">
        <f>IFERROR(__xludf.DUMMYFUNCTION("IFERROR(sum(FILTER('Fund Data'!$V:$V, 'Fund Data'!$C:$C = $C861, 'Fund Data'!$A:$A &lt; $A861)),0) + IFERROR(sum(FILTER('Fund Data'!$V:$V, 'Fund Data'!$C:$C = $C861, 'Fund Data'!$A:$A = $A861, 'Fund Data'!$B:$B &lt;= $B861)),0)"),1183929.39)</f>
        <v>1183929.39</v>
      </c>
      <c r="T861" s="123">
        <v>1140040.0</v>
      </c>
      <c r="U861" s="44">
        <f t="shared" si="85"/>
        <v>43889.39</v>
      </c>
      <c r="V861" s="44">
        <f t="shared" si="3"/>
        <v>0</v>
      </c>
      <c r="W861" s="123"/>
      <c r="X861" s="123"/>
      <c r="Y861" s="123">
        <v>0.0</v>
      </c>
      <c r="Z861" s="123">
        <v>0.0</v>
      </c>
      <c r="AA861" s="123">
        <v>0.0</v>
      </c>
      <c r="AB861" s="123"/>
      <c r="AC861" s="123">
        <v>0.0</v>
      </c>
      <c r="AD861" s="44">
        <f t="shared" si="7"/>
        <v>-10000</v>
      </c>
      <c r="AE861" s="123">
        <v>0.0</v>
      </c>
    </row>
    <row r="862">
      <c r="A862" s="120">
        <v>2018.0</v>
      </c>
      <c r="B862" s="121">
        <v>4.0</v>
      </c>
      <c r="C862" s="122" t="s">
        <v>68</v>
      </c>
      <c r="D862" s="44"/>
      <c r="E862" s="123">
        <v>12761.59</v>
      </c>
      <c r="F862" s="44"/>
      <c r="G862" s="44"/>
      <c r="H862" s="123">
        <v>-2522.3</v>
      </c>
      <c r="I862" s="44"/>
      <c r="J862" s="44"/>
      <c r="K862" s="44"/>
      <c r="L862" s="123">
        <v>-7146.01</v>
      </c>
      <c r="M862" s="44"/>
      <c r="N862" s="44"/>
      <c r="O862" s="123">
        <v>1251736.0</v>
      </c>
      <c r="P862" s="52">
        <f t="shared" si="23"/>
        <v>1251734.95</v>
      </c>
      <c r="Q862" s="124">
        <f t="shared" si="2"/>
        <v>1.05</v>
      </c>
      <c r="R862" s="52">
        <f t="array" ref="R862">IFERROR(INDEX('Fund YTD Target Values'!$1:$1000, MATCH($C862,'Fund YTD Target Values'!$A:$A,0), MATCH($A862,'Fund YTD Target Values'!$1:$1,0)),0)</f>
        <v>1896274.236</v>
      </c>
      <c r="S862" s="52">
        <f>IFERROR(__xludf.DUMMYFUNCTION("IFERROR(sum(FILTER('Fund Data'!$V:$V, 'Fund Data'!$C:$C = $C862, 'Fund Data'!$A:$A &lt; $A862)),0) + IFERROR(sum(FILTER('Fund Data'!$V:$V, 'Fund Data'!$C:$C = $C862, 'Fund Data'!$A:$A = $A862, 'Fund Data'!$B:$B &lt;= $B862)),0)"),1183929.39)</f>
        <v>1183929.39</v>
      </c>
      <c r="T862" s="123">
        <v>1140040.0</v>
      </c>
      <c r="U862" s="44">
        <f t="shared" si="85"/>
        <v>43889.39</v>
      </c>
      <c r="V862" s="44">
        <f t="shared" si="3"/>
        <v>0</v>
      </c>
      <c r="W862" s="123"/>
      <c r="X862" s="123"/>
      <c r="Y862" s="123">
        <v>0.0</v>
      </c>
      <c r="Z862" s="123">
        <v>0.0</v>
      </c>
      <c r="AA862" s="123">
        <v>0.0</v>
      </c>
      <c r="AB862" s="123"/>
      <c r="AC862" s="123">
        <v>0.0</v>
      </c>
      <c r="AD862" s="44">
        <f t="shared" si="7"/>
        <v>0</v>
      </c>
      <c r="AE862" s="123">
        <v>0.0</v>
      </c>
    </row>
    <row r="863">
      <c r="A863" s="120">
        <v>2018.0</v>
      </c>
      <c r="B863" s="121">
        <v>3.0</v>
      </c>
      <c r="C863" s="122" t="s">
        <v>68</v>
      </c>
      <c r="D863" s="44"/>
      <c r="E863" s="123">
        <v>9749.4</v>
      </c>
      <c r="F863" s="44"/>
      <c r="G863" s="44"/>
      <c r="H863" s="123">
        <v>-1898.14</v>
      </c>
      <c r="I863" s="44"/>
      <c r="J863" s="44"/>
      <c r="K863" s="44"/>
      <c r="L863" s="123">
        <v>-8168.04</v>
      </c>
      <c r="M863" s="44"/>
      <c r="N863" s="44"/>
      <c r="O863" s="123">
        <v>1248326.0</v>
      </c>
      <c r="P863" s="52">
        <f t="shared" si="23"/>
        <v>1248324.89</v>
      </c>
      <c r="Q863" s="124">
        <f t="shared" si="2"/>
        <v>1.11</v>
      </c>
      <c r="R863" s="52">
        <f t="array" ref="R863">IFERROR(INDEX('Fund YTD Target Values'!$1:$1000, MATCH($C863,'Fund YTD Target Values'!$A:$A,0), MATCH($A863,'Fund YTD Target Values'!$1:$1,0)),0)</f>
        <v>1896274.236</v>
      </c>
      <c r="S863" s="52">
        <f>IFERROR(__xludf.DUMMYFUNCTION("IFERROR(sum(FILTER('Fund Data'!$V:$V, 'Fund Data'!$C:$C = $C863, 'Fund Data'!$A:$A &lt; $A863)),0) + IFERROR(sum(FILTER('Fund Data'!$V:$V, 'Fund Data'!$C:$C = $C863, 'Fund Data'!$A:$A = $A863, 'Fund Data'!$B:$B &lt;= $B863)),0)"),1183929.39)</f>
        <v>1183929.39</v>
      </c>
      <c r="T863" s="123">
        <v>1140040.0</v>
      </c>
      <c r="U863" s="44">
        <f t="shared" si="85"/>
        <v>43889.39</v>
      </c>
      <c r="V863" s="44">
        <f t="shared" si="3"/>
        <v>0</v>
      </c>
      <c r="W863" s="123"/>
      <c r="X863" s="123"/>
      <c r="Y863" s="123">
        <v>0.0</v>
      </c>
      <c r="Z863" s="123">
        <v>0.0</v>
      </c>
      <c r="AA863" s="123">
        <v>0.0</v>
      </c>
      <c r="AB863" s="123"/>
      <c r="AC863" s="123">
        <v>0.0</v>
      </c>
      <c r="AD863" s="44">
        <f t="shared" si="7"/>
        <v>0</v>
      </c>
      <c r="AE863" s="123">
        <v>0.0</v>
      </c>
    </row>
    <row r="864">
      <c r="A864" s="120">
        <v>2018.0</v>
      </c>
      <c r="B864" s="121">
        <v>2.0</v>
      </c>
      <c r="C864" s="122" t="s">
        <v>68</v>
      </c>
      <c r="D864" s="44"/>
      <c r="E864" s="123">
        <v>8650.76</v>
      </c>
      <c r="F864" s="44"/>
      <c r="G864" s="44"/>
      <c r="H864" s="123">
        <v>-3099.06</v>
      </c>
      <c r="I864" s="44"/>
      <c r="J864" s="44"/>
      <c r="K864" s="44"/>
      <c r="L864" s="123">
        <v>535.75</v>
      </c>
      <c r="M864" s="44"/>
      <c r="N864" s="44"/>
      <c r="O864" s="123">
        <v>1254730.0</v>
      </c>
      <c r="P864" s="52">
        <f t="shared" si="23"/>
        <v>1254729.12</v>
      </c>
      <c r="Q864" s="124">
        <f t="shared" si="2"/>
        <v>0.8800000001</v>
      </c>
      <c r="R864" s="52">
        <f t="array" ref="R864">IFERROR(INDEX('Fund YTD Target Values'!$1:$1000, MATCH($C864,'Fund YTD Target Values'!$A:$A,0), MATCH($A864,'Fund YTD Target Values'!$1:$1,0)),0)</f>
        <v>1896274.236</v>
      </c>
      <c r="S864" s="52">
        <f>IFERROR(__xludf.DUMMYFUNCTION("IFERROR(sum(FILTER('Fund Data'!$V:$V, 'Fund Data'!$C:$C = $C864, 'Fund Data'!$A:$A &lt; $A864)),0) + IFERROR(sum(FILTER('Fund Data'!$V:$V, 'Fund Data'!$C:$C = $C864, 'Fund Data'!$A:$A = $A864, 'Fund Data'!$B:$B &lt;= $B864)),0)"),1183929.39)</f>
        <v>1183929.39</v>
      </c>
      <c r="T864" s="123">
        <v>1140040.0</v>
      </c>
      <c r="U864" s="44">
        <f t="shared" si="85"/>
        <v>43889.39</v>
      </c>
      <c r="V864" s="44">
        <f t="shared" si="3"/>
        <v>0</v>
      </c>
      <c r="W864" s="123"/>
      <c r="X864" s="123"/>
      <c r="Y864" s="123">
        <v>0.0</v>
      </c>
      <c r="Z864" s="123">
        <v>0.0</v>
      </c>
      <c r="AA864" s="123">
        <v>0.0</v>
      </c>
      <c r="AB864" s="123"/>
      <c r="AC864" s="123">
        <v>0.0</v>
      </c>
      <c r="AD864" s="44">
        <f t="shared" si="7"/>
        <v>0</v>
      </c>
      <c r="AE864" s="123">
        <v>0.0</v>
      </c>
    </row>
    <row r="865">
      <c r="A865" s="120">
        <v>2018.0</v>
      </c>
      <c r="B865" s="121">
        <v>1.0</v>
      </c>
      <c r="C865" s="122" t="s">
        <v>68</v>
      </c>
      <c r="D865" s="44"/>
      <c r="E865" s="123">
        <v>7722.56</v>
      </c>
      <c r="F865" s="44"/>
      <c r="G865" s="44"/>
      <c r="H865" s="123">
        <v>-2452.61</v>
      </c>
      <c r="I865" s="44"/>
      <c r="J865" s="44"/>
      <c r="K865" s="44"/>
      <c r="L865" s="123">
        <v>38977.49</v>
      </c>
      <c r="M865" s="44"/>
      <c r="N865" s="44"/>
      <c r="O865" s="123">
        <v>1292890.0</v>
      </c>
      <c r="P865" s="52">
        <f t="shared" si="23"/>
        <v>1292889.11</v>
      </c>
      <c r="Q865" s="124">
        <f t="shared" si="2"/>
        <v>0.8900000001</v>
      </c>
      <c r="R865" s="52">
        <f t="array" ref="R865">IFERROR(INDEX('Fund YTD Target Values'!$1:$1000, MATCH($C865,'Fund YTD Target Values'!$A:$A,0), MATCH($A865,'Fund YTD Target Values'!$1:$1,0)),0)</f>
        <v>1896274.236</v>
      </c>
      <c r="S865" s="52">
        <f>IFERROR(__xludf.DUMMYFUNCTION("IFERROR(sum(FILTER('Fund Data'!$V:$V, 'Fund Data'!$C:$C = $C865, 'Fund Data'!$A:$A &lt; $A865)),0) + IFERROR(sum(FILTER('Fund Data'!$V:$V, 'Fund Data'!$C:$C = $C865, 'Fund Data'!$A:$A = $A865, 'Fund Data'!$B:$B &lt;= $B865)),0)"),1183929.39)</f>
        <v>1183929.39</v>
      </c>
      <c r="T865" s="123">
        <v>1140040.0</v>
      </c>
      <c r="U865" s="44">
        <f t="shared" si="85"/>
        <v>43889.39</v>
      </c>
      <c r="V865" s="44">
        <f t="shared" si="3"/>
        <v>0</v>
      </c>
      <c r="W865" s="123"/>
      <c r="X865" s="123"/>
      <c r="Y865" s="123">
        <v>0.0</v>
      </c>
      <c r="Z865" s="123">
        <v>0.0</v>
      </c>
      <c r="AA865" s="123">
        <v>0.0</v>
      </c>
      <c r="AB865" s="123"/>
      <c r="AC865" s="123">
        <v>0.0</v>
      </c>
      <c r="AD865" s="44">
        <f t="shared" si="7"/>
        <v>0</v>
      </c>
      <c r="AE865" s="123">
        <v>0.0</v>
      </c>
    </row>
    <row r="866">
      <c r="A866" s="120">
        <v>2017.0</v>
      </c>
      <c r="B866" s="121">
        <v>12.0</v>
      </c>
      <c r="C866" s="122" t="s">
        <v>68</v>
      </c>
      <c r="D866" s="44"/>
      <c r="E866" s="123">
        <v>26780.53</v>
      </c>
      <c r="F866" s="123">
        <v>-65000.0</v>
      </c>
      <c r="G866" s="123"/>
      <c r="H866" s="123">
        <v>-7300.74</v>
      </c>
      <c r="I866" s="44"/>
      <c r="J866" s="123">
        <v>14510.48</v>
      </c>
      <c r="K866" s="44"/>
      <c r="L866" s="123">
        <v>136838.65</v>
      </c>
      <c r="M866" s="44"/>
      <c r="N866" s="44"/>
      <c r="O866" s="123">
        <v>1248643.0</v>
      </c>
      <c r="P866" s="52">
        <f t="shared" si="23"/>
        <v>1248641.67</v>
      </c>
      <c r="Q866" s="124">
        <f t="shared" si="2"/>
        <v>1.33</v>
      </c>
      <c r="R866" s="52">
        <f t="array" ref="R866">IFERROR(INDEX('Fund YTD Target Values'!$1:$1000, MATCH($C866,'Fund YTD Target Values'!$A:$A,0), MATCH($A866,'Fund YTD Target Values'!$1:$1,0)),0)</f>
        <v>1851058.71</v>
      </c>
      <c r="S866" s="52">
        <f>IFERROR(__xludf.DUMMYFUNCTION("IFERROR(sum(FILTER('Fund Data'!$V:$V, 'Fund Data'!$C:$C = $C866, 'Fund Data'!$A:$A &lt; $A866)),0) + IFERROR(sum(FILTER('Fund Data'!$V:$V, 'Fund Data'!$C:$C = $C866, 'Fund Data'!$A:$A = $A866, 'Fund Data'!$B:$B &lt;= $B866)),0)"),1183929.39)</f>
        <v>1183929.39</v>
      </c>
      <c r="T866" s="123">
        <v>1140040.0</v>
      </c>
      <c r="U866" s="44">
        <f t="shared" si="85"/>
        <v>43889.39</v>
      </c>
      <c r="V866" s="44">
        <f t="shared" si="3"/>
        <v>0</v>
      </c>
      <c r="W866" s="123"/>
      <c r="X866" s="123"/>
      <c r="Y866" s="123">
        <v>0.0</v>
      </c>
      <c r="Z866" s="123">
        <v>0.0</v>
      </c>
      <c r="AA866" s="123">
        <v>0.0</v>
      </c>
      <c r="AB866" s="123"/>
      <c r="AC866" s="123">
        <v>0.0</v>
      </c>
      <c r="AD866" s="44">
        <f t="shared" si="7"/>
        <v>-65000</v>
      </c>
      <c r="AE866" s="123">
        <v>0.0</v>
      </c>
    </row>
    <row r="867">
      <c r="A867" s="120">
        <v>2017.0</v>
      </c>
      <c r="B867" s="121">
        <v>11.0</v>
      </c>
      <c r="C867" s="122" t="s">
        <v>68</v>
      </c>
      <c r="D867" s="44"/>
      <c r="E867" s="123">
        <v>25024.85</v>
      </c>
      <c r="F867" s="123">
        <v>-65000.0</v>
      </c>
      <c r="G867" s="44"/>
      <c r="H867" s="123">
        <v>-6679.84</v>
      </c>
      <c r="I867" s="44"/>
      <c r="J867" s="123">
        <v>14510.48</v>
      </c>
      <c r="K867" s="44"/>
      <c r="L867" s="123">
        <v>130838.31</v>
      </c>
      <c r="M867" s="44"/>
      <c r="N867" s="44"/>
      <c r="O867" s="123">
        <v>1241508.0</v>
      </c>
      <c r="P867" s="52">
        <f t="shared" si="23"/>
        <v>1241506.55</v>
      </c>
      <c r="Q867" s="124">
        <f t="shared" si="2"/>
        <v>1.45</v>
      </c>
      <c r="R867" s="52">
        <f t="array" ref="R867">IFERROR(INDEX('Fund YTD Target Values'!$1:$1000, MATCH($C867,'Fund YTD Target Values'!$A:$A,0), MATCH($A867,'Fund YTD Target Values'!$1:$1,0)),0)</f>
        <v>1851058.71</v>
      </c>
      <c r="S867" s="52">
        <f>IFERROR(__xludf.DUMMYFUNCTION("IFERROR(sum(FILTER('Fund Data'!$V:$V, 'Fund Data'!$C:$C = $C867, 'Fund Data'!$A:$A &lt; $A867)),0) + IFERROR(sum(FILTER('Fund Data'!$V:$V, 'Fund Data'!$C:$C = $C867, 'Fund Data'!$A:$A = $A867, 'Fund Data'!$B:$B &lt;= $B867)),0)"),1183929.39)</f>
        <v>1183929.39</v>
      </c>
      <c r="T867" s="123">
        <v>1140040.0</v>
      </c>
      <c r="U867" s="44">
        <f t="shared" si="85"/>
        <v>43889.39</v>
      </c>
      <c r="V867" s="44">
        <f t="shared" si="3"/>
        <v>0</v>
      </c>
      <c r="W867" s="123"/>
      <c r="X867" s="123"/>
      <c r="Y867" s="123">
        <v>0.0</v>
      </c>
      <c r="Z867" s="123">
        <v>0.0</v>
      </c>
      <c r="AA867" s="123">
        <v>0.0</v>
      </c>
      <c r="AB867" s="123"/>
      <c r="AC867" s="123">
        <v>0.0</v>
      </c>
      <c r="AD867" s="44">
        <f t="shared" si="7"/>
        <v>-65000</v>
      </c>
      <c r="AE867" s="123">
        <v>0.0</v>
      </c>
    </row>
    <row r="868">
      <c r="A868" s="120">
        <v>2017.0</v>
      </c>
      <c r="B868" s="121">
        <v>10.0</v>
      </c>
      <c r="C868" s="122" t="s">
        <v>68</v>
      </c>
      <c r="D868" s="44"/>
      <c r="E868" s="123">
        <v>24169.99</v>
      </c>
      <c r="F868" s="123">
        <v>-28200.0</v>
      </c>
      <c r="G868" s="44"/>
      <c r="H868" s="123">
        <v>-6047.43</v>
      </c>
      <c r="I868" s="44"/>
      <c r="J868" s="123">
        <v>2537.22</v>
      </c>
      <c r="K868" s="44"/>
      <c r="L868" s="123">
        <v>129063.07</v>
      </c>
      <c r="M868" s="44"/>
      <c r="N868" s="44"/>
      <c r="O868" s="123">
        <v>1264337.0</v>
      </c>
      <c r="P868" s="52">
        <f t="shared" si="23"/>
        <v>1264335.6</v>
      </c>
      <c r="Q868" s="124">
        <f t="shared" si="2"/>
        <v>1.4</v>
      </c>
      <c r="R868" s="52">
        <f t="array" ref="R868">IFERROR(INDEX('Fund YTD Target Values'!$1:$1000, MATCH($C868,'Fund YTD Target Values'!$A:$A,0), MATCH($A868,'Fund YTD Target Values'!$1:$1,0)),0)</f>
        <v>1851058.71</v>
      </c>
      <c r="S868" s="52">
        <f>IFERROR(__xludf.DUMMYFUNCTION("IFERROR(sum(FILTER('Fund Data'!$V:$V, 'Fund Data'!$C:$C = $C868, 'Fund Data'!$A:$A &lt; $A868)),0) + IFERROR(sum(FILTER('Fund Data'!$V:$V, 'Fund Data'!$C:$C = $C868, 'Fund Data'!$A:$A = $A868, 'Fund Data'!$B:$B &lt;= $B868)),0)"),1183929.39)</f>
        <v>1183929.39</v>
      </c>
      <c r="T868" s="123">
        <v>1140040.0</v>
      </c>
      <c r="U868" s="44">
        <f t="shared" si="85"/>
        <v>43889.39</v>
      </c>
      <c r="V868" s="44">
        <f t="shared" si="3"/>
        <v>0</v>
      </c>
      <c r="W868" s="123"/>
      <c r="X868" s="123"/>
      <c r="Y868" s="123">
        <v>0.0</v>
      </c>
      <c r="Z868" s="123">
        <v>0.0</v>
      </c>
      <c r="AA868" s="123">
        <v>0.0</v>
      </c>
      <c r="AB868" s="123"/>
      <c r="AC868" s="123">
        <v>0.0</v>
      </c>
      <c r="AD868" s="44">
        <f t="shared" si="7"/>
        <v>-28200</v>
      </c>
      <c r="AE868" s="123">
        <v>0.0</v>
      </c>
    </row>
    <row r="869">
      <c r="A869" s="120">
        <v>2017.0</v>
      </c>
      <c r="B869" s="121">
        <v>9.0</v>
      </c>
      <c r="C869" s="122" t="s">
        <v>68</v>
      </c>
      <c r="D869" s="44"/>
      <c r="E869" s="123">
        <v>21554.05</v>
      </c>
      <c r="F869" s="123">
        <v>-18200.0</v>
      </c>
      <c r="G869" s="44"/>
      <c r="H869" s="123">
        <v>-5419.41</v>
      </c>
      <c r="I869" s="44"/>
      <c r="J869" s="44"/>
      <c r="K869" s="44"/>
      <c r="L869" s="123">
        <v>115296.95</v>
      </c>
      <c r="M869" s="44"/>
      <c r="N869" s="44"/>
      <c r="O869" s="123">
        <v>1256046.0</v>
      </c>
      <c r="P869" s="52">
        <f t="shared" si="23"/>
        <v>1256044.34</v>
      </c>
      <c r="Q869" s="124">
        <f t="shared" si="2"/>
        <v>1.66</v>
      </c>
      <c r="R869" s="52">
        <f t="array" ref="R869">IFERROR(INDEX('Fund YTD Target Values'!$1:$1000, MATCH($C869,'Fund YTD Target Values'!$A:$A,0), MATCH($A869,'Fund YTD Target Values'!$1:$1,0)),0)</f>
        <v>1851058.71</v>
      </c>
      <c r="S869" s="52">
        <f>IFERROR(__xludf.DUMMYFUNCTION("IFERROR(sum(FILTER('Fund Data'!$V:$V, 'Fund Data'!$C:$C = $C869, 'Fund Data'!$A:$A &lt; $A869)),0) + IFERROR(sum(FILTER('Fund Data'!$V:$V, 'Fund Data'!$C:$C = $C869, 'Fund Data'!$A:$A = $A869, 'Fund Data'!$B:$B &lt;= $B869)),0)"),1183929.39)</f>
        <v>1183929.39</v>
      </c>
      <c r="T869" s="123">
        <v>1140040.0</v>
      </c>
      <c r="U869" s="44">
        <f t="shared" si="85"/>
        <v>43889.39</v>
      </c>
      <c r="V869" s="44">
        <f t="shared" si="3"/>
        <v>0</v>
      </c>
      <c r="W869" s="123"/>
      <c r="X869" s="123"/>
      <c r="Y869" s="123">
        <v>0.0</v>
      </c>
      <c r="Z869" s="123">
        <v>0.0</v>
      </c>
      <c r="AA869" s="123">
        <v>0.0</v>
      </c>
      <c r="AB869" s="123"/>
      <c r="AC869" s="123">
        <v>0.0</v>
      </c>
      <c r="AD869" s="44">
        <f t="shared" si="7"/>
        <v>-18200</v>
      </c>
      <c r="AE869" s="123">
        <v>0.0</v>
      </c>
    </row>
    <row r="870">
      <c r="A870" s="120">
        <v>2017.0</v>
      </c>
      <c r="B870" s="121">
        <v>8.0</v>
      </c>
      <c r="C870" s="122" t="s">
        <v>68</v>
      </c>
      <c r="D870" s="44"/>
      <c r="E870" s="123">
        <v>19988.69</v>
      </c>
      <c r="F870" s="123">
        <v>-17000.0</v>
      </c>
      <c r="G870" s="44"/>
      <c r="H870" s="123">
        <v>-4797.42</v>
      </c>
      <c r="I870" s="44"/>
      <c r="J870" s="44"/>
      <c r="K870" s="44"/>
      <c r="L870" s="123">
        <v>102972.08</v>
      </c>
      <c r="M870" s="44"/>
      <c r="N870" s="44"/>
      <c r="O870" s="123">
        <v>1243977.0</v>
      </c>
      <c r="P870" s="52">
        <f t="shared" si="23"/>
        <v>1243976.1</v>
      </c>
      <c r="Q870" s="124">
        <f t="shared" si="2"/>
        <v>0.9000000001</v>
      </c>
      <c r="R870" s="52">
        <f t="array" ref="R870">IFERROR(INDEX('Fund YTD Target Values'!$1:$1000, MATCH($C870,'Fund YTD Target Values'!$A:$A,0), MATCH($A870,'Fund YTD Target Values'!$1:$1,0)),0)</f>
        <v>1851058.71</v>
      </c>
      <c r="S870" s="52">
        <f>IFERROR(__xludf.DUMMYFUNCTION("IFERROR(sum(FILTER('Fund Data'!$V:$V, 'Fund Data'!$C:$C = $C870, 'Fund Data'!$A:$A &lt; $A870)),0) + IFERROR(sum(FILTER('Fund Data'!$V:$V, 'Fund Data'!$C:$C = $C870, 'Fund Data'!$A:$A = $A870, 'Fund Data'!$B:$B &lt;= $B870)),0)"),1183929.39)</f>
        <v>1183929.39</v>
      </c>
      <c r="T870" s="123">
        <v>1140040.0</v>
      </c>
      <c r="U870" s="44">
        <f t="shared" si="85"/>
        <v>43889.39</v>
      </c>
      <c r="V870" s="44">
        <f t="shared" si="3"/>
        <v>0</v>
      </c>
      <c r="W870" s="123"/>
      <c r="X870" s="123"/>
      <c r="Y870" s="123">
        <v>0.0</v>
      </c>
      <c r="Z870" s="123">
        <v>0.0</v>
      </c>
      <c r="AA870" s="123">
        <v>0.0</v>
      </c>
      <c r="AB870" s="123"/>
      <c r="AC870" s="123">
        <v>0.0</v>
      </c>
      <c r="AD870" s="44">
        <f t="shared" si="7"/>
        <v>-17000</v>
      </c>
      <c r="AE870" s="123">
        <v>0.0</v>
      </c>
    </row>
    <row r="871">
      <c r="A871" s="120">
        <v>2017.0</v>
      </c>
      <c r="B871" s="121">
        <v>7.0</v>
      </c>
      <c r="C871" s="122" t="s">
        <v>68</v>
      </c>
      <c r="D871" s="44"/>
      <c r="E871" s="123">
        <v>19136.6</v>
      </c>
      <c r="F871" s="123">
        <v>-10000.0</v>
      </c>
      <c r="G871" s="44"/>
      <c r="H871" s="123">
        <v>-4173.67</v>
      </c>
      <c r="I871" s="44"/>
      <c r="J871" s="44"/>
      <c r="K871" s="44"/>
      <c r="L871" s="123">
        <v>99726.44</v>
      </c>
      <c r="M871" s="44"/>
      <c r="N871" s="44"/>
      <c r="O871" s="123">
        <v>1247503.0</v>
      </c>
      <c r="P871" s="52">
        <f t="shared" si="23"/>
        <v>1247502.12</v>
      </c>
      <c r="Q871" s="124">
        <f t="shared" si="2"/>
        <v>0.8800000004</v>
      </c>
      <c r="R871" s="52">
        <f t="array" ref="R871">IFERROR(INDEX('Fund YTD Target Values'!$1:$1000, MATCH($C871,'Fund YTD Target Values'!$A:$A,0), MATCH($A871,'Fund YTD Target Values'!$1:$1,0)),0)</f>
        <v>1851058.71</v>
      </c>
      <c r="S871" s="52">
        <f>IFERROR(__xludf.DUMMYFUNCTION("IFERROR(sum(FILTER('Fund Data'!$V:$V, 'Fund Data'!$C:$C = $C871, 'Fund Data'!$A:$A &lt; $A871)),0) + IFERROR(sum(FILTER('Fund Data'!$V:$V, 'Fund Data'!$C:$C = $C871, 'Fund Data'!$A:$A = $A871, 'Fund Data'!$B:$B &lt;= $B871)),0)"),1183929.39)</f>
        <v>1183929.39</v>
      </c>
      <c r="T871" s="123">
        <v>1140040.0</v>
      </c>
      <c r="U871" s="44">
        <f t="shared" si="85"/>
        <v>43889.39</v>
      </c>
      <c r="V871" s="44">
        <f t="shared" si="3"/>
        <v>0</v>
      </c>
      <c r="W871" s="123"/>
      <c r="X871" s="123"/>
      <c r="Y871" s="123">
        <v>0.0</v>
      </c>
      <c r="Z871" s="123">
        <v>0.0</v>
      </c>
      <c r="AA871" s="123">
        <v>0.0</v>
      </c>
      <c r="AB871" s="123"/>
      <c r="AC871" s="123">
        <v>0.0</v>
      </c>
      <c r="AD871" s="44">
        <f t="shared" si="7"/>
        <v>-10000</v>
      </c>
      <c r="AE871" s="123">
        <v>0.0</v>
      </c>
    </row>
    <row r="872">
      <c r="A872" s="120">
        <v>2017.0</v>
      </c>
      <c r="B872" s="121">
        <v>6.0</v>
      </c>
      <c r="C872" s="122" t="s">
        <v>68</v>
      </c>
      <c r="D872" s="44"/>
      <c r="E872" s="123">
        <v>15229.24</v>
      </c>
      <c r="F872" s="123">
        <v>-10000.0</v>
      </c>
      <c r="G872" s="44"/>
      <c r="H872" s="123">
        <v>-3564.4</v>
      </c>
      <c r="I872" s="44"/>
      <c r="J872" s="44"/>
      <c r="K872" s="44"/>
      <c r="L872" s="123">
        <v>74060.29</v>
      </c>
      <c r="M872" s="44"/>
      <c r="N872" s="44"/>
      <c r="O872" s="123">
        <v>1218539.0</v>
      </c>
      <c r="P872" s="52">
        <f t="shared" si="23"/>
        <v>1218537.88</v>
      </c>
      <c r="Q872" s="124">
        <f t="shared" si="2"/>
        <v>1.12</v>
      </c>
      <c r="R872" s="52">
        <f t="array" ref="R872">IFERROR(INDEX('Fund YTD Target Values'!$1:$1000, MATCH($C872,'Fund YTD Target Values'!$A:$A,0), MATCH($A872,'Fund YTD Target Values'!$1:$1,0)),0)</f>
        <v>1851058.71</v>
      </c>
      <c r="S872" s="52">
        <f>IFERROR(__xludf.DUMMYFUNCTION("IFERROR(sum(FILTER('Fund Data'!$V:$V, 'Fund Data'!$C:$C = $C872, 'Fund Data'!$A:$A &lt; $A872)),0) + IFERROR(sum(FILTER('Fund Data'!$V:$V, 'Fund Data'!$C:$C = $C872, 'Fund Data'!$A:$A = $A872, 'Fund Data'!$B:$B &lt;= $B872)),0)"),1183929.39)</f>
        <v>1183929.39</v>
      </c>
      <c r="T872" s="123">
        <v>1140040.0</v>
      </c>
      <c r="U872" s="44">
        <f t="shared" si="85"/>
        <v>43889.39</v>
      </c>
      <c r="V872" s="44">
        <f t="shared" si="3"/>
        <v>0</v>
      </c>
      <c r="W872" s="123"/>
      <c r="X872" s="123"/>
      <c r="Y872" s="123">
        <v>0.0</v>
      </c>
      <c r="Z872" s="123">
        <v>0.0</v>
      </c>
      <c r="AA872" s="123">
        <v>0.0</v>
      </c>
      <c r="AB872" s="123"/>
      <c r="AC872" s="123">
        <v>0.0</v>
      </c>
      <c r="AD872" s="44">
        <f t="shared" si="7"/>
        <v>-10000</v>
      </c>
      <c r="AE872" s="123">
        <v>0.0</v>
      </c>
    </row>
    <row r="873">
      <c r="A873" s="168">
        <v>2017.0</v>
      </c>
      <c r="B873" s="169">
        <v>5.0</v>
      </c>
      <c r="C873" s="122" t="s">
        <v>68</v>
      </c>
      <c r="D873" s="44"/>
      <c r="E873" s="123">
        <v>14413.42</v>
      </c>
      <c r="F873" s="123">
        <v>-10000.0</v>
      </c>
      <c r="G873" s="44"/>
      <c r="H873" s="123">
        <v>-2956.55</v>
      </c>
      <c r="I873" s="44"/>
      <c r="J873" s="44"/>
      <c r="K873" s="44"/>
      <c r="L873" s="123">
        <v>71421.08</v>
      </c>
      <c r="M873" s="44"/>
      <c r="N873" s="44"/>
      <c r="O873" s="123">
        <v>1215692.0</v>
      </c>
      <c r="P873" s="52">
        <f t="shared" si="23"/>
        <v>1215690.7</v>
      </c>
      <c r="Q873" s="124">
        <f t="shared" si="2"/>
        <v>1.3</v>
      </c>
      <c r="R873" s="52">
        <f t="array" ref="R873">IFERROR(INDEX('Fund YTD Target Values'!$1:$1000, MATCH($C873,'Fund YTD Target Values'!$A:$A,0), MATCH($A873,'Fund YTD Target Values'!$1:$1,0)),0)</f>
        <v>1851058.71</v>
      </c>
      <c r="S873" s="52">
        <f>IFERROR(__xludf.DUMMYFUNCTION("IFERROR(sum(FILTER('Fund Data'!$V:$V, 'Fund Data'!$C:$C = $C873, 'Fund Data'!$A:$A &lt; $A873)),0) + IFERROR(sum(FILTER('Fund Data'!$V:$V, 'Fund Data'!$C:$C = $C873, 'Fund Data'!$A:$A = $A873, 'Fund Data'!$B:$B &lt;= $B873)),0)"),1183929.39)</f>
        <v>1183929.39</v>
      </c>
      <c r="T873" s="123">
        <v>1140040.0</v>
      </c>
      <c r="U873" s="44">
        <f t="shared" si="85"/>
        <v>43889.39</v>
      </c>
      <c r="V873" s="44">
        <f t="shared" si="3"/>
        <v>0</v>
      </c>
      <c r="W873" s="123"/>
      <c r="X873" s="123"/>
      <c r="Y873" s="123">
        <v>0.0</v>
      </c>
      <c r="Z873" s="123">
        <v>0.0</v>
      </c>
      <c r="AA873" s="123">
        <v>0.0</v>
      </c>
      <c r="AB873" s="123"/>
      <c r="AC873" s="123">
        <v>0.0</v>
      </c>
      <c r="AD873" s="44">
        <f t="shared" si="7"/>
        <v>-10000</v>
      </c>
      <c r="AE873" s="123">
        <v>0.0</v>
      </c>
    </row>
    <row r="874">
      <c r="A874" s="120">
        <v>2017.0</v>
      </c>
      <c r="B874" s="121">
        <v>4.0</v>
      </c>
      <c r="C874" s="122" t="s">
        <v>68</v>
      </c>
      <c r="D874" s="44"/>
      <c r="E874" s="123">
        <v>13626.17</v>
      </c>
      <c r="F874" s="44"/>
      <c r="G874" s="44"/>
      <c r="H874" s="123">
        <v>-2350.63</v>
      </c>
      <c r="I874" s="44"/>
      <c r="J874" s="44"/>
      <c r="K874" s="44"/>
      <c r="L874" s="123">
        <v>57738.16</v>
      </c>
      <c r="M874" s="44"/>
      <c r="N874" s="44"/>
      <c r="O874" s="123">
        <v>1211828.0</v>
      </c>
      <c r="P874" s="52">
        <f t="shared" si="23"/>
        <v>1211826.45</v>
      </c>
      <c r="Q874" s="124">
        <f t="shared" si="2"/>
        <v>1.55</v>
      </c>
      <c r="R874" s="52">
        <f t="array" ref="R874">IFERROR(INDEX('Fund YTD Target Values'!$1:$1000, MATCH($C874,'Fund YTD Target Values'!$A:$A,0), MATCH($A874,'Fund YTD Target Values'!$1:$1,0)),0)</f>
        <v>1851058.71</v>
      </c>
      <c r="S874" s="52">
        <f>IFERROR(__xludf.DUMMYFUNCTION("IFERROR(sum(FILTER('Fund Data'!$V:$V, 'Fund Data'!$C:$C = $C874, 'Fund Data'!$A:$A &lt; $A874)),0) + IFERROR(sum(FILTER('Fund Data'!$V:$V, 'Fund Data'!$C:$C = $C874, 'Fund Data'!$A:$A = $A874, 'Fund Data'!$B:$B &lt;= $B874)),0)"),1183929.39)</f>
        <v>1183929.39</v>
      </c>
      <c r="T874" s="123">
        <v>1140040.0</v>
      </c>
      <c r="U874" s="44">
        <f t="shared" si="85"/>
        <v>43889.39</v>
      </c>
      <c r="V874" s="44">
        <f t="shared" si="3"/>
        <v>0</v>
      </c>
      <c r="W874" s="123"/>
      <c r="X874" s="123"/>
      <c r="Y874" s="123">
        <v>0.0</v>
      </c>
      <c r="Z874" s="123">
        <v>0.0</v>
      </c>
      <c r="AA874" s="123">
        <v>0.0</v>
      </c>
      <c r="AB874" s="123"/>
      <c r="AC874" s="123">
        <v>0.0</v>
      </c>
      <c r="AD874" s="44">
        <f t="shared" si="7"/>
        <v>0</v>
      </c>
      <c r="AE874" s="123">
        <v>0.0</v>
      </c>
    </row>
    <row r="875">
      <c r="A875" s="120">
        <v>2017.0</v>
      </c>
      <c r="B875" s="121">
        <v>3.0</v>
      </c>
      <c r="C875" s="122" t="s">
        <v>68</v>
      </c>
      <c r="D875" s="44"/>
      <c r="E875" s="123">
        <v>10311.86</v>
      </c>
      <c r="F875" s="44"/>
      <c r="G875" s="44"/>
      <c r="H875" s="123">
        <v>-1752.15</v>
      </c>
      <c r="I875" s="44"/>
      <c r="J875" s="44"/>
      <c r="K875" s="44"/>
      <c r="L875" s="123">
        <v>45592.64</v>
      </c>
      <c r="M875" s="44"/>
      <c r="N875" s="44"/>
      <c r="O875" s="123">
        <v>1196966.0</v>
      </c>
      <c r="P875" s="52">
        <f t="shared" si="23"/>
        <v>1196965.1</v>
      </c>
      <c r="Q875" s="124">
        <f t="shared" si="2"/>
        <v>0.9000000001</v>
      </c>
      <c r="R875" s="52">
        <f t="array" ref="R875">IFERROR(INDEX('Fund YTD Target Values'!$1:$1000, MATCH($C875,'Fund YTD Target Values'!$A:$A,0), MATCH($A875,'Fund YTD Target Values'!$1:$1,0)),0)</f>
        <v>1851058.71</v>
      </c>
      <c r="S875" s="52">
        <f>IFERROR(__xludf.DUMMYFUNCTION("IFERROR(sum(FILTER('Fund Data'!$V:$V, 'Fund Data'!$C:$C = $C875, 'Fund Data'!$A:$A &lt; $A875)),0) + IFERROR(sum(FILTER('Fund Data'!$V:$V, 'Fund Data'!$C:$C = $C875, 'Fund Data'!$A:$A = $A875, 'Fund Data'!$B:$B &lt;= $B875)),0)"),1183929.39)</f>
        <v>1183929.39</v>
      </c>
      <c r="T875" s="123">
        <v>1140040.0</v>
      </c>
      <c r="U875" s="44">
        <f t="shared" si="85"/>
        <v>43889.39</v>
      </c>
      <c r="V875" s="44">
        <f t="shared" si="3"/>
        <v>0</v>
      </c>
      <c r="W875" s="123"/>
      <c r="X875" s="123"/>
      <c r="Y875" s="123">
        <v>0.0</v>
      </c>
      <c r="Z875" s="123">
        <v>0.0</v>
      </c>
      <c r="AA875" s="123">
        <v>0.0</v>
      </c>
      <c r="AB875" s="123"/>
      <c r="AC875" s="123">
        <v>0.0</v>
      </c>
      <c r="AD875" s="44">
        <f t="shared" si="7"/>
        <v>0</v>
      </c>
      <c r="AE875" s="123">
        <v>0.0</v>
      </c>
    </row>
    <row r="876">
      <c r="A876" s="168">
        <v>2017.0</v>
      </c>
      <c r="B876" s="169">
        <v>2.0</v>
      </c>
      <c r="C876" s="122" t="s">
        <v>68</v>
      </c>
      <c r="D876" s="44"/>
      <c r="E876" s="123">
        <v>9511.72</v>
      </c>
      <c r="F876" s="44"/>
      <c r="G876" s="44"/>
      <c r="H876" s="123">
        <v>-1155.91</v>
      </c>
      <c r="I876" s="44"/>
      <c r="J876" s="44"/>
      <c r="K876" s="44"/>
      <c r="L876" s="123">
        <v>41322.07</v>
      </c>
      <c r="M876" s="44"/>
      <c r="N876" s="44"/>
      <c r="O876" s="123">
        <v>1192492.0</v>
      </c>
      <c r="P876" s="52">
        <f t="shared" si="23"/>
        <v>1192490.63</v>
      </c>
      <c r="Q876" s="124">
        <f t="shared" si="2"/>
        <v>1.37</v>
      </c>
      <c r="R876" s="52">
        <f t="array" ref="R876">IFERROR(INDEX('Fund YTD Target Values'!$1:$1000, MATCH($C876,'Fund YTD Target Values'!$A:$A,0), MATCH($A876,'Fund YTD Target Values'!$1:$1,0)),0)</f>
        <v>1851058.71</v>
      </c>
      <c r="S876" s="52">
        <f>IFERROR(__xludf.DUMMYFUNCTION("IFERROR(sum(FILTER('Fund Data'!$V:$V, 'Fund Data'!$C:$C = $C876, 'Fund Data'!$A:$A &lt; $A876)),0) + IFERROR(sum(FILTER('Fund Data'!$V:$V, 'Fund Data'!$C:$C = $C876, 'Fund Data'!$A:$A = $A876, 'Fund Data'!$B:$B &lt;= $B876)),0)"),1183929.39)</f>
        <v>1183929.39</v>
      </c>
      <c r="T876" s="123">
        <v>1140040.0</v>
      </c>
      <c r="U876" s="44">
        <f t="shared" si="85"/>
        <v>43889.39</v>
      </c>
      <c r="V876" s="44">
        <f t="shared" si="3"/>
        <v>0</v>
      </c>
      <c r="W876" s="123"/>
      <c r="X876" s="123"/>
      <c r="Y876" s="123">
        <v>0.0</v>
      </c>
      <c r="Z876" s="123">
        <v>0.0</v>
      </c>
      <c r="AA876" s="123">
        <v>0.0</v>
      </c>
      <c r="AB876" s="123"/>
      <c r="AC876" s="123">
        <v>0.0</v>
      </c>
      <c r="AD876" s="44">
        <f t="shared" si="7"/>
        <v>0</v>
      </c>
      <c r="AE876" s="123">
        <v>0.0</v>
      </c>
    </row>
    <row r="877">
      <c r="A877" s="168">
        <v>2017.0</v>
      </c>
      <c r="B877" s="169">
        <v>1.0</v>
      </c>
      <c r="C877" s="122" t="s">
        <v>68</v>
      </c>
      <c r="D877" s="44"/>
      <c r="E877" s="123">
        <v>8687.13</v>
      </c>
      <c r="F877" s="44"/>
      <c r="G877" s="44"/>
      <c r="H877" s="123">
        <v>-571.41</v>
      </c>
      <c r="I877" s="44"/>
      <c r="J877" s="44"/>
      <c r="K877" s="44"/>
      <c r="L877" s="123">
        <v>18064.53</v>
      </c>
      <c r="M877" s="44"/>
      <c r="N877" s="44"/>
      <c r="O877" s="123">
        <v>1168994.0</v>
      </c>
      <c r="P877" s="52">
        <f t="shared" si="23"/>
        <v>1168993</v>
      </c>
      <c r="Q877" s="124">
        <f t="shared" si="2"/>
        <v>1</v>
      </c>
      <c r="R877" s="52">
        <f t="array" ref="R877">IFERROR(INDEX('Fund YTD Target Values'!$1:$1000, MATCH($C877,'Fund YTD Target Values'!$A:$A,0), MATCH($A877,'Fund YTD Target Values'!$1:$1,0)),0)</f>
        <v>1851058.71</v>
      </c>
      <c r="S877" s="52">
        <f>IFERROR(__xludf.DUMMYFUNCTION("IFERROR(sum(FILTER('Fund Data'!$V:$V, 'Fund Data'!$C:$C = $C877, 'Fund Data'!$A:$A &lt; $A877)),0) + IFERROR(sum(FILTER('Fund Data'!$V:$V, 'Fund Data'!$C:$C = $C877, 'Fund Data'!$A:$A = $A877, 'Fund Data'!$B:$B &lt;= $B877)),0)"),1183929.39)</f>
        <v>1183929.39</v>
      </c>
      <c r="T877" s="123">
        <v>1140040.0</v>
      </c>
      <c r="U877" s="44">
        <f t="shared" si="85"/>
        <v>43889.39</v>
      </c>
      <c r="V877" s="44">
        <f t="shared" si="3"/>
        <v>0</v>
      </c>
      <c r="W877" s="123"/>
      <c r="X877" s="123"/>
      <c r="Y877" s="123">
        <v>0.0</v>
      </c>
      <c r="Z877" s="123">
        <v>0.0</v>
      </c>
      <c r="AA877" s="123">
        <v>0.0</v>
      </c>
      <c r="AB877" s="123"/>
      <c r="AC877" s="123">
        <v>0.0</v>
      </c>
      <c r="AD877" s="44">
        <f t="shared" si="7"/>
        <v>0</v>
      </c>
      <c r="AE877" s="123">
        <v>0.0</v>
      </c>
    </row>
    <row r="878">
      <c r="A878" s="120">
        <v>2016.0</v>
      </c>
      <c r="B878" s="121">
        <v>12.0</v>
      </c>
      <c r="C878" s="122" t="s">
        <v>68</v>
      </c>
      <c r="D878" s="44"/>
      <c r="E878" s="123">
        <v>25257.14</v>
      </c>
      <c r="F878" s="123">
        <v>-72000.0</v>
      </c>
      <c r="G878" s="123"/>
      <c r="H878" s="123">
        <v>-6942.72</v>
      </c>
      <c r="I878" s="44"/>
      <c r="J878" s="123">
        <v>13219.9</v>
      </c>
      <c r="K878" s="44"/>
      <c r="L878" s="123">
        <v>38376.85</v>
      </c>
      <c r="M878" s="44"/>
      <c r="N878" s="44"/>
      <c r="O878" s="123">
        <v>1142814.0</v>
      </c>
      <c r="P878" s="52">
        <f t="shared" si="23"/>
        <v>1142812.75</v>
      </c>
      <c r="Q878" s="124">
        <f t="shared" si="2"/>
        <v>1.25</v>
      </c>
      <c r="R878" s="52">
        <f t="array" ref="R878">IFERROR(INDEX('Fund YTD Target Values'!$1:$1000, MATCH($C878,'Fund YTD Target Values'!$A:$A,0), MATCH($A878,'Fund YTD Target Values'!$1:$1,0)),0)</f>
        <v>1812424.793</v>
      </c>
      <c r="S878" s="52">
        <f>IFERROR(__xludf.DUMMYFUNCTION("IFERROR(sum(FILTER('Fund Data'!$V:$V, 'Fund Data'!$C:$C = $C878, 'Fund Data'!$A:$A &lt; $A878)),0) + IFERROR(sum(FILTER('Fund Data'!$V:$V, 'Fund Data'!$C:$C = $C878, 'Fund Data'!$A:$A = $A878, 'Fund Data'!$B:$B &lt;= $B878)),0)"),1183929.39)</f>
        <v>1183929.39</v>
      </c>
      <c r="T878" s="123">
        <v>1140040.0</v>
      </c>
      <c r="U878" s="44">
        <f t="shared" si="85"/>
        <v>43889.39</v>
      </c>
      <c r="V878" s="44">
        <f t="shared" si="3"/>
        <v>0</v>
      </c>
      <c r="W878" s="123"/>
      <c r="X878" s="123"/>
      <c r="Y878" s="123">
        <v>0.0</v>
      </c>
      <c r="Z878" s="123">
        <v>0.0</v>
      </c>
      <c r="AA878" s="123">
        <v>0.0</v>
      </c>
      <c r="AB878" s="123"/>
      <c r="AC878" s="123">
        <v>0.0</v>
      </c>
      <c r="AD878" s="44">
        <f t="shared" si="7"/>
        <v>-72000</v>
      </c>
      <c r="AE878" s="123">
        <v>0.0</v>
      </c>
    </row>
    <row r="879">
      <c r="A879" s="120">
        <v>2015.0</v>
      </c>
      <c r="B879" s="121">
        <v>12.0</v>
      </c>
      <c r="C879" s="122" t="s">
        <v>68</v>
      </c>
      <c r="D879" s="44"/>
      <c r="E879" s="123">
        <v>28785.36</v>
      </c>
      <c r="F879" s="123">
        <v>-65000.0</v>
      </c>
      <c r="G879" s="123"/>
      <c r="H879" s="123">
        <v>-7326.14</v>
      </c>
      <c r="I879" s="44"/>
      <c r="J879" s="123">
        <v>11251.61</v>
      </c>
      <c r="K879" s="44"/>
      <c r="L879" s="123">
        <v>-63355.39</v>
      </c>
      <c r="M879" s="44"/>
      <c r="N879" s="44"/>
      <c r="O879" s="123">
        <v>1144903.0</v>
      </c>
      <c r="P879" s="52">
        <f t="shared" si="23"/>
        <v>1144901.58</v>
      </c>
      <c r="Q879" s="124">
        <f t="shared" si="2"/>
        <v>1.42</v>
      </c>
      <c r="R879" s="52">
        <f t="array" ref="R879">IFERROR(INDEX('Fund YTD Target Values'!$1:$1000, MATCH($C879,'Fund YTD Target Values'!$A:$A,0), MATCH($A879,'Fund YTD Target Values'!$1:$1,0)),0)</f>
        <v>1789839.81</v>
      </c>
      <c r="S879" s="52">
        <f>IFERROR(__xludf.DUMMYFUNCTION("IFERROR(sum(FILTER('Fund Data'!$V:$V, 'Fund Data'!$C:$C = $C879, 'Fund Data'!$A:$A &lt; $A879)),0) + IFERROR(sum(FILTER('Fund Data'!$V:$V, 'Fund Data'!$C:$C = $C879, 'Fund Data'!$A:$A = $A879, 'Fund Data'!$B:$B &lt;= $B879)),0)"),1183929.39)</f>
        <v>1183929.39</v>
      </c>
      <c r="T879" s="123">
        <v>1140040.0</v>
      </c>
      <c r="U879" s="44">
        <f t="shared" si="85"/>
        <v>43889.39</v>
      </c>
      <c r="V879" s="44">
        <f t="shared" si="3"/>
        <v>0</v>
      </c>
      <c r="W879" s="123"/>
      <c r="X879" s="123"/>
      <c r="Y879" s="123">
        <v>0.0</v>
      </c>
      <c r="Z879" s="123">
        <v>0.0</v>
      </c>
      <c r="AA879" s="123">
        <v>0.0</v>
      </c>
      <c r="AB879" s="123"/>
      <c r="AC879" s="123">
        <v>0.0</v>
      </c>
      <c r="AD879" s="44">
        <f t="shared" si="7"/>
        <v>-65000</v>
      </c>
      <c r="AE879" s="123">
        <v>0.0</v>
      </c>
    </row>
    <row r="880">
      <c r="A880" s="120">
        <v>2014.0</v>
      </c>
      <c r="B880" s="121">
        <v>12.0</v>
      </c>
      <c r="C880" s="122" t="s">
        <v>68</v>
      </c>
      <c r="D880" s="44"/>
      <c r="E880" s="123">
        <v>23956.08</v>
      </c>
      <c r="F880" s="123">
        <v>-50000.0</v>
      </c>
      <c r="G880" s="123"/>
      <c r="H880" s="123">
        <v>-7679.36</v>
      </c>
      <c r="I880" s="44"/>
      <c r="J880" s="123">
        <v>9355.46</v>
      </c>
      <c r="K880" s="44"/>
      <c r="L880" s="123">
        <v>-2897.28</v>
      </c>
      <c r="M880" s="44"/>
      <c r="N880" s="44"/>
      <c r="O880" s="123">
        <v>1240547.0</v>
      </c>
      <c r="P880" s="52">
        <f t="shared" si="23"/>
        <v>1240546.14</v>
      </c>
      <c r="Q880" s="124">
        <f t="shared" si="2"/>
        <v>0.8600000001</v>
      </c>
      <c r="R880" s="52">
        <f t="array" ref="R880">IFERROR(INDEX('Fund YTD Target Values'!$1:$1000, MATCH($C880,'Fund YTD Target Values'!$A:$A,0), MATCH($A880,'Fund YTD Target Values'!$1:$1,0)),0)</f>
        <v>1787714.225</v>
      </c>
      <c r="S880" s="52">
        <f>IFERROR(__xludf.DUMMYFUNCTION("IFERROR(sum(FILTER('Fund Data'!$V:$V, 'Fund Data'!$C:$C = $C880, 'Fund Data'!$A:$A &lt; $A880)),0) + IFERROR(sum(FILTER('Fund Data'!$V:$V, 'Fund Data'!$C:$C = $C880, 'Fund Data'!$A:$A = $A880, 'Fund Data'!$B:$B &lt;= $B880)),0)"),1183929.39)</f>
        <v>1183929.39</v>
      </c>
      <c r="T880" s="123">
        <v>1140040.0</v>
      </c>
      <c r="U880" s="44">
        <f t="shared" si="85"/>
        <v>43889.39</v>
      </c>
      <c r="V880" s="44">
        <f t="shared" si="3"/>
        <v>0</v>
      </c>
      <c r="W880" s="123"/>
      <c r="X880" s="123"/>
      <c r="Y880" s="123">
        <v>0.0</v>
      </c>
      <c r="Z880" s="123">
        <v>0.0</v>
      </c>
      <c r="AA880" s="123">
        <v>0.0</v>
      </c>
      <c r="AB880" s="123"/>
      <c r="AC880" s="123">
        <v>0.0</v>
      </c>
      <c r="AD880" s="44">
        <f t="shared" si="7"/>
        <v>-50000</v>
      </c>
      <c r="AE880" s="123">
        <v>0.0</v>
      </c>
    </row>
    <row r="881">
      <c r="A881" s="120">
        <v>2013.0</v>
      </c>
      <c r="B881" s="121">
        <v>12.0</v>
      </c>
      <c r="C881" s="122" t="s">
        <v>68</v>
      </c>
      <c r="D881" s="44"/>
      <c r="E881" s="123">
        <v>25687.15</v>
      </c>
      <c r="F881" s="123">
        <v>-67300.0</v>
      </c>
      <c r="G881" s="123"/>
      <c r="H881" s="123">
        <v>-7391.01</v>
      </c>
      <c r="I881" s="44"/>
      <c r="J881" s="123">
        <v>7116.01</v>
      </c>
      <c r="K881" s="44"/>
      <c r="L881" s="123">
        <v>101808.08</v>
      </c>
      <c r="M881" s="44"/>
      <c r="N881" s="44"/>
      <c r="O881" s="123">
        <v>1267813.0</v>
      </c>
      <c r="P881" s="52">
        <f t="shared" si="23"/>
        <v>1267811.24</v>
      </c>
      <c r="Q881" s="124">
        <f t="shared" si="2"/>
        <v>1.76</v>
      </c>
      <c r="R881" s="52">
        <f t="array" ref="R881">IFERROR(INDEX('Fund YTD Target Values'!$1:$1000, MATCH($C881,'Fund YTD Target Values'!$A:$A,0), MATCH($A881,'Fund YTD Target Values'!$1:$1,0)),0)</f>
        <v>1759181.968</v>
      </c>
      <c r="S881" s="52">
        <f>IFERROR(__xludf.DUMMYFUNCTION("IFERROR(sum(FILTER('Fund Data'!$V:$V, 'Fund Data'!$C:$C = $C881, 'Fund Data'!$A:$A &lt; $A881)),0) + IFERROR(sum(FILTER('Fund Data'!$V:$V, 'Fund Data'!$C:$C = $C881, 'Fund Data'!$A:$A = $A881, 'Fund Data'!$B:$B &lt;= $B881)),0)"),1183929.39)</f>
        <v>1183929.39</v>
      </c>
      <c r="T881" s="123">
        <v>1140040.0</v>
      </c>
      <c r="U881" s="44">
        <f t="shared" si="85"/>
        <v>43889.39</v>
      </c>
      <c r="V881" s="44">
        <f t="shared" si="3"/>
        <v>0</v>
      </c>
      <c r="W881" s="123"/>
      <c r="X881" s="123"/>
      <c r="Y881" s="123">
        <v>0.0</v>
      </c>
      <c r="Z881" s="123">
        <v>0.0</v>
      </c>
      <c r="AA881" s="123">
        <v>0.0</v>
      </c>
      <c r="AB881" s="123"/>
      <c r="AC881" s="123">
        <v>0.0</v>
      </c>
      <c r="AD881" s="44">
        <f t="shared" si="7"/>
        <v>-67300</v>
      </c>
      <c r="AE881" s="123">
        <v>0.0</v>
      </c>
    </row>
    <row r="882">
      <c r="A882" s="120">
        <v>2012.0</v>
      </c>
      <c r="B882" s="121">
        <v>12.0</v>
      </c>
      <c r="C882" s="122" t="s">
        <v>68</v>
      </c>
      <c r="D882" s="44"/>
      <c r="E882" s="123">
        <v>25358.67</v>
      </c>
      <c r="F882" s="123">
        <v>-110000.0</v>
      </c>
      <c r="G882" s="123"/>
      <c r="H882" s="123">
        <v>-7451.55</v>
      </c>
      <c r="I882" s="44"/>
      <c r="J882" s="123">
        <v>16181.62</v>
      </c>
      <c r="K882" s="123">
        <v>-179.37</v>
      </c>
      <c r="L882" s="123">
        <v>108284.15</v>
      </c>
      <c r="M882" s="44"/>
      <c r="N882" s="44"/>
      <c r="O882" s="123">
        <v>1207892.0</v>
      </c>
      <c r="P882" s="52">
        <f t="shared" si="23"/>
        <v>1207891.01</v>
      </c>
      <c r="Q882" s="124">
        <f t="shared" si="2"/>
        <v>0.9900000002</v>
      </c>
      <c r="R882" s="52">
        <f t="array" ref="R882">IFERROR(INDEX('Fund YTD Target Values'!$1:$1000, MATCH($C882,'Fund YTD Target Values'!$A:$A,0), MATCH($A882,'Fund YTD Target Values'!$1:$1,0)),0)</f>
        <v>1733764.196</v>
      </c>
      <c r="S882" s="52">
        <f>IFERROR(__xludf.DUMMYFUNCTION("IFERROR(sum(FILTER('Fund Data'!$V:$V, 'Fund Data'!$C:$C = $C882, 'Fund Data'!$A:$A &lt; $A882)),0) + IFERROR(sum(FILTER('Fund Data'!$V:$V, 'Fund Data'!$C:$C = $C882, 'Fund Data'!$A:$A = $A882, 'Fund Data'!$B:$B &lt;= $B882)),0)"),1183929.39)</f>
        <v>1183929.39</v>
      </c>
      <c r="T882" s="123">
        <v>1140040.0</v>
      </c>
      <c r="U882" s="44">
        <f t="shared" si="85"/>
        <v>43889.39</v>
      </c>
      <c r="V882" s="44">
        <f t="shared" si="3"/>
        <v>0</v>
      </c>
      <c r="W882" s="123"/>
      <c r="X882" s="123"/>
      <c r="Y882" s="123">
        <v>0.0</v>
      </c>
      <c r="Z882" s="123">
        <v>0.0</v>
      </c>
      <c r="AA882" s="123">
        <v>0.0</v>
      </c>
      <c r="AB882" s="123"/>
      <c r="AC882" s="123">
        <v>0.0</v>
      </c>
      <c r="AD882" s="44">
        <f t="shared" si="7"/>
        <v>-110000</v>
      </c>
      <c r="AE882" s="123">
        <v>0.0</v>
      </c>
    </row>
    <row r="883">
      <c r="A883" s="120">
        <v>2011.0</v>
      </c>
      <c r="B883" s="121">
        <v>12.0</v>
      </c>
      <c r="C883" s="122" t="s">
        <v>68</v>
      </c>
      <c r="D883" s="44"/>
      <c r="E883" s="123">
        <v>21533.73</v>
      </c>
      <c r="F883" s="123">
        <v>-40000.0</v>
      </c>
      <c r="G883" s="123"/>
      <c r="H883" s="123">
        <v>-7638.65</v>
      </c>
      <c r="I883" s="44"/>
      <c r="J883" s="123">
        <v>5386.46</v>
      </c>
      <c r="K883" s="44"/>
      <c r="L883" s="123">
        <v>-83467.19</v>
      </c>
      <c r="M883" s="44"/>
      <c r="N883" s="44"/>
      <c r="O883" s="123">
        <v>1175698.0</v>
      </c>
      <c r="P883" s="52">
        <f t="shared" si="23"/>
        <v>1175697.49</v>
      </c>
      <c r="Q883" s="124">
        <f t="shared" si="2"/>
        <v>0.51</v>
      </c>
      <c r="R883" s="52">
        <f t="array" ref="R883">IFERROR(INDEX('Fund YTD Target Values'!$1:$1000, MATCH($C883,'Fund YTD Target Values'!$A:$A,0), MATCH($A883,'Fund YTD Target Values'!$1:$1,0)),0)</f>
        <v>1698549.981</v>
      </c>
      <c r="S883" s="52">
        <f>IFERROR(__xludf.DUMMYFUNCTION("IFERROR(sum(FILTER('Fund Data'!$V:$V, 'Fund Data'!$C:$C = $C883, 'Fund Data'!$A:$A &lt; $A883)),0) + IFERROR(sum(FILTER('Fund Data'!$V:$V, 'Fund Data'!$C:$C = $C883, 'Fund Data'!$A:$A = $A883, 'Fund Data'!$B:$B &lt;= $B883)),0)"),1183929.39)</f>
        <v>1183929.39</v>
      </c>
      <c r="T883" s="123">
        <v>1140040.0</v>
      </c>
      <c r="U883" s="44">
        <f t="shared" si="85"/>
        <v>43889.39</v>
      </c>
      <c r="V883" s="44">
        <f t="shared" si="3"/>
        <v>0</v>
      </c>
      <c r="W883" s="123"/>
      <c r="X883" s="123"/>
      <c r="Y883" s="123">
        <v>0.0</v>
      </c>
      <c r="Z883" s="123">
        <v>0.0</v>
      </c>
      <c r="AA883" s="123">
        <v>0.0</v>
      </c>
      <c r="AB883" s="123"/>
      <c r="AC883" s="123">
        <v>0.0</v>
      </c>
      <c r="AD883" s="44">
        <f t="shared" si="7"/>
        <v>-40000</v>
      </c>
      <c r="AE883" s="123">
        <v>0.0</v>
      </c>
    </row>
    <row r="884">
      <c r="A884" s="120">
        <v>2010.0</v>
      </c>
      <c r="B884" s="121">
        <v>12.0</v>
      </c>
      <c r="C884" s="122" t="s">
        <v>68</v>
      </c>
      <c r="D884" s="44"/>
      <c r="E884" s="123">
        <v>25620.9</v>
      </c>
      <c r="F884" s="123">
        <v>-85000.0</v>
      </c>
      <c r="G884" s="123"/>
      <c r="H884" s="123">
        <v>-7259.03</v>
      </c>
      <c r="I884" s="44"/>
      <c r="J884" s="123">
        <v>9000.66</v>
      </c>
      <c r="K884" s="44"/>
      <c r="L884" s="123">
        <v>131084.4</v>
      </c>
      <c r="M884" s="44"/>
      <c r="N884" s="44"/>
      <c r="O884" s="123">
        <v>1279884.0</v>
      </c>
      <c r="P884" s="52">
        <f t="shared" si="23"/>
        <v>1279883.14</v>
      </c>
      <c r="Q884" s="124">
        <f t="shared" si="2"/>
        <v>0.8600000001</v>
      </c>
      <c r="R884" s="52">
        <f t="array" ref="R884">IFERROR(INDEX('Fund YTD Target Values'!$1:$1000, MATCH($C884,'Fund YTD Target Values'!$A:$A,0), MATCH($A884,'Fund YTD Target Values'!$1:$1,0)),0)</f>
        <v>1646596.544</v>
      </c>
      <c r="S884" s="52">
        <f>IFERROR(__xludf.DUMMYFUNCTION("IFERROR(sum(FILTER('Fund Data'!$V:$V, 'Fund Data'!$C:$C = $C884, 'Fund Data'!$A:$A &lt; $A884)),0) + IFERROR(sum(FILTER('Fund Data'!$V:$V, 'Fund Data'!$C:$C = $C884, 'Fund Data'!$A:$A = $A884, 'Fund Data'!$B:$B &lt;= $B884)),0)"),1183929.39)</f>
        <v>1183929.39</v>
      </c>
      <c r="T884" s="123">
        <v>1140040.0</v>
      </c>
      <c r="U884" s="44">
        <f t="shared" si="85"/>
        <v>43889.39</v>
      </c>
      <c r="V884" s="44">
        <f t="shared" si="3"/>
        <v>0</v>
      </c>
      <c r="W884" s="123"/>
      <c r="X884" s="123"/>
      <c r="Y884" s="123">
        <v>0.0</v>
      </c>
      <c r="Z884" s="123">
        <v>0.0</v>
      </c>
      <c r="AA884" s="123">
        <v>0.0</v>
      </c>
      <c r="AB884" s="123"/>
      <c r="AC884" s="123">
        <v>0.0</v>
      </c>
      <c r="AD884" s="44">
        <f t="shared" si="7"/>
        <v>-85000</v>
      </c>
      <c r="AE884" s="123">
        <v>0.0</v>
      </c>
    </row>
    <row r="885">
      <c r="A885" s="120">
        <v>2009.0</v>
      </c>
      <c r="B885" s="121">
        <v>12.0</v>
      </c>
      <c r="C885" s="122" t="s">
        <v>68</v>
      </c>
      <c r="D885" s="44"/>
      <c r="E885" s="123">
        <v>31639.05</v>
      </c>
      <c r="F885" s="123">
        <v>-20000.0</v>
      </c>
      <c r="G885" s="123"/>
      <c r="H885" s="123">
        <v>-6402.28</v>
      </c>
      <c r="I885" s="44"/>
      <c r="J885" s="123">
        <v>268.03</v>
      </c>
      <c r="K885" s="123">
        <v>-9.72</v>
      </c>
      <c r="L885" s="123">
        <v>188123.96</v>
      </c>
      <c r="M885" s="44"/>
      <c r="N885" s="44"/>
      <c r="O885" s="123">
        <v>1206437.0</v>
      </c>
      <c r="P885" s="52">
        <f t="shared" si="23"/>
        <v>1206436.21</v>
      </c>
      <c r="Q885" s="124">
        <f t="shared" si="2"/>
        <v>0.7900000003</v>
      </c>
      <c r="R885" s="52">
        <f t="array" ref="R885">IFERROR(INDEX('Fund YTD Target Values'!$1:$1000, MATCH($C885,'Fund YTD Target Values'!$A:$A,0), MATCH($A885,'Fund YTD Target Values'!$1:$1,0)),0)</f>
        <v>1619959.238</v>
      </c>
      <c r="S885" s="52">
        <f>IFERROR(__xludf.DUMMYFUNCTION("IFERROR(sum(FILTER('Fund Data'!$V:$V, 'Fund Data'!$C:$C = $C885, 'Fund Data'!$A:$A &lt; $A885)),0) + IFERROR(sum(FILTER('Fund Data'!$V:$V, 'Fund Data'!$C:$C = $C885, 'Fund Data'!$A:$A = $A885, 'Fund Data'!$B:$B &lt;= $B885)),0)"),1183929.39)</f>
        <v>1183929.39</v>
      </c>
      <c r="T885" s="123">
        <v>1140040.0</v>
      </c>
      <c r="U885" s="44">
        <f t="shared" si="85"/>
        <v>43889.39</v>
      </c>
      <c r="V885" s="44">
        <f t="shared" si="3"/>
        <v>0</v>
      </c>
      <c r="W885" s="123"/>
      <c r="X885" s="123"/>
      <c r="Y885" s="123">
        <v>0.0</v>
      </c>
      <c r="Z885" s="123">
        <v>0.0</v>
      </c>
      <c r="AA885" s="123">
        <v>0.0</v>
      </c>
      <c r="AB885" s="123"/>
      <c r="AC885" s="123">
        <v>0.0</v>
      </c>
      <c r="AD885" s="44">
        <f t="shared" si="7"/>
        <v>-20000</v>
      </c>
      <c r="AE885" s="123">
        <v>0.0</v>
      </c>
    </row>
    <row r="886">
      <c r="A886" s="120">
        <v>2008.0</v>
      </c>
      <c r="B886" s="121">
        <v>12.0</v>
      </c>
      <c r="C886" s="122" t="s">
        <v>68</v>
      </c>
      <c r="D886" s="44"/>
      <c r="E886" s="123">
        <v>32997.19</v>
      </c>
      <c r="F886" s="123">
        <v>-85000.0</v>
      </c>
      <c r="G886" s="123"/>
      <c r="H886" s="123">
        <v>-7419.93</v>
      </c>
      <c r="I886" s="44"/>
      <c r="J886" s="123">
        <v>8493.7</v>
      </c>
      <c r="K886" s="44"/>
      <c r="L886" s="123">
        <v>-347732.21</v>
      </c>
      <c r="M886" s="44"/>
      <c r="N886" s="44"/>
      <c r="O886" s="123">
        <v>1012818.0</v>
      </c>
      <c r="P886" s="52">
        <f t="shared" si="23"/>
        <v>1012817.17</v>
      </c>
      <c r="Q886" s="124">
        <f t="shared" si="2"/>
        <v>0.8299999998</v>
      </c>
      <c r="R886" s="52">
        <f t="array" ref="R886">IFERROR(INDEX('Fund YTD Target Values'!$1:$1000, MATCH($C886,'Fund YTD Target Values'!$A:$A,0), MATCH($A886,'Fund YTD Target Values'!$1:$1,0)),0)</f>
        <v>1625450.008</v>
      </c>
      <c r="S886" s="52">
        <f>IFERROR(__xludf.DUMMYFUNCTION("IFERROR(sum(FILTER('Fund Data'!$V:$V, 'Fund Data'!$C:$C = $C886, 'Fund Data'!$A:$A &lt; $A886)),0) + IFERROR(sum(FILTER('Fund Data'!$V:$V, 'Fund Data'!$C:$C = $C886, 'Fund Data'!$A:$A = $A886, 'Fund Data'!$B:$B &lt;= $B886)),0)"),1183929.39)</f>
        <v>1183929.39</v>
      </c>
      <c r="T886" s="123">
        <v>1140040.0</v>
      </c>
      <c r="U886" s="44">
        <f t="shared" si="85"/>
        <v>43889.39</v>
      </c>
      <c r="V886" s="44">
        <f t="shared" si="3"/>
        <v>0</v>
      </c>
      <c r="W886" s="123"/>
      <c r="X886" s="123"/>
      <c r="Y886" s="123">
        <v>0.0</v>
      </c>
      <c r="Z886" s="123">
        <v>0.0</v>
      </c>
      <c r="AA886" s="123">
        <v>0.0</v>
      </c>
      <c r="AB886" s="123"/>
      <c r="AC886" s="123">
        <v>0.0</v>
      </c>
      <c r="AD886" s="44">
        <f t="shared" si="7"/>
        <v>-85000</v>
      </c>
      <c r="AE886" s="123">
        <v>0.0</v>
      </c>
    </row>
    <row r="887">
      <c r="A887" s="120">
        <v>2007.0</v>
      </c>
      <c r="B887" s="121">
        <v>12.0</v>
      </c>
      <c r="C887" s="122" t="s">
        <v>68</v>
      </c>
      <c r="D887" s="44"/>
      <c r="E887" s="123">
        <v>22541.42</v>
      </c>
      <c r="F887" s="123">
        <v>-150000.0</v>
      </c>
      <c r="G887" s="123"/>
      <c r="H887" s="123">
        <v>-8702.54</v>
      </c>
      <c r="I887" s="44"/>
      <c r="J887" s="123">
        <v>21898.43</v>
      </c>
      <c r="K887" s="44"/>
      <c r="L887" s="123">
        <v>103465.01</v>
      </c>
      <c r="M887" s="123">
        <v>-6.0</v>
      </c>
      <c r="N887" s="44"/>
      <c r="O887" s="123">
        <v>1411479.0</v>
      </c>
      <c r="P887" s="52">
        <f t="shared" si="23"/>
        <v>1411478.42</v>
      </c>
      <c r="Q887" s="124">
        <f t="shared" si="2"/>
        <v>0.5800000001</v>
      </c>
      <c r="R887" s="52">
        <f t="array" ref="R887">IFERROR(INDEX('Fund YTD Target Values'!$1:$1000, MATCH($C887,'Fund YTD Target Values'!$A:$A,0), MATCH($A887,'Fund YTD Target Values'!$1:$1,0)),0)</f>
        <v>1565256.008</v>
      </c>
      <c r="S887" s="52">
        <f>IFERROR(__xludf.DUMMYFUNCTION("IFERROR(sum(FILTER('Fund Data'!$V:$V, 'Fund Data'!$C:$C = $C887, 'Fund Data'!$A:$A &lt; $A887)),0) + IFERROR(sum(FILTER('Fund Data'!$V:$V, 'Fund Data'!$C:$C = $C887, 'Fund Data'!$A:$A = $A887, 'Fund Data'!$B:$B &lt;= $B887)),0)"),1183929.39)</f>
        <v>1183929.39</v>
      </c>
      <c r="T887" s="123">
        <v>1140040.0</v>
      </c>
      <c r="U887" s="44">
        <f t="shared" si="85"/>
        <v>43889.39</v>
      </c>
      <c r="V887" s="44">
        <f t="shared" si="3"/>
        <v>0</v>
      </c>
      <c r="W887" s="123"/>
      <c r="X887" s="123"/>
      <c r="Y887" s="123">
        <v>0.0</v>
      </c>
      <c r="Z887" s="123">
        <v>0.0</v>
      </c>
      <c r="AA887" s="123">
        <v>0.0</v>
      </c>
      <c r="AB887" s="123"/>
      <c r="AC887" s="123">
        <v>0.0</v>
      </c>
      <c r="AD887" s="44">
        <f t="shared" si="7"/>
        <v>-150000</v>
      </c>
      <c r="AE887" s="123">
        <v>0.0</v>
      </c>
    </row>
    <row r="888">
      <c r="A888" s="120">
        <v>2006.0</v>
      </c>
      <c r="B888" s="121">
        <v>12.0</v>
      </c>
      <c r="C888" s="122" t="s">
        <v>68</v>
      </c>
      <c r="D888" s="44"/>
      <c r="E888" s="123">
        <v>22484.91</v>
      </c>
      <c r="F888" s="123">
        <v>-115000.0</v>
      </c>
      <c r="G888" s="123"/>
      <c r="H888" s="123">
        <v>-8443.01</v>
      </c>
      <c r="I888" s="44"/>
      <c r="J888" s="123">
        <v>3103.6</v>
      </c>
      <c r="K888" s="44"/>
      <c r="L888" s="123">
        <v>116770.75</v>
      </c>
      <c r="M888" s="123">
        <v>-3985.23</v>
      </c>
      <c r="N888" s="44"/>
      <c r="O888" s="123">
        <v>1422283.0</v>
      </c>
      <c r="P888" s="52">
        <f t="shared" si="23"/>
        <v>1422282.1</v>
      </c>
      <c r="Q888" s="124">
        <f t="shared" si="2"/>
        <v>0.8999999999</v>
      </c>
      <c r="R888" s="52">
        <f t="array" ref="R888">IFERROR(INDEX('Fund YTD Target Values'!$1:$1000, MATCH($C888,'Fund YTD Target Values'!$A:$A,0), MATCH($A888,'Fund YTD Target Values'!$1:$1,0)),0)</f>
        <v>1521847.548</v>
      </c>
      <c r="S888" s="52">
        <f>IFERROR(__xludf.DUMMYFUNCTION("IFERROR(sum(FILTER('Fund Data'!$V:$V, 'Fund Data'!$C:$C = $C888, 'Fund Data'!$A:$A &lt; $A888)),0) + IFERROR(sum(FILTER('Fund Data'!$V:$V, 'Fund Data'!$C:$C = $C888, 'Fund Data'!$A:$A = $A888, 'Fund Data'!$B:$B &lt;= $B888)),0)"),1183929.39)</f>
        <v>1183929.39</v>
      </c>
      <c r="T888" s="123">
        <v>1140040.0</v>
      </c>
      <c r="U888" s="44">
        <f t="shared" si="85"/>
        <v>43889.39</v>
      </c>
      <c r="V888" s="44">
        <f t="shared" si="3"/>
        <v>0</v>
      </c>
      <c r="W888" s="123"/>
      <c r="X888" s="123"/>
      <c r="Y888" s="123">
        <v>0.0</v>
      </c>
      <c r="Z888" s="123">
        <v>0.0</v>
      </c>
      <c r="AA888" s="123">
        <v>0.0</v>
      </c>
      <c r="AB888" s="123"/>
      <c r="AC888" s="123">
        <v>0.0</v>
      </c>
      <c r="AD888" s="44">
        <f t="shared" si="7"/>
        <v>-115000</v>
      </c>
      <c r="AE888" s="123">
        <v>0.0</v>
      </c>
    </row>
    <row r="889">
      <c r="A889" s="120">
        <v>2005.0</v>
      </c>
      <c r="B889" s="121">
        <v>12.0</v>
      </c>
      <c r="C889" s="122" t="s">
        <v>68</v>
      </c>
      <c r="D889" s="44"/>
      <c r="E889" s="123">
        <v>28130.71</v>
      </c>
      <c r="F889" s="123">
        <v>-35000.0</v>
      </c>
      <c r="G889" s="123"/>
      <c r="H889" s="123">
        <v>-7272.18</v>
      </c>
      <c r="I889" s="44"/>
      <c r="J889" s="123">
        <v>204332.68</v>
      </c>
      <c r="K889" s="44"/>
      <c r="L889" s="123">
        <v>-147556.31</v>
      </c>
      <c r="M889" s="123">
        <v>3959.53</v>
      </c>
      <c r="N889" s="44"/>
      <c r="O889" s="123">
        <v>1407352.0</v>
      </c>
      <c r="P889" s="52">
        <f t="shared" si="23"/>
        <v>1407351.08</v>
      </c>
      <c r="Q889" s="124">
        <f t="shared" si="2"/>
        <v>0.9200000002</v>
      </c>
      <c r="R889" s="52">
        <f t="array" ref="R889">IFERROR(INDEX('Fund YTD Target Values'!$1:$1000, MATCH($C889,'Fund YTD Target Values'!$A:$A,0), MATCH($A889,'Fund YTD Target Values'!$1:$1,0)),0)</f>
        <v>1474155.377</v>
      </c>
      <c r="S889" s="52">
        <f>IFERROR(__xludf.DUMMYFUNCTION("IFERROR(sum(FILTER('Fund Data'!$V:$V, 'Fund Data'!$C:$C = $C889, 'Fund Data'!$A:$A &lt; $A889)),0) + IFERROR(sum(FILTER('Fund Data'!$V:$V, 'Fund Data'!$C:$C = $C889, 'Fund Data'!$A:$A = $A889, 'Fund Data'!$B:$B &lt;= $B889)),0)"),1183929.39)</f>
        <v>1183929.39</v>
      </c>
      <c r="T889" s="123">
        <v>1140040.0</v>
      </c>
      <c r="U889" s="44">
        <f t="shared" si="85"/>
        <v>43889.39</v>
      </c>
      <c r="V889" s="44">
        <f t="shared" si="3"/>
        <v>0</v>
      </c>
      <c r="W889" s="123"/>
      <c r="X889" s="123"/>
      <c r="Y889" s="123">
        <v>0.0</v>
      </c>
      <c r="Z889" s="123">
        <v>0.0</v>
      </c>
      <c r="AA889" s="123">
        <v>0.0</v>
      </c>
      <c r="AB889" s="123"/>
      <c r="AC889" s="123">
        <v>0.0</v>
      </c>
      <c r="AD889" s="44">
        <f t="shared" si="7"/>
        <v>-35000</v>
      </c>
      <c r="AE889" s="123">
        <v>0.0</v>
      </c>
    </row>
    <row r="890">
      <c r="A890" s="120">
        <v>2004.0</v>
      </c>
      <c r="B890" s="121">
        <v>12.0</v>
      </c>
      <c r="C890" s="122" t="s">
        <v>68</v>
      </c>
      <c r="D890" s="44"/>
      <c r="E890" s="123">
        <v>45066.25</v>
      </c>
      <c r="F890" s="123">
        <v>-253000.0</v>
      </c>
      <c r="G890" s="123"/>
      <c r="H890" s="123">
        <v>-6103.8</v>
      </c>
      <c r="I890" s="123"/>
      <c r="J890" s="123">
        <v>47275.3</v>
      </c>
      <c r="K890" s="123">
        <v>-20125.11</v>
      </c>
      <c r="L890" s="123">
        <v>52931.42</v>
      </c>
      <c r="M890" s="123">
        <v>-37.98</v>
      </c>
      <c r="N890" s="123">
        <v>15998.32</v>
      </c>
      <c r="O890" s="123">
        <v>1360757.0</v>
      </c>
      <c r="P890" s="52">
        <f t="shared" si="23"/>
        <v>1360756.65</v>
      </c>
      <c r="Q890" s="124">
        <f t="shared" si="2"/>
        <v>0.3500000001</v>
      </c>
      <c r="R890" s="52">
        <f t="array" ref="R890">IFERROR(INDEX('Fund YTD Target Values'!$1:$1000, MATCH($C890,'Fund YTD Target Values'!$A:$A,0), MATCH($A890,'Fund YTD Target Values'!$1:$1,0)),0)</f>
        <v>1425815.427</v>
      </c>
      <c r="S890" s="52">
        <f>IFERROR(__xludf.DUMMYFUNCTION("IFERROR(sum(FILTER('Fund Data'!$V:$V, 'Fund Data'!$C:$C = $C890, 'Fund Data'!$A:$A &lt; $A890)),0) + IFERROR(sum(FILTER('Fund Data'!$V:$V, 'Fund Data'!$C:$C = $C890, 'Fund Data'!$A:$A = $A890, 'Fund Data'!$B:$B &lt;= $B890)),0)"),1183929.39)</f>
        <v>1183929.39</v>
      </c>
      <c r="T890" s="123">
        <v>1140040.0</v>
      </c>
      <c r="U890" s="44">
        <f t="shared" si="85"/>
        <v>43889.39</v>
      </c>
      <c r="V890" s="44">
        <f t="shared" si="3"/>
        <v>0</v>
      </c>
      <c r="W890" s="123"/>
      <c r="X890" s="123"/>
      <c r="Y890" s="123">
        <v>0.0</v>
      </c>
      <c r="Z890" s="123">
        <v>0.0</v>
      </c>
      <c r="AA890" s="123">
        <v>0.0</v>
      </c>
      <c r="AB890" s="123"/>
      <c r="AC890" s="123">
        <v>0.0</v>
      </c>
      <c r="AD890" s="44">
        <f t="shared" si="7"/>
        <v>-253000</v>
      </c>
      <c r="AE890" s="123">
        <v>0.0</v>
      </c>
    </row>
    <row r="891">
      <c r="A891" s="120">
        <v>2003.0</v>
      </c>
      <c r="B891" s="121">
        <v>12.0</v>
      </c>
      <c r="C891" s="122" t="s">
        <v>68</v>
      </c>
      <c r="D891" s="44"/>
      <c r="E891" s="123">
        <v>39475.6</v>
      </c>
      <c r="F891" s="123">
        <v>-200000.0</v>
      </c>
      <c r="G891" s="123"/>
      <c r="H891" s="123">
        <v>-4624.63</v>
      </c>
      <c r="I891" s="123"/>
      <c r="J891" s="123">
        <v>130974.8</v>
      </c>
      <c r="K891" s="123">
        <v>-8386.48</v>
      </c>
      <c r="L891" s="123">
        <v>178410.0</v>
      </c>
      <c r="M891" s="123">
        <v>33.02</v>
      </c>
      <c r="N891" s="123">
        <v>14288.18</v>
      </c>
      <c r="O891" s="123">
        <v>1478753.0</v>
      </c>
      <c r="P891" s="52">
        <f t="shared" si="23"/>
        <v>1478752.25</v>
      </c>
      <c r="Q891" s="124">
        <f t="shared" si="2"/>
        <v>0.75</v>
      </c>
      <c r="R891" s="52">
        <f t="array" ref="R891">IFERROR(INDEX('Fund YTD Target Values'!$1:$1000, MATCH($C891,'Fund YTD Target Values'!$A:$A,0), MATCH($A891,'Fund YTD Target Values'!$1:$1,0)),0)</f>
        <v>1388656.886</v>
      </c>
      <c r="S891" s="52">
        <f>IFERROR(__xludf.DUMMYFUNCTION("IFERROR(sum(FILTER('Fund Data'!$V:$V, 'Fund Data'!$C:$C = $C891, 'Fund Data'!$A:$A &lt; $A891)),0) + IFERROR(sum(FILTER('Fund Data'!$V:$V, 'Fund Data'!$C:$C = $C891, 'Fund Data'!$A:$A = $A891, 'Fund Data'!$B:$B &lt;= $B891)),0)"),1183929.39)</f>
        <v>1183929.39</v>
      </c>
      <c r="T891" s="123">
        <v>1140040.0</v>
      </c>
      <c r="U891" s="44">
        <f t="shared" si="85"/>
        <v>43889.39</v>
      </c>
      <c r="V891" s="44">
        <f t="shared" si="3"/>
        <v>0</v>
      </c>
      <c r="W891" s="123"/>
      <c r="X891" s="123"/>
      <c r="Y891" s="123">
        <v>0.0</v>
      </c>
      <c r="Z891" s="123">
        <v>0.0</v>
      </c>
      <c r="AA891" s="123">
        <v>0.0</v>
      </c>
      <c r="AB891" s="123"/>
      <c r="AC891" s="123">
        <v>0.0</v>
      </c>
      <c r="AD891" s="44">
        <f t="shared" si="7"/>
        <v>-200000</v>
      </c>
      <c r="AE891" s="123">
        <v>0.0</v>
      </c>
    </row>
    <row r="892">
      <c r="A892" s="120">
        <v>2002.0</v>
      </c>
      <c r="B892" s="121">
        <v>12.0</v>
      </c>
      <c r="C892" s="122" t="s">
        <v>68</v>
      </c>
      <c r="D892" s="44"/>
      <c r="E892" s="123">
        <v>35795.49</v>
      </c>
      <c r="F892" s="123">
        <v>-15000.0</v>
      </c>
      <c r="G892" s="123"/>
      <c r="H892" s="123">
        <v>-4230.48</v>
      </c>
      <c r="I892" s="123"/>
      <c r="J892" s="123">
        <v>5924.52</v>
      </c>
      <c r="K892" s="123">
        <v>-148754.65</v>
      </c>
      <c r="L892" s="123">
        <v>-86331.38</v>
      </c>
      <c r="M892" s="123">
        <v>-3.83</v>
      </c>
      <c r="N892" s="123">
        <v>19231.16</v>
      </c>
      <c r="O892" s="123">
        <v>1328582.0</v>
      </c>
      <c r="P892" s="52">
        <f t="shared" si="23"/>
        <v>1328581.76</v>
      </c>
      <c r="Q892" s="124">
        <f t="shared" si="2"/>
        <v>0.24</v>
      </c>
      <c r="R892" s="52">
        <f t="array" ref="R892">IFERROR(INDEX('Fund YTD Target Values'!$1:$1000, MATCH($C892,'Fund YTD Target Values'!$A:$A,0), MATCH($A892,'Fund YTD Target Values'!$1:$1,0)),0)</f>
        <v>1357803.929</v>
      </c>
      <c r="S892" s="52">
        <f>IFERROR(__xludf.DUMMYFUNCTION("IFERROR(sum(FILTER('Fund Data'!$V:$V, 'Fund Data'!$C:$C = $C892, 'Fund Data'!$A:$A &lt; $A892)),0) + IFERROR(sum(FILTER('Fund Data'!$V:$V, 'Fund Data'!$C:$C = $C892, 'Fund Data'!$A:$A = $A892, 'Fund Data'!$B:$B &lt;= $B892)),0)"),1183929.39)</f>
        <v>1183929.39</v>
      </c>
      <c r="T892" s="123">
        <v>1140040.0</v>
      </c>
      <c r="U892" s="44">
        <f t="shared" si="85"/>
        <v>43889.39</v>
      </c>
      <c r="V892" s="44">
        <f t="shared" si="3"/>
        <v>0</v>
      </c>
      <c r="W892" s="123"/>
      <c r="X892" s="123"/>
      <c r="Y892" s="123">
        <v>0.0</v>
      </c>
      <c r="Z892" s="123">
        <v>0.0</v>
      </c>
      <c r="AA892" s="123">
        <v>0.0</v>
      </c>
      <c r="AB892" s="123"/>
      <c r="AC892" s="123">
        <v>0.0</v>
      </c>
      <c r="AD892" s="44">
        <f t="shared" si="7"/>
        <v>-15000</v>
      </c>
      <c r="AE892" s="123">
        <v>0.0</v>
      </c>
    </row>
    <row r="893">
      <c r="A893" s="120">
        <v>2001.0</v>
      </c>
      <c r="B893" s="121">
        <v>12.0</v>
      </c>
      <c r="C893" s="122" t="s">
        <v>68</v>
      </c>
      <c r="D893" s="44"/>
      <c r="E893" s="123">
        <v>43375.31</v>
      </c>
      <c r="F893" s="123">
        <v>-15000.0</v>
      </c>
      <c r="G893" s="123"/>
      <c r="H893" s="123">
        <v>-3981.17</v>
      </c>
      <c r="I893" s="123"/>
      <c r="J893" s="123">
        <v>18462.83</v>
      </c>
      <c r="K893" s="123">
        <v>-53374.27</v>
      </c>
      <c r="L893" s="123">
        <v>-54163.35</v>
      </c>
      <c r="M893" s="123">
        <v>-3403.81</v>
      </c>
      <c r="N893" s="123">
        <v>4366.87</v>
      </c>
      <c r="O893" s="123">
        <v>1521951.0</v>
      </c>
      <c r="P893" s="52">
        <f t="shared" si="23"/>
        <v>1521950.93</v>
      </c>
      <c r="Q893" s="124">
        <f t="shared" si="2"/>
        <v>0.07000000007</v>
      </c>
      <c r="R893" s="52">
        <f t="array" ref="R893">IFERROR(INDEX('Fund YTD Target Values'!$1:$1000, MATCH($C893,'Fund YTD Target Values'!$A:$A,0), MATCH($A893,'Fund YTD Target Values'!$1:$1,0)),0)</f>
        <v>1336610.731</v>
      </c>
      <c r="S893" s="52">
        <f>IFERROR(__xludf.DUMMYFUNCTION("IFERROR(sum(FILTER('Fund Data'!$V:$V, 'Fund Data'!$C:$C = $C893, 'Fund Data'!$A:$A &lt; $A893)),0) + IFERROR(sum(FILTER('Fund Data'!$V:$V, 'Fund Data'!$C:$C = $C893, 'Fund Data'!$A:$A = $A893, 'Fund Data'!$B:$B &lt;= $B893)),0)"),1183929.39)</f>
        <v>1183929.39</v>
      </c>
      <c r="T893" s="123">
        <v>1140040.0</v>
      </c>
      <c r="U893" s="44">
        <f t="shared" si="85"/>
        <v>43889.39</v>
      </c>
      <c r="V893" s="44">
        <f t="shared" si="3"/>
        <v>0</v>
      </c>
      <c r="W893" s="123"/>
      <c r="X893" s="123"/>
      <c r="Y893" s="123">
        <v>0.0</v>
      </c>
      <c r="Z893" s="123">
        <v>0.0</v>
      </c>
      <c r="AA893" s="123">
        <v>0.0</v>
      </c>
      <c r="AB893" s="123"/>
      <c r="AC893" s="123">
        <v>0.0</v>
      </c>
      <c r="AD893" s="44">
        <f t="shared" si="7"/>
        <v>-15000</v>
      </c>
      <c r="AE893" s="123">
        <v>0.0</v>
      </c>
    </row>
    <row r="894">
      <c r="A894" s="120">
        <v>2000.0</v>
      </c>
      <c r="B894" s="121">
        <v>12.0</v>
      </c>
      <c r="C894" s="122" t="s">
        <v>68</v>
      </c>
      <c r="D894" s="44"/>
      <c r="E894" s="123">
        <v>32342.98</v>
      </c>
      <c r="F894" s="123">
        <v>-45000.0</v>
      </c>
      <c r="G894" s="123"/>
      <c r="H894" s="123">
        <v>-3198.76</v>
      </c>
      <c r="I894" s="123"/>
      <c r="J894" s="123">
        <v>1707.53</v>
      </c>
      <c r="K894" s="123">
        <v>-7329.73</v>
      </c>
      <c r="L894" s="123">
        <v>-141814.36</v>
      </c>
      <c r="M894" s="123">
        <v>3183.69</v>
      </c>
      <c r="N894" s="123">
        <v>133977.49</v>
      </c>
      <c r="O894" s="123">
        <v>1585669.0</v>
      </c>
      <c r="P894" s="52">
        <f t="shared" si="23"/>
        <v>1585668.52</v>
      </c>
      <c r="Q894" s="124">
        <f t="shared" si="2"/>
        <v>0.48</v>
      </c>
      <c r="R894" s="52">
        <f t="array" ref="R894">IFERROR(INDEX('Fund YTD Target Values'!$1:$1000, MATCH($C894,'Fund YTD Target Values'!$A:$A,0), MATCH($A894,'Fund YTD Target Values'!$1:$1,0)),0)</f>
        <v>1299803.988</v>
      </c>
      <c r="S894" s="52">
        <f>IFERROR(__xludf.DUMMYFUNCTION("IFERROR(sum(FILTER('Fund Data'!$V:$V, 'Fund Data'!$C:$C = $C894, 'Fund Data'!$A:$A &lt; $A894)),0) + IFERROR(sum(FILTER('Fund Data'!$V:$V, 'Fund Data'!$C:$C = $C894, 'Fund Data'!$A:$A = $A894, 'Fund Data'!$B:$B &lt;= $B894)),0)"),1183929.39)</f>
        <v>1183929.39</v>
      </c>
      <c r="T894" s="123">
        <v>1140040.0</v>
      </c>
      <c r="U894" s="44">
        <f t="shared" si="85"/>
        <v>43889.39</v>
      </c>
      <c r="V894" s="44">
        <f t="shared" si="3"/>
        <v>0</v>
      </c>
      <c r="W894" s="123"/>
      <c r="X894" s="123"/>
      <c r="Y894" s="123">
        <v>0.0</v>
      </c>
      <c r="Z894" s="123">
        <v>0.0</v>
      </c>
      <c r="AA894" s="123">
        <v>0.0</v>
      </c>
      <c r="AB894" s="123"/>
      <c r="AC894" s="123">
        <v>0.0</v>
      </c>
      <c r="AD894" s="44">
        <f t="shared" si="7"/>
        <v>-45000</v>
      </c>
      <c r="AE894" s="123">
        <v>0.0</v>
      </c>
    </row>
    <row r="895">
      <c r="A895" s="120">
        <v>1999.0</v>
      </c>
      <c r="B895" s="121">
        <v>12.0</v>
      </c>
      <c r="C895" s="122" t="s">
        <v>68</v>
      </c>
      <c r="D895" s="44"/>
      <c r="E895" s="123">
        <v>39881.13</v>
      </c>
      <c r="F895" s="123">
        <v>-45000.0</v>
      </c>
      <c r="G895" s="123">
        <v>1301.96</v>
      </c>
      <c r="H895" s="123">
        <v>-2976.63</v>
      </c>
      <c r="I895" s="123"/>
      <c r="J895" s="123">
        <v>67011.83</v>
      </c>
      <c r="K895" s="123">
        <v>-8129.12</v>
      </c>
      <c r="L895" s="123">
        <v>-32215.44</v>
      </c>
      <c r="M895" s="123">
        <v>194.24</v>
      </c>
      <c r="N895" s="123">
        <v>91551.2</v>
      </c>
      <c r="O895" s="123">
        <v>1611800.0</v>
      </c>
      <c r="P895" s="52">
        <f t="shared" si="23"/>
        <v>1611799.68</v>
      </c>
      <c r="Q895" s="124">
        <f t="shared" si="2"/>
        <v>0.3200000001</v>
      </c>
      <c r="R895" s="52">
        <f t="array" ref="R895">IFERROR(INDEX('Fund YTD Target Values'!$1:$1000, MATCH($C895,'Fund YTD Target Values'!$A:$A,0), MATCH($A895,'Fund YTD Target Values'!$1:$1,0)),0)</f>
        <v>1257355.187</v>
      </c>
      <c r="S895" s="52">
        <f>IFERROR(__xludf.DUMMYFUNCTION("IFERROR(sum(FILTER('Fund Data'!$V:$V, 'Fund Data'!$C:$C = $C895, 'Fund Data'!$A:$A &lt; $A895)),0) + IFERROR(sum(FILTER('Fund Data'!$V:$V, 'Fund Data'!$C:$C = $C895, 'Fund Data'!$A:$A = $A895, 'Fund Data'!$B:$B &lt;= $B895)),0)"),1183929.39)</f>
        <v>1183929.39</v>
      </c>
      <c r="T895" s="123">
        <v>1140040.0</v>
      </c>
      <c r="U895" s="44">
        <f t="shared" si="85"/>
        <v>43889.39</v>
      </c>
      <c r="V895" s="44">
        <f t="shared" si="3"/>
        <v>0</v>
      </c>
      <c r="W895" s="123"/>
      <c r="X895" s="123"/>
      <c r="Y895" s="123">
        <v>0.0</v>
      </c>
      <c r="Z895" s="123">
        <v>0.0</v>
      </c>
      <c r="AA895" s="123">
        <v>0.0</v>
      </c>
      <c r="AB895" s="123"/>
      <c r="AC895" s="123">
        <v>0.0</v>
      </c>
      <c r="AD895" s="44">
        <f t="shared" si="7"/>
        <v>-45000</v>
      </c>
      <c r="AE895" s="123">
        <v>0.0</v>
      </c>
    </row>
    <row r="896">
      <c r="A896" s="120">
        <v>1998.0</v>
      </c>
      <c r="B896" s="121">
        <v>12.0</v>
      </c>
      <c r="C896" s="122" t="s">
        <v>68</v>
      </c>
      <c r="D896" s="44"/>
      <c r="E896" s="123">
        <v>42295.67</v>
      </c>
      <c r="F896" s="123">
        <v>-57000.0</v>
      </c>
      <c r="G896" s="123"/>
      <c r="H896" s="123">
        <v>-2750.0</v>
      </c>
      <c r="I896" s="123"/>
      <c r="J896" s="123">
        <v>35873.05</v>
      </c>
      <c r="K896" s="44"/>
      <c r="L896" s="123">
        <v>69250.25</v>
      </c>
      <c r="M896" s="123">
        <v>18.35</v>
      </c>
      <c r="N896" s="123">
        <v>51678.41</v>
      </c>
      <c r="O896" s="123">
        <v>1500181.0</v>
      </c>
      <c r="P896" s="52">
        <f t="shared" si="23"/>
        <v>1500180.51</v>
      </c>
      <c r="Q896" s="124">
        <f t="shared" si="2"/>
        <v>0.49</v>
      </c>
      <c r="R896" s="52">
        <f t="array" ref="R896">IFERROR(INDEX('Fund YTD Target Values'!$1:$1000, MATCH($C896,'Fund YTD Target Values'!$A:$A,0), MATCH($A896,'Fund YTD Target Values'!$1:$1,0)),0)</f>
        <v>1230452.98</v>
      </c>
      <c r="S896" s="52">
        <f>IFERROR(__xludf.DUMMYFUNCTION("IFERROR(sum(FILTER('Fund Data'!$V:$V, 'Fund Data'!$C:$C = $C896, 'Fund Data'!$A:$A &lt; $A896)),0) + IFERROR(sum(FILTER('Fund Data'!$V:$V, 'Fund Data'!$C:$C = $C896, 'Fund Data'!$A:$A = $A896, 'Fund Data'!$B:$B &lt;= $B896)),0)"),1183929.39)</f>
        <v>1183929.39</v>
      </c>
      <c r="T896" s="123">
        <v>1140040.0</v>
      </c>
      <c r="U896" s="44">
        <f t="shared" si="85"/>
        <v>43889.39</v>
      </c>
      <c r="V896" s="44">
        <f t="shared" si="3"/>
        <v>0</v>
      </c>
      <c r="W896" s="123"/>
      <c r="X896" s="123"/>
      <c r="Y896" s="123">
        <v>0.0</v>
      </c>
      <c r="Z896" s="123">
        <v>0.0</v>
      </c>
      <c r="AA896" s="123">
        <v>0.0</v>
      </c>
      <c r="AB896" s="123"/>
      <c r="AC896" s="123">
        <v>0.0</v>
      </c>
      <c r="AD896" s="44">
        <f t="shared" si="7"/>
        <v>-57000</v>
      </c>
      <c r="AE896" s="123">
        <v>0.0</v>
      </c>
    </row>
    <row r="897">
      <c r="A897" s="120">
        <v>1997.0</v>
      </c>
      <c r="B897" s="121">
        <v>12.0</v>
      </c>
      <c r="C897" s="122" t="s">
        <v>68</v>
      </c>
      <c r="D897" s="44"/>
      <c r="E897" s="123">
        <v>45430.52</v>
      </c>
      <c r="F897" s="123">
        <v>-41000.0</v>
      </c>
      <c r="G897" s="123"/>
      <c r="H897" s="123">
        <v>-3000.0</v>
      </c>
      <c r="I897" s="123"/>
      <c r="J897" s="123">
        <v>3080.33</v>
      </c>
      <c r="K897" s="123">
        <v>-2662.49</v>
      </c>
      <c r="L897" s="123">
        <v>158539.0</v>
      </c>
      <c r="M897" s="123">
        <v>-102.0</v>
      </c>
      <c r="N897" s="123">
        <v>28391.42</v>
      </c>
      <c r="O897" s="123">
        <v>1360815.0</v>
      </c>
      <c r="P897" s="52">
        <f t="shared" si="23"/>
        <v>1360814.78</v>
      </c>
      <c r="Q897" s="124">
        <f t="shared" si="2"/>
        <v>0.22</v>
      </c>
      <c r="R897" s="52">
        <f t="array" ref="R897">IFERROR(INDEX('Fund YTD Target Values'!$1:$1000, MATCH($C897,'Fund YTD Target Values'!$A:$A,0), MATCH($A897,'Fund YTD Target Values'!$1:$1,0)),0)</f>
        <v>1211645.251</v>
      </c>
      <c r="S897" s="52">
        <f>IFERROR(__xludf.DUMMYFUNCTION("IFERROR(sum(FILTER('Fund Data'!$V:$V, 'Fund Data'!$C:$C = $C897, 'Fund Data'!$A:$A &lt; $A897)),0) + IFERROR(sum(FILTER('Fund Data'!$V:$V, 'Fund Data'!$C:$C = $C897, 'Fund Data'!$A:$A = $A897, 'Fund Data'!$B:$B &lt;= $B897)),0)"),1183929.39)</f>
        <v>1183929.39</v>
      </c>
      <c r="T897" s="123">
        <v>1140040.0</v>
      </c>
      <c r="U897" s="44">
        <f t="shared" si="85"/>
        <v>43889.39</v>
      </c>
      <c r="V897" s="44">
        <f t="shared" si="3"/>
        <v>0</v>
      </c>
      <c r="W897" s="123"/>
      <c r="X897" s="123"/>
      <c r="Y897" s="123">
        <v>0.0</v>
      </c>
      <c r="Z897" s="123">
        <v>0.0</v>
      </c>
      <c r="AA897" s="123">
        <v>0.0</v>
      </c>
      <c r="AB897" s="123"/>
      <c r="AC897" s="123">
        <v>0.0</v>
      </c>
      <c r="AD897" s="44">
        <f t="shared" si="7"/>
        <v>-41000</v>
      </c>
      <c r="AE897" s="123">
        <v>0.0</v>
      </c>
    </row>
    <row r="898">
      <c r="A898" s="120">
        <v>1996.0</v>
      </c>
      <c r="B898" s="121">
        <v>12.0</v>
      </c>
      <c r="C898" s="122" t="s">
        <v>68</v>
      </c>
      <c r="D898" s="123">
        <v>1183929.39</v>
      </c>
      <c r="E898" s="123">
        <v>69250.61</v>
      </c>
      <c r="F898" s="123">
        <v>-61000.0</v>
      </c>
      <c r="G898" s="123"/>
      <c r="H898" s="123">
        <v>-1881.0</v>
      </c>
      <c r="I898" s="44"/>
      <c r="J898" s="44"/>
      <c r="K898" s="123">
        <v>-8027.0</v>
      </c>
      <c r="L898" s="123">
        <v>-9878.0</v>
      </c>
      <c r="M898" s="123">
        <v>-256.0</v>
      </c>
      <c r="N898" s="44"/>
      <c r="O898" s="123">
        <v>1172138.0</v>
      </c>
      <c r="P898" s="52">
        <f t="shared" si="23"/>
        <v>1172138</v>
      </c>
      <c r="Q898" s="124">
        <f t="shared" si="2"/>
        <v>0</v>
      </c>
      <c r="R898" s="52">
        <f t="array" ref="R898">IFERROR(INDEX('Fund YTD Target Values'!$1:$1000, MATCH($C898,'Fund YTD Target Values'!$A:$A,0), MATCH($A898,'Fund YTD Target Values'!$1:$1,0)),0)</f>
        <v>1183929.39</v>
      </c>
      <c r="S898" s="52">
        <f>IFERROR(__xludf.DUMMYFUNCTION("IFERROR(sum(FILTER('Fund Data'!$V:$V, 'Fund Data'!$C:$C = $C898, 'Fund Data'!$A:$A &lt; $A898)),0) + IFERROR(sum(FILTER('Fund Data'!$V:$V, 'Fund Data'!$C:$C = $C898, 'Fund Data'!$A:$A = $A898, 'Fund Data'!$B:$B &lt;= $B898)),0)"),1183929.39)</f>
        <v>1183929.39</v>
      </c>
      <c r="T898" s="123">
        <v>1140040.0</v>
      </c>
      <c r="U898" s="44">
        <f t="shared" si="85"/>
        <v>43889.39</v>
      </c>
      <c r="V898" s="44">
        <f t="shared" si="3"/>
        <v>1183929.39</v>
      </c>
      <c r="W898" s="123"/>
      <c r="X898" s="123"/>
      <c r="Y898" s="123">
        <v>0.0</v>
      </c>
      <c r="Z898" s="123">
        <v>0.0</v>
      </c>
      <c r="AA898" s="123">
        <v>0.0</v>
      </c>
      <c r="AB898" s="123"/>
      <c r="AC898" s="123">
        <v>0.0</v>
      </c>
      <c r="AD898" s="44">
        <f t="shared" si="7"/>
        <v>-61000</v>
      </c>
      <c r="AE898" s="123">
        <v>0.0</v>
      </c>
    </row>
    <row r="899">
      <c r="A899" s="120">
        <v>2019.0</v>
      </c>
      <c r="B899" s="121">
        <v>6.0</v>
      </c>
      <c r="C899" s="122" t="s">
        <v>69</v>
      </c>
      <c r="D899" s="44"/>
      <c r="E899" s="123">
        <v>6285.35</v>
      </c>
      <c r="F899" s="123">
        <v>-10000.0</v>
      </c>
      <c r="G899" s="44"/>
      <c r="H899" s="123">
        <v>-1415.47</v>
      </c>
      <c r="I899" s="44"/>
      <c r="J899" s="123">
        <v>2052.01</v>
      </c>
      <c r="K899" s="44"/>
      <c r="L899" s="123">
        <v>47591.97</v>
      </c>
      <c r="M899" s="44"/>
      <c r="N899" s="44"/>
      <c r="O899" s="123">
        <v>518747.88</v>
      </c>
      <c r="P899" s="52">
        <f t="shared" si="23"/>
        <v>518748.18</v>
      </c>
      <c r="Q899" s="124">
        <f t="shared" si="2"/>
        <v>-0.3</v>
      </c>
      <c r="R899" s="52">
        <f t="array" ref="R899">IFERROR(INDEX('Fund YTD Target Values'!$1:$1000, MATCH($C899,'Fund YTD Target Values'!$A:$A,0), MATCH($A899,'Fund YTD Target Values'!$1:$1,0)),0)</f>
        <v>713616.1845</v>
      </c>
      <c r="S899" s="52">
        <f>IFERROR(__xludf.DUMMYFUNCTION("IFERROR(sum(FILTER('Fund Data'!$V:$V, 'Fund Data'!$C:$C = $C899, 'Fund Data'!$A:$A &lt; $A899)),0) + IFERROR(sum(FILTER('Fund Data'!$V:$V, 'Fund Data'!$C:$C = $C899, 'Fund Data'!$A:$A = $A899, 'Fund Data'!$B:$B &lt;= $B899)),0)"),500000.0)</f>
        <v>500000</v>
      </c>
      <c r="T899" s="123">
        <v>500000.0</v>
      </c>
      <c r="U899" s="44">
        <f t="shared" si="85"/>
        <v>0</v>
      </c>
      <c r="V899" s="44">
        <f t="shared" si="3"/>
        <v>0</v>
      </c>
      <c r="W899" s="52">
        <f>IFERROR(__xludf.DUMMYFUNCTION("iFERROR((FILTER('Fund Data'!$Y:$Y, 'Fund Data'!$C:$C = $C899, 'Fund Data'!$A:$A = $A899 - 1, 'Fund Data'!$B:$B = 12) + FILTER('Fund Data'!$AA:$AA, 'Fund Data'!$C:$C = $C899, 'Fund Data'!$A:$A = $A899 - 1, 'Fund Data'!$B:$B = 12)) * (1 + AVERAGE(FILTER('In"&amp;"flation Data'!$C:$C,'Inflation Data'!$A:$A = ($A899 - 2)))) * 'Parameters and Distribution Sum'!$A$4,0)"),17620.730663710416)</f>
        <v>17620.73066</v>
      </c>
      <c r="X899" s="52">
        <f>IFERROR(__xludf.DUMMYFUNCTION("IFERROR((IFERROR(FILTER('Fund Data'!$P:$P,'Fund Data'!$C:$C = $C899,'Fund Data'!$A:$A = ($A899 - 2), 'Fund Data'!$B:$B = 12),0) - SUM(FILTER('Fund Data'!$V:$V, 'Fund Data'!$C:$C = $C899, 'Fund Data'!$A:$A = ($A899 - 2), 'Fund Data'!$B:$B &gt; 3)))  * 'Parame"&amp;"ters and Distribution Sum'!$B$4 * (1 - 'Parameters and Distribution Sum'!$A$4),0)"),7394.127389999999)</f>
        <v>7394.12739</v>
      </c>
      <c r="Y899" s="52">
        <f t="shared" ref="Y899:Y904" si="86">sum($W899:$X899)</f>
        <v>25014.85805</v>
      </c>
      <c r="Z899" s="52">
        <f>IFERROR(__xludf.DUMMYFUNCTION("((IFERROR((SUM(FILTER('Fund Data'!$V:$V, 'Fund Data'!$C:$C = $C899, 'Fund Data'!$A:$A = $A899 - 1, 'Fund Data'!$B:$B &gt;= 4, 'Fund Data'!$B:$B &lt;= ($B899 + 5))) / 12) * ($B899 - 3) * 'Parameters and Distribution Sum'!$B$4, 0) + IF($B899 &gt;= 9, IFERROR(SUM(FIL"&amp;"TER('Fund Data'!$V:$V, 'Fund Data'!$C:$C = $C899, 'Fund Data'!$A:$A = $A899, 'Fund Data'!$B:$B &lt;= 3)) * 'Parameters and Distribution Sum'!$B$4, 0),0)))"),0.0)</f>
        <v>0</v>
      </c>
      <c r="AA899" s="44">
        <f>IFERROR(__xludf.DUMMYFUNCTION("IFERROR(((IFERROR(SUM(FILTER('Fund Data'!$V:$V, 'Fund Data'!$C:$C = $C899, 'Fund Data'!$A:$A = $A899 - 2, 'Fund Data'!$B:$B &gt;= 4)) * 'Parameters and Distribution Sum'!$B$4,0) + IFERROR(SUM(FILTER('Fund Data'!$V:$V, 'Fund Data'!$C:$C = $C899, 'Fund Data'!$"&amp;"A:$A = $A899 - 1, 'Fund Data'!$B:$B &lt;= 3)) * 'Parameters and Distribution Sum'!$B$4,0))),0)"),0.0)</f>
        <v>0</v>
      </c>
      <c r="AB899" s="44">
        <f t="shared" ref="AB899:AB905" si="87">IFERROR(__xludf.DUMMYFUNCTION("IFERROR(FILTER($AE:$AE,$C:$C = $C899,$A:$A = $A899 - 1,$B:$B = 12),0)"),0.0)</f>
        <v>0</v>
      </c>
      <c r="AC899" s="44">
        <f t="shared" ref="AC899:AC905" si="88">sum($Y899:$AB899)</f>
        <v>25014.85805</v>
      </c>
      <c r="AD899" s="44">
        <f t="shared" si="7"/>
        <v>15014.85805</v>
      </c>
      <c r="AE899" s="44"/>
    </row>
    <row r="900">
      <c r="A900" s="120">
        <v>2019.0</v>
      </c>
      <c r="B900" s="121">
        <v>5.0</v>
      </c>
      <c r="C900" s="122" t="s">
        <v>69</v>
      </c>
      <c r="D900" s="44"/>
      <c r="E900" s="123">
        <v>5746.03</v>
      </c>
      <c r="F900" s="123">
        <v>-10000.0</v>
      </c>
      <c r="G900" s="44"/>
      <c r="H900" s="123">
        <v>-1180.01</v>
      </c>
      <c r="I900" s="44"/>
      <c r="J900" s="123">
        <v>2052.01</v>
      </c>
      <c r="K900" s="44"/>
      <c r="L900" s="123">
        <v>27814.0</v>
      </c>
      <c r="M900" s="44"/>
      <c r="N900" s="44"/>
      <c r="O900" s="123">
        <v>498666.05</v>
      </c>
      <c r="P900" s="52">
        <f t="shared" si="23"/>
        <v>498666.35</v>
      </c>
      <c r="Q900" s="124">
        <f t="shared" si="2"/>
        <v>-0.3</v>
      </c>
      <c r="R900" s="52">
        <f t="array" ref="R900">IFERROR(INDEX('Fund YTD Target Values'!$1:$1000, MATCH($C900,'Fund YTD Target Values'!$A:$A,0), MATCH($A900,'Fund YTD Target Values'!$1:$1,0)),0)</f>
        <v>713616.1845</v>
      </c>
      <c r="S900" s="52">
        <f>IFERROR(__xludf.DUMMYFUNCTION("IFERROR(sum(FILTER('Fund Data'!$V:$V, 'Fund Data'!$C:$C = $C900, 'Fund Data'!$A:$A &lt; $A900)),0) + IFERROR(sum(FILTER('Fund Data'!$V:$V, 'Fund Data'!$C:$C = $C900, 'Fund Data'!$A:$A = $A900, 'Fund Data'!$B:$B &lt;= $B900)),0)"),500000.0)</f>
        <v>500000</v>
      </c>
      <c r="T900" s="123">
        <v>500000.0</v>
      </c>
      <c r="U900" s="44">
        <f t="shared" si="85"/>
        <v>0</v>
      </c>
      <c r="V900" s="44">
        <f t="shared" si="3"/>
        <v>0</v>
      </c>
      <c r="W900" s="52">
        <f>IFERROR(__xludf.DUMMYFUNCTION("iFERROR((FILTER('Fund Data'!$Y:$Y, 'Fund Data'!$C:$C = $C900, 'Fund Data'!$A:$A = $A900 - 1, 'Fund Data'!$B:$B = 12) + FILTER('Fund Data'!$AA:$AA, 'Fund Data'!$C:$C = $C900, 'Fund Data'!$A:$A = $A900 - 1, 'Fund Data'!$B:$B = 12)) * (1 + AVERAGE(FILTER('In"&amp;"flation Data'!$C:$C,'Inflation Data'!$A:$A = ($A900 - 2)))) * 'Parameters and Distribution Sum'!$A$4,0)"),17620.730663710416)</f>
        <v>17620.73066</v>
      </c>
      <c r="X900" s="52">
        <f>IFERROR(__xludf.DUMMYFUNCTION("IFERROR((IFERROR(FILTER('Fund Data'!$P:$P,'Fund Data'!$C:$C = $C900,'Fund Data'!$A:$A = ($A900 - 2), 'Fund Data'!$B:$B = 12),0) - SUM(FILTER('Fund Data'!$V:$V, 'Fund Data'!$C:$C = $C900, 'Fund Data'!$A:$A = ($A900 - 2), 'Fund Data'!$B:$B &gt; 3)))  * 'Parame"&amp;"ters and Distribution Sum'!$B$4 * (1 - 'Parameters and Distribution Sum'!$A$4),0)"),7394.127389999999)</f>
        <v>7394.12739</v>
      </c>
      <c r="Y900" s="52">
        <f t="shared" si="86"/>
        <v>25014.85805</v>
      </c>
      <c r="Z900" s="52">
        <f>IFERROR(__xludf.DUMMYFUNCTION("((IFERROR((SUM(FILTER('Fund Data'!$V:$V, 'Fund Data'!$C:$C = $C900, 'Fund Data'!$A:$A = $A900 - 1, 'Fund Data'!$B:$B &gt;= 4, 'Fund Data'!$B:$B &lt;= ($B900 + 5))) / 12) * ($B900 - 3) * 'Parameters and Distribution Sum'!$B$4, 0) + IF($B900 &gt;= 9, IFERROR(SUM(FIL"&amp;"TER('Fund Data'!$V:$V, 'Fund Data'!$C:$C = $C900, 'Fund Data'!$A:$A = $A900, 'Fund Data'!$B:$B &lt;= 3)) * 'Parameters and Distribution Sum'!$B$4, 0),0)))"),0.0)</f>
        <v>0</v>
      </c>
      <c r="AA900" s="44">
        <f>IFERROR(__xludf.DUMMYFUNCTION("IFERROR(((IFERROR(SUM(FILTER('Fund Data'!$V:$V, 'Fund Data'!$C:$C = $C900, 'Fund Data'!$A:$A = $A900 - 2, 'Fund Data'!$B:$B &gt;= 4)) * 'Parameters and Distribution Sum'!$B$4,0) + IFERROR(SUM(FILTER('Fund Data'!$V:$V, 'Fund Data'!$C:$C = $C900, 'Fund Data'!$"&amp;"A:$A = $A900 - 1, 'Fund Data'!$B:$B &lt;= 3)) * 'Parameters and Distribution Sum'!$B$4,0))),0)"),0.0)</f>
        <v>0</v>
      </c>
      <c r="AB900" s="44">
        <f t="shared" si="87"/>
        <v>0</v>
      </c>
      <c r="AC900" s="44">
        <f t="shared" si="88"/>
        <v>25014.85805</v>
      </c>
      <c r="AD900" s="44">
        <f t="shared" si="7"/>
        <v>15014.85805</v>
      </c>
      <c r="AE900" s="44"/>
    </row>
    <row r="901">
      <c r="A901" s="120">
        <v>2019.0</v>
      </c>
      <c r="B901" s="121">
        <v>4.0</v>
      </c>
      <c r="C901" s="122" t="s">
        <v>69</v>
      </c>
      <c r="D901" s="44"/>
      <c r="E901" s="123">
        <v>5307.47</v>
      </c>
      <c r="F901" s="123">
        <v>-10000.0</v>
      </c>
      <c r="G901" s="44"/>
      <c r="H901" s="123">
        <v>-938.0</v>
      </c>
      <c r="I901" s="44"/>
      <c r="J901" s="123">
        <v>2052.01</v>
      </c>
      <c r="K901" s="44"/>
      <c r="L901" s="123">
        <v>47796.18</v>
      </c>
      <c r="M901" s="44"/>
      <c r="N901" s="44"/>
      <c r="O901" s="123">
        <v>518452.0</v>
      </c>
      <c r="P901" s="52">
        <f t="shared" si="23"/>
        <v>518451.98</v>
      </c>
      <c r="Q901" s="124">
        <f t="shared" si="2"/>
        <v>0.02000000002</v>
      </c>
      <c r="R901" s="52">
        <f t="array" ref="R901">IFERROR(INDEX('Fund YTD Target Values'!$1:$1000, MATCH($C901,'Fund YTD Target Values'!$A:$A,0), MATCH($A901,'Fund YTD Target Values'!$1:$1,0)),0)</f>
        <v>713616.1845</v>
      </c>
      <c r="S901" s="52">
        <f>IFERROR(__xludf.DUMMYFUNCTION("IFERROR(sum(FILTER('Fund Data'!$V:$V, 'Fund Data'!$C:$C = $C901, 'Fund Data'!$A:$A &lt; $A901)),0) + IFERROR(sum(FILTER('Fund Data'!$V:$V, 'Fund Data'!$C:$C = $C901, 'Fund Data'!$A:$A = $A901, 'Fund Data'!$B:$B &lt;= $B901)),0)"),500000.0)</f>
        <v>500000</v>
      </c>
      <c r="T901" s="123">
        <v>500000.0</v>
      </c>
      <c r="U901" s="44">
        <f t="shared" si="85"/>
        <v>0</v>
      </c>
      <c r="V901" s="44">
        <f t="shared" si="3"/>
        <v>0</v>
      </c>
      <c r="W901" s="52">
        <f>IFERROR(__xludf.DUMMYFUNCTION("iFERROR((FILTER('Fund Data'!$Y:$Y, 'Fund Data'!$C:$C = $C901, 'Fund Data'!$A:$A = $A901 - 1, 'Fund Data'!$B:$B = 12) + FILTER('Fund Data'!$AA:$AA, 'Fund Data'!$C:$C = $C901, 'Fund Data'!$A:$A = $A901 - 1, 'Fund Data'!$B:$B = 12)) * (1 + AVERAGE(FILTER('In"&amp;"flation Data'!$C:$C,'Inflation Data'!$A:$A = ($A901 - 2)))) * 'Parameters and Distribution Sum'!$A$4,0)"),17620.730663710416)</f>
        <v>17620.73066</v>
      </c>
      <c r="X901" s="52">
        <f>IFERROR(__xludf.DUMMYFUNCTION("IFERROR((IFERROR(FILTER('Fund Data'!$P:$P,'Fund Data'!$C:$C = $C901,'Fund Data'!$A:$A = ($A901 - 2), 'Fund Data'!$B:$B = 12),0) - SUM(FILTER('Fund Data'!$V:$V, 'Fund Data'!$C:$C = $C901, 'Fund Data'!$A:$A = ($A901 - 2), 'Fund Data'!$B:$B &gt; 3)))  * 'Parame"&amp;"ters and Distribution Sum'!$B$4 * (1 - 'Parameters and Distribution Sum'!$A$4),0)"),7394.127389999999)</f>
        <v>7394.12739</v>
      </c>
      <c r="Y901" s="52">
        <f t="shared" si="86"/>
        <v>25014.85805</v>
      </c>
      <c r="Z901" s="52">
        <f>IFERROR(__xludf.DUMMYFUNCTION("((IFERROR((SUM(FILTER('Fund Data'!$V:$V, 'Fund Data'!$C:$C = $C901, 'Fund Data'!$A:$A = $A901 - 1, 'Fund Data'!$B:$B &gt;= 4, 'Fund Data'!$B:$B &lt;= ($B901 + 5))) / 12) * ($B901 - 3) * 'Parameters and Distribution Sum'!$B$4, 0) + IF($B901 &gt;= 9, IFERROR(SUM(FIL"&amp;"TER('Fund Data'!$V:$V, 'Fund Data'!$C:$C = $C901, 'Fund Data'!$A:$A = $A901, 'Fund Data'!$B:$B &lt;= 3)) * 'Parameters and Distribution Sum'!$B$4, 0),0)))"),0.0)</f>
        <v>0</v>
      </c>
      <c r="AA901" s="44">
        <f>IFERROR(__xludf.DUMMYFUNCTION("IFERROR(((IFERROR(SUM(FILTER('Fund Data'!$V:$V, 'Fund Data'!$C:$C = $C901, 'Fund Data'!$A:$A = $A901 - 2, 'Fund Data'!$B:$B &gt;= 4)) * 'Parameters and Distribution Sum'!$B$4,0) + IFERROR(SUM(FILTER('Fund Data'!$V:$V, 'Fund Data'!$C:$C = $C901, 'Fund Data'!$"&amp;"A:$A = $A901 - 1, 'Fund Data'!$B:$B &lt;= 3)) * 'Parameters and Distribution Sum'!$B$4,0))),0)"),0.0)</f>
        <v>0</v>
      </c>
      <c r="AB901" s="44">
        <f t="shared" si="87"/>
        <v>0</v>
      </c>
      <c r="AC901" s="44">
        <f t="shared" si="88"/>
        <v>25014.85805</v>
      </c>
      <c r="AD901" s="44">
        <f t="shared" si="7"/>
        <v>15014.85805</v>
      </c>
      <c r="AE901" s="44"/>
    </row>
    <row r="902">
      <c r="A902" s="120">
        <v>2019.0</v>
      </c>
      <c r="B902" s="121">
        <v>3.0</v>
      </c>
      <c r="C902" s="122" t="s">
        <v>69</v>
      </c>
      <c r="D902" s="44"/>
      <c r="E902" s="123">
        <v>4024.75</v>
      </c>
      <c r="F902" s="123">
        <v>-10000.0</v>
      </c>
      <c r="G902" s="44"/>
      <c r="H902" s="123">
        <v>-700.85</v>
      </c>
      <c r="I902" s="44"/>
      <c r="J902" s="123">
        <v>2052.01</v>
      </c>
      <c r="K902" s="44"/>
      <c r="L902" s="123">
        <v>37602.58</v>
      </c>
      <c r="M902" s="44"/>
      <c r="N902" s="44"/>
      <c r="O902" s="123">
        <v>507213.0</v>
      </c>
      <c r="P902" s="52">
        <f t="shared" si="23"/>
        <v>507212.81</v>
      </c>
      <c r="Q902" s="124">
        <f t="shared" si="2"/>
        <v>0.19</v>
      </c>
      <c r="R902" s="52">
        <f t="array" ref="R902">IFERROR(INDEX('Fund YTD Target Values'!$1:$1000, MATCH($C902,'Fund YTD Target Values'!$A:$A,0), MATCH($A902,'Fund YTD Target Values'!$1:$1,0)),0)</f>
        <v>713616.1845</v>
      </c>
      <c r="S902" s="52">
        <f>IFERROR(__xludf.DUMMYFUNCTION("IFERROR(sum(FILTER('Fund Data'!$V:$V, 'Fund Data'!$C:$C = $C902, 'Fund Data'!$A:$A &lt; $A902)),0) + IFERROR(sum(FILTER('Fund Data'!$V:$V, 'Fund Data'!$C:$C = $C902, 'Fund Data'!$A:$A = $A902, 'Fund Data'!$B:$B &lt;= $B902)),0)"),500000.0)</f>
        <v>500000</v>
      </c>
      <c r="T902" s="123">
        <v>500000.0</v>
      </c>
      <c r="U902" s="44">
        <f t="shared" si="85"/>
        <v>0</v>
      </c>
      <c r="V902" s="44">
        <f t="shared" si="3"/>
        <v>0</v>
      </c>
      <c r="W902" s="52">
        <f>IFERROR(__xludf.DUMMYFUNCTION("iFERROR((FILTER('Fund Data'!$Y:$Y, 'Fund Data'!$C:$C = $C902, 'Fund Data'!$A:$A = $A902 - 1, 'Fund Data'!$B:$B = 12) + FILTER('Fund Data'!$AA:$AA, 'Fund Data'!$C:$C = $C902, 'Fund Data'!$A:$A = $A902 - 1, 'Fund Data'!$B:$B = 12)) * (1 + AVERAGE(FILTER('In"&amp;"flation Data'!$C:$C,'Inflation Data'!$A:$A = ($A902 - 2)))) * 'Parameters and Distribution Sum'!$A$4,0)"),17620.730663710416)</f>
        <v>17620.73066</v>
      </c>
      <c r="X902" s="52">
        <f>IFERROR(__xludf.DUMMYFUNCTION("IFERROR((IFERROR(FILTER('Fund Data'!$P:$P,'Fund Data'!$C:$C = $C902,'Fund Data'!$A:$A = ($A902 - 2), 'Fund Data'!$B:$B = 12),0) - SUM(FILTER('Fund Data'!$V:$V, 'Fund Data'!$C:$C = $C902, 'Fund Data'!$A:$A = ($A902 - 2), 'Fund Data'!$B:$B &gt; 3)))  * 'Parame"&amp;"ters and Distribution Sum'!$B$4 * (1 - 'Parameters and Distribution Sum'!$A$4),0)"),7394.127389999999)</f>
        <v>7394.12739</v>
      </c>
      <c r="Y902" s="52">
        <f t="shared" si="86"/>
        <v>25014.85805</v>
      </c>
      <c r="Z902" s="52">
        <f>IFERROR(__xludf.DUMMYFUNCTION("((IFERROR((SUM(FILTER('Fund Data'!$V:$V, 'Fund Data'!$C:$C = $C902, 'Fund Data'!$A:$A = $A902 - 1, 'Fund Data'!$B:$B &gt;= 4, 'Fund Data'!$B:$B &lt;= ($B902 + 5))) / 12) * ($B902 - 3) * 'Parameters and Distribution Sum'!$B$4, 0) + IF($B902 &gt;= 9, IFERROR(SUM(FIL"&amp;"TER('Fund Data'!$V:$V, 'Fund Data'!$C:$C = $C902, 'Fund Data'!$A:$A = $A902, 'Fund Data'!$B:$B &lt;= 3)) * 'Parameters and Distribution Sum'!$B$4, 0),0)))"),0.0)</f>
        <v>0</v>
      </c>
      <c r="AA902" s="44">
        <f>IFERROR(__xludf.DUMMYFUNCTION("IFERROR(((IFERROR(SUM(FILTER('Fund Data'!$V:$V, 'Fund Data'!$C:$C = $C902, 'Fund Data'!$A:$A = $A902 - 2, 'Fund Data'!$B:$B &gt;= 4)) * 'Parameters and Distribution Sum'!$B$4,0) + IFERROR(SUM(FILTER('Fund Data'!$V:$V, 'Fund Data'!$C:$C = $C902, 'Fund Data'!$"&amp;"A:$A = $A902 - 1, 'Fund Data'!$B:$B &lt;= 3)) * 'Parameters and Distribution Sum'!$B$4,0))),0)"),0.0)</f>
        <v>0</v>
      </c>
      <c r="AB902" s="44">
        <f t="shared" si="87"/>
        <v>0</v>
      </c>
      <c r="AC902" s="44">
        <f t="shared" si="88"/>
        <v>25014.85805</v>
      </c>
      <c r="AD902" s="44">
        <f t="shared" si="7"/>
        <v>15014.85805</v>
      </c>
      <c r="AE902" s="44"/>
    </row>
    <row r="903">
      <c r="A903" s="120">
        <v>2019.0</v>
      </c>
      <c r="B903" s="121">
        <v>2.0</v>
      </c>
      <c r="C903" s="122" t="s">
        <v>69</v>
      </c>
      <c r="D903" s="44"/>
      <c r="E903" s="123">
        <v>3403.81</v>
      </c>
      <c r="F903" s="44"/>
      <c r="G903" s="44"/>
      <c r="H903" s="123">
        <v>-460.57</v>
      </c>
      <c r="I903" s="44"/>
      <c r="J903" s="44"/>
      <c r="K903" s="44"/>
      <c r="L903" s="123">
        <v>36703.15</v>
      </c>
      <c r="M903" s="44"/>
      <c r="N903" s="44"/>
      <c r="O903" s="123">
        <v>513880.0</v>
      </c>
      <c r="P903" s="52">
        <f t="shared" si="23"/>
        <v>513880.71</v>
      </c>
      <c r="Q903" s="124">
        <f t="shared" si="2"/>
        <v>-0.71</v>
      </c>
      <c r="R903" s="52">
        <f t="array" ref="R903">IFERROR(INDEX('Fund YTD Target Values'!$1:$1000, MATCH($C903,'Fund YTD Target Values'!$A:$A,0), MATCH($A903,'Fund YTD Target Values'!$1:$1,0)),0)</f>
        <v>713616.1845</v>
      </c>
      <c r="S903" s="52">
        <f>IFERROR(__xludf.DUMMYFUNCTION("IFERROR(sum(FILTER('Fund Data'!$V:$V, 'Fund Data'!$C:$C = $C903, 'Fund Data'!$A:$A &lt; $A903)),0) + IFERROR(sum(FILTER('Fund Data'!$V:$V, 'Fund Data'!$C:$C = $C903, 'Fund Data'!$A:$A = $A903, 'Fund Data'!$B:$B &lt;= $B903)),0)"),500000.0)</f>
        <v>500000</v>
      </c>
      <c r="T903" s="123">
        <v>500000.0</v>
      </c>
      <c r="U903" s="44">
        <f t="shared" si="85"/>
        <v>0</v>
      </c>
      <c r="V903" s="44">
        <f t="shared" si="3"/>
        <v>0</v>
      </c>
      <c r="W903" s="52">
        <f>IFERROR(__xludf.DUMMYFUNCTION("iFERROR((FILTER('Fund Data'!$Y:$Y, 'Fund Data'!$C:$C = $C903, 'Fund Data'!$A:$A = $A903 - 1, 'Fund Data'!$B:$B = 12) + FILTER('Fund Data'!$AA:$AA, 'Fund Data'!$C:$C = $C903, 'Fund Data'!$A:$A = $A903 - 1, 'Fund Data'!$B:$B = 12)) * (1 + AVERAGE(FILTER('In"&amp;"flation Data'!$C:$C,'Inflation Data'!$A:$A = ($A903 - 2)))) * 'Parameters and Distribution Sum'!$A$4,0)"),17620.730663710416)</f>
        <v>17620.73066</v>
      </c>
      <c r="X903" s="52">
        <f>IFERROR(__xludf.DUMMYFUNCTION("IFERROR((IFERROR(FILTER('Fund Data'!$P:$P,'Fund Data'!$C:$C = $C903,'Fund Data'!$A:$A = ($A903 - 2), 'Fund Data'!$B:$B = 12),0) - SUM(FILTER('Fund Data'!$V:$V, 'Fund Data'!$C:$C = $C903, 'Fund Data'!$A:$A = ($A903 - 2), 'Fund Data'!$B:$B &gt; 3)))  * 'Parame"&amp;"ters and Distribution Sum'!$B$4 * (1 - 'Parameters and Distribution Sum'!$A$4),0)"),7394.127389999999)</f>
        <v>7394.12739</v>
      </c>
      <c r="Y903" s="52">
        <f t="shared" si="86"/>
        <v>25014.85805</v>
      </c>
      <c r="Z903" s="52">
        <f>IFERROR(__xludf.DUMMYFUNCTION("((IFERROR((SUM(FILTER('Fund Data'!$V:$V, 'Fund Data'!$C:$C = $C903, 'Fund Data'!$A:$A = $A903 - 1, 'Fund Data'!$B:$B &gt;= 4, 'Fund Data'!$B:$B &lt;= ($B903 + 5))) / 12) * ($B903 - 3) * 'Parameters and Distribution Sum'!$B$4, 0) + IF($B903 &gt;= 9, IFERROR(SUM(FIL"&amp;"TER('Fund Data'!$V:$V, 'Fund Data'!$C:$C = $C903, 'Fund Data'!$A:$A = $A903, 'Fund Data'!$B:$B &lt;= 3)) * 'Parameters and Distribution Sum'!$B$4, 0),0)))"),0.0)</f>
        <v>0</v>
      </c>
      <c r="AA903" s="44">
        <f>IFERROR(__xludf.DUMMYFUNCTION("IFERROR(((IFERROR(SUM(FILTER('Fund Data'!$V:$V, 'Fund Data'!$C:$C = $C903, 'Fund Data'!$A:$A = $A903 - 2, 'Fund Data'!$B:$B &gt;= 4)) * 'Parameters and Distribution Sum'!$B$4,0) + IFERROR(SUM(FILTER('Fund Data'!$V:$V, 'Fund Data'!$C:$C = $C903, 'Fund Data'!$"&amp;"A:$A = $A903 - 1, 'Fund Data'!$B:$B &lt;= 3)) * 'Parameters and Distribution Sum'!$B$4,0))),0)"),0.0)</f>
        <v>0</v>
      </c>
      <c r="AB903" s="44">
        <f t="shared" si="87"/>
        <v>0</v>
      </c>
      <c r="AC903" s="44">
        <f t="shared" si="88"/>
        <v>25014.85805</v>
      </c>
      <c r="AD903" s="44">
        <f t="shared" si="7"/>
        <v>25014.85805</v>
      </c>
      <c r="AE903" s="44"/>
    </row>
    <row r="904">
      <c r="A904" s="120">
        <v>2019.0</v>
      </c>
      <c r="B904" s="121">
        <v>1.0</v>
      </c>
      <c r="C904" s="122" t="s">
        <v>69</v>
      </c>
      <c r="D904" s="44"/>
      <c r="E904" s="123">
        <v>3150.21</v>
      </c>
      <c r="F904" s="44"/>
      <c r="G904" s="44"/>
      <c r="H904" s="123">
        <v>-223.75</v>
      </c>
      <c r="I904" s="44"/>
      <c r="J904" s="44"/>
      <c r="K904" s="44"/>
      <c r="L904" s="123">
        <v>28393.0</v>
      </c>
      <c r="M904" s="44"/>
      <c r="N904" s="44"/>
      <c r="O904" s="123">
        <v>505553.0</v>
      </c>
      <c r="P904" s="52">
        <f t="shared" si="23"/>
        <v>505553.78</v>
      </c>
      <c r="Q904" s="124">
        <f t="shared" si="2"/>
        <v>-0.78</v>
      </c>
      <c r="R904" s="52">
        <f t="array" ref="R904">IFERROR(INDEX('Fund YTD Target Values'!$1:$1000, MATCH($C904,'Fund YTD Target Values'!$A:$A,0), MATCH($A904,'Fund YTD Target Values'!$1:$1,0)),0)</f>
        <v>713616.1845</v>
      </c>
      <c r="S904" s="52">
        <f>IFERROR(__xludf.DUMMYFUNCTION("IFERROR(sum(FILTER('Fund Data'!$V:$V, 'Fund Data'!$C:$C = $C904, 'Fund Data'!$A:$A &lt; $A904)),0) + IFERROR(sum(FILTER('Fund Data'!$V:$V, 'Fund Data'!$C:$C = $C904, 'Fund Data'!$A:$A = $A904, 'Fund Data'!$B:$B &lt;= $B904)),0)"),500000.0)</f>
        <v>500000</v>
      </c>
      <c r="T904" s="123">
        <v>500000.0</v>
      </c>
      <c r="U904" s="44">
        <f t="shared" si="85"/>
        <v>0</v>
      </c>
      <c r="V904" s="44">
        <f t="shared" si="3"/>
        <v>0</v>
      </c>
      <c r="W904" s="52">
        <f>IFERROR(__xludf.DUMMYFUNCTION("iFERROR((FILTER('Fund Data'!$Y:$Y, 'Fund Data'!$C:$C = $C904, 'Fund Data'!$A:$A = $A904 - 1, 'Fund Data'!$B:$B = 12) + FILTER('Fund Data'!$AA:$AA, 'Fund Data'!$C:$C = $C904, 'Fund Data'!$A:$A = $A904 - 1, 'Fund Data'!$B:$B = 12)) * (1 + AVERAGE(FILTER('In"&amp;"flation Data'!$C:$C,'Inflation Data'!$A:$A = ($A904 - 2)))) * 'Parameters and Distribution Sum'!$A$4,0)"),17620.730663710416)</f>
        <v>17620.73066</v>
      </c>
      <c r="X904" s="52">
        <f>IFERROR(__xludf.DUMMYFUNCTION("IFERROR((IFERROR(FILTER('Fund Data'!$P:$P,'Fund Data'!$C:$C = $C904,'Fund Data'!$A:$A = ($A904 - 2), 'Fund Data'!$B:$B = 12),0) - SUM(FILTER('Fund Data'!$V:$V, 'Fund Data'!$C:$C = $C904, 'Fund Data'!$A:$A = ($A904 - 2), 'Fund Data'!$B:$B &gt; 3)))  * 'Parame"&amp;"ters and Distribution Sum'!$B$4 * (1 - 'Parameters and Distribution Sum'!$A$4),0)"),7394.127389999999)</f>
        <v>7394.12739</v>
      </c>
      <c r="Y904" s="52">
        <f t="shared" si="86"/>
        <v>25014.85805</v>
      </c>
      <c r="Z904" s="52">
        <f>IFERROR(__xludf.DUMMYFUNCTION("((IFERROR((SUM(FILTER('Fund Data'!$V:$V, 'Fund Data'!$C:$C = $C904, 'Fund Data'!$A:$A = $A904 - 1, 'Fund Data'!$B:$B &gt;= 4, 'Fund Data'!$B:$B &lt;= ($B904 + 5))) / 12) * ($B904 - 3) * 'Parameters and Distribution Sum'!$B$4, 0) + IF($B904 &gt;= 9, IFERROR(SUM(FIL"&amp;"TER('Fund Data'!$V:$V, 'Fund Data'!$C:$C = $C904, 'Fund Data'!$A:$A = $A904, 'Fund Data'!$B:$B &lt;= 3)) * 'Parameters and Distribution Sum'!$B$4, 0),0)))"),0.0)</f>
        <v>0</v>
      </c>
      <c r="AA904" s="44">
        <f>IFERROR(__xludf.DUMMYFUNCTION("IFERROR(((IFERROR(SUM(FILTER('Fund Data'!$V:$V, 'Fund Data'!$C:$C = $C904, 'Fund Data'!$A:$A = $A904 - 2, 'Fund Data'!$B:$B &gt;= 4)) * 'Parameters and Distribution Sum'!$B$4,0) + IFERROR(SUM(FILTER('Fund Data'!$V:$V, 'Fund Data'!$C:$C = $C904, 'Fund Data'!$"&amp;"A:$A = $A904 - 1, 'Fund Data'!$B:$B &lt;= 3)) * 'Parameters and Distribution Sum'!$B$4,0))),0)"),0.0)</f>
        <v>0</v>
      </c>
      <c r="AB904" s="44">
        <f t="shared" si="87"/>
        <v>0</v>
      </c>
      <c r="AC904" s="44">
        <f t="shared" si="88"/>
        <v>25014.85805</v>
      </c>
      <c r="AD904" s="44">
        <f t="shared" si="7"/>
        <v>25014.85805</v>
      </c>
      <c r="AE904" s="44"/>
    </row>
    <row r="905">
      <c r="A905" s="120">
        <v>2018.0</v>
      </c>
      <c r="B905" s="121">
        <v>12.0</v>
      </c>
      <c r="C905" s="122" t="s">
        <v>69</v>
      </c>
      <c r="D905" s="44"/>
      <c r="E905" s="123">
        <v>11544.76</v>
      </c>
      <c r="F905" s="123">
        <v>-33750.0</v>
      </c>
      <c r="G905" s="44"/>
      <c r="H905" s="123">
        <v>-3172.74</v>
      </c>
      <c r="I905" s="44"/>
      <c r="J905" s="123">
        <v>8588.94</v>
      </c>
      <c r="K905" s="44"/>
      <c r="L905" s="123">
        <v>-56689.78</v>
      </c>
      <c r="M905" s="44"/>
      <c r="N905" s="44"/>
      <c r="O905" s="123">
        <v>474234.0</v>
      </c>
      <c r="P905" s="52">
        <f t="shared" si="23"/>
        <v>474234.32</v>
      </c>
      <c r="Q905" s="124">
        <f t="shared" si="2"/>
        <v>-0.3199999999</v>
      </c>
      <c r="R905" s="52">
        <f t="array" ref="R905">IFERROR(INDEX('Fund YTD Target Values'!$1:$1000, MATCH($C905,'Fund YTD Target Values'!$A:$A,0), MATCH($A905,'Fund YTD Target Values'!$1:$1,0)),0)</f>
        <v>701383.2727</v>
      </c>
      <c r="S905" s="52">
        <f>IFERROR(__xludf.DUMMYFUNCTION("IFERROR(sum(FILTER('Fund Data'!$V:$V, 'Fund Data'!$C:$C = $C905, 'Fund Data'!$A:$A &lt; $A905)),0) + IFERROR(sum(FILTER('Fund Data'!$V:$V, 'Fund Data'!$C:$C = $C905, 'Fund Data'!$A:$A = $A905, 'Fund Data'!$B:$B &lt;= $B905)),0)"),500000.0)</f>
        <v>500000</v>
      </c>
      <c r="T905" s="123">
        <v>500000.0</v>
      </c>
      <c r="U905" s="44">
        <f t="shared" si="85"/>
        <v>0</v>
      </c>
      <c r="V905" s="44">
        <f t="shared" si="3"/>
        <v>0</v>
      </c>
      <c r="W905" s="52"/>
      <c r="X905" s="52"/>
      <c r="Y905" s="52">
        <v>24647.091299999993</v>
      </c>
      <c r="Z905" s="123">
        <v>0.0</v>
      </c>
      <c r="AA905" s="123">
        <v>0.0</v>
      </c>
      <c r="AB905" s="44">
        <f t="shared" si="87"/>
        <v>0</v>
      </c>
      <c r="AC905" s="44">
        <f t="shared" si="88"/>
        <v>24647.0913</v>
      </c>
      <c r="AD905" s="44">
        <f t="shared" si="7"/>
        <v>-9102.9087</v>
      </c>
      <c r="AE905" s="123">
        <v>0.0</v>
      </c>
    </row>
    <row r="906">
      <c r="A906" s="120">
        <v>2018.0</v>
      </c>
      <c r="B906" s="121">
        <v>11.0</v>
      </c>
      <c r="C906" s="122" t="s">
        <v>69</v>
      </c>
      <c r="D906" s="44"/>
      <c r="E906" s="123">
        <v>10877.03</v>
      </c>
      <c r="F906" s="123">
        <v>-33750.0</v>
      </c>
      <c r="G906" s="44"/>
      <c r="H906" s="123">
        <v>-2937.3</v>
      </c>
      <c r="I906" s="44"/>
      <c r="J906" s="123">
        <v>8588.94</v>
      </c>
      <c r="K906" s="44"/>
      <c r="L906" s="123">
        <v>-28596.52</v>
      </c>
      <c r="M906" s="44"/>
      <c r="N906" s="44"/>
      <c r="O906" s="123">
        <v>501895.0</v>
      </c>
      <c r="P906" s="52">
        <f t="shared" si="23"/>
        <v>501895.29</v>
      </c>
      <c r="Q906" s="124">
        <f t="shared" si="2"/>
        <v>-0.2899999999</v>
      </c>
      <c r="R906" s="52">
        <f t="array" ref="R906">IFERROR(INDEX('Fund YTD Target Values'!$1:$1000, MATCH($C906,'Fund YTD Target Values'!$A:$A,0), MATCH($A906,'Fund YTD Target Values'!$1:$1,0)),0)</f>
        <v>701383.2727</v>
      </c>
      <c r="S906" s="52">
        <f>IFERROR(__xludf.DUMMYFUNCTION("IFERROR(sum(FILTER('Fund Data'!$V:$V, 'Fund Data'!$C:$C = $C906, 'Fund Data'!$A:$A &lt; $A906)),0) + IFERROR(sum(FILTER('Fund Data'!$V:$V, 'Fund Data'!$C:$C = $C906, 'Fund Data'!$A:$A = $A906, 'Fund Data'!$B:$B &lt;= $B906)),0)"),500000.0)</f>
        <v>500000</v>
      </c>
      <c r="T906" s="123">
        <v>500000.0</v>
      </c>
      <c r="U906" s="44">
        <f t="shared" si="85"/>
        <v>0</v>
      </c>
      <c r="V906" s="44">
        <f t="shared" si="3"/>
        <v>0</v>
      </c>
      <c r="W906" s="123"/>
      <c r="X906" s="123"/>
      <c r="Y906" s="123">
        <v>0.0</v>
      </c>
      <c r="Z906" s="123">
        <v>0.0</v>
      </c>
      <c r="AA906" s="123">
        <v>0.0</v>
      </c>
      <c r="AB906" s="123"/>
      <c r="AC906" s="123">
        <v>0.0</v>
      </c>
      <c r="AD906" s="44">
        <f t="shared" si="7"/>
        <v>-33750</v>
      </c>
      <c r="AE906" s="123">
        <v>0.0</v>
      </c>
    </row>
    <row r="907">
      <c r="A907" s="120">
        <v>2018.0</v>
      </c>
      <c r="B907" s="121">
        <v>10.0</v>
      </c>
      <c r="C907" s="135" t="s">
        <v>69</v>
      </c>
      <c r="D907" s="138"/>
      <c r="E907" s="137">
        <v>10427.76</v>
      </c>
      <c r="F907" s="136">
        <v>-30000.0</v>
      </c>
      <c r="G907" s="138"/>
      <c r="H907" s="137">
        <v>-2456.01</v>
      </c>
      <c r="I907" s="138"/>
      <c r="J907" s="136">
        <v>7803.59</v>
      </c>
      <c r="K907" s="138"/>
      <c r="L907" s="136">
        <v>-32167.73</v>
      </c>
      <c r="M907" s="44"/>
      <c r="N907" s="44"/>
      <c r="O907" s="136">
        <v>501320.0</v>
      </c>
      <c r="P907" s="52">
        <f t="shared" si="23"/>
        <v>501320.75</v>
      </c>
      <c r="Q907" s="124">
        <f t="shared" si="2"/>
        <v>-0.7499999999</v>
      </c>
      <c r="R907" s="52">
        <f t="array" ref="R907">IFERROR(INDEX('Fund YTD Target Values'!$1:$1000, MATCH($C907,'Fund YTD Target Values'!$A:$A,0), MATCH($A907,'Fund YTD Target Values'!$1:$1,0)),0)</f>
        <v>701383.2727</v>
      </c>
      <c r="S907" s="52">
        <f>IFERROR(__xludf.DUMMYFUNCTION("IFERROR(sum(FILTER('Fund Data'!$V:$V, 'Fund Data'!$C:$C = $C907, 'Fund Data'!$A:$A &lt; $A907)),0) + IFERROR(sum(FILTER('Fund Data'!$V:$V, 'Fund Data'!$C:$C = $C907, 'Fund Data'!$A:$A = $A907, 'Fund Data'!$B:$B &lt;= $B907)),0)"),500000.0)</f>
        <v>500000</v>
      </c>
      <c r="T907" s="123">
        <v>500000.0</v>
      </c>
      <c r="U907" s="44">
        <f t="shared" si="85"/>
        <v>0</v>
      </c>
      <c r="V907" s="44">
        <f t="shared" si="3"/>
        <v>0</v>
      </c>
      <c r="W907" s="123"/>
      <c r="X907" s="123"/>
      <c r="Y907" s="123">
        <v>0.0</v>
      </c>
      <c r="Z907" s="123">
        <v>0.0</v>
      </c>
      <c r="AA907" s="123">
        <v>0.0</v>
      </c>
      <c r="AB907" s="123"/>
      <c r="AC907" s="123">
        <v>0.0</v>
      </c>
      <c r="AD907" s="44">
        <f t="shared" si="7"/>
        <v>-30000</v>
      </c>
      <c r="AE907" s="123">
        <v>0.0</v>
      </c>
    </row>
    <row r="908">
      <c r="A908" s="120">
        <v>2018.0</v>
      </c>
      <c r="B908" s="121">
        <v>9.0</v>
      </c>
      <c r="C908" s="122" t="s">
        <v>69</v>
      </c>
      <c r="D908" s="44"/>
      <c r="E908" s="123">
        <v>8920.34</v>
      </c>
      <c r="F908" s="123">
        <v>-30000.0</v>
      </c>
      <c r="G908" s="44"/>
      <c r="H908" s="123">
        <v>-2456.01</v>
      </c>
      <c r="I908" s="44"/>
      <c r="J908" s="123">
        <v>7803.59</v>
      </c>
      <c r="K908" s="44"/>
      <c r="L908" s="123">
        <v>-5272.97</v>
      </c>
      <c r="M908" s="44"/>
      <c r="N908" s="44"/>
      <c r="O908" s="123">
        <v>526708.0</v>
      </c>
      <c r="P908" s="52">
        <f t="shared" si="23"/>
        <v>526708.09</v>
      </c>
      <c r="Q908" s="124">
        <f t="shared" si="2"/>
        <v>-0.08999999985</v>
      </c>
      <c r="R908" s="52">
        <f t="array" ref="R908">IFERROR(INDEX('Fund YTD Target Values'!$1:$1000, MATCH($C908,'Fund YTD Target Values'!$A:$A,0), MATCH($A908,'Fund YTD Target Values'!$1:$1,0)),0)</f>
        <v>701383.2727</v>
      </c>
      <c r="S908" s="52">
        <f>IFERROR(__xludf.DUMMYFUNCTION("IFERROR(sum(FILTER('Fund Data'!$V:$V, 'Fund Data'!$C:$C = $C908, 'Fund Data'!$A:$A &lt; $A908)),0) + IFERROR(sum(FILTER('Fund Data'!$V:$V, 'Fund Data'!$C:$C = $C908, 'Fund Data'!$A:$A = $A908, 'Fund Data'!$B:$B &lt;= $B908)),0)"),500000.0)</f>
        <v>500000</v>
      </c>
      <c r="T908" s="123">
        <v>500000.0</v>
      </c>
      <c r="U908" s="44">
        <f t="shared" si="85"/>
        <v>0</v>
      </c>
      <c r="V908" s="44">
        <f t="shared" si="3"/>
        <v>0</v>
      </c>
      <c r="W908" s="123"/>
      <c r="X908" s="123"/>
      <c r="Y908" s="123">
        <v>0.0</v>
      </c>
      <c r="Z908" s="123">
        <v>0.0</v>
      </c>
      <c r="AA908" s="123">
        <v>0.0</v>
      </c>
      <c r="AB908" s="123"/>
      <c r="AC908" s="123">
        <v>0.0</v>
      </c>
      <c r="AD908" s="44">
        <f t="shared" si="7"/>
        <v>-30000</v>
      </c>
      <c r="AE908" s="123">
        <v>0.0</v>
      </c>
    </row>
    <row r="909">
      <c r="A909" s="120">
        <v>2018.0</v>
      </c>
      <c r="B909" s="121">
        <v>8.0</v>
      </c>
      <c r="C909" s="122" t="s">
        <v>69</v>
      </c>
      <c r="D909" s="44"/>
      <c r="E909" s="123">
        <v>8464.91</v>
      </c>
      <c r="F909" s="123">
        <v>-26200.0</v>
      </c>
      <c r="G909" s="44"/>
      <c r="H909" s="123">
        <v>-2189.85</v>
      </c>
      <c r="I909" s="44"/>
      <c r="J909" s="123">
        <v>6568.61</v>
      </c>
      <c r="K909" s="44"/>
      <c r="L909" s="123">
        <v>-2096.88</v>
      </c>
      <c r="M909" s="44"/>
      <c r="N909" s="44"/>
      <c r="O909" s="123">
        <v>532260.0</v>
      </c>
      <c r="P909" s="52">
        <f t="shared" si="23"/>
        <v>532259.93</v>
      </c>
      <c r="Q909" s="124">
        <f t="shared" si="2"/>
        <v>0.07000000007</v>
      </c>
      <c r="R909" s="52">
        <f t="array" ref="R909">IFERROR(INDEX('Fund YTD Target Values'!$1:$1000, MATCH($C909,'Fund YTD Target Values'!$A:$A,0), MATCH($A909,'Fund YTD Target Values'!$1:$1,0)),0)</f>
        <v>701383.2727</v>
      </c>
      <c r="S909" s="52">
        <f>IFERROR(__xludf.DUMMYFUNCTION("IFERROR(sum(FILTER('Fund Data'!$V:$V, 'Fund Data'!$C:$C = $C909, 'Fund Data'!$A:$A &lt; $A909)),0) + IFERROR(sum(FILTER('Fund Data'!$V:$V, 'Fund Data'!$C:$C = $C909, 'Fund Data'!$A:$A = $A909, 'Fund Data'!$B:$B &lt;= $B909)),0)"),500000.0)</f>
        <v>500000</v>
      </c>
      <c r="T909" s="123">
        <v>500000.0</v>
      </c>
      <c r="U909" s="44">
        <f t="shared" si="85"/>
        <v>0</v>
      </c>
      <c r="V909" s="44">
        <f t="shared" si="3"/>
        <v>0</v>
      </c>
      <c r="W909" s="123"/>
      <c r="X909" s="123"/>
      <c r="Y909" s="123">
        <v>0.0</v>
      </c>
      <c r="Z909" s="123">
        <v>0.0</v>
      </c>
      <c r="AA909" s="123">
        <v>0.0</v>
      </c>
      <c r="AB909" s="123"/>
      <c r="AC909" s="123">
        <v>0.0</v>
      </c>
      <c r="AD909" s="44">
        <f t="shared" si="7"/>
        <v>-26200</v>
      </c>
      <c r="AE909" s="123">
        <v>0.0</v>
      </c>
    </row>
    <row r="910">
      <c r="A910" s="120">
        <v>2018.0</v>
      </c>
      <c r="B910" s="121">
        <v>7.0</v>
      </c>
      <c r="C910" s="122" t="s">
        <v>69</v>
      </c>
      <c r="D910" s="44"/>
      <c r="E910" s="123">
        <v>8109.23</v>
      </c>
      <c r="F910" s="123">
        <v>-16200.0</v>
      </c>
      <c r="G910" s="44"/>
      <c r="H910" s="123">
        <v>-1919.6</v>
      </c>
      <c r="I910" s="44"/>
      <c r="J910" s="123">
        <v>3317.69</v>
      </c>
      <c r="K910" s="44"/>
      <c r="L910" s="123">
        <v>-430.19</v>
      </c>
      <c r="M910" s="44"/>
      <c r="N910" s="44"/>
      <c r="O910" s="123">
        <v>540590.0</v>
      </c>
      <c r="P910" s="52">
        <f t="shared" si="23"/>
        <v>540590.27</v>
      </c>
      <c r="Q910" s="124">
        <f t="shared" si="2"/>
        <v>-0.2699999999</v>
      </c>
      <c r="R910" s="52">
        <f t="array" ref="R910">IFERROR(INDEX('Fund YTD Target Values'!$1:$1000, MATCH($C910,'Fund YTD Target Values'!$A:$A,0), MATCH($A910,'Fund YTD Target Values'!$1:$1,0)),0)</f>
        <v>701383.2727</v>
      </c>
      <c r="S910" s="52">
        <f>IFERROR(__xludf.DUMMYFUNCTION("IFERROR(sum(FILTER('Fund Data'!$V:$V, 'Fund Data'!$C:$C = $C910, 'Fund Data'!$A:$A &lt; $A910)),0) + IFERROR(sum(FILTER('Fund Data'!$V:$V, 'Fund Data'!$C:$C = $C910, 'Fund Data'!$A:$A = $A910, 'Fund Data'!$B:$B &lt;= $B910)),0)"),500000.0)</f>
        <v>500000</v>
      </c>
      <c r="T910" s="123">
        <v>500000.0</v>
      </c>
      <c r="U910" s="44">
        <f t="shared" si="85"/>
        <v>0</v>
      </c>
      <c r="V910" s="44">
        <f t="shared" si="3"/>
        <v>0</v>
      </c>
      <c r="W910" s="123"/>
      <c r="X910" s="123"/>
      <c r="Y910" s="123">
        <v>0.0</v>
      </c>
      <c r="Z910" s="123">
        <v>0.0</v>
      </c>
      <c r="AA910" s="123">
        <v>0.0</v>
      </c>
      <c r="AB910" s="123"/>
      <c r="AC910" s="123">
        <v>0.0</v>
      </c>
      <c r="AD910" s="44">
        <f t="shared" si="7"/>
        <v>-16200</v>
      </c>
      <c r="AE910" s="123">
        <v>0.0</v>
      </c>
    </row>
    <row r="911">
      <c r="A911" s="120">
        <v>2018.0</v>
      </c>
      <c r="B911" s="121">
        <v>6.0</v>
      </c>
      <c r="C911" s="122" t="s">
        <v>69</v>
      </c>
      <c r="D911" s="44"/>
      <c r="E911" s="123">
        <v>6810.95</v>
      </c>
      <c r="F911" s="123">
        <v>-15000.0</v>
      </c>
      <c r="G911" s="44"/>
      <c r="H911" s="123">
        <v>-1653.63</v>
      </c>
      <c r="I911" s="44"/>
      <c r="J911" s="123">
        <v>3317.69</v>
      </c>
      <c r="K911" s="44"/>
      <c r="L911" s="123">
        <v>-9234.6</v>
      </c>
      <c r="M911" s="44"/>
      <c r="N911" s="44"/>
      <c r="O911" s="123">
        <v>531953.0</v>
      </c>
      <c r="P911" s="52">
        <f t="shared" si="23"/>
        <v>531953.55</v>
      </c>
      <c r="Q911" s="124">
        <f t="shared" si="2"/>
        <v>-0.5499999999</v>
      </c>
      <c r="R911" s="52">
        <f t="array" ref="R911">IFERROR(INDEX('Fund YTD Target Values'!$1:$1000, MATCH($C911,'Fund YTD Target Values'!$A:$A,0), MATCH($A911,'Fund YTD Target Values'!$1:$1,0)),0)</f>
        <v>701383.2727</v>
      </c>
      <c r="S911" s="52">
        <f>IFERROR(__xludf.DUMMYFUNCTION("IFERROR(sum(FILTER('Fund Data'!$V:$V, 'Fund Data'!$C:$C = $C911, 'Fund Data'!$A:$A &lt; $A911)),0) + IFERROR(sum(FILTER('Fund Data'!$V:$V, 'Fund Data'!$C:$C = $C911, 'Fund Data'!$A:$A = $A911, 'Fund Data'!$B:$B &lt;= $B911)),0)"),500000.0)</f>
        <v>500000</v>
      </c>
      <c r="T911" s="123">
        <v>500000.0</v>
      </c>
      <c r="U911" s="44">
        <f t="shared" si="85"/>
        <v>0</v>
      </c>
      <c r="V911" s="44">
        <f t="shared" si="3"/>
        <v>0</v>
      </c>
      <c r="W911" s="123"/>
      <c r="X911" s="123"/>
      <c r="Y911" s="123">
        <v>0.0</v>
      </c>
      <c r="Z911" s="123">
        <v>0.0</v>
      </c>
      <c r="AA911" s="123">
        <v>0.0</v>
      </c>
      <c r="AB911" s="123"/>
      <c r="AC911" s="123">
        <v>0.0</v>
      </c>
      <c r="AD911" s="44">
        <f t="shared" si="7"/>
        <v>-15000</v>
      </c>
      <c r="AE911" s="123">
        <v>0.0</v>
      </c>
    </row>
    <row r="912">
      <c r="A912" s="120">
        <v>2018.0</v>
      </c>
      <c r="B912" s="121">
        <v>5.0</v>
      </c>
      <c r="C912" s="122" t="s">
        <v>69</v>
      </c>
      <c r="D912" s="44"/>
      <c r="E912" s="123">
        <v>6030.9</v>
      </c>
      <c r="F912" s="123">
        <v>-5000.0</v>
      </c>
      <c r="G912" s="44"/>
      <c r="H912" s="123">
        <v>-1380.94</v>
      </c>
      <c r="I912" s="44"/>
      <c r="J912" s="44"/>
      <c r="K912" s="44"/>
      <c r="L912" s="123">
        <v>-1981.25</v>
      </c>
      <c r="M912" s="44"/>
      <c r="N912" s="44"/>
      <c r="O912" s="123">
        <v>545382.0</v>
      </c>
      <c r="P912" s="52">
        <f t="shared" si="23"/>
        <v>545381.85</v>
      </c>
      <c r="Q912" s="124">
        <f t="shared" si="2"/>
        <v>0.1500000001</v>
      </c>
      <c r="R912" s="52">
        <f t="array" ref="R912">IFERROR(INDEX('Fund YTD Target Values'!$1:$1000, MATCH($C912,'Fund YTD Target Values'!$A:$A,0), MATCH($A912,'Fund YTD Target Values'!$1:$1,0)),0)</f>
        <v>701383.2727</v>
      </c>
      <c r="S912" s="52">
        <f>IFERROR(__xludf.DUMMYFUNCTION("IFERROR(sum(FILTER('Fund Data'!$V:$V, 'Fund Data'!$C:$C = $C912, 'Fund Data'!$A:$A &lt; $A912)),0) + IFERROR(sum(FILTER('Fund Data'!$V:$V, 'Fund Data'!$C:$C = $C912, 'Fund Data'!$A:$A = $A912, 'Fund Data'!$B:$B &lt;= $B912)),0)"),500000.0)</f>
        <v>500000</v>
      </c>
      <c r="T912" s="123">
        <v>500000.0</v>
      </c>
      <c r="U912" s="44">
        <f t="shared" si="85"/>
        <v>0</v>
      </c>
      <c r="V912" s="44">
        <f t="shared" si="3"/>
        <v>0</v>
      </c>
      <c r="W912" s="123"/>
      <c r="X912" s="123"/>
      <c r="Y912" s="123">
        <v>0.0</v>
      </c>
      <c r="Z912" s="123">
        <v>0.0</v>
      </c>
      <c r="AA912" s="123">
        <v>0.0</v>
      </c>
      <c r="AB912" s="123"/>
      <c r="AC912" s="123">
        <v>0.0</v>
      </c>
      <c r="AD912" s="44">
        <f t="shared" si="7"/>
        <v>-5000</v>
      </c>
      <c r="AE912" s="123">
        <v>0.0</v>
      </c>
    </row>
    <row r="913">
      <c r="A913" s="120">
        <v>2018.0</v>
      </c>
      <c r="B913" s="121">
        <v>4.0</v>
      </c>
      <c r="C913" s="122" t="s">
        <v>69</v>
      </c>
      <c r="D913" s="44"/>
      <c r="E913" s="123">
        <v>5597.83</v>
      </c>
      <c r="F913" s="44"/>
      <c r="G913" s="44"/>
      <c r="H913" s="123">
        <v>-1106.4</v>
      </c>
      <c r="I913" s="44"/>
      <c r="J913" s="44"/>
      <c r="K913" s="44"/>
      <c r="L913" s="123">
        <v>-3134.57</v>
      </c>
      <c r="M913" s="44"/>
      <c r="N913" s="44"/>
      <c r="O913" s="123">
        <v>549070.0</v>
      </c>
      <c r="P913" s="52">
        <f t="shared" si="23"/>
        <v>549070</v>
      </c>
      <c r="Q913" s="124">
        <f t="shared" si="2"/>
        <v>0.0000000001164153218</v>
      </c>
      <c r="R913" s="52">
        <f t="array" ref="R913">IFERROR(INDEX('Fund YTD Target Values'!$1:$1000, MATCH($C913,'Fund YTD Target Values'!$A:$A,0), MATCH($A913,'Fund YTD Target Values'!$1:$1,0)),0)</f>
        <v>701383.2727</v>
      </c>
      <c r="S913" s="52">
        <f>IFERROR(__xludf.DUMMYFUNCTION("IFERROR(sum(FILTER('Fund Data'!$V:$V, 'Fund Data'!$C:$C = $C913, 'Fund Data'!$A:$A &lt; $A913)),0) + IFERROR(sum(FILTER('Fund Data'!$V:$V, 'Fund Data'!$C:$C = $C913, 'Fund Data'!$A:$A = $A913, 'Fund Data'!$B:$B &lt;= $B913)),0)"),500000.0)</f>
        <v>500000</v>
      </c>
      <c r="T913" s="123">
        <v>500000.0</v>
      </c>
      <c r="U913" s="44">
        <f t="shared" si="85"/>
        <v>0</v>
      </c>
      <c r="V913" s="44">
        <f t="shared" si="3"/>
        <v>0</v>
      </c>
      <c r="W913" s="123"/>
      <c r="X913" s="123"/>
      <c r="Y913" s="123">
        <v>0.0</v>
      </c>
      <c r="Z913" s="123">
        <v>0.0</v>
      </c>
      <c r="AA913" s="123">
        <v>0.0</v>
      </c>
      <c r="AB913" s="123"/>
      <c r="AC913" s="123">
        <v>0.0</v>
      </c>
      <c r="AD913" s="44">
        <f t="shared" si="7"/>
        <v>0</v>
      </c>
      <c r="AE913" s="123">
        <v>0.0</v>
      </c>
    </row>
    <row r="914">
      <c r="A914" s="120">
        <v>2018.0</v>
      </c>
      <c r="B914" s="121">
        <v>3.0</v>
      </c>
      <c r="C914" s="122" t="s">
        <v>69</v>
      </c>
      <c r="D914" s="44"/>
      <c r="E914" s="123">
        <v>4276.54</v>
      </c>
      <c r="F914" s="44"/>
      <c r="G914" s="44"/>
      <c r="H914" s="123">
        <v>-832.61</v>
      </c>
      <c r="I914" s="44"/>
      <c r="J914" s="44"/>
      <c r="K914" s="44"/>
      <c r="L914" s="123">
        <v>-3582.88</v>
      </c>
      <c r="M914" s="44"/>
      <c r="N914" s="44"/>
      <c r="O914" s="123">
        <v>547574.0</v>
      </c>
      <c r="P914" s="52">
        <f t="shared" si="23"/>
        <v>547574.19</v>
      </c>
      <c r="Q914" s="124">
        <f t="shared" si="2"/>
        <v>-0.1899999999</v>
      </c>
      <c r="R914" s="52">
        <f t="array" ref="R914">IFERROR(INDEX('Fund YTD Target Values'!$1:$1000, MATCH($C914,'Fund YTD Target Values'!$A:$A,0), MATCH($A914,'Fund YTD Target Values'!$1:$1,0)),0)</f>
        <v>701383.2727</v>
      </c>
      <c r="S914" s="52">
        <f>IFERROR(__xludf.DUMMYFUNCTION("IFERROR(sum(FILTER('Fund Data'!$V:$V, 'Fund Data'!$C:$C = $C914, 'Fund Data'!$A:$A &lt; $A914)),0) + IFERROR(sum(FILTER('Fund Data'!$V:$V, 'Fund Data'!$C:$C = $C914, 'Fund Data'!$A:$A = $A914, 'Fund Data'!$B:$B &lt;= $B914)),0)"),500000.0)</f>
        <v>500000</v>
      </c>
      <c r="T914" s="123">
        <v>500000.0</v>
      </c>
      <c r="U914" s="44">
        <f t="shared" si="85"/>
        <v>0</v>
      </c>
      <c r="V914" s="44">
        <f t="shared" si="3"/>
        <v>0</v>
      </c>
      <c r="W914" s="123"/>
      <c r="X914" s="123"/>
      <c r="Y914" s="123">
        <v>0.0</v>
      </c>
      <c r="Z914" s="123">
        <v>0.0</v>
      </c>
      <c r="AA914" s="123">
        <v>0.0</v>
      </c>
      <c r="AB914" s="123"/>
      <c r="AC914" s="123">
        <v>0.0</v>
      </c>
      <c r="AD914" s="44">
        <f t="shared" si="7"/>
        <v>0</v>
      </c>
      <c r="AE914" s="123">
        <v>0.0</v>
      </c>
    </row>
    <row r="915">
      <c r="A915" s="120">
        <v>2018.0</v>
      </c>
      <c r="B915" s="121">
        <v>2.0</v>
      </c>
      <c r="C915" s="122" t="s">
        <v>69</v>
      </c>
      <c r="D915" s="44"/>
      <c r="E915" s="123">
        <v>3794.63</v>
      </c>
      <c r="F915" s="44"/>
      <c r="G915" s="44"/>
      <c r="H915" s="123">
        <v>-1359.39</v>
      </c>
      <c r="I915" s="44"/>
      <c r="J915" s="44"/>
      <c r="K915" s="44"/>
      <c r="L915" s="123">
        <v>235.0</v>
      </c>
      <c r="M915" s="44"/>
      <c r="N915" s="44"/>
      <c r="O915" s="123">
        <v>550383.0</v>
      </c>
      <c r="P915" s="52">
        <f t="shared" si="23"/>
        <v>550383.38</v>
      </c>
      <c r="Q915" s="124">
        <f t="shared" si="2"/>
        <v>-0.3799999999</v>
      </c>
      <c r="R915" s="52">
        <f t="array" ref="R915">IFERROR(INDEX('Fund YTD Target Values'!$1:$1000, MATCH($C915,'Fund YTD Target Values'!$A:$A,0), MATCH($A915,'Fund YTD Target Values'!$1:$1,0)),0)</f>
        <v>701383.2727</v>
      </c>
      <c r="S915" s="52">
        <f>IFERROR(__xludf.DUMMYFUNCTION("IFERROR(sum(FILTER('Fund Data'!$V:$V, 'Fund Data'!$C:$C = $C915, 'Fund Data'!$A:$A &lt; $A915)),0) + IFERROR(sum(FILTER('Fund Data'!$V:$V, 'Fund Data'!$C:$C = $C915, 'Fund Data'!$A:$A = $A915, 'Fund Data'!$B:$B &lt;= $B915)),0)"),500000.0)</f>
        <v>500000</v>
      </c>
      <c r="T915" s="123">
        <v>500000.0</v>
      </c>
      <c r="U915" s="44">
        <f t="shared" si="85"/>
        <v>0</v>
      </c>
      <c r="V915" s="44">
        <f t="shared" si="3"/>
        <v>0</v>
      </c>
      <c r="W915" s="123"/>
      <c r="X915" s="123"/>
      <c r="Y915" s="123">
        <v>0.0</v>
      </c>
      <c r="Z915" s="123">
        <v>0.0</v>
      </c>
      <c r="AA915" s="123">
        <v>0.0</v>
      </c>
      <c r="AB915" s="123"/>
      <c r="AC915" s="123">
        <v>0.0</v>
      </c>
      <c r="AD915" s="44">
        <f t="shared" si="7"/>
        <v>0</v>
      </c>
      <c r="AE915" s="123">
        <v>0.0</v>
      </c>
    </row>
    <row r="916">
      <c r="A916" s="120">
        <v>2018.0</v>
      </c>
      <c r="B916" s="121">
        <v>1.0</v>
      </c>
      <c r="C916" s="122" t="s">
        <v>69</v>
      </c>
      <c r="D916" s="44"/>
      <c r="E916" s="123">
        <v>3387.48</v>
      </c>
      <c r="F916" s="44"/>
      <c r="G916" s="44"/>
      <c r="H916" s="123">
        <v>-1075.83</v>
      </c>
      <c r="I916" s="44"/>
      <c r="J916" s="44"/>
      <c r="K916" s="44"/>
      <c r="L916" s="123">
        <v>17097.33</v>
      </c>
      <c r="M916" s="44"/>
      <c r="N916" s="44"/>
      <c r="O916" s="123">
        <v>567122.0</v>
      </c>
      <c r="P916" s="52">
        <f t="shared" si="23"/>
        <v>567122.12</v>
      </c>
      <c r="Q916" s="124">
        <f t="shared" si="2"/>
        <v>-0.1199999999</v>
      </c>
      <c r="R916" s="52">
        <f t="array" ref="R916">IFERROR(INDEX('Fund YTD Target Values'!$1:$1000, MATCH($C916,'Fund YTD Target Values'!$A:$A,0), MATCH($A916,'Fund YTD Target Values'!$1:$1,0)),0)</f>
        <v>701383.2727</v>
      </c>
      <c r="S916" s="52">
        <f>IFERROR(__xludf.DUMMYFUNCTION("IFERROR(sum(FILTER('Fund Data'!$V:$V, 'Fund Data'!$C:$C = $C916, 'Fund Data'!$A:$A &lt; $A916)),0) + IFERROR(sum(FILTER('Fund Data'!$V:$V, 'Fund Data'!$C:$C = $C916, 'Fund Data'!$A:$A = $A916, 'Fund Data'!$B:$B &lt;= $B916)),0)"),500000.0)</f>
        <v>500000</v>
      </c>
      <c r="T916" s="123">
        <v>500000.0</v>
      </c>
      <c r="U916" s="44">
        <f t="shared" si="85"/>
        <v>0</v>
      </c>
      <c r="V916" s="44">
        <f t="shared" si="3"/>
        <v>0</v>
      </c>
      <c r="W916" s="123"/>
      <c r="X916" s="123"/>
      <c r="Y916" s="123">
        <v>0.0</v>
      </c>
      <c r="Z916" s="123">
        <v>0.0</v>
      </c>
      <c r="AA916" s="123">
        <v>0.0</v>
      </c>
      <c r="AB916" s="123"/>
      <c r="AC916" s="123">
        <v>0.0</v>
      </c>
      <c r="AD916" s="44">
        <f t="shared" si="7"/>
        <v>0</v>
      </c>
      <c r="AE916" s="123">
        <v>0.0</v>
      </c>
    </row>
    <row r="917">
      <c r="A917" s="120">
        <v>2017.0</v>
      </c>
      <c r="B917" s="121">
        <v>12.0</v>
      </c>
      <c r="C917" s="122" t="s">
        <v>69</v>
      </c>
      <c r="D917" s="44"/>
      <c r="E917" s="123">
        <v>11766.64</v>
      </c>
      <c r="F917" s="123">
        <v>-30000.0</v>
      </c>
      <c r="G917" s="123"/>
      <c r="H917" s="123">
        <v>-3211.39</v>
      </c>
      <c r="I917" s="44"/>
      <c r="J917" s="123">
        <v>6563.86</v>
      </c>
      <c r="K917" s="44"/>
      <c r="L917" s="123">
        <v>59878.03</v>
      </c>
      <c r="M917" s="44"/>
      <c r="N917" s="44"/>
      <c r="O917" s="123">
        <v>547713.0</v>
      </c>
      <c r="P917" s="52">
        <f t="shared" si="23"/>
        <v>547713.14</v>
      </c>
      <c r="Q917" s="124">
        <f t="shared" si="2"/>
        <v>-0.1399999999</v>
      </c>
      <c r="R917" s="52">
        <f t="array" ref="R917">IFERROR(INDEX('Fund YTD Target Values'!$1:$1000, MATCH($C917,'Fund YTD Target Values'!$A:$A,0), MATCH($A917,'Fund YTD Target Values'!$1:$1,0)),0)</f>
        <v>684659.2079</v>
      </c>
      <c r="S917" s="52">
        <f>IFERROR(__xludf.DUMMYFUNCTION("IFERROR(sum(FILTER('Fund Data'!$V:$V, 'Fund Data'!$C:$C = $C917, 'Fund Data'!$A:$A &lt; $A917)),0) + IFERROR(sum(FILTER('Fund Data'!$V:$V, 'Fund Data'!$C:$C = $C917, 'Fund Data'!$A:$A = $A917, 'Fund Data'!$B:$B &lt;= $B917)),0)"),500000.0)</f>
        <v>500000</v>
      </c>
      <c r="T917" s="123">
        <v>500000.0</v>
      </c>
      <c r="U917" s="44">
        <f t="shared" si="85"/>
        <v>0</v>
      </c>
      <c r="V917" s="44">
        <f t="shared" si="3"/>
        <v>0</v>
      </c>
      <c r="W917" s="123"/>
      <c r="X917" s="123"/>
      <c r="Y917" s="123">
        <v>0.0</v>
      </c>
      <c r="Z917" s="123">
        <v>0.0</v>
      </c>
      <c r="AA917" s="123">
        <v>0.0</v>
      </c>
      <c r="AB917" s="123"/>
      <c r="AC917" s="123">
        <v>0.0</v>
      </c>
      <c r="AD917" s="44">
        <f t="shared" si="7"/>
        <v>-30000</v>
      </c>
      <c r="AE917" s="123">
        <v>0.0</v>
      </c>
    </row>
    <row r="918">
      <c r="A918" s="120">
        <v>2017.0</v>
      </c>
      <c r="B918" s="121">
        <v>11.0</v>
      </c>
      <c r="C918" s="122" t="s">
        <v>69</v>
      </c>
      <c r="D918" s="44"/>
      <c r="E918" s="123">
        <v>10995.1</v>
      </c>
      <c r="F918" s="123">
        <v>-30000.0</v>
      </c>
      <c r="G918" s="44"/>
      <c r="H918" s="123">
        <v>-2939.04</v>
      </c>
      <c r="I918" s="44"/>
      <c r="J918" s="123">
        <v>6563.86</v>
      </c>
      <c r="K918" s="44"/>
      <c r="L918" s="123">
        <v>57246.0</v>
      </c>
      <c r="M918" s="44"/>
      <c r="N918" s="44"/>
      <c r="O918" s="123">
        <v>544582.0</v>
      </c>
      <c r="P918" s="52">
        <f t="shared" si="23"/>
        <v>544581.92</v>
      </c>
      <c r="Q918" s="124">
        <f t="shared" si="2"/>
        <v>0.08000000007</v>
      </c>
      <c r="R918" s="52">
        <f t="array" ref="R918">IFERROR(INDEX('Fund YTD Target Values'!$1:$1000, MATCH($C918,'Fund YTD Target Values'!$A:$A,0), MATCH($A918,'Fund YTD Target Values'!$1:$1,0)),0)</f>
        <v>684659.2079</v>
      </c>
      <c r="S918" s="52">
        <f>IFERROR(__xludf.DUMMYFUNCTION("IFERROR(sum(FILTER('Fund Data'!$V:$V, 'Fund Data'!$C:$C = $C918, 'Fund Data'!$A:$A &lt; $A918)),0) + IFERROR(sum(FILTER('Fund Data'!$V:$V, 'Fund Data'!$C:$C = $C918, 'Fund Data'!$A:$A = $A918, 'Fund Data'!$B:$B &lt;= $B918)),0)"),500000.0)</f>
        <v>500000</v>
      </c>
      <c r="T918" s="123">
        <v>500000.0</v>
      </c>
      <c r="U918" s="44">
        <f t="shared" si="85"/>
        <v>0</v>
      </c>
      <c r="V918" s="44">
        <f t="shared" si="3"/>
        <v>0</v>
      </c>
      <c r="W918" s="123"/>
      <c r="X918" s="123"/>
      <c r="Y918" s="123">
        <v>0.0</v>
      </c>
      <c r="Z918" s="123">
        <v>0.0</v>
      </c>
      <c r="AA918" s="123">
        <v>0.0</v>
      </c>
      <c r="AB918" s="123"/>
      <c r="AC918" s="123">
        <v>0.0</v>
      </c>
      <c r="AD918" s="44">
        <f t="shared" si="7"/>
        <v>-30000</v>
      </c>
      <c r="AE918" s="123">
        <v>0.0</v>
      </c>
    </row>
    <row r="919">
      <c r="A919" s="120">
        <v>2017.0</v>
      </c>
      <c r="B919" s="121">
        <v>10.0</v>
      </c>
      <c r="C919" s="122" t="s">
        <v>69</v>
      </c>
      <c r="D919" s="44"/>
      <c r="E919" s="123">
        <v>10616.95</v>
      </c>
      <c r="F919" s="123">
        <v>-8000.0</v>
      </c>
      <c r="G919" s="44"/>
      <c r="H919" s="123">
        <v>-2658.8</v>
      </c>
      <c r="I919" s="44"/>
      <c r="J919" s="44"/>
      <c r="K919" s="44"/>
      <c r="L919" s="123">
        <v>57793.65</v>
      </c>
      <c r="M919" s="44"/>
      <c r="N919" s="44"/>
      <c r="O919" s="123">
        <v>560468.0</v>
      </c>
      <c r="P919" s="52">
        <f t="shared" si="23"/>
        <v>560467.8</v>
      </c>
      <c r="Q919" s="124">
        <f t="shared" si="2"/>
        <v>0.2000000001</v>
      </c>
      <c r="R919" s="52">
        <f t="array" ref="R919">IFERROR(INDEX('Fund YTD Target Values'!$1:$1000, MATCH($C919,'Fund YTD Target Values'!$A:$A,0), MATCH($A919,'Fund YTD Target Values'!$1:$1,0)),0)</f>
        <v>684659.2079</v>
      </c>
      <c r="S919" s="52">
        <f>IFERROR(__xludf.DUMMYFUNCTION("IFERROR(sum(FILTER('Fund Data'!$V:$V, 'Fund Data'!$C:$C = $C919, 'Fund Data'!$A:$A &lt; $A919)),0) + IFERROR(sum(FILTER('Fund Data'!$V:$V, 'Fund Data'!$C:$C = $C919, 'Fund Data'!$A:$A = $A919, 'Fund Data'!$B:$B &lt;= $B919)),0)"),500000.0)</f>
        <v>500000</v>
      </c>
      <c r="T919" s="123">
        <v>500000.0</v>
      </c>
      <c r="U919" s="44">
        <f t="shared" si="85"/>
        <v>0</v>
      </c>
      <c r="V919" s="44">
        <f t="shared" si="3"/>
        <v>0</v>
      </c>
      <c r="W919" s="123"/>
      <c r="X919" s="123"/>
      <c r="Y919" s="123">
        <v>0.0</v>
      </c>
      <c r="Z919" s="123">
        <v>0.0</v>
      </c>
      <c r="AA919" s="123">
        <v>0.0</v>
      </c>
      <c r="AB919" s="123"/>
      <c r="AC919" s="123">
        <v>0.0</v>
      </c>
      <c r="AD919" s="44">
        <f t="shared" si="7"/>
        <v>-8000</v>
      </c>
      <c r="AE919" s="123">
        <v>0.0</v>
      </c>
    </row>
    <row r="920">
      <c r="A920" s="120">
        <v>2017.0</v>
      </c>
      <c r="B920" s="121">
        <v>9.0</v>
      </c>
      <c r="C920" s="122" t="s">
        <v>69</v>
      </c>
      <c r="D920" s="44"/>
      <c r="E920" s="123">
        <v>9467.89</v>
      </c>
      <c r="F920" s="123">
        <v>-8000.0</v>
      </c>
      <c r="G920" s="44"/>
      <c r="H920" s="123">
        <v>-2382.58</v>
      </c>
      <c r="I920" s="44"/>
      <c r="J920" s="44"/>
      <c r="K920" s="44"/>
      <c r="L920" s="123">
        <v>50633.21</v>
      </c>
      <c r="M920" s="44"/>
      <c r="N920" s="44"/>
      <c r="O920" s="123">
        <v>552434.0</v>
      </c>
      <c r="P920" s="52">
        <f t="shared" si="23"/>
        <v>552434.52</v>
      </c>
      <c r="Q920" s="124">
        <f t="shared" si="2"/>
        <v>-0.5199999999</v>
      </c>
      <c r="R920" s="52">
        <f t="array" ref="R920">IFERROR(INDEX('Fund YTD Target Values'!$1:$1000, MATCH($C920,'Fund YTD Target Values'!$A:$A,0), MATCH($A920,'Fund YTD Target Values'!$1:$1,0)),0)</f>
        <v>684659.2079</v>
      </c>
      <c r="S920" s="52">
        <f>IFERROR(__xludf.DUMMYFUNCTION("IFERROR(sum(FILTER('Fund Data'!$V:$V, 'Fund Data'!$C:$C = $C920, 'Fund Data'!$A:$A &lt; $A920)),0) + IFERROR(sum(FILTER('Fund Data'!$V:$V, 'Fund Data'!$C:$C = $C920, 'Fund Data'!$A:$A = $A920, 'Fund Data'!$B:$B &lt;= $B920)),0)"),500000.0)</f>
        <v>500000</v>
      </c>
      <c r="T920" s="123">
        <v>500000.0</v>
      </c>
      <c r="U920" s="44">
        <f t="shared" si="85"/>
        <v>0</v>
      </c>
      <c r="V920" s="44">
        <f t="shared" si="3"/>
        <v>0</v>
      </c>
      <c r="W920" s="123"/>
      <c r="X920" s="123"/>
      <c r="Y920" s="123">
        <v>0.0</v>
      </c>
      <c r="Z920" s="123">
        <v>0.0</v>
      </c>
      <c r="AA920" s="123">
        <v>0.0</v>
      </c>
      <c r="AB920" s="123"/>
      <c r="AC920" s="123">
        <v>0.0</v>
      </c>
      <c r="AD920" s="44">
        <f t="shared" si="7"/>
        <v>-8000</v>
      </c>
      <c r="AE920" s="123">
        <v>0.0</v>
      </c>
    </row>
    <row r="921">
      <c r="A921" s="120">
        <v>2017.0</v>
      </c>
      <c r="B921" s="121">
        <v>8.0</v>
      </c>
      <c r="C921" s="122" t="s">
        <v>69</v>
      </c>
      <c r="D921" s="44"/>
      <c r="E921" s="123">
        <v>8780.23</v>
      </c>
      <c r="F921" s="123">
        <v>-8000.0</v>
      </c>
      <c r="G921" s="44"/>
      <c r="H921" s="123">
        <v>-2109.27</v>
      </c>
      <c r="I921" s="44"/>
      <c r="J921" s="44"/>
      <c r="K921" s="44"/>
      <c r="L921" s="123">
        <v>45220.68</v>
      </c>
      <c r="M921" s="44"/>
      <c r="N921" s="44"/>
      <c r="O921" s="123">
        <v>546607.0</v>
      </c>
      <c r="P921" s="52">
        <f t="shared" si="23"/>
        <v>546607.64</v>
      </c>
      <c r="Q921" s="124">
        <f t="shared" si="2"/>
        <v>-0.6399999999</v>
      </c>
      <c r="R921" s="52">
        <f t="array" ref="R921">IFERROR(INDEX('Fund YTD Target Values'!$1:$1000, MATCH($C921,'Fund YTD Target Values'!$A:$A,0), MATCH($A921,'Fund YTD Target Values'!$1:$1,0)),0)</f>
        <v>684659.2079</v>
      </c>
      <c r="S921" s="52">
        <f>IFERROR(__xludf.DUMMYFUNCTION("IFERROR(sum(FILTER('Fund Data'!$V:$V, 'Fund Data'!$C:$C = $C921, 'Fund Data'!$A:$A &lt; $A921)),0) + IFERROR(sum(FILTER('Fund Data'!$V:$V, 'Fund Data'!$C:$C = $C921, 'Fund Data'!$A:$A = $A921, 'Fund Data'!$B:$B &lt;= $B921)),0)"),500000.0)</f>
        <v>500000</v>
      </c>
      <c r="T921" s="123">
        <v>500000.0</v>
      </c>
      <c r="U921" s="44">
        <f t="shared" si="85"/>
        <v>0</v>
      </c>
      <c r="V921" s="44">
        <f t="shared" si="3"/>
        <v>0</v>
      </c>
      <c r="W921" s="123"/>
      <c r="X921" s="123"/>
      <c r="Y921" s="123">
        <v>0.0</v>
      </c>
      <c r="Z921" s="123">
        <v>0.0</v>
      </c>
      <c r="AA921" s="123">
        <v>0.0</v>
      </c>
      <c r="AB921" s="123"/>
      <c r="AC921" s="123">
        <v>0.0</v>
      </c>
      <c r="AD921" s="44">
        <f t="shared" si="7"/>
        <v>-8000</v>
      </c>
      <c r="AE921" s="123">
        <v>0.0</v>
      </c>
    </row>
    <row r="922">
      <c r="A922" s="120">
        <v>2017.0</v>
      </c>
      <c r="B922" s="121">
        <v>7.0</v>
      </c>
      <c r="C922" s="122" t="s">
        <v>69</v>
      </c>
      <c r="D922" s="44"/>
      <c r="E922" s="123">
        <v>8405.86</v>
      </c>
      <c r="F922" s="123">
        <v>-5000.0</v>
      </c>
      <c r="G922" s="44"/>
      <c r="H922" s="123">
        <v>-1835.23</v>
      </c>
      <c r="I922" s="44"/>
      <c r="J922" s="44"/>
      <c r="K922" s="44"/>
      <c r="L922" s="123">
        <v>43795.35</v>
      </c>
      <c r="M922" s="44"/>
      <c r="N922" s="44"/>
      <c r="O922" s="123">
        <v>548082.0</v>
      </c>
      <c r="P922" s="52">
        <f t="shared" si="23"/>
        <v>548081.98</v>
      </c>
      <c r="Q922" s="124">
        <f t="shared" si="2"/>
        <v>0.02000000002</v>
      </c>
      <c r="R922" s="52">
        <f t="array" ref="R922">IFERROR(INDEX('Fund YTD Target Values'!$1:$1000, MATCH($C922,'Fund YTD Target Values'!$A:$A,0), MATCH($A922,'Fund YTD Target Values'!$1:$1,0)),0)</f>
        <v>684659.2079</v>
      </c>
      <c r="S922" s="52">
        <f>IFERROR(__xludf.DUMMYFUNCTION("IFERROR(sum(FILTER('Fund Data'!$V:$V, 'Fund Data'!$C:$C = $C922, 'Fund Data'!$A:$A &lt; $A922)),0) + IFERROR(sum(FILTER('Fund Data'!$V:$V, 'Fund Data'!$C:$C = $C922, 'Fund Data'!$A:$A = $A922, 'Fund Data'!$B:$B &lt;= $B922)),0)"),500000.0)</f>
        <v>500000</v>
      </c>
      <c r="T922" s="123">
        <v>500000.0</v>
      </c>
      <c r="U922" s="44">
        <f t="shared" si="85"/>
        <v>0</v>
      </c>
      <c r="V922" s="44">
        <f t="shared" si="3"/>
        <v>0</v>
      </c>
      <c r="W922" s="123"/>
      <c r="X922" s="123"/>
      <c r="Y922" s="123">
        <v>0.0</v>
      </c>
      <c r="Z922" s="123">
        <v>0.0</v>
      </c>
      <c r="AA922" s="123">
        <v>0.0</v>
      </c>
      <c r="AB922" s="123"/>
      <c r="AC922" s="123">
        <v>0.0</v>
      </c>
      <c r="AD922" s="44">
        <f t="shared" si="7"/>
        <v>-5000</v>
      </c>
      <c r="AE922" s="123">
        <v>0.0</v>
      </c>
    </row>
    <row r="923">
      <c r="A923" s="120">
        <v>2017.0</v>
      </c>
      <c r="B923" s="121">
        <v>6.0</v>
      </c>
      <c r="C923" s="122" t="s">
        <v>69</v>
      </c>
      <c r="D923" s="44"/>
      <c r="E923" s="123">
        <v>6689.78</v>
      </c>
      <c r="F923" s="123">
        <v>-5000.0</v>
      </c>
      <c r="G923" s="44"/>
      <c r="H923" s="123">
        <v>-1567.55</v>
      </c>
      <c r="I923" s="44"/>
      <c r="J923" s="44"/>
      <c r="K923" s="44"/>
      <c r="L923" s="123">
        <v>32523.93</v>
      </c>
      <c r="M923" s="44"/>
      <c r="N923" s="44"/>
      <c r="O923" s="123">
        <v>535362.0</v>
      </c>
      <c r="P923" s="52">
        <f t="shared" si="23"/>
        <v>535362.16</v>
      </c>
      <c r="Q923" s="124">
        <f t="shared" si="2"/>
        <v>-0.1599999999</v>
      </c>
      <c r="R923" s="52">
        <f t="array" ref="R923">IFERROR(INDEX('Fund YTD Target Values'!$1:$1000, MATCH($C923,'Fund YTD Target Values'!$A:$A,0), MATCH($A923,'Fund YTD Target Values'!$1:$1,0)),0)</f>
        <v>684659.2079</v>
      </c>
      <c r="S923" s="52">
        <f>IFERROR(__xludf.DUMMYFUNCTION("IFERROR(sum(FILTER('Fund Data'!$V:$V, 'Fund Data'!$C:$C = $C923, 'Fund Data'!$A:$A &lt; $A923)),0) + IFERROR(sum(FILTER('Fund Data'!$V:$V, 'Fund Data'!$C:$C = $C923, 'Fund Data'!$A:$A = $A923, 'Fund Data'!$B:$B &lt;= $B923)),0)"),500000.0)</f>
        <v>500000</v>
      </c>
      <c r="T923" s="123">
        <v>500000.0</v>
      </c>
      <c r="U923" s="44">
        <f t="shared" si="85"/>
        <v>0</v>
      </c>
      <c r="V923" s="44">
        <f t="shared" si="3"/>
        <v>0</v>
      </c>
      <c r="W923" s="123"/>
      <c r="X923" s="123"/>
      <c r="Y923" s="123">
        <v>0.0</v>
      </c>
      <c r="Z923" s="123">
        <v>0.0</v>
      </c>
      <c r="AA923" s="123">
        <v>0.0</v>
      </c>
      <c r="AB923" s="123"/>
      <c r="AC923" s="123">
        <v>0.0</v>
      </c>
      <c r="AD923" s="44">
        <f t="shared" si="7"/>
        <v>-5000</v>
      </c>
      <c r="AE923" s="123">
        <v>0.0</v>
      </c>
    </row>
    <row r="924">
      <c r="A924" s="168">
        <v>2017.0</v>
      </c>
      <c r="B924" s="169">
        <v>5.0</v>
      </c>
      <c r="C924" s="122" t="s">
        <v>69</v>
      </c>
      <c r="D924" s="44"/>
      <c r="E924" s="123">
        <v>6331.14</v>
      </c>
      <c r="F924" s="123">
        <v>-5000.0</v>
      </c>
      <c r="G924" s="44"/>
      <c r="H924" s="123">
        <v>-1300.5</v>
      </c>
      <c r="I924" s="44"/>
      <c r="J924" s="44"/>
      <c r="K924" s="44"/>
      <c r="L924" s="123">
        <v>31364.91</v>
      </c>
      <c r="M924" s="44"/>
      <c r="N924" s="44"/>
      <c r="O924" s="123">
        <v>534111.0</v>
      </c>
      <c r="P924" s="52">
        <f t="shared" si="23"/>
        <v>534111.55</v>
      </c>
      <c r="Q924" s="124">
        <f t="shared" si="2"/>
        <v>-0.5499999999</v>
      </c>
      <c r="R924" s="52">
        <f t="array" ref="R924">IFERROR(INDEX('Fund YTD Target Values'!$1:$1000, MATCH($C924,'Fund YTD Target Values'!$A:$A,0), MATCH($A924,'Fund YTD Target Values'!$1:$1,0)),0)</f>
        <v>684659.2079</v>
      </c>
      <c r="S924" s="52">
        <f>IFERROR(__xludf.DUMMYFUNCTION("IFERROR(sum(FILTER('Fund Data'!$V:$V, 'Fund Data'!$C:$C = $C924, 'Fund Data'!$A:$A &lt; $A924)),0) + IFERROR(sum(FILTER('Fund Data'!$V:$V, 'Fund Data'!$C:$C = $C924, 'Fund Data'!$A:$A = $A924, 'Fund Data'!$B:$B &lt;= $B924)),0)"),500000.0)</f>
        <v>500000</v>
      </c>
      <c r="T924" s="123">
        <v>500000.0</v>
      </c>
      <c r="U924" s="44">
        <f t="shared" si="85"/>
        <v>0</v>
      </c>
      <c r="V924" s="44">
        <f t="shared" si="3"/>
        <v>0</v>
      </c>
      <c r="W924" s="123"/>
      <c r="X924" s="123"/>
      <c r="Y924" s="123">
        <v>0.0</v>
      </c>
      <c r="Z924" s="123">
        <v>0.0</v>
      </c>
      <c r="AA924" s="123">
        <v>0.0</v>
      </c>
      <c r="AB924" s="123"/>
      <c r="AC924" s="123">
        <v>0.0</v>
      </c>
      <c r="AD924" s="44">
        <f t="shared" si="7"/>
        <v>-5000</v>
      </c>
      <c r="AE924" s="123">
        <v>0.0</v>
      </c>
    </row>
    <row r="925">
      <c r="A925" s="120">
        <v>2017.0</v>
      </c>
      <c r="B925" s="121">
        <v>4.0</v>
      </c>
      <c r="C925" s="122" t="s">
        <v>69</v>
      </c>
      <c r="D925" s="44"/>
      <c r="E925" s="123">
        <v>5985.0</v>
      </c>
      <c r="F925" s="44"/>
      <c r="G925" s="44"/>
      <c r="H925" s="123">
        <v>-1033.99</v>
      </c>
      <c r="I925" s="44"/>
      <c r="J925" s="44"/>
      <c r="K925" s="44"/>
      <c r="L925" s="123">
        <v>25355.99</v>
      </c>
      <c r="M925" s="44"/>
      <c r="N925" s="44"/>
      <c r="O925" s="123">
        <v>533023.0</v>
      </c>
      <c r="P925" s="52">
        <f t="shared" si="23"/>
        <v>533023</v>
      </c>
      <c r="Q925" s="124">
        <f t="shared" si="2"/>
        <v>0</v>
      </c>
      <c r="R925" s="52">
        <f t="array" ref="R925">IFERROR(INDEX('Fund YTD Target Values'!$1:$1000, MATCH($C925,'Fund YTD Target Values'!$A:$A,0), MATCH($A925,'Fund YTD Target Values'!$1:$1,0)),0)</f>
        <v>684659.2079</v>
      </c>
      <c r="S925" s="52">
        <f>IFERROR(__xludf.DUMMYFUNCTION("IFERROR(sum(FILTER('Fund Data'!$V:$V, 'Fund Data'!$C:$C = $C925, 'Fund Data'!$A:$A &lt; $A925)),0) + IFERROR(sum(FILTER('Fund Data'!$V:$V, 'Fund Data'!$C:$C = $C925, 'Fund Data'!$A:$A = $A925, 'Fund Data'!$B:$B &lt;= $B925)),0)"),500000.0)</f>
        <v>500000</v>
      </c>
      <c r="T925" s="123">
        <v>500000.0</v>
      </c>
      <c r="U925" s="44">
        <f t="shared" si="85"/>
        <v>0</v>
      </c>
      <c r="V925" s="44">
        <f t="shared" si="3"/>
        <v>0</v>
      </c>
      <c r="W925" s="123"/>
      <c r="X925" s="123"/>
      <c r="Y925" s="123">
        <v>0.0</v>
      </c>
      <c r="Z925" s="123">
        <v>0.0</v>
      </c>
      <c r="AA925" s="123">
        <v>0.0</v>
      </c>
      <c r="AB925" s="123"/>
      <c r="AC925" s="123">
        <v>0.0</v>
      </c>
      <c r="AD925" s="44">
        <f t="shared" si="7"/>
        <v>0</v>
      </c>
      <c r="AE925" s="123">
        <v>0.0</v>
      </c>
    </row>
    <row r="926">
      <c r="A926" s="120">
        <v>2017.0</v>
      </c>
      <c r="B926" s="121">
        <v>3.0</v>
      </c>
      <c r="C926" s="122" t="s">
        <v>69</v>
      </c>
      <c r="D926" s="44"/>
      <c r="E926" s="123">
        <v>4529.14</v>
      </c>
      <c r="F926" s="44"/>
      <c r="G926" s="44"/>
      <c r="H926" s="123">
        <v>-770.74</v>
      </c>
      <c r="I926" s="44"/>
      <c r="J926" s="44"/>
      <c r="K926" s="44"/>
      <c r="L926" s="123">
        <v>20022.23</v>
      </c>
      <c r="M926" s="44"/>
      <c r="N926" s="44"/>
      <c r="O926" s="123">
        <v>526496.0</v>
      </c>
      <c r="P926" s="52">
        <f t="shared" si="23"/>
        <v>526496.63</v>
      </c>
      <c r="Q926" s="124">
        <f t="shared" si="2"/>
        <v>-0.6299999999</v>
      </c>
      <c r="R926" s="52">
        <f t="array" ref="R926">IFERROR(INDEX('Fund YTD Target Values'!$1:$1000, MATCH($C926,'Fund YTD Target Values'!$A:$A,0), MATCH($A926,'Fund YTD Target Values'!$1:$1,0)),0)</f>
        <v>684659.2079</v>
      </c>
      <c r="S926" s="52">
        <f>IFERROR(__xludf.DUMMYFUNCTION("IFERROR(sum(FILTER('Fund Data'!$V:$V, 'Fund Data'!$C:$C = $C926, 'Fund Data'!$A:$A &lt; $A926)),0) + IFERROR(sum(FILTER('Fund Data'!$V:$V, 'Fund Data'!$C:$C = $C926, 'Fund Data'!$A:$A = $A926, 'Fund Data'!$B:$B &lt;= $B926)),0)"),500000.0)</f>
        <v>500000</v>
      </c>
      <c r="T926" s="123">
        <v>500000.0</v>
      </c>
      <c r="U926" s="44">
        <f t="shared" si="85"/>
        <v>0</v>
      </c>
      <c r="V926" s="44">
        <f t="shared" si="3"/>
        <v>0</v>
      </c>
      <c r="W926" s="123"/>
      <c r="X926" s="123"/>
      <c r="Y926" s="123">
        <v>0.0</v>
      </c>
      <c r="Z926" s="123">
        <v>0.0</v>
      </c>
      <c r="AA926" s="123">
        <v>0.0</v>
      </c>
      <c r="AB926" s="123"/>
      <c r="AC926" s="123">
        <v>0.0</v>
      </c>
      <c r="AD926" s="44">
        <f t="shared" si="7"/>
        <v>0</v>
      </c>
      <c r="AE926" s="123">
        <v>0.0</v>
      </c>
    </row>
    <row r="927">
      <c r="A927" s="168">
        <v>2017.0</v>
      </c>
      <c r="B927" s="169">
        <v>2.0</v>
      </c>
      <c r="C927" s="122" t="s">
        <v>69</v>
      </c>
      <c r="D927" s="44"/>
      <c r="E927" s="123">
        <v>4177.47</v>
      </c>
      <c r="F927" s="44"/>
      <c r="G927" s="44"/>
      <c r="H927" s="123">
        <v>-508.47</v>
      </c>
      <c r="I927" s="44"/>
      <c r="J927" s="44"/>
      <c r="K927" s="44"/>
      <c r="L927" s="123">
        <v>18146.79</v>
      </c>
      <c r="M927" s="44"/>
      <c r="N927" s="44"/>
      <c r="O927" s="123">
        <v>524531.0</v>
      </c>
      <c r="P927" s="52">
        <f t="shared" si="23"/>
        <v>524531.79</v>
      </c>
      <c r="Q927" s="124">
        <f t="shared" si="2"/>
        <v>-0.7899999999</v>
      </c>
      <c r="R927" s="52">
        <f t="array" ref="R927">IFERROR(INDEX('Fund YTD Target Values'!$1:$1000, MATCH($C927,'Fund YTD Target Values'!$A:$A,0), MATCH($A927,'Fund YTD Target Values'!$1:$1,0)),0)</f>
        <v>684659.2079</v>
      </c>
      <c r="S927" s="52">
        <f>IFERROR(__xludf.DUMMYFUNCTION("IFERROR(sum(FILTER('Fund Data'!$V:$V, 'Fund Data'!$C:$C = $C927, 'Fund Data'!$A:$A &lt; $A927)),0) + IFERROR(sum(FILTER('Fund Data'!$V:$V, 'Fund Data'!$C:$C = $C927, 'Fund Data'!$A:$A = $A927, 'Fund Data'!$B:$B &lt;= $B927)),0)"),500000.0)</f>
        <v>500000</v>
      </c>
      <c r="T927" s="123">
        <v>500000.0</v>
      </c>
      <c r="U927" s="44">
        <f t="shared" si="85"/>
        <v>0</v>
      </c>
      <c r="V927" s="44">
        <f t="shared" si="3"/>
        <v>0</v>
      </c>
      <c r="W927" s="123"/>
      <c r="X927" s="123"/>
      <c r="Y927" s="123">
        <v>0.0</v>
      </c>
      <c r="Z927" s="123">
        <v>0.0</v>
      </c>
      <c r="AA927" s="123">
        <v>0.0</v>
      </c>
      <c r="AB927" s="123"/>
      <c r="AC927" s="123">
        <v>0.0</v>
      </c>
      <c r="AD927" s="44">
        <f t="shared" si="7"/>
        <v>0</v>
      </c>
      <c r="AE927" s="123">
        <v>0.0</v>
      </c>
    </row>
    <row r="928">
      <c r="A928" s="168">
        <v>2017.0</v>
      </c>
      <c r="B928" s="169">
        <v>1.0</v>
      </c>
      <c r="C928" s="122" t="s">
        <v>69</v>
      </c>
      <c r="D928" s="44"/>
      <c r="E928" s="123">
        <v>3815.14</v>
      </c>
      <c r="F928" s="44"/>
      <c r="G928" s="44"/>
      <c r="H928" s="123">
        <v>-251.36</v>
      </c>
      <c r="I928" s="44"/>
      <c r="J928" s="44"/>
      <c r="K928" s="44"/>
      <c r="L928" s="123">
        <v>7933.12</v>
      </c>
      <c r="M928" s="44"/>
      <c r="N928" s="44"/>
      <c r="O928" s="123">
        <v>514213.0</v>
      </c>
      <c r="P928" s="52">
        <f t="shared" si="23"/>
        <v>514212.9</v>
      </c>
      <c r="Q928" s="124">
        <f t="shared" si="2"/>
        <v>0.1</v>
      </c>
      <c r="R928" s="52">
        <f t="array" ref="R928">IFERROR(INDEX('Fund YTD Target Values'!$1:$1000, MATCH($C928,'Fund YTD Target Values'!$A:$A,0), MATCH($A928,'Fund YTD Target Values'!$1:$1,0)),0)</f>
        <v>684659.2079</v>
      </c>
      <c r="S928" s="52">
        <f>IFERROR(__xludf.DUMMYFUNCTION("IFERROR(sum(FILTER('Fund Data'!$V:$V, 'Fund Data'!$C:$C = $C928, 'Fund Data'!$A:$A &lt; $A928)),0) + IFERROR(sum(FILTER('Fund Data'!$V:$V, 'Fund Data'!$C:$C = $C928, 'Fund Data'!$A:$A = $A928, 'Fund Data'!$B:$B &lt;= $B928)),0)"),500000.0)</f>
        <v>500000</v>
      </c>
      <c r="T928" s="123">
        <v>500000.0</v>
      </c>
      <c r="U928" s="44">
        <f t="shared" si="85"/>
        <v>0</v>
      </c>
      <c r="V928" s="44">
        <f t="shared" si="3"/>
        <v>0</v>
      </c>
      <c r="W928" s="123"/>
      <c r="X928" s="123"/>
      <c r="Y928" s="123">
        <v>0.0</v>
      </c>
      <c r="Z928" s="123">
        <v>0.0</v>
      </c>
      <c r="AA928" s="123">
        <v>0.0</v>
      </c>
      <c r="AB928" s="123"/>
      <c r="AC928" s="123">
        <v>0.0</v>
      </c>
      <c r="AD928" s="44">
        <f t="shared" si="7"/>
        <v>0</v>
      </c>
      <c r="AE928" s="123">
        <v>0.0</v>
      </c>
    </row>
    <row r="929">
      <c r="A929" s="120">
        <v>2016.0</v>
      </c>
      <c r="B929" s="121">
        <v>12.0</v>
      </c>
      <c r="C929" s="122" t="s">
        <v>69</v>
      </c>
      <c r="D929" s="44"/>
      <c r="E929" s="123">
        <v>10831.31</v>
      </c>
      <c r="F929" s="123">
        <v>-15000.0</v>
      </c>
      <c r="G929" s="123"/>
      <c r="H929" s="123">
        <v>-2984.11</v>
      </c>
      <c r="I929" s="44"/>
      <c r="J929" s="123">
        <v>1765.52</v>
      </c>
      <c r="K929" s="44"/>
      <c r="L929" s="123">
        <v>20133.35</v>
      </c>
      <c r="M929" s="44"/>
      <c r="N929" s="44"/>
      <c r="O929" s="123">
        <v>502716.0</v>
      </c>
      <c r="P929" s="52">
        <f t="shared" si="23"/>
        <v>502716</v>
      </c>
      <c r="Q929" s="124">
        <f t="shared" si="2"/>
        <v>0</v>
      </c>
      <c r="R929" s="52">
        <f t="array" ref="R929">IFERROR(INDEX('Fund YTD Target Values'!$1:$1000, MATCH($C929,'Fund YTD Target Values'!$A:$A,0), MATCH($A929,'Fund YTD Target Values'!$1:$1,0)),0)</f>
        <v>670369.5113</v>
      </c>
      <c r="S929" s="52">
        <f>IFERROR(__xludf.DUMMYFUNCTION("IFERROR(sum(FILTER('Fund Data'!$V:$V, 'Fund Data'!$C:$C = $C929, 'Fund Data'!$A:$A &lt; $A929)),0) + IFERROR(sum(FILTER('Fund Data'!$V:$V, 'Fund Data'!$C:$C = $C929, 'Fund Data'!$A:$A = $A929, 'Fund Data'!$B:$B &lt;= $B929)),0)"),500000.0)</f>
        <v>500000</v>
      </c>
      <c r="T929" s="123">
        <v>500000.0</v>
      </c>
      <c r="U929" s="44">
        <f t="shared" si="85"/>
        <v>0</v>
      </c>
      <c r="V929" s="44">
        <f t="shared" si="3"/>
        <v>0</v>
      </c>
      <c r="W929" s="123"/>
      <c r="X929" s="123"/>
      <c r="Y929" s="123">
        <v>0.0</v>
      </c>
      <c r="Z929" s="123">
        <v>0.0</v>
      </c>
      <c r="AA929" s="123">
        <v>0.0</v>
      </c>
      <c r="AB929" s="123"/>
      <c r="AC929" s="123">
        <v>0.0</v>
      </c>
      <c r="AD929" s="44">
        <f t="shared" si="7"/>
        <v>-15000</v>
      </c>
      <c r="AE929" s="123">
        <v>0.0</v>
      </c>
    </row>
    <row r="930">
      <c r="A930" s="120">
        <v>2015.0</v>
      </c>
      <c r="B930" s="121">
        <v>12.0</v>
      </c>
      <c r="C930" s="122" t="s">
        <v>69</v>
      </c>
      <c r="D930" s="44"/>
      <c r="E930" s="123">
        <v>12300.8</v>
      </c>
      <c r="F930" s="123">
        <v>-30000.0</v>
      </c>
      <c r="G930" s="123"/>
      <c r="H930" s="123">
        <v>-3128.54</v>
      </c>
      <c r="I930" s="44"/>
      <c r="J930" s="123">
        <v>5833.12</v>
      </c>
      <c r="K930" s="44"/>
      <c r="L930" s="123">
        <v>-27898.55</v>
      </c>
      <c r="M930" s="44"/>
      <c r="N930" s="44"/>
      <c r="O930" s="123">
        <v>487970.0</v>
      </c>
      <c r="P930" s="52">
        <f t="shared" si="23"/>
        <v>487969.93</v>
      </c>
      <c r="Q930" s="124">
        <f t="shared" si="2"/>
        <v>0.07000000001</v>
      </c>
      <c r="R930" s="52">
        <f t="array" ref="R930">IFERROR(INDEX('Fund YTD Target Values'!$1:$1000, MATCH($C930,'Fund YTD Target Values'!$A:$A,0), MATCH($A930,'Fund YTD Target Values'!$1:$1,0)),0)</f>
        <v>662015.9044</v>
      </c>
      <c r="S930" s="52">
        <f>IFERROR(__xludf.DUMMYFUNCTION("IFERROR(sum(FILTER('Fund Data'!$V:$V, 'Fund Data'!$C:$C = $C930, 'Fund Data'!$A:$A &lt; $A930)),0) + IFERROR(sum(FILTER('Fund Data'!$V:$V, 'Fund Data'!$C:$C = $C930, 'Fund Data'!$A:$A = $A930, 'Fund Data'!$B:$B &lt;= $B930)),0)"),500000.0)</f>
        <v>500000</v>
      </c>
      <c r="T930" s="123">
        <v>500000.0</v>
      </c>
      <c r="U930" s="44">
        <f t="shared" si="85"/>
        <v>0</v>
      </c>
      <c r="V930" s="44">
        <f t="shared" si="3"/>
        <v>0</v>
      </c>
      <c r="W930" s="123"/>
      <c r="X930" s="123"/>
      <c r="Y930" s="123">
        <v>0.0</v>
      </c>
      <c r="Z930" s="123">
        <v>0.0</v>
      </c>
      <c r="AA930" s="123">
        <v>0.0</v>
      </c>
      <c r="AB930" s="123"/>
      <c r="AC930" s="123">
        <v>0.0</v>
      </c>
      <c r="AD930" s="44">
        <f t="shared" si="7"/>
        <v>-30000</v>
      </c>
      <c r="AE930" s="123">
        <v>0.0</v>
      </c>
    </row>
    <row r="931">
      <c r="A931" s="120">
        <v>2014.0</v>
      </c>
      <c r="B931" s="121">
        <v>12.0</v>
      </c>
      <c r="C931" s="122" t="s">
        <v>69</v>
      </c>
      <c r="D931" s="44"/>
      <c r="E931" s="123">
        <v>10562.56</v>
      </c>
      <c r="F931" s="123">
        <v>-40000.0</v>
      </c>
      <c r="G931" s="123"/>
      <c r="H931" s="123">
        <v>-3385.45</v>
      </c>
      <c r="I931" s="44"/>
      <c r="J931" s="123">
        <v>8735.92</v>
      </c>
      <c r="K931" s="44"/>
      <c r="L931" s="123">
        <v>-5591.19</v>
      </c>
      <c r="M931" s="44"/>
      <c r="N931" s="44"/>
      <c r="O931" s="123">
        <v>530863.0</v>
      </c>
      <c r="P931" s="52">
        <f t="shared" si="23"/>
        <v>530863.1</v>
      </c>
      <c r="Q931" s="124">
        <f t="shared" si="2"/>
        <v>-0.09999999986</v>
      </c>
      <c r="R931" s="52">
        <f t="array" ref="R931">IFERROR(INDEX('Fund YTD Target Values'!$1:$1000, MATCH($C931,'Fund YTD Target Values'!$A:$A,0), MATCH($A931,'Fund YTD Target Values'!$1:$1,0)),0)</f>
        <v>661229.7052</v>
      </c>
      <c r="S931" s="52">
        <f>IFERROR(__xludf.DUMMYFUNCTION("IFERROR(sum(FILTER('Fund Data'!$V:$V, 'Fund Data'!$C:$C = $C931, 'Fund Data'!$A:$A &lt; $A931)),0) + IFERROR(sum(FILTER('Fund Data'!$V:$V, 'Fund Data'!$C:$C = $C931, 'Fund Data'!$A:$A = $A931, 'Fund Data'!$B:$B &lt;= $B931)),0)"),500000.0)</f>
        <v>500000</v>
      </c>
      <c r="T931" s="123">
        <v>500000.0</v>
      </c>
      <c r="U931" s="44">
        <f t="shared" si="85"/>
        <v>0</v>
      </c>
      <c r="V931" s="44">
        <f t="shared" si="3"/>
        <v>0</v>
      </c>
      <c r="W931" s="123"/>
      <c r="X931" s="123"/>
      <c r="Y931" s="123">
        <v>0.0</v>
      </c>
      <c r="Z931" s="123">
        <v>0.0</v>
      </c>
      <c r="AA931" s="123">
        <v>0.0</v>
      </c>
      <c r="AB931" s="123"/>
      <c r="AC931" s="123">
        <v>0.0</v>
      </c>
      <c r="AD931" s="44">
        <f t="shared" si="7"/>
        <v>-40000</v>
      </c>
      <c r="AE931" s="123">
        <v>0.0</v>
      </c>
    </row>
    <row r="932">
      <c r="A932" s="120">
        <v>2013.0</v>
      </c>
      <c r="B932" s="121">
        <v>12.0</v>
      </c>
      <c r="C932" s="122" t="s">
        <v>69</v>
      </c>
      <c r="D932" s="44"/>
      <c r="E932" s="123">
        <v>11427.74</v>
      </c>
      <c r="F932" s="123">
        <v>-33500.0</v>
      </c>
      <c r="G932" s="123"/>
      <c r="H932" s="123">
        <v>-3280.35</v>
      </c>
      <c r="I932" s="44"/>
      <c r="J932" s="123">
        <v>4064.4</v>
      </c>
      <c r="K932" s="44"/>
      <c r="L932" s="123">
        <v>44289.02</v>
      </c>
      <c r="M932" s="44"/>
      <c r="N932" s="44"/>
      <c r="O932" s="123">
        <v>560541.0</v>
      </c>
      <c r="P932" s="52">
        <f t="shared" si="23"/>
        <v>560541.26</v>
      </c>
      <c r="Q932" s="124">
        <f t="shared" si="2"/>
        <v>-0.26</v>
      </c>
      <c r="R932" s="52">
        <f t="array" ref="R932">IFERROR(INDEX('Fund YTD Target Values'!$1:$1000, MATCH($C932,'Fund YTD Target Values'!$A:$A,0), MATCH($A932,'Fund YTD Target Values'!$1:$1,0)),0)</f>
        <v>650676.3541</v>
      </c>
      <c r="S932" s="52">
        <f>IFERROR(__xludf.DUMMYFUNCTION("IFERROR(sum(FILTER('Fund Data'!$V:$V, 'Fund Data'!$C:$C = $C932, 'Fund Data'!$A:$A &lt; $A932)),0) + IFERROR(sum(FILTER('Fund Data'!$V:$V, 'Fund Data'!$C:$C = $C932, 'Fund Data'!$A:$A = $A932, 'Fund Data'!$B:$B &lt;= $B932)),0)"),500000.0)</f>
        <v>500000</v>
      </c>
      <c r="T932" s="123">
        <v>500000.0</v>
      </c>
      <c r="U932" s="44">
        <f t="shared" si="85"/>
        <v>0</v>
      </c>
      <c r="V932" s="44">
        <f t="shared" si="3"/>
        <v>0</v>
      </c>
      <c r="W932" s="123"/>
      <c r="X932" s="123"/>
      <c r="Y932" s="123">
        <v>0.0</v>
      </c>
      <c r="Z932" s="123">
        <v>0.0</v>
      </c>
      <c r="AA932" s="123">
        <v>0.0</v>
      </c>
      <c r="AB932" s="123"/>
      <c r="AC932" s="123">
        <v>0.0</v>
      </c>
      <c r="AD932" s="44">
        <f t="shared" si="7"/>
        <v>-33500</v>
      </c>
      <c r="AE932" s="123">
        <v>0.0</v>
      </c>
    </row>
    <row r="933">
      <c r="A933" s="120">
        <v>2012.0</v>
      </c>
      <c r="B933" s="121">
        <v>12.0</v>
      </c>
      <c r="C933" s="122" t="s">
        <v>69</v>
      </c>
      <c r="D933" s="44"/>
      <c r="E933" s="123">
        <v>10892.16</v>
      </c>
      <c r="F933" s="123">
        <v>-26600.0</v>
      </c>
      <c r="G933" s="123"/>
      <c r="H933" s="123">
        <v>-3209.3</v>
      </c>
      <c r="I933" s="44"/>
      <c r="J933" s="123">
        <v>3369.13</v>
      </c>
      <c r="K933" s="44"/>
      <c r="L933" s="123">
        <v>49834.48</v>
      </c>
      <c r="M933" s="44"/>
      <c r="N933" s="44"/>
      <c r="O933" s="123">
        <v>537539.0</v>
      </c>
      <c r="P933" s="52">
        <f t="shared" si="23"/>
        <v>537540.45</v>
      </c>
      <c r="Q933" s="124">
        <f t="shared" si="2"/>
        <v>-1.45</v>
      </c>
      <c r="R933" s="52">
        <f t="array" ref="R933">IFERROR(INDEX('Fund YTD Target Values'!$1:$1000, MATCH($C933,'Fund YTD Target Values'!$A:$A,0), MATCH($A933,'Fund YTD Target Values'!$1:$1,0)),0)</f>
        <v>641274.9711</v>
      </c>
      <c r="S933" s="52">
        <f>IFERROR(__xludf.DUMMYFUNCTION("IFERROR(sum(FILTER('Fund Data'!$V:$V, 'Fund Data'!$C:$C = $C933, 'Fund Data'!$A:$A &lt; $A933)),0) + IFERROR(sum(FILTER('Fund Data'!$V:$V, 'Fund Data'!$C:$C = $C933, 'Fund Data'!$A:$A = $A933, 'Fund Data'!$B:$B &lt;= $B933)),0)"),500000.0)</f>
        <v>500000</v>
      </c>
      <c r="T933" s="123">
        <v>500000.0</v>
      </c>
      <c r="U933" s="44">
        <f t="shared" si="85"/>
        <v>0</v>
      </c>
      <c r="V933" s="44">
        <f t="shared" si="3"/>
        <v>0</v>
      </c>
      <c r="W933" s="123"/>
      <c r="X933" s="123"/>
      <c r="Y933" s="123">
        <v>0.0</v>
      </c>
      <c r="Z933" s="123">
        <v>0.0</v>
      </c>
      <c r="AA933" s="123">
        <v>0.0</v>
      </c>
      <c r="AB933" s="123"/>
      <c r="AC933" s="123">
        <v>0.0</v>
      </c>
      <c r="AD933" s="44">
        <f t="shared" si="7"/>
        <v>-26600</v>
      </c>
      <c r="AE933" s="123">
        <v>0.0</v>
      </c>
    </row>
    <row r="934">
      <c r="A934" s="120">
        <v>2011.0</v>
      </c>
      <c r="B934" s="121">
        <v>12.0</v>
      </c>
      <c r="C934" s="122" t="s">
        <v>69</v>
      </c>
      <c r="D934" s="44"/>
      <c r="E934" s="123">
        <v>9288.49</v>
      </c>
      <c r="F934" s="123">
        <v>-29000.0</v>
      </c>
      <c r="G934" s="123"/>
      <c r="H934" s="123">
        <v>-3293.43</v>
      </c>
      <c r="I934" s="44"/>
      <c r="J934" s="123">
        <v>4247.54</v>
      </c>
      <c r="K934" s="44"/>
      <c r="L934" s="123">
        <v>-37238.38</v>
      </c>
      <c r="M934" s="44"/>
      <c r="N934" s="44"/>
      <c r="O934" s="123">
        <v>503253.0</v>
      </c>
      <c r="P934" s="52">
        <f t="shared" si="23"/>
        <v>503253.98</v>
      </c>
      <c r="Q934" s="124">
        <f t="shared" si="2"/>
        <v>-0.9799999999</v>
      </c>
      <c r="R934" s="52">
        <f t="array" ref="R934">IFERROR(INDEX('Fund YTD Target Values'!$1:$1000, MATCH($C934,'Fund YTD Target Values'!$A:$A,0), MATCH($A934,'Fund YTD Target Values'!$1:$1,0)),0)</f>
        <v>628250.135</v>
      </c>
      <c r="S934" s="52">
        <f>IFERROR(__xludf.DUMMYFUNCTION("IFERROR(sum(FILTER('Fund Data'!$V:$V, 'Fund Data'!$C:$C = $C934, 'Fund Data'!$A:$A &lt; $A934)),0) + IFERROR(sum(FILTER('Fund Data'!$V:$V, 'Fund Data'!$C:$C = $C934, 'Fund Data'!$A:$A = $A934, 'Fund Data'!$B:$B &lt;= $B934)),0)"),500000.0)</f>
        <v>500000</v>
      </c>
      <c r="T934" s="123">
        <v>500000.0</v>
      </c>
      <c r="U934" s="44">
        <f t="shared" si="85"/>
        <v>0</v>
      </c>
      <c r="V934" s="44">
        <f t="shared" si="3"/>
        <v>0</v>
      </c>
      <c r="W934" s="123"/>
      <c r="X934" s="123"/>
      <c r="Y934" s="123">
        <v>0.0</v>
      </c>
      <c r="Z934" s="123">
        <v>0.0</v>
      </c>
      <c r="AA934" s="123">
        <v>0.0</v>
      </c>
      <c r="AB934" s="123"/>
      <c r="AC934" s="123">
        <v>0.0</v>
      </c>
      <c r="AD934" s="44">
        <f t="shared" si="7"/>
        <v>-29000</v>
      </c>
      <c r="AE934" s="123">
        <v>0.0</v>
      </c>
    </row>
    <row r="935">
      <c r="A935" s="120">
        <v>2010.0</v>
      </c>
      <c r="B935" s="121">
        <v>12.0</v>
      </c>
      <c r="C935" s="122" t="s">
        <v>69</v>
      </c>
      <c r="D935" s="44"/>
      <c r="E935" s="123">
        <v>11222.64</v>
      </c>
      <c r="F935" s="123">
        <v>-40000.0</v>
      </c>
      <c r="G935" s="123"/>
      <c r="H935" s="123">
        <v>-3184.51</v>
      </c>
      <c r="I935" s="44"/>
      <c r="J935" s="123">
        <v>3358.99</v>
      </c>
      <c r="K935" s="44"/>
      <c r="L935" s="123">
        <v>57404.05</v>
      </c>
      <c r="M935" s="44"/>
      <c r="N935" s="44"/>
      <c r="O935" s="123">
        <v>559249.0</v>
      </c>
      <c r="P935" s="52">
        <f t="shared" si="23"/>
        <v>559249.76</v>
      </c>
      <c r="Q935" s="124">
        <f t="shared" si="2"/>
        <v>-0.76</v>
      </c>
      <c r="R935" s="52">
        <f t="array" ref="R935">IFERROR(INDEX('Fund YTD Target Values'!$1:$1000, MATCH($C935,'Fund YTD Target Values'!$A:$A,0), MATCH($A935,'Fund YTD Target Values'!$1:$1,0)),0)</f>
        <v>609033.889</v>
      </c>
      <c r="S935" s="52">
        <f>IFERROR(__xludf.DUMMYFUNCTION("IFERROR(sum(FILTER('Fund Data'!$V:$V, 'Fund Data'!$C:$C = $C935, 'Fund Data'!$A:$A &lt; $A935)),0) + IFERROR(sum(FILTER('Fund Data'!$V:$V, 'Fund Data'!$C:$C = $C935, 'Fund Data'!$A:$A = $A935, 'Fund Data'!$B:$B &lt;= $B935)),0)"),500000.0)</f>
        <v>500000</v>
      </c>
      <c r="T935" s="123">
        <v>500000.0</v>
      </c>
      <c r="U935" s="44">
        <f t="shared" si="85"/>
        <v>0</v>
      </c>
      <c r="V935" s="44">
        <f t="shared" si="3"/>
        <v>0</v>
      </c>
      <c r="W935" s="123"/>
      <c r="X935" s="123"/>
      <c r="Y935" s="123">
        <v>0.0</v>
      </c>
      <c r="Z935" s="123">
        <v>0.0</v>
      </c>
      <c r="AA935" s="123">
        <v>0.0</v>
      </c>
      <c r="AB935" s="123"/>
      <c r="AC935" s="123">
        <v>0.0</v>
      </c>
      <c r="AD935" s="44">
        <f t="shared" si="7"/>
        <v>-40000</v>
      </c>
      <c r="AE935" s="123">
        <v>0.0</v>
      </c>
    </row>
    <row r="936">
      <c r="A936" s="120">
        <v>2009.0</v>
      </c>
      <c r="B936" s="121">
        <v>12.0</v>
      </c>
      <c r="C936" s="122" t="s">
        <v>69</v>
      </c>
      <c r="D936" s="44"/>
      <c r="E936" s="123">
        <v>13928.1</v>
      </c>
      <c r="F936" s="123">
        <v>-10000.0</v>
      </c>
      <c r="G936" s="123"/>
      <c r="H936" s="123">
        <v>-2820.64</v>
      </c>
      <c r="I936" s="44"/>
      <c r="J936" s="123">
        <v>35.42</v>
      </c>
      <c r="K936" s="123">
        <v>-12.96</v>
      </c>
      <c r="L936" s="123">
        <v>82684.52</v>
      </c>
      <c r="M936" s="44"/>
      <c r="N936" s="44"/>
      <c r="O936" s="123">
        <v>530448.0</v>
      </c>
      <c r="P936" s="52">
        <f t="shared" si="23"/>
        <v>530448.59</v>
      </c>
      <c r="Q936" s="124">
        <f t="shared" si="2"/>
        <v>-0.59</v>
      </c>
      <c r="R936" s="52">
        <f t="array" ref="R936">IFERROR(INDEX('Fund YTD Target Values'!$1:$1000, MATCH($C936,'Fund YTD Target Values'!$A:$A,0), MATCH($A936,'Fund YTD Target Values'!$1:$1,0)),0)</f>
        <v>599181.4318</v>
      </c>
      <c r="S936" s="52">
        <f>IFERROR(__xludf.DUMMYFUNCTION("IFERROR(sum(FILTER('Fund Data'!$V:$V, 'Fund Data'!$C:$C = $C936, 'Fund Data'!$A:$A &lt; $A936)),0) + IFERROR(sum(FILTER('Fund Data'!$V:$V, 'Fund Data'!$C:$C = $C936, 'Fund Data'!$A:$A = $A936, 'Fund Data'!$B:$B &lt;= $B936)),0)"),500000.0)</f>
        <v>500000</v>
      </c>
      <c r="T936" s="123">
        <v>500000.0</v>
      </c>
      <c r="U936" s="44">
        <f t="shared" si="85"/>
        <v>0</v>
      </c>
      <c r="V936" s="44">
        <f t="shared" si="3"/>
        <v>0</v>
      </c>
      <c r="W936" s="123"/>
      <c r="X936" s="123"/>
      <c r="Y936" s="123">
        <v>0.0</v>
      </c>
      <c r="Z936" s="123">
        <v>0.0</v>
      </c>
      <c r="AA936" s="123">
        <v>0.0</v>
      </c>
      <c r="AB936" s="123"/>
      <c r="AC936" s="123">
        <v>0.0</v>
      </c>
      <c r="AD936" s="44">
        <f t="shared" si="7"/>
        <v>-10000</v>
      </c>
      <c r="AE936" s="123">
        <v>0.0</v>
      </c>
    </row>
    <row r="937">
      <c r="A937" s="120">
        <v>2008.0</v>
      </c>
      <c r="B937" s="121">
        <v>12.0</v>
      </c>
      <c r="C937" s="122" t="s">
        <v>69</v>
      </c>
      <c r="D937" s="44"/>
      <c r="E937" s="123">
        <v>14282.92</v>
      </c>
      <c r="F937" s="123">
        <v>-15000.0</v>
      </c>
      <c r="G937" s="123"/>
      <c r="H937" s="123">
        <v>-3211.92</v>
      </c>
      <c r="I937" s="44"/>
      <c r="J937" s="123">
        <v>714.19</v>
      </c>
      <c r="K937" s="44"/>
      <c r="L937" s="123">
        <v>-149147.93</v>
      </c>
      <c r="M937" s="44"/>
      <c r="N937" s="44"/>
      <c r="O937" s="123">
        <v>446634.0</v>
      </c>
      <c r="P937" s="52">
        <f t="shared" si="23"/>
        <v>446634.15</v>
      </c>
      <c r="Q937" s="124">
        <f t="shared" si="2"/>
        <v>-0.1499999999</v>
      </c>
      <c r="R937" s="52">
        <f t="array" ref="R937">IFERROR(INDEX('Fund YTD Target Values'!$1:$1000, MATCH($C937,'Fund YTD Target Values'!$A:$A,0), MATCH($A937,'Fund YTD Target Values'!$1:$1,0)),0)</f>
        <v>601212.327</v>
      </c>
      <c r="S937" s="52">
        <f>IFERROR(__xludf.DUMMYFUNCTION("IFERROR(sum(FILTER('Fund Data'!$V:$V, 'Fund Data'!$C:$C = $C937, 'Fund Data'!$A:$A &lt; $A937)),0) + IFERROR(sum(FILTER('Fund Data'!$V:$V, 'Fund Data'!$C:$C = $C937, 'Fund Data'!$A:$A = $A937, 'Fund Data'!$B:$B &lt;= $B937)),0)"),500000.0)</f>
        <v>500000</v>
      </c>
      <c r="T937" s="123">
        <v>500000.0</v>
      </c>
      <c r="U937" s="44">
        <f t="shared" si="85"/>
        <v>0</v>
      </c>
      <c r="V937" s="44">
        <f t="shared" si="3"/>
        <v>0</v>
      </c>
      <c r="W937" s="123"/>
      <c r="X937" s="123"/>
      <c r="Y937" s="123">
        <v>0.0</v>
      </c>
      <c r="Z937" s="123">
        <v>0.0</v>
      </c>
      <c r="AA937" s="123">
        <v>0.0</v>
      </c>
      <c r="AB937" s="123"/>
      <c r="AC937" s="123">
        <v>0.0</v>
      </c>
      <c r="AD937" s="44">
        <f t="shared" si="7"/>
        <v>-15000</v>
      </c>
      <c r="AE937" s="123">
        <v>0.0</v>
      </c>
    </row>
    <row r="938">
      <c r="A938" s="120">
        <v>2007.0</v>
      </c>
      <c r="B938" s="121">
        <v>12.0</v>
      </c>
      <c r="C938" s="122" t="s">
        <v>69</v>
      </c>
      <c r="D938" s="44"/>
      <c r="E938" s="123">
        <v>9662.04</v>
      </c>
      <c r="F938" s="123">
        <v>-65000.0</v>
      </c>
      <c r="G938" s="123"/>
      <c r="H938" s="123">
        <v>-3710.87</v>
      </c>
      <c r="I938" s="44"/>
      <c r="J938" s="123">
        <v>7160.14</v>
      </c>
      <c r="K938" s="44"/>
      <c r="L938" s="123">
        <v>43222.48</v>
      </c>
      <c r="M938" s="123">
        <v>-14.0</v>
      </c>
      <c r="N938" s="44"/>
      <c r="O938" s="123">
        <v>598997.0</v>
      </c>
      <c r="P938" s="52">
        <f t="shared" si="23"/>
        <v>598996.89</v>
      </c>
      <c r="Q938" s="124">
        <f t="shared" si="2"/>
        <v>0.11</v>
      </c>
      <c r="R938" s="52">
        <f t="array" ref="R938">IFERROR(INDEX('Fund YTD Target Values'!$1:$1000, MATCH($C938,'Fund YTD Target Values'!$A:$A,0), MATCH($A938,'Fund YTD Target Values'!$1:$1,0)),0)</f>
        <v>578948.1081</v>
      </c>
      <c r="S938" s="52">
        <f>IFERROR(__xludf.DUMMYFUNCTION("IFERROR(sum(FILTER('Fund Data'!$V:$V, 'Fund Data'!$C:$C = $C938, 'Fund Data'!$A:$A &lt; $A938)),0) + IFERROR(sum(FILTER('Fund Data'!$V:$V, 'Fund Data'!$C:$C = $C938, 'Fund Data'!$A:$A = $A938, 'Fund Data'!$B:$B &lt;= $B938)),0)"),500000.0)</f>
        <v>500000</v>
      </c>
      <c r="T938" s="123">
        <v>500000.0</v>
      </c>
      <c r="U938" s="44">
        <f t="shared" si="85"/>
        <v>0</v>
      </c>
      <c r="V938" s="44">
        <f t="shared" si="3"/>
        <v>0</v>
      </c>
      <c r="W938" s="123"/>
      <c r="X938" s="123"/>
      <c r="Y938" s="123">
        <v>0.0</v>
      </c>
      <c r="Z938" s="123">
        <v>0.0</v>
      </c>
      <c r="AA938" s="123">
        <v>0.0</v>
      </c>
      <c r="AB938" s="123"/>
      <c r="AC938" s="123">
        <v>0.0</v>
      </c>
      <c r="AD938" s="44">
        <f t="shared" si="7"/>
        <v>-65000</v>
      </c>
      <c r="AE938" s="123">
        <v>0.0</v>
      </c>
    </row>
    <row r="939">
      <c r="A939" s="120">
        <v>2006.0</v>
      </c>
      <c r="B939" s="121">
        <v>12.0</v>
      </c>
      <c r="C939" s="122" t="s">
        <v>69</v>
      </c>
      <c r="D939" s="44"/>
      <c r="E939" s="123">
        <v>10021.44</v>
      </c>
      <c r="F939" s="123">
        <v>-75000.0</v>
      </c>
      <c r="G939" s="123"/>
      <c r="H939" s="123">
        <v>-3729.06</v>
      </c>
      <c r="I939" s="44"/>
      <c r="J939" s="123">
        <v>1570.46</v>
      </c>
      <c r="K939" s="44"/>
      <c r="L939" s="123">
        <v>49671.68</v>
      </c>
      <c r="M939" s="123">
        <v>-1763.64</v>
      </c>
      <c r="N939" s="44"/>
      <c r="O939" s="123">
        <v>607677.0</v>
      </c>
      <c r="P939" s="52">
        <f t="shared" si="23"/>
        <v>607677.1</v>
      </c>
      <c r="Q939" s="124">
        <f t="shared" si="2"/>
        <v>-0.09999999998</v>
      </c>
      <c r="R939" s="52">
        <f t="array" ref="R939">IFERROR(INDEX('Fund YTD Target Values'!$1:$1000, MATCH($C939,'Fund YTD Target Values'!$A:$A,0), MATCH($A939,'Fund YTD Target Values'!$1:$1,0)),0)</f>
        <v>562892.4306</v>
      </c>
      <c r="S939" s="52">
        <f>IFERROR(__xludf.DUMMYFUNCTION("IFERROR(sum(FILTER('Fund Data'!$V:$V, 'Fund Data'!$C:$C = $C939, 'Fund Data'!$A:$A &lt; $A939)),0) + IFERROR(sum(FILTER('Fund Data'!$V:$V, 'Fund Data'!$C:$C = $C939, 'Fund Data'!$A:$A = $A939, 'Fund Data'!$B:$B &lt;= $B939)),0)"),500000.0)</f>
        <v>500000</v>
      </c>
      <c r="T939" s="123">
        <v>500000.0</v>
      </c>
      <c r="U939" s="44">
        <f t="shared" si="85"/>
        <v>0</v>
      </c>
      <c r="V939" s="44">
        <f t="shared" si="3"/>
        <v>0</v>
      </c>
      <c r="W939" s="123"/>
      <c r="X939" s="123"/>
      <c r="Y939" s="123">
        <v>0.0</v>
      </c>
      <c r="Z939" s="123">
        <v>0.0</v>
      </c>
      <c r="AA939" s="123">
        <v>0.0</v>
      </c>
      <c r="AB939" s="123"/>
      <c r="AC939" s="123">
        <v>0.0</v>
      </c>
      <c r="AD939" s="44">
        <f t="shared" si="7"/>
        <v>-75000</v>
      </c>
      <c r="AE939" s="123">
        <v>0.0</v>
      </c>
    </row>
    <row r="940">
      <c r="A940" s="120">
        <v>2005.0</v>
      </c>
      <c r="B940" s="121">
        <v>12.0</v>
      </c>
      <c r="C940" s="122" t="s">
        <v>69</v>
      </c>
      <c r="D940" s="44"/>
      <c r="E940" s="123">
        <v>12438.58</v>
      </c>
      <c r="F940" s="123">
        <v>-6000.0</v>
      </c>
      <c r="G940" s="123"/>
      <c r="H940" s="123">
        <v>-3248.36</v>
      </c>
      <c r="I940" s="44"/>
      <c r="J940" s="123">
        <v>84151.15</v>
      </c>
      <c r="K940" s="44"/>
      <c r="L940" s="123">
        <v>-59155.43</v>
      </c>
      <c r="M940" s="123">
        <v>1762.33</v>
      </c>
      <c r="N940" s="44"/>
      <c r="O940" s="123">
        <v>626906.0</v>
      </c>
      <c r="P940" s="52">
        <f t="shared" si="23"/>
        <v>626906.22</v>
      </c>
      <c r="Q940" s="124">
        <f t="shared" si="2"/>
        <v>-0.22</v>
      </c>
      <c r="R940" s="52">
        <f t="array" ref="R940">IFERROR(INDEX('Fund YTD Target Values'!$1:$1000, MATCH($C940,'Fund YTD Target Values'!$A:$A,0), MATCH($A940,'Fund YTD Target Values'!$1:$1,0)),0)</f>
        <v>545252.3181</v>
      </c>
      <c r="S940" s="52">
        <f>IFERROR(__xludf.DUMMYFUNCTION("IFERROR(sum(FILTER('Fund Data'!$V:$V, 'Fund Data'!$C:$C = $C940, 'Fund Data'!$A:$A &lt; $A940)),0) + IFERROR(sum(FILTER('Fund Data'!$V:$V, 'Fund Data'!$C:$C = $C940, 'Fund Data'!$A:$A = $A940, 'Fund Data'!$B:$B &lt;= $B940)),0)"),500000.0)</f>
        <v>500000</v>
      </c>
      <c r="T940" s="123">
        <v>500000.0</v>
      </c>
      <c r="U940" s="44">
        <f t="shared" si="85"/>
        <v>0</v>
      </c>
      <c r="V940" s="44">
        <f t="shared" si="3"/>
        <v>0</v>
      </c>
      <c r="W940" s="123"/>
      <c r="X940" s="123"/>
      <c r="Y940" s="123">
        <v>0.0</v>
      </c>
      <c r="Z940" s="123">
        <v>0.0</v>
      </c>
      <c r="AA940" s="123">
        <v>0.0</v>
      </c>
      <c r="AB940" s="123"/>
      <c r="AC940" s="123">
        <v>0.0</v>
      </c>
      <c r="AD940" s="44">
        <f t="shared" si="7"/>
        <v>-6000</v>
      </c>
      <c r="AE940" s="123">
        <v>0.0</v>
      </c>
    </row>
    <row r="941">
      <c r="A941" s="120">
        <v>2004.0</v>
      </c>
      <c r="B941" s="121">
        <v>12.0</v>
      </c>
      <c r="C941" s="122" t="s">
        <v>69</v>
      </c>
      <c r="D941" s="44"/>
      <c r="E941" s="123">
        <v>18647.0</v>
      </c>
      <c r="F941" s="123">
        <v>-55000.0</v>
      </c>
      <c r="G941" s="123"/>
      <c r="H941" s="123">
        <v>-2709.0</v>
      </c>
      <c r="I941" s="123"/>
      <c r="J941" s="123">
        <v>17632.0</v>
      </c>
      <c r="K941" s="123">
        <v>-7372.0</v>
      </c>
      <c r="L941" s="123">
        <v>26209.0</v>
      </c>
      <c r="M941" s="123">
        <v>-29.0</v>
      </c>
      <c r="N941" s="123">
        <v>6733.0</v>
      </c>
      <c r="O941" s="123">
        <v>596958.0</v>
      </c>
      <c r="P941" s="52">
        <f t="shared" si="23"/>
        <v>596957.95</v>
      </c>
      <c r="Q941" s="124">
        <f t="shared" si="2"/>
        <v>0.05000000005</v>
      </c>
      <c r="R941" s="52">
        <f t="array" ref="R941">IFERROR(INDEX('Fund YTD Target Values'!$1:$1000, MATCH($C941,'Fund YTD Target Values'!$A:$A,0), MATCH($A941,'Fund YTD Target Values'!$1:$1,0)),0)</f>
        <v>527372.6086</v>
      </c>
      <c r="S941" s="52">
        <f>IFERROR(__xludf.DUMMYFUNCTION("IFERROR(sum(FILTER('Fund Data'!$V:$V, 'Fund Data'!$C:$C = $C941, 'Fund Data'!$A:$A &lt; $A941)),0) + IFERROR(sum(FILTER('Fund Data'!$V:$V, 'Fund Data'!$C:$C = $C941, 'Fund Data'!$A:$A = $A941, 'Fund Data'!$B:$B &lt;= $B941)),0)"),500000.0)</f>
        <v>500000</v>
      </c>
      <c r="T941" s="123">
        <v>500000.0</v>
      </c>
      <c r="U941" s="44">
        <f t="shared" si="85"/>
        <v>0</v>
      </c>
      <c r="V941" s="44">
        <f t="shared" si="3"/>
        <v>0</v>
      </c>
      <c r="W941" s="123"/>
      <c r="X941" s="123"/>
      <c r="Y941" s="123">
        <v>0.0</v>
      </c>
      <c r="Z941" s="123">
        <v>0.0</v>
      </c>
      <c r="AA941" s="123">
        <v>0.0</v>
      </c>
      <c r="AB941" s="123"/>
      <c r="AC941" s="123">
        <v>0.0</v>
      </c>
      <c r="AD941" s="44">
        <f t="shared" si="7"/>
        <v>-55000</v>
      </c>
      <c r="AE941" s="123">
        <v>0.0</v>
      </c>
    </row>
    <row r="942">
      <c r="A942" s="120">
        <v>2003.0</v>
      </c>
      <c r="B942" s="121">
        <v>12.0</v>
      </c>
      <c r="C942" s="122" t="s">
        <v>69</v>
      </c>
      <c r="D942" s="123">
        <v>150000.0</v>
      </c>
      <c r="E942" s="123">
        <v>12718.49</v>
      </c>
      <c r="F942" s="123">
        <v>-10000.0</v>
      </c>
      <c r="G942" s="123"/>
      <c r="H942" s="123">
        <v>-2043.64</v>
      </c>
      <c r="I942" s="123"/>
      <c r="J942" s="123">
        <v>74349.09</v>
      </c>
      <c r="K942" s="123">
        <v>-967.96</v>
      </c>
      <c r="L942" s="123">
        <v>46429.0</v>
      </c>
      <c r="M942" s="123">
        <v>40.09</v>
      </c>
      <c r="N942" s="123">
        <v>4501.59</v>
      </c>
      <c r="O942" s="123">
        <v>592847.0</v>
      </c>
      <c r="P942" s="52">
        <f t="shared" si="23"/>
        <v>592846.95</v>
      </c>
      <c r="Q942" s="124">
        <f t="shared" si="2"/>
        <v>0.05000000005</v>
      </c>
      <c r="R942" s="52">
        <f t="array" ref="R942">IFERROR(INDEX('Fund YTD Target Values'!$1:$1000, MATCH($C942,'Fund YTD Target Values'!$A:$A,0), MATCH($A942,'Fund YTD Target Values'!$1:$1,0)),0)</f>
        <v>513628.616</v>
      </c>
      <c r="S942" s="52">
        <f>IFERROR(__xludf.DUMMYFUNCTION("IFERROR(sum(FILTER('Fund Data'!$V:$V, 'Fund Data'!$C:$C = $C942, 'Fund Data'!$A:$A &lt; $A942)),0) + IFERROR(sum(FILTER('Fund Data'!$V:$V, 'Fund Data'!$C:$C = $C942, 'Fund Data'!$A:$A = $A942, 'Fund Data'!$B:$B &lt;= $B942)),0)"),500000.0)</f>
        <v>500000</v>
      </c>
      <c r="T942" s="123">
        <v>500000.0</v>
      </c>
      <c r="U942" s="44">
        <f t="shared" si="85"/>
        <v>0</v>
      </c>
      <c r="V942" s="44">
        <f t="shared" si="3"/>
        <v>150000</v>
      </c>
      <c r="W942" s="123"/>
      <c r="X942" s="123"/>
      <c r="Y942" s="123">
        <v>0.0</v>
      </c>
      <c r="Z942" s="123">
        <v>0.0</v>
      </c>
      <c r="AA942" s="123">
        <v>0.0</v>
      </c>
      <c r="AB942" s="123"/>
      <c r="AC942" s="123">
        <v>0.0</v>
      </c>
      <c r="AD942" s="44">
        <f t="shared" si="7"/>
        <v>-10000</v>
      </c>
      <c r="AE942" s="123">
        <v>0.0</v>
      </c>
    </row>
    <row r="943">
      <c r="A943" s="120">
        <v>2002.0</v>
      </c>
      <c r="B943" s="121">
        <v>12.0</v>
      </c>
      <c r="C943" s="122" t="s">
        <v>69</v>
      </c>
      <c r="D943" s="44"/>
      <c r="E943" s="123">
        <v>8237.18</v>
      </c>
      <c r="F943" s="123">
        <v>-5000.0</v>
      </c>
      <c r="G943" s="123"/>
      <c r="H943" s="123">
        <v>-1134.79</v>
      </c>
      <c r="I943" s="123"/>
      <c r="J943" s="123">
        <v>128.74</v>
      </c>
      <c r="K943" s="123">
        <v>-27258.79</v>
      </c>
      <c r="L943" s="123">
        <v>-29041.29</v>
      </c>
      <c r="M943" s="123">
        <v>-182.02</v>
      </c>
      <c r="N943" s="123">
        <v>4623.83</v>
      </c>
      <c r="O943" s="123">
        <v>317820.0</v>
      </c>
      <c r="P943" s="52">
        <f t="shared" si="23"/>
        <v>317820.29</v>
      </c>
      <c r="Q943" s="124">
        <f t="shared" si="2"/>
        <v>-0.29</v>
      </c>
      <c r="R943" s="52">
        <f t="array" ref="R943">IFERROR(INDEX('Fund YTD Target Values'!$1:$1000, MATCH($C943,'Fund YTD Target Values'!$A:$A,0), MATCH($A943,'Fund YTD Target Values'!$1:$1,0)),0)</f>
        <v>355549.5735</v>
      </c>
      <c r="S943" s="52">
        <f>IFERROR(__xludf.DUMMYFUNCTION("IFERROR(sum(FILTER('Fund Data'!$V:$V, 'Fund Data'!$C:$C = $C943, 'Fund Data'!$A:$A &lt; $A943)),0) + IFERROR(sum(FILTER('Fund Data'!$V:$V, 'Fund Data'!$C:$C = $C943, 'Fund Data'!$A:$A = $A943, 'Fund Data'!$B:$B &lt;= $B943)),0)"),350000.0)</f>
        <v>350000</v>
      </c>
      <c r="T943" s="123">
        <v>350000.0</v>
      </c>
      <c r="U943" s="44">
        <f t="shared" si="85"/>
        <v>0</v>
      </c>
      <c r="V943" s="44">
        <f t="shared" si="3"/>
        <v>0</v>
      </c>
      <c r="W943" s="123"/>
      <c r="X943" s="123"/>
      <c r="Y943" s="123">
        <v>0.0</v>
      </c>
      <c r="Z943" s="123">
        <v>0.0</v>
      </c>
      <c r="AA943" s="123">
        <v>0.0</v>
      </c>
      <c r="AB943" s="123"/>
      <c r="AC943" s="123">
        <v>0.0</v>
      </c>
      <c r="AD943" s="44">
        <f t="shared" si="7"/>
        <v>-5000</v>
      </c>
      <c r="AE943" s="123">
        <v>0.0</v>
      </c>
    </row>
    <row r="944">
      <c r="A944" s="120">
        <v>2001.0</v>
      </c>
      <c r="B944" s="121">
        <v>12.0</v>
      </c>
      <c r="C944" s="122" t="s">
        <v>69</v>
      </c>
      <c r="D944" s="123">
        <v>350000.0</v>
      </c>
      <c r="E944" s="123">
        <v>1969.37</v>
      </c>
      <c r="F944" s="44"/>
      <c r="G944" s="123"/>
      <c r="H944" s="123">
        <v>-337.68</v>
      </c>
      <c r="I944" s="123"/>
      <c r="J944" s="44"/>
      <c r="K944" s="123">
        <v>-3.62</v>
      </c>
      <c r="L944" s="123">
        <v>15228.0</v>
      </c>
      <c r="M944" s="123">
        <v>186.79</v>
      </c>
      <c r="N944" s="123">
        <v>404.57</v>
      </c>
      <c r="O944" s="123">
        <v>367447.0</v>
      </c>
      <c r="P944" s="52">
        <f t="shared" si="23"/>
        <v>367447.43</v>
      </c>
      <c r="Q944" s="124">
        <f t="shared" si="2"/>
        <v>-0.43</v>
      </c>
      <c r="R944" s="52">
        <f t="array" ref="R944">IFERROR(INDEX('Fund YTD Target Values'!$1:$1000, MATCH($C944,'Fund YTD Target Values'!$A:$A,0), MATCH($A944,'Fund YTD Target Values'!$1:$1,0)),0)</f>
        <v>350000</v>
      </c>
      <c r="S944" s="52">
        <f>IFERROR(__xludf.DUMMYFUNCTION("IFERROR(sum(FILTER('Fund Data'!$V:$V, 'Fund Data'!$C:$C = $C944, 'Fund Data'!$A:$A &lt; $A944)),0) + IFERROR(sum(FILTER('Fund Data'!$V:$V, 'Fund Data'!$C:$C = $C944, 'Fund Data'!$A:$A = $A944, 'Fund Data'!$B:$B &lt;= $B944)),0)"),350000.0)</f>
        <v>350000</v>
      </c>
      <c r="T944" s="44"/>
      <c r="U944" s="44"/>
      <c r="V944" s="44">
        <f t="shared" si="3"/>
        <v>350000</v>
      </c>
      <c r="W944" s="123"/>
      <c r="X944" s="123"/>
      <c r="Y944" s="123">
        <v>0.0</v>
      </c>
      <c r="Z944" s="123">
        <v>0.0</v>
      </c>
      <c r="AA944" s="123">
        <v>0.0</v>
      </c>
      <c r="AB944" s="123"/>
      <c r="AC944" s="123">
        <v>0.0</v>
      </c>
      <c r="AD944" s="44">
        <f t="shared" si="7"/>
        <v>0</v>
      </c>
      <c r="AE944" s="123">
        <v>0.0</v>
      </c>
    </row>
    <row r="945">
      <c r="A945" s="120">
        <v>2019.0</v>
      </c>
      <c r="B945" s="121">
        <v>6.0</v>
      </c>
      <c r="C945" s="122" t="s">
        <v>61</v>
      </c>
      <c r="D945" s="44"/>
      <c r="E945" s="123">
        <v>7774.96</v>
      </c>
      <c r="F945" s="123">
        <v>-4475.0</v>
      </c>
      <c r="G945" s="44"/>
      <c r="H945" s="123">
        <v>-1755.78</v>
      </c>
      <c r="I945" s="44"/>
      <c r="J945" s="44"/>
      <c r="K945" s="44"/>
      <c r="L945" s="123">
        <v>61151.59</v>
      </c>
      <c r="M945" s="44"/>
      <c r="N945" s="44"/>
      <c r="O945" s="123">
        <v>645873.24</v>
      </c>
      <c r="P945" s="52">
        <f t="shared" si="23"/>
        <v>645874.09</v>
      </c>
      <c r="Q945" s="124">
        <f t="shared" si="2"/>
        <v>-0.8499999995</v>
      </c>
      <c r="R945" s="52">
        <f t="array" ref="R945">IFERROR(INDEX('Fund YTD Target Values'!$1:$1000, MATCH($C945,'Fund YTD Target Values'!$A:$A,0), MATCH($A945,'Fund YTD Target Values'!$1:$1,0)),0)</f>
        <v>598223.1554</v>
      </c>
      <c r="S945" s="52">
        <f>IFERROR(__xludf.DUMMYFUNCTION("IFERROR(sum(FILTER('Fund Data'!$V:$V, 'Fund Data'!$C:$C = $C945, 'Fund Data'!$A:$A &lt; $A945)),0) + IFERROR(sum(FILTER('Fund Data'!$V:$V, 'Fund Data'!$C:$C = $C945, 'Fund Data'!$A:$A = $A945, 'Fund Data'!$B:$B &lt;= $B945)),0)"),433755.86000000004)</f>
        <v>433755.86</v>
      </c>
      <c r="T945" s="44"/>
      <c r="U945" s="44"/>
      <c r="V945" s="44">
        <f t="shared" si="3"/>
        <v>0</v>
      </c>
      <c r="W945" s="52">
        <f>IFERROR(__xludf.DUMMYFUNCTION("iFERROR((FILTER('Fund Data'!$Y:$Y, 'Fund Data'!$C:$C = $C945, 'Fund Data'!$A:$A = $A945 - 1, 'Fund Data'!$B:$B = 12) + FILTER('Fund Data'!$AA:$AA, 'Fund Data'!$C:$C = $C945, 'Fund Data'!$A:$A = $A945 - 1, 'Fund Data'!$B:$B = 12)) * (1 + AVERAGE(FILTER('In"&amp;"flation Data'!$C:$C,'Inflation Data'!$A:$A = ($A945 - 2)))) * 'Parameters and Distribution Sum'!$A$4,0)"),18464.76285534869)</f>
        <v>18464.76286</v>
      </c>
      <c r="X945" s="52">
        <f>IFERROR(__xludf.DUMMYFUNCTION("IFERROR((IFERROR(FILTER('Fund Data'!$P:$P,'Fund Data'!$C:$C = $C945,'Fund Data'!$A:$A = ($A945 - 2), 'Fund Data'!$B:$B = 12),0) - SUM(FILTER('Fund Data'!$V:$V, 'Fund Data'!$C:$C = $C945, 'Fund Data'!$A:$A = ($A945 - 2), 'Fund Data'!$B:$B &gt; 3)))  * 'Parame"&amp;"ters and Distribution Sum'!$B$4 * (1 - 'Parameters and Distribution Sum'!$A$4),0)"),8817.111224999997)</f>
        <v>8817.111225</v>
      </c>
      <c r="Y945" s="52">
        <f t="shared" ref="Y945:Y950" si="89">sum($W945:$X945)</f>
        <v>27281.87408</v>
      </c>
      <c r="Z945" s="52">
        <f>IFERROR(__xludf.DUMMYFUNCTION("((IFERROR((SUM(FILTER('Fund Data'!$V:$V, 'Fund Data'!$C:$C = $C945, 'Fund Data'!$A:$A = $A945 - 1, 'Fund Data'!$B:$B &gt;= 4, 'Fund Data'!$B:$B &lt;= ($B945 + 5))) / 12) * ($B945 - 3) * 'Parameters and Distribution Sum'!$B$4, 0) + IF($B945 &gt;= 9, IFERROR(SUM(FIL"&amp;"TER('Fund Data'!$V:$V, 'Fund Data'!$C:$C = $C945, 'Fund Data'!$A:$A = $A945, 'Fund Data'!$B:$B &lt;= 3)) * 'Parameters and Distribution Sum'!$B$4, 0),0)))"),0.0)</f>
        <v>0</v>
      </c>
      <c r="AA945" s="44">
        <f>IFERROR(__xludf.DUMMYFUNCTION("IFERROR(((IFERROR(SUM(FILTER('Fund Data'!$V:$V, 'Fund Data'!$C:$C = $C945, 'Fund Data'!$A:$A = $A945 - 2, 'Fund Data'!$B:$B &gt;= 4)) * 'Parameters and Distribution Sum'!$B$4,0) + IFERROR(SUM(FILTER('Fund Data'!$V:$V, 'Fund Data'!$C:$C = $C945, 'Fund Data'!$"&amp;"A:$A = $A945 - 1, 'Fund Data'!$B:$B &lt;= 3)) * 'Parameters and Distribution Sum'!$B$4,0))),0)"),0.0)</f>
        <v>0</v>
      </c>
      <c r="AB945" s="44">
        <f t="shared" ref="AB945:AB951" si="90">IFERROR(__xludf.DUMMYFUNCTION("IFERROR(FILTER($AE:$AE,$C:$C = $C945,$A:$A = $A945 - 1,$B:$B = 12),0)"),0.0)</f>
        <v>0</v>
      </c>
      <c r="AC945" s="44">
        <f t="shared" ref="AC945:AC951" si="91">sum($Y945:$AB945)</f>
        <v>27281.87408</v>
      </c>
      <c r="AD945" s="44">
        <f t="shared" si="7"/>
        <v>22806.87408</v>
      </c>
      <c r="AE945" s="44"/>
    </row>
    <row r="946">
      <c r="A946" s="120">
        <v>2019.0</v>
      </c>
      <c r="B946" s="121">
        <v>5.0</v>
      </c>
      <c r="C946" s="122" t="s">
        <v>61</v>
      </c>
      <c r="D946" s="44"/>
      <c r="E946" s="123">
        <v>7102.39</v>
      </c>
      <c r="F946" s="123">
        <v>-4475.0</v>
      </c>
      <c r="G946" s="44"/>
      <c r="H946" s="123">
        <v>-1462.6</v>
      </c>
      <c r="I946" s="44"/>
      <c r="J946" s="44"/>
      <c r="K946" s="44"/>
      <c r="L946" s="123">
        <v>36547.85</v>
      </c>
      <c r="M946" s="44"/>
      <c r="N946" s="44"/>
      <c r="O946" s="123">
        <v>620890.11</v>
      </c>
      <c r="P946" s="52">
        <f t="shared" si="23"/>
        <v>620890.96</v>
      </c>
      <c r="Q946" s="124">
        <f t="shared" si="2"/>
        <v>-0.8499999995</v>
      </c>
      <c r="R946" s="52">
        <f t="array" ref="R946">IFERROR(INDEX('Fund YTD Target Values'!$1:$1000, MATCH($C946,'Fund YTD Target Values'!$A:$A,0), MATCH($A946,'Fund YTD Target Values'!$1:$1,0)),0)</f>
        <v>598223.1554</v>
      </c>
      <c r="S946" s="52">
        <f>IFERROR(__xludf.DUMMYFUNCTION("IFERROR(sum(FILTER('Fund Data'!$V:$V, 'Fund Data'!$C:$C = $C946, 'Fund Data'!$A:$A &lt; $A946)),0) + IFERROR(sum(FILTER('Fund Data'!$V:$V, 'Fund Data'!$C:$C = $C946, 'Fund Data'!$A:$A = $A946, 'Fund Data'!$B:$B &lt;= $B946)),0)"),433755.86000000004)</f>
        <v>433755.86</v>
      </c>
      <c r="T946" s="44"/>
      <c r="U946" s="44"/>
      <c r="V946" s="44">
        <f t="shared" si="3"/>
        <v>0</v>
      </c>
      <c r="W946" s="52">
        <f>IFERROR(__xludf.DUMMYFUNCTION("iFERROR((FILTER('Fund Data'!$Y:$Y, 'Fund Data'!$C:$C = $C946, 'Fund Data'!$A:$A = $A946 - 1, 'Fund Data'!$B:$B = 12) + FILTER('Fund Data'!$AA:$AA, 'Fund Data'!$C:$C = $C946, 'Fund Data'!$A:$A = $A946 - 1, 'Fund Data'!$B:$B = 12)) * (1 + AVERAGE(FILTER('In"&amp;"flation Data'!$C:$C,'Inflation Data'!$A:$A = ($A946 - 2)))) * 'Parameters and Distribution Sum'!$A$4,0)"),18464.76285534869)</f>
        <v>18464.76286</v>
      </c>
      <c r="X946" s="52">
        <f>IFERROR(__xludf.DUMMYFUNCTION("IFERROR((IFERROR(FILTER('Fund Data'!$P:$P,'Fund Data'!$C:$C = $C946,'Fund Data'!$A:$A = ($A946 - 2), 'Fund Data'!$B:$B = 12),0) - SUM(FILTER('Fund Data'!$V:$V, 'Fund Data'!$C:$C = $C946, 'Fund Data'!$A:$A = ($A946 - 2), 'Fund Data'!$B:$B &gt; 3)))  * 'Parame"&amp;"ters and Distribution Sum'!$B$4 * (1 - 'Parameters and Distribution Sum'!$A$4),0)"),8817.111224999997)</f>
        <v>8817.111225</v>
      </c>
      <c r="Y946" s="52">
        <f t="shared" si="89"/>
        <v>27281.87408</v>
      </c>
      <c r="Z946" s="52">
        <f>IFERROR(__xludf.DUMMYFUNCTION("((IFERROR((SUM(FILTER('Fund Data'!$V:$V, 'Fund Data'!$C:$C = $C946, 'Fund Data'!$A:$A = $A946 - 1, 'Fund Data'!$B:$B &gt;= 4, 'Fund Data'!$B:$B &lt;= ($B946 + 5))) / 12) * ($B946 - 3) * 'Parameters and Distribution Sum'!$B$4, 0) + IF($B946 &gt;= 9, IFERROR(SUM(FIL"&amp;"TER('Fund Data'!$V:$V, 'Fund Data'!$C:$C = $C946, 'Fund Data'!$A:$A = $A946, 'Fund Data'!$B:$B &lt;= 3)) * 'Parameters and Distribution Sum'!$B$4, 0),0)))"),0.0)</f>
        <v>0</v>
      </c>
      <c r="AA946" s="44">
        <f>IFERROR(__xludf.DUMMYFUNCTION("IFERROR(((IFERROR(SUM(FILTER('Fund Data'!$V:$V, 'Fund Data'!$C:$C = $C946, 'Fund Data'!$A:$A = $A946 - 2, 'Fund Data'!$B:$B &gt;= 4)) * 'Parameters and Distribution Sum'!$B$4,0) + IFERROR(SUM(FILTER('Fund Data'!$V:$V, 'Fund Data'!$C:$C = $C946, 'Fund Data'!$"&amp;"A:$A = $A946 - 1, 'Fund Data'!$B:$B &lt;= 3)) * 'Parameters and Distribution Sum'!$B$4,0))),0)"),0.0)</f>
        <v>0</v>
      </c>
      <c r="AB946" s="44">
        <f t="shared" si="90"/>
        <v>0</v>
      </c>
      <c r="AC946" s="44">
        <f t="shared" si="91"/>
        <v>27281.87408</v>
      </c>
      <c r="AD946" s="44">
        <f t="shared" si="7"/>
        <v>22806.87408</v>
      </c>
      <c r="AE946" s="44"/>
    </row>
    <row r="947">
      <c r="A947" s="120">
        <v>2019.0</v>
      </c>
      <c r="B947" s="121">
        <v>4.0</v>
      </c>
      <c r="C947" s="122" t="s">
        <v>61</v>
      </c>
      <c r="D947" s="44"/>
      <c r="E947" s="123">
        <v>6547.3</v>
      </c>
      <c r="F947" s="44"/>
      <c r="G947" s="44"/>
      <c r="H947" s="123">
        <v>-1159.21</v>
      </c>
      <c r="I947" s="44"/>
      <c r="J947" s="44"/>
      <c r="K947" s="44"/>
      <c r="L947" s="123">
        <v>61405.63</v>
      </c>
      <c r="M947" s="44"/>
      <c r="N947" s="44"/>
      <c r="O947" s="123">
        <v>649971.0</v>
      </c>
      <c r="P947" s="52">
        <f t="shared" si="23"/>
        <v>649972.04</v>
      </c>
      <c r="Q947" s="124">
        <f t="shared" si="2"/>
        <v>-1.039999999</v>
      </c>
      <c r="R947" s="52">
        <f t="array" ref="R947">IFERROR(INDEX('Fund YTD Target Values'!$1:$1000, MATCH($C947,'Fund YTD Target Values'!$A:$A,0), MATCH($A947,'Fund YTD Target Values'!$1:$1,0)),0)</f>
        <v>598223.1554</v>
      </c>
      <c r="S947" s="52">
        <f>IFERROR(__xludf.DUMMYFUNCTION("IFERROR(sum(FILTER('Fund Data'!$V:$V, 'Fund Data'!$C:$C = $C947, 'Fund Data'!$A:$A &lt; $A947)),0) + IFERROR(sum(FILTER('Fund Data'!$V:$V, 'Fund Data'!$C:$C = $C947, 'Fund Data'!$A:$A = $A947, 'Fund Data'!$B:$B &lt;= $B947)),0)"),433755.86000000004)</f>
        <v>433755.86</v>
      </c>
      <c r="T947" s="44"/>
      <c r="U947" s="44"/>
      <c r="V947" s="44">
        <f t="shared" si="3"/>
        <v>0</v>
      </c>
      <c r="W947" s="52">
        <f>IFERROR(__xludf.DUMMYFUNCTION("iFERROR((FILTER('Fund Data'!$Y:$Y, 'Fund Data'!$C:$C = $C947, 'Fund Data'!$A:$A = $A947 - 1, 'Fund Data'!$B:$B = 12) + FILTER('Fund Data'!$AA:$AA, 'Fund Data'!$C:$C = $C947, 'Fund Data'!$A:$A = $A947 - 1, 'Fund Data'!$B:$B = 12)) * (1 + AVERAGE(FILTER('In"&amp;"flation Data'!$C:$C,'Inflation Data'!$A:$A = ($A947 - 2)))) * 'Parameters and Distribution Sum'!$A$4,0)"),18464.76285534869)</f>
        <v>18464.76286</v>
      </c>
      <c r="X947" s="52">
        <f>IFERROR(__xludf.DUMMYFUNCTION("IFERROR((IFERROR(FILTER('Fund Data'!$P:$P,'Fund Data'!$C:$C = $C947,'Fund Data'!$A:$A = ($A947 - 2), 'Fund Data'!$B:$B = 12),0) - SUM(FILTER('Fund Data'!$V:$V, 'Fund Data'!$C:$C = $C947, 'Fund Data'!$A:$A = ($A947 - 2), 'Fund Data'!$B:$B &gt; 3)))  * 'Parame"&amp;"ters and Distribution Sum'!$B$4 * (1 - 'Parameters and Distribution Sum'!$A$4),0)"),8817.111224999997)</f>
        <v>8817.111225</v>
      </c>
      <c r="Y947" s="52">
        <f t="shared" si="89"/>
        <v>27281.87408</v>
      </c>
      <c r="Z947" s="52">
        <f>IFERROR(__xludf.DUMMYFUNCTION("((IFERROR((SUM(FILTER('Fund Data'!$V:$V, 'Fund Data'!$C:$C = $C947, 'Fund Data'!$A:$A = $A947 - 1, 'Fund Data'!$B:$B &gt;= 4, 'Fund Data'!$B:$B &lt;= ($B947 + 5))) / 12) * ($B947 - 3) * 'Parameters and Distribution Sum'!$B$4, 0) + IF($B947 &gt;= 9, IFERROR(SUM(FIL"&amp;"TER('Fund Data'!$V:$V, 'Fund Data'!$C:$C = $C947, 'Fund Data'!$A:$A = $A947, 'Fund Data'!$B:$B &lt;= 3)) * 'Parameters and Distribution Sum'!$B$4, 0),0)))"),0.0)</f>
        <v>0</v>
      </c>
      <c r="AA947" s="44">
        <f>IFERROR(__xludf.DUMMYFUNCTION("IFERROR(((IFERROR(SUM(FILTER('Fund Data'!$V:$V, 'Fund Data'!$C:$C = $C947, 'Fund Data'!$A:$A = $A947 - 2, 'Fund Data'!$B:$B &gt;= 4)) * 'Parameters and Distribution Sum'!$B$4,0) + IFERROR(SUM(FILTER('Fund Data'!$V:$V, 'Fund Data'!$C:$C = $C947, 'Fund Data'!$"&amp;"A:$A = $A947 - 1, 'Fund Data'!$B:$B &lt;= 3)) * 'Parameters and Distribution Sum'!$B$4,0))),0)"),0.0)</f>
        <v>0</v>
      </c>
      <c r="AB947" s="44">
        <f t="shared" si="90"/>
        <v>0</v>
      </c>
      <c r="AC947" s="44">
        <f t="shared" si="91"/>
        <v>27281.87408</v>
      </c>
      <c r="AD947" s="44">
        <f t="shared" si="7"/>
        <v>27281.87408</v>
      </c>
      <c r="AE947" s="44"/>
    </row>
    <row r="948">
      <c r="A948" s="120">
        <v>2019.0</v>
      </c>
      <c r="B948" s="121">
        <v>3.0</v>
      </c>
      <c r="C948" s="122" t="s">
        <v>61</v>
      </c>
      <c r="D948" s="44"/>
      <c r="E948" s="123">
        <v>4948.18</v>
      </c>
      <c r="F948" s="44"/>
      <c r="G948" s="44"/>
      <c r="H948" s="123">
        <v>-861.85</v>
      </c>
      <c r="I948" s="44"/>
      <c r="J948" s="44"/>
      <c r="K948" s="44"/>
      <c r="L948" s="123">
        <v>48724.82</v>
      </c>
      <c r="M948" s="44"/>
      <c r="N948" s="44"/>
      <c r="O948" s="123">
        <v>635989.0</v>
      </c>
      <c r="P948" s="52">
        <f t="shared" si="23"/>
        <v>635989.47</v>
      </c>
      <c r="Q948" s="124">
        <f t="shared" si="2"/>
        <v>-0.4699999995</v>
      </c>
      <c r="R948" s="52">
        <f t="array" ref="R948">IFERROR(INDEX('Fund YTD Target Values'!$1:$1000, MATCH($C948,'Fund YTD Target Values'!$A:$A,0), MATCH($A948,'Fund YTD Target Values'!$1:$1,0)),0)</f>
        <v>598223.1554</v>
      </c>
      <c r="S948" s="52">
        <f>IFERROR(__xludf.DUMMYFUNCTION("IFERROR(sum(FILTER('Fund Data'!$V:$V, 'Fund Data'!$C:$C = $C948, 'Fund Data'!$A:$A &lt; $A948)),0) + IFERROR(sum(FILTER('Fund Data'!$V:$V, 'Fund Data'!$C:$C = $C948, 'Fund Data'!$A:$A = $A948, 'Fund Data'!$B:$B &lt;= $B948)),0)"),433755.86000000004)</f>
        <v>433755.86</v>
      </c>
      <c r="T948" s="123"/>
      <c r="U948" s="44"/>
      <c r="V948" s="44">
        <f t="shared" si="3"/>
        <v>0</v>
      </c>
      <c r="W948" s="52">
        <f>IFERROR(__xludf.DUMMYFUNCTION("iFERROR((FILTER('Fund Data'!$Y:$Y, 'Fund Data'!$C:$C = $C948, 'Fund Data'!$A:$A = $A948 - 1, 'Fund Data'!$B:$B = 12) + FILTER('Fund Data'!$AA:$AA, 'Fund Data'!$C:$C = $C948, 'Fund Data'!$A:$A = $A948 - 1, 'Fund Data'!$B:$B = 12)) * (1 + AVERAGE(FILTER('In"&amp;"flation Data'!$C:$C,'Inflation Data'!$A:$A = ($A948 - 2)))) * 'Parameters and Distribution Sum'!$A$4,0)"),18464.76285534869)</f>
        <v>18464.76286</v>
      </c>
      <c r="X948" s="52">
        <f>IFERROR(__xludf.DUMMYFUNCTION("IFERROR((IFERROR(FILTER('Fund Data'!$P:$P,'Fund Data'!$C:$C = $C948,'Fund Data'!$A:$A = ($A948 - 2), 'Fund Data'!$B:$B = 12),0) - SUM(FILTER('Fund Data'!$V:$V, 'Fund Data'!$C:$C = $C948, 'Fund Data'!$A:$A = ($A948 - 2), 'Fund Data'!$B:$B &gt; 3)))  * 'Parame"&amp;"ters and Distribution Sum'!$B$4 * (1 - 'Parameters and Distribution Sum'!$A$4),0)"),8817.111224999997)</f>
        <v>8817.111225</v>
      </c>
      <c r="Y948" s="52">
        <f t="shared" si="89"/>
        <v>27281.87408</v>
      </c>
      <c r="Z948" s="52">
        <f>IFERROR(__xludf.DUMMYFUNCTION("((IFERROR((SUM(FILTER('Fund Data'!$V:$V, 'Fund Data'!$C:$C = $C948, 'Fund Data'!$A:$A = $A948 - 1, 'Fund Data'!$B:$B &gt;= 4, 'Fund Data'!$B:$B &lt;= ($B948 + 5))) / 12) * ($B948 - 3) * 'Parameters and Distribution Sum'!$B$4, 0) + IF($B948 &gt;= 9, IFERROR(SUM(FIL"&amp;"TER('Fund Data'!$V:$V, 'Fund Data'!$C:$C = $C948, 'Fund Data'!$A:$A = $A948, 'Fund Data'!$B:$B &lt;= 3)) * 'Parameters and Distribution Sum'!$B$4, 0),0)))"),0.0)</f>
        <v>0</v>
      </c>
      <c r="AA948" s="44">
        <f>IFERROR(__xludf.DUMMYFUNCTION("IFERROR(((IFERROR(SUM(FILTER('Fund Data'!$V:$V, 'Fund Data'!$C:$C = $C948, 'Fund Data'!$A:$A = $A948 - 2, 'Fund Data'!$B:$B &gt;= 4)) * 'Parameters and Distribution Sum'!$B$4,0) + IFERROR(SUM(FILTER('Fund Data'!$V:$V, 'Fund Data'!$C:$C = $C948, 'Fund Data'!$"&amp;"A:$A = $A948 - 1, 'Fund Data'!$B:$B &lt;= 3)) * 'Parameters and Distribution Sum'!$B$4,0))),0)"),0.0)</f>
        <v>0</v>
      </c>
      <c r="AB948" s="44">
        <f t="shared" si="90"/>
        <v>0</v>
      </c>
      <c r="AC948" s="44">
        <f t="shared" si="91"/>
        <v>27281.87408</v>
      </c>
      <c r="AD948" s="44">
        <f t="shared" si="7"/>
        <v>27281.87408</v>
      </c>
      <c r="AE948" s="44"/>
    </row>
    <row r="949">
      <c r="A949" s="120">
        <v>2019.0</v>
      </c>
      <c r="B949" s="121">
        <v>2.0</v>
      </c>
      <c r="C949" s="122" t="s">
        <v>61</v>
      </c>
      <c r="D949" s="44"/>
      <c r="E949" s="123">
        <v>4184.42</v>
      </c>
      <c r="F949" s="44"/>
      <c r="G949" s="44"/>
      <c r="H949" s="123">
        <v>-566.37</v>
      </c>
      <c r="I949" s="44"/>
      <c r="J949" s="44"/>
      <c r="K949" s="44"/>
      <c r="L949" s="123">
        <v>45104.75</v>
      </c>
      <c r="M949" s="44"/>
      <c r="N949" s="44"/>
      <c r="O949" s="123">
        <v>631900.0</v>
      </c>
      <c r="P949" s="52">
        <f t="shared" si="23"/>
        <v>631901.12</v>
      </c>
      <c r="Q949" s="124">
        <f t="shared" si="2"/>
        <v>-1.12</v>
      </c>
      <c r="R949" s="52">
        <f t="array" ref="R949">IFERROR(INDEX('Fund YTD Target Values'!$1:$1000, MATCH($C949,'Fund YTD Target Values'!$A:$A,0), MATCH($A949,'Fund YTD Target Values'!$1:$1,0)),0)</f>
        <v>598223.1554</v>
      </c>
      <c r="S949" s="52">
        <f>IFERROR(__xludf.DUMMYFUNCTION("IFERROR(sum(FILTER('Fund Data'!$V:$V, 'Fund Data'!$C:$C = $C949, 'Fund Data'!$A:$A &lt; $A949)),0) + IFERROR(sum(FILTER('Fund Data'!$V:$V, 'Fund Data'!$C:$C = $C949, 'Fund Data'!$A:$A = $A949, 'Fund Data'!$B:$B &lt;= $B949)),0)"),433755.86000000004)</f>
        <v>433755.86</v>
      </c>
      <c r="T949" s="123">
        <v>434291.0</v>
      </c>
      <c r="U949" s="44">
        <f t="shared" ref="U949:U989" si="92">S949-T949</f>
        <v>-535.14</v>
      </c>
      <c r="V949" s="44">
        <f t="shared" si="3"/>
        <v>0</v>
      </c>
      <c r="W949" s="52">
        <f>IFERROR(__xludf.DUMMYFUNCTION("iFERROR((FILTER('Fund Data'!$Y:$Y, 'Fund Data'!$C:$C = $C949, 'Fund Data'!$A:$A = $A949 - 1, 'Fund Data'!$B:$B = 12) + FILTER('Fund Data'!$AA:$AA, 'Fund Data'!$C:$C = $C949, 'Fund Data'!$A:$A = $A949 - 1, 'Fund Data'!$B:$B = 12)) * (1 + AVERAGE(FILTER('In"&amp;"flation Data'!$C:$C,'Inflation Data'!$A:$A = ($A949 - 2)))) * 'Parameters and Distribution Sum'!$A$4,0)"),18464.76285534869)</f>
        <v>18464.76286</v>
      </c>
      <c r="X949" s="52">
        <f>IFERROR(__xludf.DUMMYFUNCTION("IFERROR((IFERROR(FILTER('Fund Data'!$P:$P,'Fund Data'!$C:$C = $C949,'Fund Data'!$A:$A = ($A949 - 2), 'Fund Data'!$B:$B = 12),0) - SUM(FILTER('Fund Data'!$V:$V, 'Fund Data'!$C:$C = $C949, 'Fund Data'!$A:$A = ($A949 - 2), 'Fund Data'!$B:$B &gt; 3)))  * 'Parame"&amp;"ters and Distribution Sum'!$B$4 * (1 - 'Parameters and Distribution Sum'!$A$4),0)"),8817.111224999997)</f>
        <v>8817.111225</v>
      </c>
      <c r="Y949" s="52">
        <f t="shared" si="89"/>
        <v>27281.87408</v>
      </c>
      <c r="Z949" s="52">
        <f>IFERROR(__xludf.DUMMYFUNCTION("((IFERROR((SUM(FILTER('Fund Data'!$V:$V, 'Fund Data'!$C:$C = $C949, 'Fund Data'!$A:$A = $A949 - 1, 'Fund Data'!$B:$B &gt;= 4, 'Fund Data'!$B:$B &lt;= ($B949 + 5))) / 12) * ($B949 - 3) * 'Parameters and Distribution Sum'!$B$4, 0) + IF($B949 &gt;= 9, IFERROR(SUM(FIL"&amp;"TER('Fund Data'!$V:$V, 'Fund Data'!$C:$C = $C949, 'Fund Data'!$A:$A = $A949, 'Fund Data'!$B:$B &lt;= 3)) * 'Parameters and Distribution Sum'!$B$4, 0),0)))"),0.0)</f>
        <v>0</v>
      </c>
      <c r="AA949" s="44">
        <f>IFERROR(__xludf.DUMMYFUNCTION("IFERROR(((IFERROR(SUM(FILTER('Fund Data'!$V:$V, 'Fund Data'!$C:$C = $C949, 'Fund Data'!$A:$A = $A949 - 2, 'Fund Data'!$B:$B &gt;= 4)) * 'Parameters and Distribution Sum'!$B$4,0) + IFERROR(SUM(FILTER('Fund Data'!$V:$V, 'Fund Data'!$C:$C = $C949, 'Fund Data'!$"&amp;"A:$A = $A949 - 1, 'Fund Data'!$B:$B &lt;= 3)) * 'Parameters and Distribution Sum'!$B$4,0))),0)"),0.0)</f>
        <v>0</v>
      </c>
      <c r="AB949" s="44">
        <f t="shared" si="90"/>
        <v>0</v>
      </c>
      <c r="AC949" s="44">
        <f t="shared" si="91"/>
        <v>27281.87408</v>
      </c>
      <c r="AD949" s="44">
        <f t="shared" si="7"/>
        <v>27281.87408</v>
      </c>
      <c r="AE949" s="44"/>
    </row>
    <row r="950">
      <c r="A950" s="120">
        <v>2019.0</v>
      </c>
      <c r="B950" s="121">
        <v>1.0</v>
      </c>
      <c r="C950" s="122" t="s">
        <v>61</v>
      </c>
      <c r="D950" s="44"/>
      <c r="E950" s="123">
        <v>3872.03</v>
      </c>
      <c r="F950" s="44"/>
      <c r="G950" s="44"/>
      <c r="H950" s="123">
        <v>-275.16</v>
      </c>
      <c r="I950" s="44"/>
      <c r="J950" s="44"/>
      <c r="K950" s="44"/>
      <c r="L950" s="123">
        <v>34892.35</v>
      </c>
      <c r="M950" s="44"/>
      <c r="N950" s="44"/>
      <c r="O950" s="123">
        <v>621667.0</v>
      </c>
      <c r="P950" s="52">
        <f t="shared" si="23"/>
        <v>621667.54</v>
      </c>
      <c r="Q950" s="124">
        <f t="shared" si="2"/>
        <v>-0.5399999995</v>
      </c>
      <c r="R950" s="52">
        <f t="array" ref="R950">IFERROR(INDEX('Fund YTD Target Values'!$1:$1000, MATCH($C950,'Fund YTD Target Values'!$A:$A,0), MATCH($A950,'Fund YTD Target Values'!$1:$1,0)),0)</f>
        <v>598223.1554</v>
      </c>
      <c r="S950" s="52">
        <f>IFERROR(__xludf.DUMMYFUNCTION("IFERROR(sum(FILTER('Fund Data'!$V:$V, 'Fund Data'!$C:$C = $C950, 'Fund Data'!$A:$A &lt; $A950)),0) + IFERROR(sum(FILTER('Fund Data'!$V:$V, 'Fund Data'!$C:$C = $C950, 'Fund Data'!$A:$A = $A950, 'Fund Data'!$B:$B &lt;= $B950)),0)"),433755.86000000004)</f>
        <v>433755.86</v>
      </c>
      <c r="T950" s="123">
        <v>434291.0</v>
      </c>
      <c r="U950" s="44">
        <f t="shared" si="92"/>
        <v>-535.14</v>
      </c>
      <c r="V950" s="44">
        <f t="shared" si="3"/>
        <v>0</v>
      </c>
      <c r="W950" s="52">
        <f>IFERROR(__xludf.DUMMYFUNCTION("iFERROR((FILTER('Fund Data'!$Y:$Y, 'Fund Data'!$C:$C = $C950, 'Fund Data'!$A:$A = $A950 - 1, 'Fund Data'!$B:$B = 12) + FILTER('Fund Data'!$AA:$AA, 'Fund Data'!$C:$C = $C950, 'Fund Data'!$A:$A = $A950 - 1, 'Fund Data'!$B:$B = 12)) * (1 + AVERAGE(FILTER('In"&amp;"flation Data'!$C:$C,'Inflation Data'!$A:$A = ($A950 - 2)))) * 'Parameters and Distribution Sum'!$A$4,0)"),18464.76285534869)</f>
        <v>18464.76286</v>
      </c>
      <c r="X950" s="52">
        <f>IFERROR(__xludf.DUMMYFUNCTION("IFERROR((IFERROR(FILTER('Fund Data'!$P:$P,'Fund Data'!$C:$C = $C950,'Fund Data'!$A:$A = ($A950 - 2), 'Fund Data'!$B:$B = 12),0) - SUM(FILTER('Fund Data'!$V:$V, 'Fund Data'!$C:$C = $C950, 'Fund Data'!$A:$A = ($A950 - 2), 'Fund Data'!$B:$B &gt; 3)))  * 'Parame"&amp;"ters and Distribution Sum'!$B$4 * (1 - 'Parameters and Distribution Sum'!$A$4),0)"),8817.111224999997)</f>
        <v>8817.111225</v>
      </c>
      <c r="Y950" s="52">
        <f t="shared" si="89"/>
        <v>27281.87408</v>
      </c>
      <c r="Z950" s="52">
        <f>IFERROR(__xludf.DUMMYFUNCTION("((IFERROR((SUM(FILTER('Fund Data'!$V:$V, 'Fund Data'!$C:$C = $C950, 'Fund Data'!$A:$A = $A950 - 1, 'Fund Data'!$B:$B &gt;= 4, 'Fund Data'!$B:$B &lt;= ($B950 + 5))) / 12) * ($B950 - 3) * 'Parameters and Distribution Sum'!$B$4, 0) + IF($B950 &gt;= 9, IFERROR(SUM(FIL"&amp;"TER('Fund Data'!$V:$V, 'Fund Data'!$C:$C = $C950, 'Fund Data'!$A:$A = $A950, 'Fund Data'!$B:$B &lt;= 3)) * 'Parameters and Distribution Sum'!$B$4, 0),0)))"),0.0)</f>
        <v>0</v>
      </c>
      <c r="AA950" s="44">
        <f>IFERROR(__xludf.DUMMYFUNCTION("IFERROR(((IFERROR(SUM(FILTER('Fund Data'!$V:$V, 'Fund Data'!$C:$C = $C950, 'Fund Data'!$A:$A = $A950 - 2, 'Fund Data'!$B:$B &gt;= 4)) * 'Parameters and Distribution Sum'!$B$4,0) + IFERROR(SUM(FILTER('Fund Data'!$V:$V, 'Fund Data'!$C:$C = $C950, 'Fund Data'!$"&amp;"A:$A = $A950 - 1, 'Fund Data'!$B:$B &lt;= 3)) * 'Parameters and Distribution Sum'!$B$4,0))),0)"),0.0)</f>
        <v>0</v>
      </c>
      <c r="AB950" s="44">
        <f t="shared" si="90"/>
        <v>0</v>
      </c>
      <c r="AC950" s="44">
        <f t="shared" si="91"/>
        <v>27281.87408</v>
      </c>
      <c r="AD950" s="44">
        <f t="shared" si="7"/>
        <v>27281.87408</v>
      </c>
      <c r="AE950" s="44"/>
    </row>
    <row r="951">
      <c r="A951" s="120">
        <v>2018.0</v>
      </c>
      <c r="B951" s="121">
        <v>12.0</v>
      </c>
      <c r="C951" s="122" t="s">
        <v>61</v>
      </c>
      <c r="D951" s="44"/>
      <c r="E951" s="123">
        <v>13876.34</v>
      </c>
      <c r="F951" s="123">
        <v>-21115.0</v>
      </c>
      <c r="G951" s="44"/>
      <c r="H951" s="123">
        <v>-3819.49</v>
      </c>
      <c r="I951" s="44"/>
      <c r="J951" s="123">
        <v>4011.94</v>
      </c>
      <c r="K951" s="44"/>
      <c r="L951" s="123">
        <v>-62894.82</v>
      </c>
      <c r="M951" s="44"/>
      <c r="N951" s="44"/>
      <c r="O951" s="123">
        <v>583177.0</v>
      </c>
      <c r="P951" s="52">
        <f t="shared" si="23"/>
        <v>583178.32</v>
      </c>
      <c r="Q951" s="124">
        <f t="shared" si="2"/>
        <v>-1.32</v>
      </c>
      <c r="R951" s="52">
        <f t="array" ref="R951">IFERROR(INDEX('Fund YTD Target Values'!$1:$1000, MATCH($C951,'Fund YTD Target Values'!$A:$A,0), MATCH($A951,'Fund YTD Target Values'!$1:$1,0)),0)</f>
        <v>587968.3276</v>
      </c>
      <c r="S951" s="52">
        <f>IFERROR(__xludf.DUMMYFUNCTION("IFERROR(sum(FILTER('Fund Data'!$V:$V, 'Fund Data'!$C:$C = $C951, 'Fund Data'!$A:$A &lt; $A951)),0) + IFERROR(sum(FILTER('Fund Data'!$V:$V, 'Fund Data'!$C:$C = $C951, 'Fund Data'!$A:$A = $A951, 'Fund Data'!$B:$B &lt;= $B951)),0)"),433755.86000000004)</f>
        <v>433755.86</v>
      </c>
      <c r="T951" s="123">
        <v>434291.0</v>
      </c>
      <c r="U951" s="44">
        <f t="shared" si="92"/>
        <v>-535.14</v>
      </c>
      <c r="V951" s="44">
        <f t="shared" si="3"/>
        <v>0</v>
      </c>
      <c r="W951" s="52"/>
      <c r="X951" s="52"/>
      <c r="Y951" s="52">
        <v>25827.685844259777</v>
      </c>
      <c r="Z951" s="123">
        <v>0.0</v>
      </c>
      <c r="AA951" s="123">
        <v>0.0</v>
      </c>
      <c r="AB951" s="44">
        <f t="shared" si="90"/>
        <v>0</v>
      </c>
      <c r="AC951" s="44">
        <f t="shared" si="91"/>
        <v>25827.68584</v>
      </c>
      <c r="AD951" s="44">
        <f t="shared" si="7"/>
        <v>4712.685844</v>
      </c>
      <c r="AE951" s="123">
        <v>0.0</v>
      </c>
    </row>
    <row r="952">
      <c r="A952" s="120">
        <v>2018.0</v>
      </c>
      <c r="B952" s="121">
        <v>11.0</v>
      </c>
      <c r="C952" s="122" t="s">
        <v>61</v>
      </c>
      <c r="D952" s="44"/>
      <c r="E952" s="123">
        <v>13054.12</v>
      </c>
      <c r="F952" s="123">
        <v>-21115.0</v>
      </c>
      <c r="G952" s="44"/>
      <c r="H952" s="123">
        <v>-3529.98</v>
      </c>
      <c r="I952" s="44"/>
      <c r="J952" s="123">
        <v>4011.94</v>
      </c>
      <c r="K952" s="44"/>
      <c r="L952" s="123">
        <v>-28370.82</v>
      </c>
      <c r="M952" s="44"/>
      <c r="N952" s="44"/>
      <c r="O952" s="123">
        <v>617169.0</v>
      </c>
      <c r="P952" s="52">
        <f t="shared" si="23"/>
        <v>617169.61</v>
      </c>
      <c r="Q952" s="124">
        <f t="shared" si="2"/>
        <v>-0.6099999996</v>
      </c>
      <c r="R952" s="52">
        <f t="array" ref="R952">IFERROR(INDEX('Fund YTD Target Values'!$1:$1000, MATCH($C952,'Fund YTD Target Values'!$A:$A,0), MATCH($A952,'Fund YTD Target Values'!$1:$1,0)),0)</f>
        <v>587968.3276</v>
      </c>
      <c r="S952" s="52">
        <f>IFERROR(__xludf.DUMMYFUNCTION("IFERROR(sum(FILTER('Fund Data'!$V:$V, 'Fund Data'!$C:$C = $C952, 'Fund Data'!$A:$A &lt; $A952)),0) + IFERROR(sum(FILTER('Fund Data'!$V:$V, 'Fund Data'!$C:$C = $C952, 'Fund Data'!$A:$A = $A952, 'Fund Data'!$B:$B &lt;= $B952)),0)"),433755.86000000004)</f>
        <v>433755.86</v>
      </c>
      <c r="T952" s="123">
        <v>434291.0</v>
      </c>
      <c r="U952" s="44">
        <f t="shared" si="92"/>
        <v>-535.14</v>
      </c>
      <c r="V952" s="44">
        <f t="shared" si="3"/>
        <v>0</v>
      </c>
      <c r="W952" s="123"/>
      <c r="X952" s="123"/>
      <c r="Y952" s="123">
        <v>0.0</v>
      </c>
      <c r="Z952" s="123">
        <v>0.0</v>
      </c>
      <c r="AA952" s="123">
        <v>0.0</v>
      </c>
      <c r="AB952" s="123"/>
      <c r="AC952" s="123">
        <v>0.0</v>
      </c>
      <c r="AD952" s="44">
        <f t="shared" si="7"/>
        <v>-21115</v>
      </c>
      <c r="AE952" s="123">
        <v>0.0</v>
      </c>
    </row>
    <row r="953">
      <c r="A953" s="120">
        <v>2018.0</v>
      </c>
      <c r="B953" s="121">
        <v>10.0</v>
      </c>
      <c r="C953" s="135" t="s">
        <v>61</v>
      </c>
      <c r="D953" s="138"/>
      <c r="E953" s="137">
        <v>12504.78</v>
      </c>
      <c r="F953" s="136">
        <v>-20000.0</v>
      </c>
      <c r="G953" s="138"/>
      <c r="H953" s="137">
        <v>-2941.49</v>
      </c>
      <c r="I953" s="138"/>
      <c r="J953" s="136">
        <v>4011.94</v>
      </c>
      <c r="K953" s="138"/>
      <c r="L953" s="136">
        <v>-33705.66</v>
      </c>
      <c r="M953" s="44"/>
      <c r="N953" s="44"/>
      <c r="O953" s="136">
        <v>612988.0</v>
      </c>
      <c r="P953" s="52">
        <f t="shared" si="23"/>
        <v>612988.92</v>
      </c>
      <c r="Q953" s="124">
        <f t="shared" si="2"/>
        <v>-0.9199999996</v>
      </c>
      <c r="R953" s="52">
        <f t="array" ref="R953">IFERROR(INDEX('Fund YTD Target Values'!$1:$1000, MATCH($C953,'Fund YTD Target Values'!$A:$A,0), MATCH($A953,'Fund YTD Target Values'!$1:$1,0)),0)</f>
        <v>587968.3276</v>
      </c>
      <c r="S953" s="52">
        <f>IFERROR(__xludf.DUMMYFUNCTION("IFERROR(sum(FILTER('Fund Data'!$V:$V, 'Fund Data'!$C:$C = $C953, 'Fund Data'!$A:$A &lt; $A953)),0) + IFERROR(sum(FILTER('Fund Data'!$V:$V, 'Fund Data'!$C:$C = $C953, 'Fund Data'!$A:$A = $A953, 'Fund Data'!$B:$B &lt;= $B953)),0)"),433755.86000000004)</f>
        <v>433755.86</v>
      </c>
      <c r="T953" s="123">
        <v>434291.0</v>
      </c>
      <c r="U953" s="44">
        <f t="shared" si="92"/>
        <v>-535.14</v>
      </c>
      <c r="V953" s="44">
        <f t="shared" si="3"/>
        <v>0</v>
      </c>
      <c r="W953" s="123"/>
      <c r="X953" s="123"/>
      <c r="Y953" s="123">
        <v>0.0</v>
      </c>
      <c r="Z953" s="123">
        <v>0.0</v>
      </c>
      <c r="AA953" s="123">
        <v>0.0</v>
      </c>
      <c r="AB953" s="123"/>
      <c r="AC953" s="123">
        <v>0.0</v>
      </c>
      <c r="AD953" s="44">
        <f t="shared" si="7"/>
        <v>-20000</v>
      </c>
      <c r="AE953" s="123">
        <v>0.0</v>
      </c>
    </row>
    <row r="954">
      <c r="A954" s="120">
        <v>2018.0</v>
      </c>
      <c r="B954" s="121">
        <v>9.0</v>
      </c>
      <c r="C954" s="122" t="s">
        <v>61</v>
      </c>
      <c r="D954" s="44"/>
      <c r="E954" s="123">
        <v>10660.16</v>
      </c>
      <c r="F954" s="123">
        <v>-20000.0</v>
      </c>
      <c r="G954" s="44"/>
      <c r="H954" s="123">
        <v>-2941.49</v>
      </c>
      <c r="I954" s="44"/>
      <c r="J954" s="123">
        <v>4011.94</v>
      </c>
      <c r="K954" s="44"/>
      <c r="L954" s="123">
        <v>-820.21</v>
      </c>
      <c r="M954" s="44"/>
      <c r="N954" s="44"/>
      <c r="O954" s="123">
        <v>644029.0</v>
      </c>
      <c r="P954" s="52">
        <f t="shared" si="23"/>
        <v>644029.75</v>
      </c>
      <c r="Q954" s="124">
        <f t="shared" si="2"/>
        <v>-0.7499999997</v>
      </c>
      <c r="R954" s="52">
        <f t="array" ref="R954">IFERROR(INDEX('Fund YTD Target Values'!$1:$1000, MATCH($C954,'Fund YTD Target Values'!$A:$A,0), MATCH($A954,'Fund YTD Target Values'!$1:$1,0)),0)</f>
        <v>587968.3276</v>
      </c>
      <c r="S954" s="52">
        <f>IFERROR(__xludf.DUMMYFUNCTION("IFERROR(sum(FILTER('Fund Data'!$V:$V, 'Fund Data'!$C:$C = $C954, 'Fund Data'!$A:$A &lt; $A954)),0) + IFERROR(sum(FILTER('Fund Data'!$V:$V, 'Fund Data'!$C:$C = $C954, 'Fund Data'!$A:$A = $A954, 'Fund Data'!$B:$B &lt;= $B954)),0)"),433755.86000000004)</f>
        <v>433755.86</v>
      </c>
      <c r="T954" s="123">
        <v>434291.0</v>
      </c>
      <c r="U954" s="44">
        <f t="shared" si="92"/>
        <v>-535.14</v>
      </c>
      <c r="V954" s="44">
        <f t="shared" si="3"/>
        <v>0</v>
      </c>
      <c r="W954" s="123"/>
      <c r="X954" s="123"/>
      <c r="Y954" s="123">
        <v>0.0</v>
      </c>
      <c r="Z954" s="123">
        <v>0.0</v>
      </c>
      <c r="AA954" s="123">
        <v>0.0</v>
      </c>
      <c r="AB954" s="123"/>
      <c r="AC954" s="123">
        <v>0.0</v>
      </c>
      <c r="AD954" s="44">
        <f t="shared" si="7"/>
        <v>-20000</v>
      </c>
      <c r="AE954" s="123">
        <v>0.0</v>
      </c>
    </row>
    <row r="955">
      <c r="A955" s="120">
        <v>2018.0</v>
      </c>
      <c r="B955" s="121">
        <v>8.0</v>
      </c>
      <c r="C955" s="122" t="s">
        <v>61</v>
      </c>
      <c r="D955" s="44"/>
      <c r="E955" s="123">
        <v>10105.02</v>
      </c>
      <c r="F955" s="123">
        <v>-16300.0</v>
      </c>
      <c r="G955" s="44"/>
      <c r="H955" s="123">
        <v>-2616.56</v>
      </c>
      <c r="I955" s="44"/>
      <c r="J955" s="123">
        <v>3412.6</v>
      </c>
      <c r="K955" s="44"/>
      <c r="L955" s="123">
        <v>2138.37</v>
      </c>
      <c r="M955" s="44"/>
      <c r="N955" s="44"/>
      <c r="O955" s="123">
        <v>649858.0</v>
      </c>
      <c r="P955" s="52">
        <f t="shared" si="23"/>
        <v>649858.78</v>
      </c>
      <c r="Q955" s="124">
        <f t="shared" si="2"/>
        <v>-0.7799999997</v>
      </c>
      <c r="R955" s="52">
        <f t="array" ref="R955">IFERROR(INDEX('Fund YTD Target Values'!$1:$1000, MATCH($C955,'Fund YTD Target Values'!$A:$A,0), MATCH($A955,'Fund YTD Target Values'!$1:$1,0)),0)</f>
        <v>587968.3276</v>
      </c>
      <c r="S955" s="52">
        <f>IFERROR(__xludf.DUMMYFUNCTION("IFERROR(sum(FILTER('Fund Data'!$V:$V, 'Fund Data'!$C:$C = $C955, 'Fund Data'!$A:$A &lt; $A955)),0) + IFERROR(sum(FILTER('Fund Data'!$V:$V, 'Fund Data'!$C:$C = $C955, 'Fund Data'!$A:$A = $A955, 'Fund Data'!$B:$B &lt;= $B955)),0)"),433755.86000000004)</f>
        <v>433755.86</v>
      </c>
      <c r="T955" s="123">
        <v>434291.0</v>
      </c>
      <c r="U955" s="44">
        <f t="shared" si="92"/>
        <v>-535.14</v>
      </c>
      <c r="V955" s="44">
        <f t="shared" si="3"/>
        <v>0</v>
      </c>
      <c r="W955" s="123"/>
      <c r="X955" s="123"/>
      <c r="Y955" s="123">
        <v>0.0</v>
      </c>
      <c r="Z955" s="123">
        <v>0.0</v>
      </c>
      <c r="AA955" s="123">
        <v>0.0</v>
      </c>
      <c r="AB955" s="123"/>
      <c r="AC955" s="123">
        <v>0.0</v>
      </c>
      <c r="AD955" s="44">
        <f t="shared" si="7"/>
        <v>-16300</v>
      </c>
      <c r="AE955" s="123">
        <v>0.0</v>
      </c>
    </row>
    <row r="956">
      <c r="A956" s="120">
        <v>2018.0</v>
      </c>
      <c r="B956" s="121">
        <v>7.0</v>
      </c>
      <c r="C956" s="122" t="s">
        <v>61</v>
      </c>
      <c r="D956" s="44"/>
      <c r="E956" s="123">
        <v>9571.8</v>
      </c>
      <c r="F956" s="123">
        <v>-16300.0</v>
      </c>
      <c r="G956" s="44"/>
      <c r="H956" s="123">
        <v>-2292.79</v>
      </c>
      <c r="I956" s="44"/>
      <c r="J956" s="123">
        <v>3412.6</v>
      </c>
      <c r="K956" s="44"/>
      <c r="L956" s="123">
        <v>32.57</v>
      </c>
      <c r="M956" s="44"/>
      <c r="N956" s="44"/>
      <c r="O956" s="123">
        <v>647543.0</v>
      </c>
      <c r="P956" s="52">
        <f t="shared" si="23"/>
        <v>647543.53</v>
      </c>
      <c r="Q956" s="124">
        <f t="shared" si="2"/>
        <v>-0.5299999997</v>
      </c>
      <c r="R956" s="52">
        <f t="array" ref="R956">IFERROR(INDEX('Fund YTD Target Values'!$1:$1000, MATCH($C956,'Fund YTD Target Values'!$A:$A,0), MATCH($A956,'Fund YTD Target Values'!$1:$1,0)),0)</f>
        <v>587968.3276</v>
      </c>
      <c r="S956" s="52">
        <f>IFERROR(__xludf.DUMMYFUNCTION("IFERROR(sum(FILTER('Fund Data'!$V:$V, 'Fund Data'!$C:$C = $C956, 'Fund Data'!$A:$A &lt; $A956)),0) + IFERROR(sum(FILTER('Fund Data'!$V:$V, 'Fund Data'!$C:$C = $C956, 'Fund Data'!$A:$A = $A956, 'Fund Data'!$B:$B &lt;= $B956)),0)"),433755.86000000004)</f>
        <v>433755.86</v>
      </c>
      <c r="T956" s="123">
        <v>434291.0</v>
      </c>
      <c r="U956" s="44">
        <f t="shared" si="92"/>
        <v>-535.14</v>
      </c>
      <c r="V956" s="44">
        <f t="shared" si="3"/>
        <v>0</v>
      </c>
      <c r="W956" s="123"/>
      <c r="X956" s="123"/>
      <c r="Y956" s="123">
        <v>0.0</v>
      </c>
      <c r="Z956" s="123">
        <v>0.0</v>
      </c>
      <c r="AA956" s="123">
        <v>0.0</v>
      </c>
      <c r="AB956" s="123"/>
      <c r="AC956" s="123">
        <v>0.0</v>
      </c>
      <c r="AD956" s="44">
        <f t="shared" si="7"/>
        <v>-16300</v>
      </c>
      <c r="AE956" s="123">
        <v>0.0</v>
      </c>
    </row>
    <row r="957">
      <c r="A957" s="120">
        <v>2018.0</v>
      </c>
      <c r="B957" s="121">
        <v>6.0</v>
      </c>
      <c r="C957" s="122" t="s">
        <v>61</v>
      </c>
      <c r="D957" s="44"/>
      <c r="E957" s="123">
        <v>8124.36</v>
      </c>
      <c r="F957" s="123">
        <v>-16300.0</v>
      </c>
      <c r="G957" s="44"/>
      <c r="H957" s="123">
        <v>-1974.84</v>
      </c>
      <c r="I957" s="44"/>
      <c r="J957" s="123">
        <v>3412.6</v>
      </c>
      <c r="K957" s="44"/>
      <c r="L957" s="123">
        <v>-10492.15</v>
      </c>
      <c r="M957" s="44"/>
      <c r="N957" s="44"/>
      <c r="O957" s="123">
        <v>635888.0</v>
      </c>
      <c r="P957" s="52">
        <f t="shared" si="23"/>
        <v>635889.32</v>
      </c>
      <c r="Q957" s="124">
        <f t="shared" si="2"/>
        <v>-1.32</v>
      </c>
      <c r="R957" s="52">
        <f t="array" ref="R957">IFERROR(INDEX('Fund YTD Target Values'!$1:$1000, MATCH($C957,'Fund YTD Target Values'!$A:$A,0), MATCH($A957,'Fund YTD Target Values'!$1:$1,0)),0)</f>
        <v>587968.3276</v>
      </c>
      <c r="S957" s="52">
        <f>IFERROR(__xludf.DUMMYFUNCTION("IFERROR(sum(FILTER('Fund Data'!$V:$V, 'Fund Data'!$C:$C = $C957, 'Fund Data'!$A:$A &lt; $A957)),0) + IFERROR(sum(FILTER('Fund Data'!$V:$V, 'Fund Data'!$C:$C = $C957, 'Fund Data'!$A:$A = $A957, 'Fund Data'!$B:$B &lt;= $B957)),0)"),433755.86000000004)</f>
        <v>433755.86</v>
      </c>
      <c r="T957" s="123">
        <v>434291.0</v>
      </c>
      <c r="U957" s="44">
        <f t="shared" si="92"/>
        <v>-535.14</v>
      </c>
      <c r="V957" s="44">
        <f t="shared" si="3"/>
        <v>0</v>
      </c>
      <c r="W957" s="123"/>
      <c r="X957" s="123"/>
      <c r="Y957" s="123">
        <v>0.0</v>
      </c>
      <c r="Z957" s="123">
        <v>0.0</v>
      </c>
      <c r="AA957" s="123">
        <v>0.0</v>
      </c>
      <c r="AB957" s="123"/>
      <c r="AC957" s="123">
        <v>0.0</v>
      </c>
      <c r="AD957" s="44">
        <f t="shared" si="7"/>
        <v>-16300</v>
      </c>
      <c r="AE957" s="123">
        <v>0.0</v>
      </c>
    </row>
    <row r="958">
      <c r="A958" s="120">
        <v>2018.0</v>
      </c>
      <c r="B958" s="121">
        <v>5.0</v>
      </c>
      <c r="C958" s="122" t="s">
        <v>61</v>
      </c>
      <c r="D958" s="44"/>
      <c r="E958" s="123">
        <v>7191.52</v>
      </c>
      <c r="F958" s="44"/>
      <c r="G958" s="44"/>
      <c r="H958" s="123">
        <v>-1646.69</v>
      </c>
      <c r="I958" s="44"/>
      <c r="J958" s="44"/>
      <c r="K958" s="44"/>
      <c r="L958" s="123">
        <v>-2362.54</v>
      </c>
      <c r="M958" s="44"/>
      <c r="N958" s="44"/>
      <c r="O958" s="123">
        <v>656301.0</v>
      </c>
      <c r="P958" s="52">
        <f t="shared" si="23"/>
        <v>656301.64</v>
      </c>
      <c r="Q958" s="124">
        <f t="shared" si="2"/>
        <v>-0.6399999997</v>
      </c>
      <c r="R958" s="52">
        <f t="array" ref="R958">IFERROR(INDEX('Fund YTD Target Values'!$1:$1000, MATCH($C958,'Fund YTD Target Values'!$A:$A,0), MATCH($A958,'Fund YTD Target Values'!$1:$1,0)),0)</f>
        <v>587968.3276</v>
      </c>
      <c r="S958" s="52">
        <f>IFERROR(__xludf.DUMMYFUNCTION("IFERROR(sum(FILTER('Fund Data'!$V:$V, 'Fund Data'!$C:$C = $C958, 'Fund Data'!$A:$A &lt; $A958)),0) + IFERROR(sum(FILTER('Fund Data'!$V:$V, 'Fund Data'!$C:$C = $C958, 'Fund Data'!$A:$A = $A958, 'Fund Data'!$B:$B &lt;= $B958)),0)"),433755.86000000004)</f>
        <v>433755.86</v>
      </c>
      <c r="T958" s="123">
        <v>434291.0</v>
      </c>
      <c r="U958" s="44">
        <f t="shared" si="92"/>
        <v>-535.14</v>
      </c>
      <c r="V958" s="44">
        <f t="shared" si="3"/>
        <v>0</v>
      </c>
      <c r="W958" s="123"/>
      <c r="X958" s="123"/>
      <c r="Y958" s="123">
        <v>0.0</v>
      </c>
      <c r="Z958" s="123">
        <v>0.0</v>
      </c>
      <c r="AA958" s="123">
        <v>0.0</v>
      </c>
      <c r="AB958" s="123"/>
      <c r="AC958" s="123">
        <v>0.0</v>
      </c>
      <c r="AD958" s="44">
        <f t="shared" si="7"/>
        <v>0</v>
      </c>
      <c r="AE958" s="123">
        <v>0.0</v>
      </c>
    </row>
    <row r="959">
      <c r="A959" s="120">
        <v>2018.0</v>
      </c>
      <c r="B959" s="121">
        <v>4.0</v>
      </c>
      <c r="C959" s="122" t="s">
        <v>61</v>
      </c>
      <c r="D959" s="44"/>
      <c r="E959" s="123">
        <v>6675.12</v>
      </c>
      <c r="F959" s="44"/>
      <c r="G959" s="44"/>
      <c r="H959" s="123">
        <v>-1319.32</v>
      </c>
      <c r="I959" s="44"/>
      <c r="J959" s="44"/>
      <c r="K959" s="44"/>
      <c r="L959" s="123">
        <v>-3737.81</v>
      </c>
      <c r="M959" s="44"/>
      <c r="N959" s="44"/>
      <c r="O959" s="123">
        <v>654736.0</v>
      </c>
      <c r="P959" s="52">
        <f t="shared" si="23"/>
        <v>654737.34</v>
      </c>
      <c r="Q959" s="124">
        <f t="shared" si="2"/>
        <v>-1.34</v>
      </c>
      <c r="R959" s="52">
        <f t="array" ref="R959">IFERROR(INDEX('Fund YTD Target Values'!$1:$1000, MATCH($C959,'Fund YTD Target Values'!$A:$A,0), MATCH($A959,'Fund YTD Target Values'!$1:$1,0)),0)</f>
        <v>587968.3276</v>
      </c>
      <c r="S959" s="52">
        <f>IFERROR(__xludf.DUMMYFUNCTION("IFERROR(sum(FILTER('Fund Data'!$V:$V, 'Fund Data'!$C:$C = $C959, 'Fund Data'!$A:$A &lt; $A959)),0) + IFERROR(sum(FILTER('Fund Data'!$V:$V, 'Fund Data'!$C:$C = $C959, 'Fund Data'!$A:$A = $A959, 'Fund Data'!$B:$B &lt;= $B959)),0)"),433755.86000000004)</f>
        <v>433755.86</v>
      </c>
      <c r="T959" s="123">
        <v>434291.0</v>
      </c>
      <c r="U959" s="44">
        <f t="shared" si="92"/>
        <v>-535.14</v>
      </c>
      <c r="V959" s="44">
        <f t="shared" si="3"/>
        <v>0</v>
      </c>
      <c r="W959" s="123"/>
      <c r="X959" s="123"/>
      <c r="Y959" s="123">
        <v>0.0</v>
      </c>
      <c r="Z959" s="123">
        <v>0.0</v>
      </c>
      <c r="AA959" s="123">
        <v>0.0</v>
      </c>
      <c r="AB959" s="123"/>
      <c r="AC959" s="123">
        <v>0.0</v>
      </c>
      <c r="AD959" s="44">
        <f t="shared" si="7"/>
        <v>0</v>
      </c>
      <c r="AE959" s="123">
        <v>0.0</v>
      </c>
    </row>
    <row r="960">
      <c r="A960" s="120">
        <v>2018.0</v>
      </c>
      <c r="B960" s="121">
        <v>3.0</v>
      </c>
      <c r="C960" s="122" t="s">
        <v>61</v>
      </c>
      <c r="D960" s="44"/>
      <c r="E960" s="123">
        <v>5099.56</v>
      </c>
      <c r="F960" s="44"/>
      <c r="G960" s="44"/>
      <c r="H960" s="123">
        <v>-992.84</v>
      </c>
      <c r="I960" s="44"/>
      <c r="J960" s="44"/>
      <c r="K960" s="44"/>
      <c r="L960" s="123">
        <v>-4272.4</v>
      </c>
      <c r="M960" s="44"/>
      <c r="N960" s="44"/>
      <c r="O960" s="123">
        <v>652953.0</v>
      </c>
      <c r="P960" s="52">
        <f t="shared" si="23"/>
        <v>652953.67</v>
      </c>
      <c r="Q960" s="124">
        <f t="shared" si="2"/>
        <v>-0.6699999996</v>
      </c>
      <c r="R960" s="52">
        <f t="array" ref="R960">IFERROR(INDEX('Fund YTD Target Values'!$1:$1000, MATCH($C960,'Fund YTD Target Values'!$A:$A,0), MATCH($A960,'Fund YTD Target Values'!$1:$1,0)),0)</f>
        <v>587968.3276</v>
      </c>
      <c r="S960" s="52">
        <f>IFERROR(__xludf.DUMMYFUNCTION("IFERROR(sum(FILTER('Fund Data'!$V:$V, 'Fund Data'!$C:$C = $C960, 'Fund Data'!$A:$A &lt; $A960)),0) + IFERROR(sum(FILTER('Fund Data'!$V:$V, 'Fund Data'!$C:$C = $C960, 'Fund Data'!$A:$A = $A960, 'Fund Data'!$B:$B &lt;= $B960)),0)"),433755.86000000004)</f>
        <v>433755.86</v>
      </c>
      <c r="T960" s="123">
        <v>434291.0</v>
      </c>
      <c r="U960" s="44">
        <f t="shared" si="92"/>
        <v>-535.14</v>
      </c>
      <c r="V960" s="44">
        <f t="shared" si="3"/>
        <v>0</v>
      </c>
      <c r="W960" s="123"/>
      <c r="X960" s="123"/>
      <c r="Y960" s="123">
        <v>0.0</v>
      </c>
      <c r="Z960" s="123">
        <v>0.0</v>
      </c>
      <c r="AA960" s="123">
        <v>0.0</v>
      </c>
      <c r="AB960" s="123"/>
      <c r="AC960" s="123">
        <v>0.0</v>
      </c>
      <c r="AD960" s="44">
        <f t="shared" si="7"/>
        <v>0</v>
      </c>
      <c r="AE960" s="123">
        <v>0.0</v>
      </c>
    </row>
    <row r="961">
      <c r="A961" s="120">
        <v>2018.0</v>
      </c>
      <c r="B961" s="121">
        <v>2.0</v>
      </c>
      <c r="C961" s="122" t="s">
        <v>61</v>
      </c>
      <c r="D961" s="44"/>
      <c r="E961" s="123">
        <v>4524.9</v>
      </c>
      <c r="F961" s="44"/>
      <c r="G961" s="44"/>
      <c r="H961" s="123">
        <v>-1621.0</v>
      </c>
      <c r="I961" s="44"/>
      <c r="J961" s="44"/>
      <c r="K961" s="44"/>
      <c r="L961" s="123">
        <v>280.23</v>
      </c>
      <c r="M961" s="44"/>
      <c r="N961" s="44"/>
      <c r="O961" s="123">
        <v>656303.0</v>
      </c>
      <c r="P961" s="52">
        <f t="shared" si="23"/>
        <v>656303.48</v>
      </c>
      <c r="Q961" s="124">
        <f t="shared" si="2"/>
        <v>-0.4799999996</v>
      </c>
      <c r="R961" s="52">
        <f t="array" ref="R961">IFERROR(INDEX('Fund YTD Target Values'!$1:$1000, MATCH($C961,'Fund YTD Target Values'!$A:$A,0), MATCH($A961,'Fund YTD Target Values'!$1:$1,0)),0)</f>
        <v>587968.3276</v>
      </c>
      <c r="S961" s="52">
        <f>IFERROR(__xludf.DUMMYFUNCTION("IFERROR(sum(FILTER('Fund Data'!$V:$V, 'Fund Data'!$C:$C = $C961, 'Fund Data'!$A:$A &lt; $A961)),0) + IFERROR(sum(FILTER('Fund Data'!$V:$V, 'Fund Data'!$C:$C = $C961, 'Fund Data'!$A:$A = $A961, 'Fund Data'!$B:$B &lt;= $B961)),0)"),433755.86000000004)</f>
        <v>433755.86</v>
      </c>
      <c r="T961" s="123">
        <v>434291.0</v>
      </c>
      <c r="U961" s="44">
        <f t="shared" si="92"/>
        <v>-535.14</v>
      </c>
      <c r="V961" s="44">
        <f t="shared" si="3"/>
        <v>0</v>
      </c>
      <c r="W961" s="123"/>
      <c r="X961" s="123"/>
      <c r="Y961" s="123">
        <v>0.0</v>
      </c>
      <c r="Z961" s="123">
        <v>0.0</v>
      </c>
      <c r="AA961" s="123">
        <v>0.0</v>
      </c>
      <c r="AB961" s="123"/>
      <c r="AC961" s="123">
        <v>0.0</v>
      </c>
      <c r="AD961" s="44">
        <f t="shared" si="7"/>
        <v>0</v>
      </c>
      <c r="AE961" s="123">
        <v>0.0</v>
      </c>
    </row>
    <row r="962">
      <c r="A962" s="120">
        <v>2018.0</v>
      </c>
      <c r="B962" s="121">
        <v>1.0</v>
      </c>
      <c r="C962" s="122" t="s">
        <v>61</v>
      </c>
      <c r="D962" s="44"/>
      <c r="E962" s="123">
        <v>4039.39</v>
      </c>
      <c r="F962" s="44"/>
      <c r="G962" s="44"/>
      <c r="H962" s="123">
        <v>-1282.87</v>
      </c>
      <c r="I962" s="44"/>
      <c r="J962" s="44"/>
      <c r="K962" s="44"/>
      <c r="L962" s="123">
        <v>20387.66</v>
      </c>
      <c r="M962" s="44"/>
      <c r="N962" s="44"/>
      <c r="O962" s="123">
        <v>676263.0</v>
      </c>
      <c r="P962" s="52">
        <f t="shared" si="23"/>
        <v>676263.53</v>
      </c>
      <c r="Q962" s="124">
        <f t="shared" si="2"/>
        <v>-0.5299999997</v>
      </c>
      <c r="R962" s="52">
        <f t="array" ref="R962">IFERROR(INDEX('Fund YTD Target Values'!$1:$1000, MATCH($C962,'Fund YTD Target Values'!$A:$A,0), MATCH($A962,'Fund YTD Target Values'!$1:$1,0)),0)</f>
        <v>587968.3276</v>
      </c>
      <c r="S962" s="52">
        <f>IFERROR(__xludf.DUMMYFUNCTION("IFERROR(sum(FILTER('Fund Data'!$V:$V, 'Fund Data'!$C:$C = $C962, 'Fund Data'!$A:$A &lt; $A962)),0) + IFERROR(sum(FILTER('Fund Data'!$V:$V, 'Fund Data'!$C:$C = $C962, 'Fund Data'!$A:$A = $A962, 'Fund Data'!$B:$B &lt;= $B962)),0)"),433755.86000000004)</f>
        <v>433755.86</v>
      </c>
      <c r="T962" s="123">
        <v>434291.0</v>
      </c>
      <c r="U962" s="44">
        <f t="shared" si="92"/>
        <v>-535.14</v>
      </c>
      <c r="V962" s="44">
        <f t="shared" si="3"/>
        <v>0</v>
      </c>
      <c r="W962" s="123"/>
      <c r="X962" s="123"/>
      <c r="Y962" s="123">
        <v>0.0</v>
      </c>
      <c r="Z962" s="123">
        <v>0.0</v>
      </c>
      <c r="AA962" s="123">
        <v>0.0</v>
      </c>
      <c r="AB962" s="123"/>
      <c r="AC962" s="123">
        <v>0.0</v>
      </c>
      <c r="AD962" s="44">
        <f t="shared" si="7"/>
        <v>0</v>
      </c>
      <c r="AE962" s="123">
        <v>0.0</v>
      </c>
    </row>
    <row r="963">
      <c r="A963" s="120">
        <v>2017.0</v>
      </c>
      <c r="B963" s="121">
        <v>12.0</v>
      </c>
      <c r="C963" s="122" t="s">
        <v>61</v>
      </c>
      <c r="D963" s="44"/>
      <c r="E963" s="123">
        <v>13896.67</v>
      </c>
      <c r="F963" s="123">
        <v>-30000.0</v>
      </c>
      <c r="G963" s="123"/>
      <c r="H963" s="123">
        <v>-3797.88</v>
      </c>
      <c r="I963" s="44"/>
      <c r="J963" s="123">
        <v>4662.04</v>
      </c>
      <c r="K963" s="44"/>
      <c r="L963" s="123">
        <v>73873.48</v>
      </c>
      <c r="M963" s="44"/>
      <c r="N963" s="44"/>
      <c r="O963" s="123">
        <v>653119.0</v>
      </c>
      <c r="P963" s="52">
        <f t="shared" si="23"/>
        <v>653119.35</v>
      </c>
      <c r="Q963" s="124">
        <f t="shared" si="2"/>
        <v>-0.3499999996</v>
      </c>
      <c r="R963" s="52">
        <f t="array" ref="R963">IFERROR(INDEX('Fund YTD Target Values'!$1:$1000, MATCH($C963,'Fund YTD Target Values'!$A:$A,0), MATCH($A963,'Fund YTD Target Values'!$1:$1,0)),0)</f>
        <v>573948.5743</v>
      </c>
      <c r="S963" s="52">
        <f>IFERROR(__xludf.DUMMYFUNCTION("IFERROR(sum(FILTER('Fund Data'!$V:$V, 'Fund Data'!$C:$C = $C963, 'Fund Data'!$A:$A &lt; $A963)),0) + IFERROR(sum(FILTER('Fund Data'!$V:$V, 'Fund Data'!$C:$C = $C963, 'Fund Data'!$A:$A = $A963, 'Fund Data'!$B:$B &lt;= $B963)),0)"),433755.86000000004)</f>
        <v>433755.86</v>
      </c>
      <c r="T963" s="123">
        <v>434291.0</v>
      </c>
      <c r="U963" s="44">
        <f t="shared" si="92"/>
        <v>-535.14</v>
      </c>
      <c r="V963" s="44">
        <f t="shared" si="3"/>
        <v>0</v>
      </c>
      <c r="W963" s="123"/>
      <c r="X963" s="123"/>
      <c r="Y963" s="123">
        <v>0.0</v>
      </c>
      <c r="Z963" s="123">
        <v>0.0</v>
      </c>
      <c r="AA963" s="123">
        <v>0.0</v>
      </c>
      <c r="AB963" s="123"/>
      <c r="AC963" s="123">
        <v>0.0</v>
      </c>
      <c r="AD963" s="44">
        <f t="shared" si="7"/>
        <v>-30000</v>
      </c>
      <c r="AE963" s="123">
        <v>0.0</v>
      </c>
    </row>
    <row r="964">
      <c r="A964" s="120">
        <v>2017.0</v>
      </c>
      <c r="B964" s="121">
        <v>11.0</v>
      </c>
      <c r="C964" s="122" t="s">
        <v>61</v>
      </c>
      <c r="D964" s="44"/>
      <c r="E964" s="123">
        <v>12977.77</v>
      </c>
      <c r="F964" s="123">
        <v>-30000.0</v>
      </c>
      <c r="G964" s="44"/>
      <c r="H964" s="123">
        <v>-3473.11</v>
      </c>
      <c r="I964" s="44"/>
      <c r="J964" s="123">
        <v>4662.04</v>
      </c>
      <c r="K964" s="44"/>
      <c r="L964" s="123">
        <v>70734.92</v>
      </c>
      <c r="M964" s="44"/>
      <c r="N964" s="44"/>
      <c r="O964" s="123">
        <v>649386.0</v>
      </c>
      <c r="P964" s="52">
        <f t="shared" si="23"/>
        <v>649386.66</v>
      </c>
      <c r="Q964" s="124">
        <f t="shared" si="2"/>
        <v>-0.6599999996</v>
      </c>
      <c r="R964" s="52">
        <f t="array" ref="R964">IFERROR(INDEX('Fund YTD Target Values'!$1:$1000, MATCH($C964,'Fund YTD Target Values'!$A:$A,0), MATCH($A964,'Fund YTD Target Values'!$1:$1,0)),0)</f>
        <v>573948.5743</v>
      </c>
      <c r="S964" s="52">
        <f>IFERROR(__xludf.DUMMYFUNCTION("IFERROR(sum(FILTER('Fund Data'!$V:$V, 'Fund Data'!$C:$C = $C964, 'Fund Data'!$A:$A &lt; $A964)),0) + IFERROR(sum(FILTER('Fund Data'!$V:$V, 'Fund Data'!$C:$C = $C964, 'Fund Data'!$A:$A = $A964, 'Fund Data'!$B:$B &lt;= $B964)),0)"),433755.86000000004)</f>
        <v>433755.86</v>
      </c>
      <c r="T964" s="123">
        <v>434291.0</v>
      </c>
      <c r="U964" s="44">
        <f t="shared" si="92"/>
        <v>-535.14</v>
      </c>
      <c r="V964" s="44">
        <f t="shared" si="3"/>
        <v>0</v>
      </c>
      <c r="W964" s="123"/>
      <c r="X964" s="123"/>
      <c r="Y964" s="123">
        <v>0.0</v>
      </c>
      <c r="Z964" s="123">
        <v>0.0</v>
      </c>
      <c r="AA964" s="123">
        <v>0.0</v>
      </c>
      <c r="AB964" s="123"/>
      <c r="AC964" s="123">
        <v>0.0</v>
      </c>
      <c r="AD964" s="44">
        <f t="shared" si="7"/>
        <v>-30000</v>
      </c>
      <c r="AE964" s="123">
        <v>0.0</v>
      </c>
    </row>
    <row r="965">
      <c r="A965" s="120">
        <v>2017.0</v>
      </c>
      <c r="B965" s="121">
        <v>10.0</v>
      </c>
      <c r="C965" s="122" t="s">
        <v>61</v>
      </c>
      <c r="D965" s="44"/>
      <c r="E965" s="123">
        <v>12531.85</v>
      </c>
      <c r="F965" s="123">
        <v>-11075.0</v>
      </c>
      <c r="G965" s="44"/>
      <c r="H965" s="123">
        <v>-3142.61</v>
      </c>
      <c r="I965" s="44"/>
      <c r="J965" s="44"/>
      <c r="K965" s="44"/>
      <c r="L965" s="123">
        <v>68199.42</v>
      </c>
      <c r="M965" s="44"/>
      <c r="N965" s="44"/>
      <c r="O965" s="123">
        <v>660998.0</v>
      </c>
      <c r="P965" s="52">
        <f t="shared" si="23"/>
        <v>660998.7</v>
      </c>
      <c r="Q965" s="124">
        <f t="shared" si="2"/>
        <v>-0.6999999996</v>
      </c>
      <c r="R965" s="52">
        <f t="array" ref="R965">IFERROR(INDEX('Fund YTD Target Values'!$1:$1000, MATCH($C965,'Fund YTD Target Values'!$A:$A,0), MATCH($A965,'Fund YTD Target Values'!$1:$1,0)),0)</f>
        <v>573948.5743</v>
      </c>
      <c r="S965" s="52">
        <f>IFERROR(__xludf.DUMMYFUNCTION("IFERROR(sum(FILTER('Fund Data'!$V:$V, 'Fund Data'!$C:$C = $C965, 'Fund Data'!$A:$A &lt; $A965)),0) + IFERROR(sum(FILTER('Fund Data'!$V:$V, 'Fund Data'!$C:$C = $C965, 'Fund Data'!$A:$A = $A965, 'Fund Data'!$B:$B &lt;= $B965)),0)"),433755.86000000004)</f>
        <v>433755.86</v>
      </c>
      <c r="T965" s="123">
        <v>434291.0</v>
      </c>
      <c r="U965" s="44">
        <f t="shared" si="92"/>
        <v>-535.14</v>
      </c>
      <c r="V965" s="44">
        <f t="shared" si="3"/>
        <v>0</v>
      </c>
      <c r="W965" s="123"/>
      <c r="X965" s="123"/>
      <c r="Y965" s="123">
        <v>0.0</v>
      </c>
      <c r="Z965" s="123">
        <v>0.0</v>
      </c>
      <c r="AA965" s="123">
        <v>0.0</v>
      </c>
      <c r="AB965" s="123"/>
      <c r="AC965" s="123">
        <v>0.0</v>
      </c>
      <c r="AD965" s="44">
        <f t="shared" si="7"/>
        <v>-11075</v>
      </c>
      <c r="AE965" s="123">
        <v>0.0</v>
      </c>
    </row>
    <row r="966">
      <c r="A966" s="120">
        <v>2017.0</v>
      </c>
      <c r="B966" s="121">
        <v>9.0</v>
      </c>
      <c r="C966" s="122" t="s">
        <v>61</v>
      </c>
      <c r="D966" s="44"/>
      <c r="E966" s="123">
        <v>11176.19</v>
      </c>
      <c r="F966" s="123">
        <v>-11075.0</v>
      </c>
      <c r="G966" s="44"/>
      <c r="H966" s="123">
        <v>-2816.85</v>
      </c>
      <c r="I966" s="44"/>
      <c r="J966" s="44"/>
      <c r="K966" s="44"/>
      <c r="L966" s="123">
        <v>59749.74</v>
      </c>
      <c r="M966" s="44"/>
      <c r="N966" s="44"/>
      <c r="O966" s="123">
        <v>651518.0</v>
      </c>
      <c r="P966" s="52">
        <f t="shared" si="23"/>
        <v>651519.12</v>
      </c>
      <c r="Q966" s="124">
        <f t="shared" si="2"/>
        <v>-1.12</v>
      </c>
      <c r="R966" s="52">
        <f t="array" ref="R966">IFERROR(INDEX('Fund YTD Target Values'!$1:$1000, MATCH($C966,'Fund YTD Target Values'!$A:$A,0), MATCH($A966,'Fund YTD Target Values'!$1:$1,0)),0)</f>
        <v>573948.5743</v>
      </c>
      <c r="S966" s="52">
        <f>IFERROR(__xludf.DUMMYFUNCTION("IFERROR(sum(FILTER('Fund Data'!$V:$V, 'Fund Data'!$C:$C = $C966, 'Fund Data'!$A:$A &lt; $A966)),0) + IFERROR(sum(FILTER('Fund Data'!$V:$V, 'Fund Data'!$C:$C = $C966, 'Fund Data'!$A:$A = $A966, 'Fund Data'!$B:$B &lt;= $B966)),0)"),433755.86000000004)</f>
        <v>433755.86</v>
      </c>
      <c r="T966" s="123">
        <v>434291.0</v>
      </c>
      <c r="U966" s="44">
        <f t="shared" si="92"/>
        <v>-535.14</v>
      </c>
      <c r="V966" s="44">
        <f t="shared" si="3"/>
        <v>0</v>
      </c>
      <c r="W966" s="123"/>
      <c r="X966" s="123"/>
      <c r="Y966" s="123">
        <v>0.0</v>
      </c>
      <c r="Z966" s="123">
        <v>0.0</v>
      </c>
      <c r="AA966" s="123">
        <v>0.0</v>
      </c>
      <c r="AB966" s="123"/>
      <c r="AC966" s="123">
        <v>0.0</v>
      </c>
      <c r="AD966" s="44">
        <f t="shared" si="7"/>
        <v>-11075</v>
      </c>
      <c r="AE966" s="123">
        <v>0.0</v>
      </c>
    </row>
    <row r="967">
      <c r="A967" s="120">
        <v>2017.0</v>
      </c>
      <c r="B967" s="121">
        <v>8.0</v>
      </c>
      <c r="C967" s="122" t="s">
        <v>61</v>
      </c>
      <c r="D967" s="44"/>
      <c r="E967" s="123">
        <v>10365.03</v>
      </c>
      <c r="F967" s="123">
        <v>-11075.0</v>
      </c>
      <c r="G967" s="44"/>
      <c r="H967" s="123">
        <v>-2494.53</v>
      </c>
      <c r="I967" s="44"/>
      <c r="J967" s="44"/>
      <c r="K967" s="44"/>
      <c r="L967" s="123">
        <v>53362.69</v>
      </c>
      <c r="M967" s="44"/>
      <c r="N967" s="44"/>
      <c r="O967" s="123">
        <v>644642.0</v>
      </c>
      <c r="P967" s="52">
        <f t="shared" si="23"/>
        <v>644643.23</v>
      </c>
      <c r="Q967" s="124">
        <f t="shared" si="2"/>
        <v>-1.23</v>
      </c>
      <c r="R967" s="52">
        <f t="array" ref="R967">IFERROR(INDEX('Fund YTD Target Values'!$1:$1000, MATCH($C967,'Fund YTD Target Values'!$A:$A,0), MATCH($A967,'Fund YTD Target Values'!$1:$1,0)),0)</f>
        <v>573948.5743</v>
      </c>
      <c r="S967" s="52">
        <f>IFERROR(__xludf.DUMMYFUNCTION("IFERROR(sum(FILTER('Fund Data'!$V:$V, 'Fund Data'!$C:$C = $C967, 'Fund Data'!$A:$A &lt; $A967)),0) + IFERROR(sum(FILTER('Fund Data'!$V:$V, 'Fund Data'!$C:$C = $C967, 'Fund Data'!$A:$A = $A967, 'Fund Data'!$B:$B &lt;= $B967)),0)"),433755.86000000004)</f>
        <v>433755.86</v>
      </c>
      <c r="T967" s="123">
        <v>434291.0</v>
      </c>
      <c r="U967" s="44">
        <f t="shared" si="92"/>
        <v>-535.14</v>
      </c>
      <c r="V967" s="44">
        <f t="shared" si="3"/>
        <v>0</v>
      </c>
      <c r="W967" s="123"/>
      <c r="X967" s="123"/>
      <c r="Y967" s="123">
        <v>0.0</v>
      </c>
      <c r="Z967" s="123">
        <v>0.0</v>
      </c>
      <c r="AA967" s="123">
        <v>0.0</v>
      </c>
      <c r="AB967" s="123"/>
      <c r="AC967" s="123">
        <v>0.0</v>
      </c>
      <c r="AD967" s="44">
        <f t="shared" si="7"/>
        <v>-11075</v>
      </c>
      <c r="AE967" s="123">
        <v>0.0</v>
      </c>
    </row>
    <row r="968">
      <c r="A968" s="120">
        <v>2017.0</v>
      </c>
      <c r="B968" s="121">
        <v>7.0</v>
      </c>
      <c r="C968" s="122" t="s">
        <v>61</v>
      </c>
      <c r="D968" s="44"/>
      <c r="E968" s="123">
        <v>9924.14</v>
      </c>
      <c r="F968" s="123">
        <v>-8375.0</v>
      </c>
      <c r="G968" s="44"/>
      <c r="H968" s="123">
        <v>-2171.76</v>
      </c>
      <c r="I968" s="44"/>
      <c r="J968" s="44"/>
      <c r="K968" s="44"/>
      <c r="L968" s="123">
        <v>51680.72</v>
      </c>
      <c r="M968" s="44"/>
      <c r="N968" s="44"/>
      <c r="O968" s="123">
        <v>645542.0</v>
      </c>
      <c r="P968" s="52">
        <f t="shared" si="23"/>
        <v>645543.14</v>
      </c>
      <c r="Q968" s="124">
        <f t="shared" si="2"/>
        <v>-1.14</v>
      </c>
      <c r="R968" s="52">
        <f t="array" ref="R968">IFERROR(INDEX('Fund YTD Target Values'!$1:$1000, MATCH($C968,'Fund YTD Target Values'!$A:$A,0), MATCH($A968,'Fund YTD Target Values'!$1:$1,0)),0)</f>
        <v>573948.5743</v>
      </c>
      <c r="S968" s="52">
        <f>IFERROR(__xludf.DUMMYFUNCTION("IFERROR(sum(FILTER('Fund Data'!$V:$V, 'Fund Data'!$C:$C = $C968, 'Fund Data'!$A:$A &lt; $A968)),0) + IFERROR(sum(FILTER('Fund Data'!$V:$V, 'Fund Data'!$C:$C = $C968, 'Fund Data'!$A:$A = $A968, 'Fund Data'!$B:$B &lt;= $B968)),0)"),433755.86000000004)</f>
        <v>433755.86</v>
      </c>
      <c r="T968" s="123">
        <v>434291.0</v>
      </c>
      <c r="U968" s="44">
        <f t="shared" si="92"/>
        <v>-535.14</v>
      </c>
      <c r="V968" s="44">
        <f t="shared" si="3"/>
        <v>0</v>
      </c>
      <c r="W968" s="123"/>
      <c r="X968" s="123"/>
      <c r="Y968" s="123">
        <v>0.0</v>
      </c>
      <c r="Z968" s="123">
        <v>0.0</v>
      </c>
      <c r="AA968" s="123">
        <v>0.0</v>
      </c>
      <c r="AB968" s="123"/>
      <c r="AC968" s="123">
        <v>0.0</v>
      </c>
      <c r="AD968" s="44">
        <f t="shared" si="7"/>
        <v>-8375</v>
      </c>
      <c r="AE968" s="123">
        <v>0.0</v>
      </c>
    </row>
    <row r="969">
      <c r="A969" s="120">
        <v>2017.0</v>
      </c>
      <c r="B969" s="121">
        <v>6.0</v>
      </c>
      <c r="C969" s="122" t="s">
        <v>61</v>
      </c>
      <c r="D969" s="44"/>
      <c r="E969" s="123">
        <v>7897.98</v>
      </c>
      <c r="F969" s="123">
        <v>-8375.0</v>
      </c>
      <c r="G969" s="44"/>
      <c r="H969" s="123">
        <v>-1856.5</v>
      </c>
      <c r="I969" s="44"/>
      <c r="J969" s="44"/>
      <c r="K969" s="44"/>
      <c r="L969" s="123">
        <v>38379.88</v>
      </c>
      <c r="M969" s="44"/>
      <c r="N969" s="44"/>
      <c r="O969" s="123">
        <v>630531.0</v>
      </c>
      <c r="P969" s="52">
        <f t="shared" si="23"/>
        <v>630531.4</v>
      </c>
      <c r="Q969" s="124">
        <f t="shared" si="2"/>
        <v>-0.3999999996</v>
      </c>
      <c r="R969" s="52">
        <f t="array" ref="R969">IFERROR(INDEX('Fund YTD Target Values'!$1:$1000, MATCH($C969,'Fund YTD Target Values'!$A:$A,0), MATCH($A969,'Fund YTD Target Values'!$1:$1,0)),0)</f>
        <v>573948.5743</v>
      </c>
      <c r="S969" s="52">
        <f>IFERROR(__xludf.DUMMYFUNCTION("IFERROR(sum(FILTER('Fund Data'!$V:$V, 'Fund Data'!$C:$C = $C969, 'Fund Data'!$A:$A &lt; $A969)),0) + IFERROR(sum(FILTER('Fund Data'!$V:$V, 'Fund Data'!$C:$C = $C969, 'Fund Data'!$A:$A = $A969, 'Fund Data'!$B:$B &lt;= $B969)),0)"),433755.86000000004)</f>
        <v>433755.86</v>
      </c>
      <c r="T969" s="123">
        <v>434291.0</v>
      </c>
      <c r="U969" s="44">
        <f t="shared" si="92"/>
        <v>-535.14</v>
      </c>
      <c r="V969" s="44">
        <f t="shared" si="3"/>
        <v>0</v>
      </c>
      <c r="W969" s="123"/>
      <c r="X969" s="123"/>
      <c r="Y969" s="123">
        <v>0.0</v>
      </c>
      <c r="Z969" s="123">
        <v>0.0</v>
      </c>
      <c r="AA969" s="123">
        <v>0.0</v>
      </c>
      <c r="AB969" s="123"/>
      <c r="AC969" s="123">
        <v>0.0</v>
      </c>
      <c r="AD969" s="44">
        <f t="shared" si="7"/>
        <v>-8375</v>
      </c>
      <c r="AE969" s="123">
        <v>0.0</v>
      </c>
    </row>
    <row r="970">
      <c r="A970" s="120">
        <v>2017.0</v>
      </c>
      <c r="B970" s="121">
        <v>5.0</v>
      </c>
      <c r="C970" s="122" t="s">
        <v>61</v>
      </c>
      <c r="D970" s="44"/>
      <c r="E970" s="123">
        <v>7473.17</v>
      </c>
      <c r="F970" s="44"/>
      <c r="G970" s="44"/>
      <c r="H970" s="123">
        <v>-1537.79</v>
      </c>
      <c r="I970" s="44"/>
      <c r="J970" s="44"/>
      <c r="K970" s="44"/>
      <c r="L970" s="123">
        <v>37012.18</v>
      </c>
      <c r="M970" s="44"/>
      <c r="N970" s="44"/>
      <c r="O970" s="123">
        <v>637432.0</v>
      </c>
      <c r="P970" s="52">
        <f t="shared" si="23"/>
        <v>637432.6</v>
      </c>
      <c r="Q970" s="124">
        <f t="shared" si="2"/>
        <v>-0.5999999996</v>
      </c>
      <c r="R970" s="52">
        <f t="array" ref="R970">IFERROR(INDEX('Fund YTD Target Values'!$1:$1000, MATCH($C970,'Fund YTD Target Values'!$A:$A,0), MATCH($A970,'Fund YTD Target Values'!$1:$1,0)),0)</f>
        <v>573948.5743</v>
      </c>
      <c r="S970" s="52">
        <f>IFERROR(__xludf.DUMMYFUNCTION("IFERROR(sum(FILTER('Fund Data'!$V:$V, 'Fund Data'!$C:$C = $C970, 'Fund Data'!$A:$A &lt; $A970)),0) + IFERROR(sum(FILTER('Fund Data'!$V:$V, 'Fund Data'!$C:$C = $C970, 'Fund Data'!$A:$A = $A970, 'Fund Data'!$B:$B &lt;= $B970)),0)"),433755.86000000004)</f>
        <v>433755.86</v>
      </c>
      <c r="T970" s="123">
        <v>434291.0</v>
      </c>
      <c r="U970" s="44">
        <f t="shared" si="92"/>
        <v>-535.14</v>
      </c>
      <c r="V970" s="44">
        <f t="shared" si="3"/>
        <v>0</v>
      </c>
      <c r="W970" s="123"/>
      <c r="X970" s="123"/>
      <c r="Y970" s="123">
        <v>0.0</v>
      </c>
      <c r="Z970" s="123">
        <v>0.0</v>
      </c>
      <c r="AA970" s="123">
        <v>0.0</v>
      </c>
      <c r="AB970" s="123"/>
      <c r="AC970" s="123">
        <v>0.0</v>
      </c>
      <c r="AD970" s="44">
        <f t="shared" si="7"/>
        <v>0</v>
      </c>
      <c r="AE970" s="123">
        <v>0.0</v>
      </c>
    </row>
    <row r="971">
      <c r="A971" s="120">
        <v>2017.0</v>
      </c>
      <c r="B971" s="121">
        <v>4.0</v>
      </c>
      <c r="C971" s="122" t="s">
        <v>61</v>
      </c>
      <c r="D971" s="44"/>
      <c r="E971" s="123">
        <v>7064.09</v>
      </c>
      <c r="F971" s="44"/>
      <c r="G971" s="44"/>
      <c r="H971" s="123">
        <v>-1222.66</v>
      </c>
      <c r="I971" s="44"/>
      <c r="J971" s="44"/>
      <c r="K971" s="44"/>
      <c r="L971" s="123">
        <v>29921.35</v>
      </c>
      <c r="M971" s="44"/>
      <c r="N971" s="44"/>
      <c r="O971" s="123">
        <v>630247.0</v>
      </c>
      <c r="P971" s="52">
        <f t="shared" si="23"/>
        <v>630247.82</v>
      </c>
      <c r="Q971" s="124">
        <f t="shared" si="2"/>
        <v>-0.8199999996</v>
      </c>
      <c r="R971" s="52">
        <f t="array" ref="R971">IFERROR(INDEX('Fund YTD Target Values'!$1:$1000, MATCH($C971,'Fund YTD Target Values'!$A:$A,0), MATCH($A971,'Fund YTD Target Values'!$1:$1,0)),0)</f>
        <v>573948.5743</v>
      </c>
      <c r="S971" s="52">
        <f>IFERROR(__xludf.DUMMYFUNCTION("IFERROR(sum(FILTER('Fund Data'!$V:$V, 'Fund Data'!$C:$C = $C971, 'Fund Data'!$A:$A &lt; $A971)),0) + IFERROR(sum(FILTER('Fund Data'!$V:$V, 'Fund Data'!$C:$C = $C971, 'Fund Data'!$A:$A = $A971, 'Fund Data'!$B:$B &lt;= $B971)),0)"),433755.86000000004)</f>
        <v>433755.86</v>
      </c>
      <c r="T971" s="123">
        <v>434291.0</v>
      </c>
      <c r="U971" s="44">
        <f t="shared" si="92"/>
        <v>-535.14</v>
      </c>
      <c r="V971" s="44">
        <f t="shared" si="3"/>
        <v>0</v>
      </c>
      <c r="W971" s="123"/>
      <c r="X971" s="123"/>
      <c r="Y971" s="123">
        <v>0.0</v>
      </c>
      <c r="Z971" s="123">
        <v>0.0</v>
      </c>
      <c r="AA971" s="123">
        <v>0.0</v>
      </c>
      <c r="AB971" s="123"/>
      <c r="AC971" s="123">
        <v>0.0</v>
      </c>
      <c r="AD971" s="44">
        <f t="shared" si="7"/>
        <v>0</v>
      </c>
      <c r="AE971" s="123">
        <v>0.0</v>
      </c>
    </row>
    <row r="972">
      <c r="A972" s="120">
        <v>2017.0</v>
      </c>
      <c r="B972" s="121">
        <v>3.0</v>
      </c>
      <c r="C972" s="122" t="s">
        <v>61</v>
      </c>
      <c r="D972" s="44"/>
      <c r="E972" s="123">
        <v>5345.57</v>
      </c>
      <c r="F972" s="44"/>
      <c r="G972" s="44"/>
      <c r="H972" s="123">
        <v>-911.39</v>
      </c>
      <c r="I972" s="44"/>
      <c r="J972" s="44"/>
      <c r="K972" s="44"/>
      <c r="L972" s="123">
        <v>23627.24</v>
      </c>
      <c r="M972" s="44"/>
      <c r="N972" s="44"/>
      <c r="O972" s="123">
        <v>622546.0</v>
      </c>
      <c r="P972" s="52">
        <f t="shared" si="23"/>
        <v>622546.46</v>
      </c>
      <c r="Q972" s="124">
        <f t="shared" si="2"/>
        <v>-0.4599999996</v>
      </c>
      <c r="R972" s="52">
        <f t="array" ref="R972">IFERROR(INDEX('Fund YTD Target Values'!$1:$1000, MATCH($C972,'Fund YTD Target Values'!$A:$A,0), MATCH($A972,'Fund YTD Target Values'!$1:$1,0)),0)</f>
        <v>573948.5743</v>
      </c>
      <c r="S972" s="52">
        <f>IFERROR(__xludf.DUMMYFUNCTION("IFERROR(sum(FILTER('Fund Data'!$V:$V, 'Fund Data'!$C:$C = $C972, 'Fund Data'!$A:$A &lt; $A972)),0) + IFERROR(sum(FILTER('Fund Data'!$V:$V, 'Fund Data'!$C:$C = $C972, 'Fund Data'!$A:$A = $A972, 'Fund Data'!$B:$B &lt;= $B972)),0)"),433755.86000000004)</f>
        <v>433755.86</v>
      </c>
      <c r="T972" s="123">
        <v>434291.0</v>
      </c>
      <c r="U972" s="44">
        <f t="shared" si="92"/>
        <v>-535.14</v>
      </c>
      <c r="V972" s="44">
        <f t="shared" si="3"/>
        <v>0</v>
      </c>
      <c r="W972" s="123"/>
      <c r="X972" s="123"/>
      <c r="Y972" s="123">
        <v>0.0</v>
      </c>
      <c r="Z972" s="123">
        <v>0.0</v>
      </c>
      <c r="AA972" s="123">
        <v>0.0</v>
      </c>
      <c r="AB972" s="123"/>
      <c r="AC972" s="123">
        <v>0.0</v>
      </c>
      <c r="AD972" s="44">
        <f t="shared" si="7"/>
        <v>0</v>
      </c>
      <c r="AE972" s="123">
        <v>0.0</v>
      </c>
    </row>
    <row r="973">
      <c r="A973" s="120">
        <v>2017.0</v>
      </c>
      <c r="B973" s="121">
        <v>2.0</v>
      </c>
      <c r="C973" s="122" t="s">
        <v>61</v>
      </c>
      <c r="D973" s="44"/>
      <c r="E973" s="123">
        <v>4930.14</v>
      </c>
      <c r="F973" s="44"/>
      <c r="G973" s="44"/>
      <c r="H973" s="123">
        <v>-601.27</v>
      </c>
      <c r="I973" s="44"/>
      <c r="J973" s="44"/>
      <c r="K973" s="44"/>
      <c r="L973" s="123">
        <v>21414.12</v>
      </c>
      <c r="M973" s="44"/>
      <c r="N973" s="44"/>
      <c r="O973" s="123">
        <v>620227.0</v>
      </c>
      <c r="P973" s="52">
        <f t="shared" si="23"/>
        <v>620228.03</v>
      </c>
      <c r="Q973" s="124">
        <f t="shared" si="2"/>
        <v>-1.03</v>
      </c>
      <c r="R973" s="52">
        <f t="array" ref="R973">IFERROR(INDEX('Fund YTD Target Values'!$1:$1000, MATCH($C973,'Fund YTD Target Values'!$A:$A,0), MATCH($A973,'Fund YTD Target Values'!$1:$1,0)),0)</f>
        <v>573948.5743</v>
      </c>
      <c r="S973" s="52">
        <f>IFERROR(__xludf.DUMMYFUNCTION("IFERROR(sum(FILTER('Fund Data'!$V:$V, 'Fund Data'!$C:$C = $C973, 'Fund Data'!$A:$A &lt; $A973)),0) + IFERROR(sum(FILTER('Fund Data'!$V:$V, 'Fund Data'!$C:$C = $C973, 'Fund Data'!$A:$A = $A973, 'Fund Data'!$B:$B &lt;= $B973)),0)"),433755.86000000004)</f>
        <v>433755.86</v>
      </c>
      <c r="T973" s="123">
        <v>434291.0</v>
      </c>
      <c r="U973" s="44">
        <f t="shared" si="92"/>
        <v>-535.14</v>
      </c>
      <c r="V973" s="44">
        <f t="shared" si="3"/>
        <v>0</v>
      </c>
      <c r="W973" s="123"/>
      <c r="X973" s="123"/>
      <c r="Y973" s="123">
        <v>0.0</v>
      </c>
      <c r="Z973" s="123">
        <v>0.0</v>
      </c>
      <c r="AA973" s="123">
        <v>0.0</v>
      </c>
      <c r="AB973" s="123"/>
      <c r="AC973" s="123">
        <v>0.0</v>
      </c>
      <c r="AD973" s="44">
        <f t="shared" si="7"/>
        <v>0</v>
      </c>
      <c r="AE973" s="123">
        <v>0.0</v>
      </c>
    </row>
    <row r="974">
      <c r="A974" s="120">
        <v>2017.0</v>
      </c>
      <c r="B974" s="121">
        <v>1.0</v>
      </c>
      <c r="C974" s="122" t="s">
        <v>61</v>
      </c>
      <c r="D974" s="44"/>
      <c r="E974" s="123">
        <v>4502.27</v>
      </c>
      <c r="F974" s="44"/>
      <c r="G974" s="44"/>
      <c r="H974" s="123">
        <v>-297.24</v>
      </c>
      <c r="I974" s="44"/>
      <c r="J974" s="44"/>
      <c r="K974" s="44"/>
      <c r="L974" s="123">
        <v>9361.49</v>
      </c>
      <c r="M974" s="44"/>
      <c r="N974" s="44"/>
      <c r="O974" s="123">
        <v>608051.0</v>
      </c>
      <c r="P974" s="52">
        <f t="shared" si="23"/>
        <v>608051.56</v>
      </c>
      <c r="Q974" s="124">
        <f t="shared" si="2"/>
        <v>-0.5599999996</v>
      </c>
      <c r="R974" s="52">
        <f t="array" ref="R974">IFERROR(INDEX('Fund YTD Target Values'!$1:$1000, MATCH($C974,'Fund YTD Target Values'!$A:$A,0), MATCH($A974,'Fund YTD Target Values'!$1:$1,0)),0)</f>
        <v>573948.5743</v>
      </c>
      <c r="S974" s="52">
        <f>IFERROR(__xludf.DUMMYFUNCTION("IFERROR(sum(FILTER('Fund Data'!$V:$V, 'Fund Data'!$C:$C = $C974, 'Fund Data'!$A:$A &lt; $A974)),0) + IFERROR(sum(FILTER('Fund Data'!$V:$V, 'Fund Data'!$C:$C = $C974, 'Fund Data'!$A:$A = $A974, 'Fund Data'!$B:$B &lt;= $B974)),0)"),433755.86000000004)</f>
        <v>433755.86</v>
      </c>
      <c r="T974" s="123">
        <v>434291.0</v>
      </c>
      <c r="U974" s="44">
        <f t="shared" si="92"/>
        <v>-535.14</v>
      </c>
      <c r="V974" s="44">
        <f t="shared" si="3"/>
        <v>0</v>
      </c>
      <c r="W974" s="123"/>
      <c r="X974" s="123"/>
      <c r="Y974" s="123">
        <v>0.0</v>
      </c>
      <c r="Z974" s="123">
        <v>0.0</v>
      </c>
      <c r="AA974" s="123">
        <v>0.0</v>
      </c>
      <c r="AB974" s="123"/>
      <c r="AC974" s="123">
        <v>0.0</v>
      </c>
      <c r="AD974" s="44">
        <f t="shared" si="7"/>
        <v>0</v>
      </c>
      <c r="AE974" s="123">
        <v>0.0</v>
      </c>
    </row>
    <row r="975">
      <c r="A975" s="120">
        <v>2016.0</v>
      </c>
      <c r="B975" s="121">
        <v>12.0</v>
      </c>
      <c r="C975" s="122" t="s">
        <v>61</v>
      </c>
      <c r="D975" s="44"/>
      <c r="E975" s="123">
        <v>12650.91</v>
      </c>
      <c r="F975" s="123">
        <v>-6625.0</v>
      </c>
      <c r="G975" s="123"/>
      <c r="H975" s="123">
        <v>-3473.24</v>
      </c>
      <c r="I975" s="44"/>
      <c r="J975" s="123">
        <v>0.83</v>
      </c>
      <c r="K975" s="44"/>
      <c r="L975" s="123">
        <v>25443.5</v>
      </c>
      <c r="M975" s="44"/>
      <c r="N975" s="44"/>
      <c r="O975" s="123">
        <v>594484.0</v>
      </c>
      <c r="P975" s="52">
        <f t="shared" si="23"/>
        <v>594485.04</v>
      </c>
      <c r="Q975" s="124">
        <f t="shared" si="2"/>
        <v>-1.04</v>
      </c>
      <c r="R975" s="52">
        <f t="array" ref="R975">IFERROR(INDEX('Fund YTD Target Values'!$1:$1000, MATCH($C975,'Fund YTD Target Values'!$A:$A,0), MATCH($A975,'Fund YTD Target Values'!$1:$1,0)),0)</f>
        <v>561969.5476</v>
      </c>
      <c r="S975" s="52">
        <f>IFERROR(__xludf.DUMMYFUNCTION("IFERROR(sum(FILTER('Fund Data'!$V:$V, 'Fund Data'!$C:$C = $C975, 'Fund Data'!$A:$A &lt; $A975)),0) + IFERROR(sum(FILTER('Fund Data'!$V:$V, 'Fund Data'!$C:$C = $C975, 'Fund Data'!$A:$A = $A975, 'Fund Data'!$B:$B &lt;= $B975)),0)"),433755.86000000004)</f>
        <v>433755.86</v>
      </c>
      <c r="T975" s="123">
        <v>434291.0</v>
      </c>
      <c r="U975" s="44">
        <f t="shared" si="92"/>
        <v>-535.14</v>
      </c>
      <c r="V975" s="44">
        <f t="shared" si="3"/>
        <v>0</v>
      </c>
      <c r="W975" s="123"/>
      <c r="X975" s="123"/>
      <c r="Y975" s="123">
        <v>0.0</v>
      </c>
      <c r="Z975" s="123">
        <v>0.0</v>
      </c>
      <c r="AA975" s="123">
        <v>0.0</v>
      </c>
      <c r="AB975" s="123"/>
      <c r="AC975" s="123">
        <v>0.0</v>
      </c>
      <c r="AD975" s="44">
        <f t="shared" si="7"/>
        <v>-6625</v>
      </c>
      <c r="AE975" s="123">
        <v>0.0</v>
      </c>
    </row>
    <row r="976">
      <c r="A976" s="120">
        <v>2015.0</v>
      </c>
      <c r="B976" s="121">
        <v>12.0</v>
      </c>
      <c r="C976" s="122" t="s">
        <v>61</v>
      </c>
      <c r="D976" s="44"/>
      <c r="E976" s="123">
        <v>14281.26</v>
      </c>
      <c r="F976" s="123">
        <v>-27815.0</v>
      </c>
      <c r="G976" s="123"/>
      <c r="H976" s="123">
        <v>-3657.85</v>
      </c>
      <c r="I976" s="44"/>
      <c r="J976" s="123">
        <v>118.25</v>
      </c>
      <c r="K976" s="44"/>
      <c r="L976" s="123">
        <v>-26298.24</v>
      </c>
      <c r="M976" s="44"/>
      <c r="N976" s="44"/>
      <c r="O976" s="123">
        <v>566487.0</v>
      </c>
      <c r="P976" s="52">
        <f t="shared" si="23"/>
        <v>566488.04</v>
      </c>
      <c r="Q976" s="124">
        <f t="shared" si="2"/>
        <v>-1.04</v>
      </c>
      <c r="R976" s="52">
        <f t="array" ref="R976">IFERROR(INDEX('Fund YTD Target Values'!$1:$1000, MATCH($C976,'Fund YTD Target Values'!$A:$A,0), MATCH($A976,'Fund YTD Target Values'!$1:$1,0)),0)</f>
        <v>554966.734</v>
      </c>
      <c r="S976" s="52">
        <f>IFERROR(__xludf.DUMMYFUNCTION("IFERROR(sum(FILTER('Fund Data'!$V:$V, 'Fund Data'!$C:$C = $C976, 'Fund Data'!$A:$A &lt; $A976)),0) + IFERROR(sum(FILTER('Fund Data'!$V:$V, 'Fund Data'!$C:$C = $C976, 'Fund Data'!$A:$A = $A976, 'Fund Data'!$B:$B &lt;= $B976)),0)"),433755.86000000004)</f>
        <v>433755.86</v>
      </c>
      <c r="T976" s="123">
        <v>434291.0</v>
      </c>
      <c r="U976" s="44">
        <f t="shared" si="92"/>
        <v>-535.14</v>
      </c>
      <c r="V976" s="44">
        <f t="shared" si="3"/>
        <v>0</v>
      </c>
      <c r="W976" s="123"/>
      <c r="X976" s="123"/>
      <c r="Y976" s="123">
        <v>0.0</v>
      </c>
      <c r="Z976" s="123">
        <v>0.0</v>
      </c>
      <c r="AA976" s="123">
        <v>0.0</v>
      </c>
      <c r="AB976" s="123"/>
      <c r="AC976" s="123">
        <v>0.0</v>
      </c>
      <c r="AD976" s="44">
        <f t="shared" si="7"/>
        <v>-27815</v>
      </c>
      <c r="AE976" s="123">
        <v>0.0</v>
      </c>
    </row>
    <row r="977">
      <c r="A977" s="120">
        <v>2014.0</v>
      </c>
      <c r="B977" s="121">
        <v>12.0</v>
      </c>
      <c r="C977" s="122" t="s">
        <v>61</v>
      </c>
      <c r="D977" s="44"/>
      <c r="E977" s="123">
        <v>11576.32</v>
      </c>
      <c r="F977" s="123">
        <v>-8875.0</v>
      </c>
      <c r="G977" s="123"/>
      <c r="H977" s="123">
        <v>-3723.44</v>
      </c>
      <c r="I977" s="44"/>
      <c r="J977" s="123">
        <v>592.7</v>
      </c>
      <c r="K977" s="44"/>
      <c r="L977" s="123">
        <v>2009.19</v>
      </c>
      <c r="M977" s="44"/>
      <c r="N977" s="44"/>
      <c r="O977" s="123">
        <v>609859.0</v>
      </c>
      <c r="P977" s="52">
        <f t="shared" si="23"/>
        <v>609859.62</v>
      </c>
      <c r="Q977" s="124">
        <f t="shared" si="2"/>
        <v>-0.6199999995</v>
      </c>
      <c r="R977" s="52">
        <f t="array" ref="R977">IFERROR(INDEX('Fund YTD Target Values'!$1:$1000, MATCH($C977,'Fund YTD Target Values'!$A:$A,0), MATCH($A977,'Fund YTD Target Values'!$1:$1,0)),0)</f>
        <v>554307.6646</v>
      </c>
      <c r="S977" s="52">
        <f>IFERROR(__xludf.DUMMYFUNCTION("IFERROR(sum(FILTER('Fund Data'!$V:$V, 'Fund Data'!$C:$C = $C977, 'Fund Data'!$A:$A &lt; $A977)),0) + IFERROR(sum(FILTER('Fund Data'!$V:$V, 'Fund Data'!$C:$C = $C977, 'Fund Data'!$A:$A = $A977, 'Fund Data'!$B:$B &lt;= $B977)),0)"),433755.86000000004)</f>
        <v>433755.86</v>
      </c>
      <c r="T977" s="123">
        <v>434291.0</v>
      </c>
      <c r="U977" s="44">
        <f t="shared" si="92"/>
        <v>-535.14</v>
      </c>
      <c r="V977" s="44">
        <f t="shared" si="3"/>
        <v>0</v>
      </c>
      <c r="W977" s="123"/>
      <c r="X977" s="123"/>
      <c r="Y977" s="123">
        <v>0.0</v>
      </c>
      <c r="Z977" s="123">
        <v>0.0</v>
      </c>
      <c r="AA977" s="123">
        <v>0.0</v>
      </c>
      <c r="AB977" s="123"/>
      <c r="AC977" s="123">
        <v>0.0</v>
      </c>
      <c r="AD977" s="44">
        <f t="shared" si="7"/>
        <v>-8875</v>
      </c>
      <c r="AE977" s="123">
        <v>0.0</v>
      </c>
    </row>
    <row r="978">
      <c r="A978" s="120">
        <v>2013.0</v>
      </c>
      <c r="B978" s="121">
        <v>12.0</v>
      </c>
      <c r="C978" s="122" t="s">
        <v>61</v>
      </c>
      <c r="D978" s="44"/>
      <c r="E978" s="123">
        <v>11868.19</v>
      </c>
      <c r="F978" s="123">
        <v>-7300.0</v>
      </c>
      <c r="G978" s="123"/>
      <c r="H978" s="123">
        <v>-3480.58</v>
      </c>
      <c r="I978" s="44"/>
      <c r="J978" s="123">
        <v>1422.71</v>
      </c>
      <c r="K978" s="44"/>
      <c r="L978" s="123">
        <v>49275.27</v>
      </c>
      <c r="M978" s="44"/>
      <c r="N978" s="44"/>
      <c r="O978" s="123">
        <v>608279.0</v>
      </c>
      <c r="P978" s="52">
        <f t="shared" si="23"/>
        <v>608279.85</v>
      </c>
      <c r="Q978" s="124">
        <f t="shared" si="2"/>
        <v>-0.8499999997</v>
      </c>
      <c r="R978" s="52">
        <f t="array" ref="R978">IFERROR(INDEX('Fund YTD Target Values'!$1:$1000, MATCH($C978,'Fund YTD Target Values'!$A:$A,0), MATCH($A978,'Fund YTD Target Values'!$1:$1,0)),0)</f>
        <v>545460.8095</v>
      </c>
      <c r="S978" s="52">
        <f>IFERROR(__xludf.DUMMYFUNCTION("IFERROR(sum(FILTER('Fund Data'!$V:$V, 'Fund Data'!$C:$C = $C978, 'Fund Data'!$A:$A &lt; $A978)),0) + IFERROR(sum(FILTER('Fund Data'!$V:$V, 'Fund Data'!$C:$C = $C978, 'Fund Data'!$A:$A = $A978, 'Fund Data'!$B:$B &lt;= $B978)),0)"),433755.86000000004)</f>
        <v>433755.86</v>
      </c>
      <c r="T978" s="123">
        <v>434291.0</v>
      </c>
      <c r="U978" s="44">
        <f t="shared" si="92"/>
        <v>-535.14</v>
      </c>
      <c r="V978" s="44">
        <f t="shared" si="3"/>
        <v>0</v>
      </c>
      <c r="W978" s="123"/>
      <c r="X978" s="123"/>
      <c r="Y978" s="123">
        <v>0.0</v>
      </c>
      <c r="Z978" s="123">
        <v>0.0</v>
      </c>
      <c r="AA978" s="123">
        <v>0.0</v>
      </c>
      <c r="AB978" s="123"/>
      <c r="AC978" s="123">
        <v>0.0</v>
      </c>
      <c r="AD978" s="44">
        <f t="shared" si="7"/>
        <v>-7300</v>
      </c>
      <c r="AE978" s="123">
        <v>0.0</v>
      </c>
    </row>
    <row r="979">
      <c r="A979" s="120">
        <v>2012.0</v>
      </c>
      <c r="B979" s="121">
        <v>12.0</v>
      </c>
      <c r="C979" s="122" t="s">
        <v>61</v>
      </c>
      <c r="D979" s="44"/>
      <c r="E979" s="123">
        <v>11201.7</v>
      </c>
      <c r="F979" s="123">
        <v>-23500.0</v>
      </c>
      <c r="G979" s="123"/>
      <c r="H979" s="123">
        <v>-3300.94</v>
      </c>
      <c r="I979" s="44"/>
      <c r="J979" s="123">
        <v>856.11</v>
      </c>
      <c r="K979" s="123">
        <v>-223.5</v>
      </c>
      <c r="L979" s="123">
        <v>53782.14</v>
      </c>
      <c r="M979" s="44"/>
      <c r="N979" s="44"/>
      <c r="O979" s="123">
        <v>556493.0</v>
      </c>
      <c r="P979" s="52">
        <f t="shared" si="23"/>
        <v>556494.26</v>
      </c>
      <c r="Q979" s="124">
        <f t="shared" si="2"/>
        <v>-1.26</v>
      </c>
      <c r="R979" s="52">
        <f t="array" ref="R979">IFERROR(INDEX('Fund YTD Target Values'!$1:$1000, MATCH($C979,'Fund YTD Target Values'!$A:$A,0), MATCH($A979,'Fund YTD Target Values'!$1:$1,0)),0)</f>
        <v>537579.6471</v>
      </c>
      <c r="S979" s="52">
        <f>IFERROR(__xludf.DUMMYFUNCTION("IFERROR(sum(FILTER('Fund Data'!$V:$V, 'Fund Data'!$C:$C = $C979, 'Fund Data'!$A:$A &lt; $A979)),0) + IFERROR(sum(FILTER('Fund Data'!$V:$V, 'Fund Data'!$C:$C = $C979, 'Fund Data'!$A:$A = $A979, 'Fund Data'!$B:$B &lt;= $B979)),0)"),433755.86000000004)</f>
        <v>433755.86</v>
      </c>
      <c r="T979" s="123">
        <v>434291.0</v>
      </c>
      <c r="U979" s="44">
        <f t="shared" si="92"/>
        <v>-535.14</v>
      </c>
      <c r="V979" s="44">
        <f t="shared" si="3"/>
        <v>0</v>
      </c>
      <c r="W979" s="123"/>
      <c r="X979" s="123"/>
      <c r="Y979" s="123">
        <v>0.0</v>
      </c>
      <c r="Z979" s="123">
        <v>0.0</v>
      </c>
      <c r="AA979" s="123">
        <v>0.0</v>
      </c>
      <c r="AB979" s="123"/>
      <c r="AC979" s="123">
        <v>0.0</v>
      </c>
      <c r="AD979" s="44">
        <f t="shared" si="7"/>
        <v>-23500</v>
      </c>
      <c r="AE979" s="123">
        <v>0.0</v>
      </c>
    </row>
    <row r="980">
      <c r="A980" s="120">
        <v>2011.0</v>
      </c>
      <c r="B980" s="121">
        <v>12.0</v>
      </c>
      <c r="C980" s="122" t="s">
        <v>61</v>
      </c>
      <c r="D980" s="44"/>
      <c r="E980" s="123">
        <v>9280.17</v>
      </c>
      <c r="F980" s="44"/>
      <c r="G980" s="123"/>
      <c r="H980" s="123">
        <v>-3300.09</v>
      </c>
      <c r="I980" s="44"/>
      <c r="J980" s="44"/>
      <c r="K980" s="44"/>
      <c r="L980" s="123">
        <v>-34467.37</v>
      </c>
      <c r="M980" s="44"/>
      <c r="N980" s="44"/>
      <c r="O980" s="123">
        <v>517677.0</v>
      </c>
      <c r="P980" s="52">
        <f t="shared" si="23"/>
        <v>517678.75</v>
      </c>
      <c r="Q980" s="124">
        <f t="shared" si="2"/>
        <v>-1.75</v>
      </c>
      <c r="R980" s="52">
        <f t="array" ref="R980">IFERROR(INDEX('Fund YTD Target Values'!$1:$1000, MATCH($C980,'Fund YTD Target Values'!$A:$A,0), MATCH($A980,'Fund YTD Target Values'!$1:$1,0)),0)</f>
        <v>526660.9506</v>
      </c>
      <c r="S980" s="52">
        <f>IFERROR(__xludf.DUMMYFUNCTION("IFERROR(sum(FILTER('Fund Data'!$V:$V, 'Fund Data'!$C:$C = $C980, 'Fund Data'!$A:$A &lt; $A980)),0) + IFERROR(sum(FILTER('Fund Data'!$V:$V, 'Fund Data'!$C:$C = $C980, 'Fund Data'!$A:$A = $A980, 'Fund Data'!$B:$B &lt;= $B980)),0)"),433755.86000000004)</f>
        <v>433755.86</v>
      </c>
      <c r="T980" s="123">
        <v>434291.0</v>
      </c>
      <c r="U980" s="44">
        <f t="shared" si="92"/>
        <v>-535.14</v>
      </c>
      <c r="V980" s="44">
        <f t="shared" si="3"/>
        <v>0</v>
      </c>
      <c r="W980" s="123"/>
      <c r="X980" s="123"/>
      <c r="Y980" s="123">
        <v>0.0</v>
      </c>
      <c r="Z980" s="123">
        <v>0.0</v>
      </c>
      <c r="AA980" s="123">
        <v>0.0</v>
      </c>
      <c r="AB980" s="123"/>
      <c r="AC980" s="123">
        <v>0.0</v>
      </c>
      <c r="AD980" s="44">
        <f t="shared" si="7"/>
        <v>0</v>
      </c>
      <c r="AE980" s="123">
        <v>0.0</v>
      </c>
    </row>
    <row r="981">
      <c r="A981" s="120">
        <v>2010.0</v>
      </c>
      <c r="B981" s="121">
        <v>12.0</v>
      </c>
      <c r="C981" s="122" t="s">
        <v>61</v>
      </c>
      <c r="D981" s="44"/>
      <c r="E981" s="123">
        <v>10406.08</v>
      </c>
      <c r="F981" s="123">
        <v>-6375.0</v>
      </c>
      <c r="G981" s="123"/>
      <c r="H981" s="123">
        <v>-2960.76</v>
      </c>
      <c r="I981" s="44"/>
      <c r="J981" s="44"/>
      <c r="K981" s="123">
        <v>-752.88</v>
      </c>
      <c r="L981" s="123">
        <v>57893.16</v>
      </c>
      <c r="M981" s="44"/>
      <c r="N981" s="44"/>
      <c r="O981" s="123">
        <v>546165.0</v>
      </c>
      <c r="P981" s="52">
        <f t="shared" si="23"/>
        <v>546166.04</v>
      </c>
      <c r="Q981" s="124">
        <f t="shared" si="2"/>
        <v>-1.04</v>
      </c>
      <c r="R981" s="52">
        <f t="array" ref="R981">IFERROR(INDEX('Fund YTD Target Values'!$1:$1000, MATCH($C981,'Fund YTD Target Values'!$A:$A,0), MATCH($A981,'Fund YTD Target Values'!$1:$1,0)),0)</f>
        <v>510552.0064</v>
      </c>
      <c r="S981" s="52">
        <f>IFERROR(__xludf.DUMMYFUNCTION("IFERROR(sum(FILTER('Fund Data'!$V:$V, 'Fund Data'!$C:$C = $C981, 'Fund Data'!$A:$A &lt; $A981)),0) + IFERROR(sum(FILTER('Fund Data'!$V:$V, 'Fund Data'!$C:$C = $C981, 'Fund Data'!$A:$A = $A981, 'Fund Data'!$B:$B &lt;= $B981)),0)"),433755.86000000004)</f>
        <v>433755.86</v>
      </c>
      <c r="T981" s="123">
        <v>434291.0</v>
      </c>
      <c r="U981" s="44">
        <f t="shared" si="92"/>
        <v>-535.14</v>
      </c>
      <c r="V981" s="44">
        <f t="shared" si="3"/>
        <v>0</v>
      </c>
      <c r="W981" s="123"/>
      <c r="X981" s="123"/>
      <c r="Y981" s="123">
        <v>0.0</v>
      </c>
      <c r="Z981" s="123">
        <v>0.0</v>
      </c>
      <c r="AA981" s="123">
        <v>0.0</v>
      </c>
      <c r="AB981" s="123"/>
      <c r="AC981" s="123">
        <v>0.0</v>
      </c>
      <c r="AD981" s="44">
        <f t="shared" si="7"/>
        <v>-6375</v>
      </c>
      <c r="AE981" s="123">
        <v>0.0</v>
      </c>
    </row>
    <row r="982">
      <c r="A982" s="120">
        <v>2009.0</v>
      </c>
      <c r="B982" s="121">
        <v>12.0</v>
      </c>
      <c r="C982" s="122" t="s">
        <v>61</v>
      </c>
      <c r="D982" s="44"/>
      <c r="E982" s="123">
        <v>12586.95</v>
      </c>
      <c r="F982" s="44"/>
      <c r="G982" s="123"/>
      <c r="H982" s="123">
        <v>-2552.09</v>
      </c>
      <c r="I982" s="44"/>
      <c r="J982" s="44"/>
      <c r="K982" s="44"/>
      <c r="L982" s="123">
        <v>74883.26</v>
      </c>
      <c r="M982" s="44"/>
      <c r="N982" s="44"/>
      <c r="O982" s="123">
        <v>487954.0</v>
      </c>
      <c r="P982" s="52">
        <f t="shared" si="23"/>
        <v>487955.44</v>
      </c>
      <c r="Q982" s="124">
        <f t="shared" si="2"/>
        <v>-1.44</v>
      </c>
      <c r="R982" s="52">
        <f t="array" ref="R982">IFERROR(INDEX('Fund YTD Target Values'!$1:$1000, MATCH($C982,'Fund YTD Target Values'!$A:$A,0), MATCH($A982,'Fund YTD Target Values'!$1:$1,0)),0)</f>
        <v>502292.7094</v>
      </c>
      <c r="S982" s="52">
        <f>IFERROR(__xludf.DUMMYFUNCTION("IFERROR(sum(FILTER('Fund Data'!$V:$V, 'Fund Data'!$C:$C = $C982, 'Fund Data'!$A:$A &lt; $A982)),0) + IFERROR(sum(FILTER('Fund Data'!$V:$V, 'Fund Data'!$C:$C = $C982, 'Fund Data'!$A:$A = $A982, 'Fund Data'!$B:$B &lt;= $B982)),0)"),433755.86000000004)</f>
        <v>433755.86</v>
      </c>
      <c r="T982" s="123">
        <v>434291.0</v>
      </c>
      <c r="U982" s="44">
        <f t="shared" si="92"/>
        <v>-535.14</v>
      </c>
      <c r="V982" s="44">
        <f t="shared" si="3"/>
        <v>0</v>
      </c>
      <c r="W982" s="123"/>
      <c r="X982" s="123"/>
      <c r="Y982" s="123">
        <v>0.0</v>
      </c>
      <c r="Z982" s="123">
        <v>0.0</v>
      </c>
      <c r="AA982" s="123">
        <v>0.0</v>
      </c>
      <c r="AB982" s="123"/>
      <c r="AC982" s="123">
        <v>0.0</v>
      </c>
      <c r="AD982" s="44">
        <f t="shared" si="7"/>
        <v>0</v>
      </c>
      <c r="AE982" s="123">
        <v>0.0</v>
      </c>
    </row>
    <row r="983">
      <c r="A983" s="120">
        <v>2008.0</v>
      </c>
      <c r="B983" s="121">
        <v>12.0</v>
      </c>
      <c r="C983" s="122" t="s">
        <v>61</v>
      </c>
      <c r="D983" s="44"/>
      <c r="E983" s="123">
        <v>13007.98</v>
      </c>
      <c r="F983" s="123">
        <v>-12355.0</v>
      </c>
      <c r="G983" s="123"/>
      <c r="H983" s="123">
        <v>-2923.94</v>
      </c>
      <c r="I983" s="44"/>
      <c r="J983" s="123">
        <v>728.16</v>
      </c>
      <c r="K983" s="44"/>
      <c r="L983" s="123">
        <v>-134882.88</v>
      </c>
      <c r="M983" s="44"/>
      <c r="N983" s="44"/>
      <c r="O983" s="123">
        <v>403036.0</v>
      </c>
      <c r="P983" s="52">
        <f t="shared" si="23"/>
        <v>403037.32</v>
      </c>
      <c r="Q983" s="124">
        <f t="shared" si="2"/>
        <v>-1.32</v>
      </c>
      <c r="R983" s="52">
        <f t="array" ref="R983">IFERROR(INDEX('Fund YTD Target Values'!$1:$1000, MATCH($C983,'Fund YTD Target Values'!$A:$A,0), MATCH($A983,'Fund YTD Target Values'!$1:$1,0)),0)</f>
        <v>503995.2052</v>
      </c>
      <c r="S983" s="52">
        <f>IFERROR(__xludf.DUMMYFUNCTION("IFERROR(sum(FILTER('Fund Data'!$V:$V, 'Fund Data'!$C:$C = $C983, 'Fund Data'!$A:$A &lt; $A983)),0) + IFERROR(sum(FILTER('Fund Data'!$V:$V, 'Fund Data'!$C:$C = $C983, 'Fund Data'!$A:$A = $A983, 'Fund Data'!$B:$B &lt;= $B983)),0)"),433755.86000000004)</f>
        <v>433755.86</v>
      </c>
      <c r="T983" s="123">
        <v>434291.0</v>
      </c>
      <c r="U983" s="44">
        <f t="shared" si="92"/>
        <v>-535.14</v>
      </c>
      <c r="V983" s="44">
        <f t="shared" si="3"/>
        <v>0</v>
      </c>
      <c r="W983" s="123"/>
      <c r="X983" s="123"/>
      <c r="Y983" s="123">
        <v>0.0</v>
      </c>
      <c r="Z983" s="123">
        <v>0.0</v>
      </c>
      <c r="AA983" s="123">
        <v>0.0</v>
      </c>
      <c r="AB983" s="123"/>
      <c r="AC983" s="123">
        <v>0.0</v>
      </c>
      <c r="AD983" s="44">
        <f t="shared" si="7"/>
        <v>-12355</v>
      </c>
      <c r="AE983" s="123">
        <v>0.0</v>
      </c>
    </row>
    <row r="984">
      <c r="A984" s="120">
        <v>2007.0</v>
      </c>
      <c r="B984" s="121">
        <v>12.0</v>
      </c>
      <c r="C984" s="122" t="s">
        <v>61</v>
      </c>
      <c r="D984" s="123">
        <v>10000.0</v>
      </c>
      <c r="E984" s="123">
        <v>8526.47</v>
      </c>
      <c r="F984" s="123">
        <v>-16500.0</v>
      </c>
      <c r="G984" s="123"/>
      <c r="H984" s="123">
        <v>-3139.06</v>
      </c>
      <c r="I984" s="44"/>
      <c r="J984" s="44"/>
      <c r="K984" s="44"/>
      <c r="L984" s="123">
        <v>42119.0</v>
      </c>
      <c r="M984" s="123">
        <v>-49.0</v>
      </c>
      <c r="N984" s="44"/>
      <c r="O984" s="123">
        <v>539462.0</v>
      </c>
      <c r="P984" s="52">
        <f t="shared" si="23"/>
        <v>539463</v>
      </c>
      <c r="Q984" s="124">
        <f t="shared" si="2"/>
        <v>-0.9999999999</v>
      </c>
      <c r="R984" s="52">
        <f t="array" ref="R984">IFERROR(INDEX('Fund YTD Target Values'!$1:$1000, MATCH($C984,'Fund YTD Target Values'!$A:$A,0), MATCH($A984,'Fund YTD Target Values'!$1:$1,0)),0)</f>
        <v>485331.1508</v>
      </c>
      <c r="S984" s="52">
        <f>IFERROR(__xludf.DUMMYFUNCTION("IFERROR(sum(FILTER('Fund Data'!$V:$V, 'Fund Data'!$C:$C = $C984, 'Fund Data'!$A:$A &lt; $A984)),0) + IFERROR(sum(FILTER('Fund Data'!$V:$V, 'Fund Data'!$C:$C = $C984, 'Fund Data'!$A:$A = $A984, 'Fund Data'!$B:$B &lt;= $B984)),0)"),433755.86000000004)</f>
        <v>433755.86</v>
      </c>
      <c r="T984" s="123">
        <v>434291.0</v>
      </c>
      <c r="U984" s="44">
        <f t="shared" si="92"/>
        <v>-535.14</v>
      </c>
      <c r="V984" s="44">
        <f t="shared" si="3"/>
        <v>10000</v>
      </c>
      <c r="W984" s="123"/>
      <c r="X984" s="123"/>
      <c r="Y984" s="123">
        <v>0.0</v>
      </c>
      <c r="Z984" s="123">
        <v>0.0</v>
      </c>
      <c r="AA984" s="123">
        <v>0.0</v>
      </c>
      <c r="AB984" s="123"/>
      <c r="AC984" s="123">
        <v>0.0</v>
      </c>
      <c r="AD984" s="44">
        <f t="shared" si="7"/>
        <v>-16500</v>
      </c>
      <c r="AE984" s="123">
        <v>0.0</v>
      </c>
    </row>
    <row r="985">
      <c r="A985" s="120">
        <v>2006.0</v>
      </c>
      <c r="B985" s="121">
        <v>12.0</v>
      </c>
      <c r="C985" s="122" t="s">
        <v>61</v>
      </c>
      <c r="D985" s="123">
        <v>20186.0</v>
      </c>
      <c r="E985" s="123">
        <v>7462.53</v>
      </c>
      <c r="F985" s="123">
        <v>-10525.0</v>
      </c>
      <c r="G985" s="123"/>
      <c r="H985" s="123">
        <v>-2780.1</v>
      </c>
      <c r="I985" s="44"/>
      <c r="J985" s="123">
        <v>125.64</v>
      </c>
      <c r="K985" s="44"/>
      <c r="L985" s="123">
        <v>39151.91</v>
      </c>
      <c r="M985" s="123">
        <v>-1189.54</v>
      </c>
      <c r="N985" s="44"/>
      <c r="O985" s="123">
        <v>498505.0</v>
      </c>
      <c r="P985" s="52">
        <f t="shared" si="23"/>
        <v>498505.59</v>
      </c>
      <c r="Q985" s="124">
        <f t="shared" si="2"/>
        <v>-0.5899999998</v>
      </c>
      <c r="R985" s="52">
        <f t="array" ref="R985">IFERROR(INDEX('Fund YTD Target Values'!$1:$1000, MATCH($C985,'Fund YTD Target Values'!$A:$A,0), MATCH($A985,'Fund YTD Target Values'!$1:$1,0)),0)</f>
        <v>462149.0304</v>
      </c>
      <c r="S985" s="52">
        <f>IFERROR(__xludf.DUMMYFUNCTION("IFERROR(sum(FILTER('Fund Data'!$V:$V, 'Fund Data'!$C:$C = $C985, 'Fund Data'!$A:$A &lt; $A985)),0) + IFERROR(sum(FILTER('Fund Data'!$V:$V, 'Fund Data'!$C:$C = $C985, 'Fund Data'!$A:$A = $A985, 'Fund Data'!$B:$B &lt;= $B985)),0)"),423755.86000000004)</f>
        <v>423755.86</v>
      </c>
      <c r="T985" s="123">
        <v>424291.0</v>
      </c>
      <c r="U985" s="44">
        <f t="shared" si="92"/>
        <v>-535.14</v>
      </c>
      <c r="V985" s="44">
        <f t="shared" si="3"/>
        <v>20186</v>
      </c>
      <c r="W985" s="123"/>
      <c r="X985" s="123"/>
      <c r="Y985" s="123">
        <v>0.0</v>
      </c>
      <c r="Z985" s="123">
        <v>0.0</v>
      </c>
      <c r="AA985" s="123">
        <v>0.0</v>
      </c>
      <c r="AB985" s="123"/>
      <c r="AC985" s="123">
        <v>0.0</v>
      </c>
      <c r="AD985" s="44">
        <f t="shared" si="7"/>
        <v>-10525</v>
      </c>
      <c r="AE985" s="123">
        <v>0.0</v>
      </c>
    </row>
    <row r="986">
      <c r="A986" s="120">
        <v>2005.0</v>
      </c>
      <c r="B986" s="121">
        <v>12.0</v>
      </c>
      <c r="C986" s="122" t="s">
        <v>61</v>
      </c>
      <c r="D986" s="123">
        <v>159013.0</v>
      </c>
      <c r="E986" s="123">
        <v>7094.07</v>
      </c>
      <c r="F986" s="123">
        <v>-9076.0</v>
      </c>
      <c r="G986" s="123"/>
      <c r="H986" s="123">
        <v>-1751.95</v>
      </c>
      <c r="I986" s="44"/>
      <c r="J986" s="123">
        <v>46719.74</v>
      </c>
      <c r="K986" s="44"/>
      <c r="L986" s="123">
        <v>-32733.05</v>
      </c>
      <c r="M986" s="123">
        <v>1223.97</v>
      </c>
      <c r="N986" s="44"/>
      <c r="O986" s="123">
        <v>446074.0</v>
      </c>
      <c r="P986" s="52">
        <f t="shared" si="23"/>
        <v>446074.15</v>
      </c>
      <c r="Q986" s="124">
        <f t="shared" si="2"/>
        <v>-0.1499999999</v>
      </c>
      <c r="R986" s="52">
        <f t="array" ref="R986">IFERROR(INDEX('Fund YTD Target Values'!$1:$1000, MATCH($C986,'Fund YTD Target Values'!$A:$A,0), MATCH($A986,'Fund YTD Target Values'!$1:$1,0)),0)</f>
        <v>428112.6442</v>
      </c>
      <c r="S986" s="52">
        <f>IFERROR(__xludf.DUMMYFUNCTION("IFERROR(sum(FILTER('Fund Data'!$V:$V, 'Fund Data'!$C:$C = $C986, 'Fund Data'!$A:$A &lt; $A986)),0) + IFERROR(sum(FILTER('Fund Data'!$V:$V, 'Fund Data'!$C:$C = $C986, 'Fund Data'!$A:$A = $A986, 'Fund Data'!$B:$B &lt;= $B986)),0)"),403569.86)</f>
        <v>403569.86</v>
      </c>
      <c r="T986" s="123">
        <v>404105.0</v>
      </c>
      <c r="U986" s="44">
        <f t="shared" si="92"/>
        <v>-535.14</v>
      </c>
      <c r="V986" s="44">
        <f t="shared" si="3"/>
        <v>159013</v>
      </c>
      <c r="W986" s="123"/>
      <c r="X986" s="123"/>
      <c r="Y986" s="123">
        <v>0.0</v>
      </c>
      <c r="Z986" s="123">
        <v>0.0</v>
      </c>
      <c r="AA986" s="123">
        <v>0.0</v>
      </c>
      <c r="AB986" s="123"/>
      <c r="AC986" s="123">
        <v>0.0</v>
      </c>
      <c r="AD986" s="44">
        <f t="shared" si="7"/>
        <v>-9076</v>
      </c>
      <c r="AE986" s="123">
        <v>0.0</v>
      </c>
    </row>
    <row r="987">
      <c r="A987" s="120">
        <v>2004.0</v>
      </c>
      <c r="B987" s="121">
        <v>12.0</v>
      </c>
      <c r="C987" s="122" t="s">
        <v>61</v>
      </c>
      <c r="D987" s="123">
        <v>49841.93</v>
      </c>
      <c r="E987" s="123">
        <v>7129.0</v>
      </c>
      <c r="F987" s="123">
        <v>-7500.0</v>
      </c>
      <c r="G987" s="123"/>
      <c r="H987" s="123">
        <v>-1056.0</v>
      </c>
      <c r="I987" s="123"/>
      <c r="J987" s="123">
        <v>14106.0</v>
      </c>
      <c r="K987" s="123">
        <v>-1560.0</v>
      </c>
      <c r="L987" s="123">
        <v>1077.0</v>
      </c>
      <c r="M987" s="123">
        <v>2.0</v>
      </c>
      <c r="N987" s="123">
        <v>2629.0</v>
      </c>
      <c r="O987" s="123">
        <v>275585.0</v>
      </c>
      <c r="P987" s="52">
        <f t="shared" si="23"/>
        <v>275584.37</v>
      </c>
      <c r="Q987" s="124">
        <f t="shared" si="2"/>
        <v>0.63</v>
      </c>
      <c r="R987" s="52">
        <f t="array" ref="R987">IFERROR(INDEX('Fund YTD Target Values'!$1:$1000, MATCH($C987,'Fund YTD Target Values'!$A:$A,0), MATCH($A987,'Fund YTD Target Values'!$1:$1,0)),0)</f>
        <v>260275.4296</v>
      </c>
      <c r="S987" s="52">
        <f>IFERROR(__xludf.DUMMYFUNCTION("IFERROR(sum(FILTER('Fund Data'!$V:$V, 'Fund Data'!$C:$C = $C987, 'Fund Data'!$A:$A &lt; $A987)),0) + IFERROR(sum(FILTER('Fund Data'!$V:$V, 'Fund Data'!$C:$C = $C987, 'Fund Data'!$A:$A = $A987, 'Fund Data'!$B:$B &lt;= $B987)),0)"),244556.86000000002)</f>
        <v>244556.86</v>
      </c>
      <c r="T987" s="123">
        <v>245092.0</v>
      </c>
      <c r="U987" s="44">
        <f t="shared" si="92"/>
        <v>-535.14</v>
      </c>
      <c r="V987" s="44">
        <f t="shared" si="3"/>
        <v>49841.93</v>
      </c>
      <c r="W987" s="123"/>
      <c r="X987" s="123"/>
      <c r="Y987" s="123">
        <v>0.0</v>
      </c>
      <c r="Z987" s="123">
        <v>0.0</v>
      </c>
      <c r="AA987" s="123">
        <v>0.0</v>
      </c>
      <c r="AB987" s="123"/>
      <c r="AC987" s="123">
        <v>0.0</v>
      </c>
      <c r="AD987" s="44">
        <f t="shared" si="7"/>
        <v>-7500</v>
      </c>
      <c r="AE987" s="123">
        <v>0.0</v>
      </c>
    </row>
    <row r="988">
      <c r="A988" s="120">
        <v>2003.0</v>
      </c>
      <c r="B988" s="121">
        <v>12.0</v>
      </c>
      <c r="C988" s="122" t="s">
        <v>61</v>
      </c>
      <c r="D988" s="123">
        <v>20000.0</v>
      </c>
      <c r="E988" s="123">
        <v>4400.96</v>
      </c>
      <c r="F988" s="123">
        <v>-5175.0</v>
      </c>
      <c r="G988" s="123"/>
      <c r="H988" s="123">
        <v>-706.7</v>
      </c>
      <c r="I988" s="123"/>
      <c r="J988" s="44"/>
      <c r="K988" s="123">
        <v>-1858.15</v>
      </c>
      <c r="L988" s="123">
        <v>40667.0</v>
      </c>
      <c r="M988" s="123">
        <v>1.68</v>
      </c>
      <c r="N988" s="123">
        <v>1747.92</v>
      </c>
      <c r="O988" s="123">
        <v>210916.0</v>
      </c>
      <c r="P988" s="52">
        <f t="shared" si="23"/>
        <v>210915.44</v>
      </c>
      <c r="Q988" s="124">
        <f t="shared" si="2"/>
        <v>0.56</v>
      </c>
      <c r="R988" s="52">
        <f t="array" ref="R988">IFERROR(INDEX('Fund YTD Target Values'!$1:$1000, MATCH($C988,'Fund YTD Target Values'!$A:$A,0), MATCH($A988,'Fund YTD Target Values'!$1:$1,0)),0)</f>
        <v>204949.3382</v>
      </c>
      <c r="S988" s="52">
        <f>IFERROR(__xludf.DUMMYFUNCTION("IFERROR(sum(FILTER('Fund Data'!$V:$V, 'Fund Data'!$C:$C = $C988, 'Fund Data'!$A:$A &lt; $A988)),0) + IFERROR(sum(FILTER('Fund Data'!$V:$V, 'Fund Data'!$C:$C = $C988, 'Fund Data'!$A:$A = $A988, 'Fund Data'!$B:$B &lt;= $B988)),0)"),194714.93000000002)</f>
        <v>194714.93</v>
      </c>
      <c r="T988" s="123">
        <v>205202.0</v>
      </c>
      <c r="U988" s="44">
        <f t="shared" si="92"/>
        <v>-10487.07</v>
      </c>
      <c r="V988" s="44">
        <f t="shared" si="3"/>
        <v>20000</v>
      </c>
      <c r="W988" s="123"/>
      <c r="X988" s="123"/>
      <c r="Y988" s="123">
        <v>0.0</v>
      </c>
      <c r="Z988" s="123">
        <v>0.0</v>
      </c>
      <c r="AA988" s="123">
        <v>0.0</v>
      </c>
      <c r="AB988" s="123"/>
      <c r="AC988" s="123">
        <v>0.0</v>
      </c>
      <c r="AD988" s="44">
        <f t="shared" si="7"/>
        <v>-5175</v>
      </c>
      <c r="AE988" s="123">
        <v>0.0</v>
      </c>
    </row>
    <row r="989">
      <c r="A989" s="120">
        <v>2002.0</v>
      </c>
      <c r="B989" s="121">
        <v>12.0</v>
      </c>
      <c r="C989" s="122" t="s">
        <v>61</v>
      </c>
      <c r="D989" s="123">
        <v>44837.72</v>
      </c>
      <c r="E989" s="123">
        <v>3144.93</v>
      </c>
      <c r="F989" s="123">
        <v>-3900.0</v>
      </c>
      <c r="G989" s="123"/>
      <c r="H989" s="123">
        <v>-411.33</v>
      </c>
      <c r="I989" s="123"/>
      <c r="J989" s="123">
        <v>394.63</v>
      </c>
      <c r="K989" s="123">
        <v>-15730.94</v>
      </c>
      <c r="L989" s="123">
        <v>-3862.27</v>
      </c>
      <c r="M989" s="123">
        <v>-5.77</v>
      </c>
      <c r="N989" s="123">
        <v>1741.84</v>
      </c>
      <c r="O989" s="123">
        <v>151838.0</v>
      </c>
      <c r="P989" s="52">
        <f t="shared" si="23"/>
        <v>151837.73</v>
      </c>
      <c r="Q989" s="124">
        <f t="shared" si="2"/>
        <v>0.27</v>
      </c>
      <c r="R989" s="52">
        <f t="array" ref="R989">IFERROR(INDEX('Fund YTD Target Values'!$1:$1000, MATCH($C989,'Fund YTD Target Values'!$A:$A,0), MATCH($A989,'Fund YTD Target Values'!$1:$1,0)),0)</f>
        <v>180840.1634</v>
      </c>
      <c r="S989" s="52">
        <f>IFERROR(__xludf.DUMMYFUNCTION("IFERROR(sum(FILTER('Fund Data'!$V:$V, 'Fund Data'!$C:$C = $C989, 'Fund Data'!$A:$A &lt; $A989)),0) + IFERROR(sum(FILTER('Fund Data'!$V:$V, 'Fund Data'!$C:$C = $C989, 'Fund Data'!$A:$A = $A989, 'Fund Data'!$B:$B &lt;= $B989)),0)"),174714.93)</f>
        <v>174714.93</v>
      </c>
      <c r="T989" s="123">
        <v>175230.0</v>
      </c>
      <c r="U989" s="44">
        <f t="shared" si="92"/>
        <v>-515.07</v>
      </c>
      <c r="V989" s="44">
        <f t="shared" si="3"/>
        <v>44837.72</v>
      </c>
      <c r="W989" s="123"/>
      <c r="X989" s="123"/>
      <c r="Y989" s="123">
        <v>0.0</v>
      </c>
      <c r="Z989" s="123">
        <v>0.0</v>
      </c>
      <c r="AA989" s="123">
        <v>0.0</v>
      </c>
      <c r="AB989" s="123"/>
      <c r="AC989" s="123">
        <v>0.0</v>
      </c>
      <c r="AD989" s="44">
        <f t="shared" si="7"/>
        <v>-3900</v>
      </c>
      <c r="AE989" s="123">
        <v>0.0</v>
      </c>
    </row>
    <row r="990">
      <c r="A990" s="120">
        <v>2001.0</v>
      </c>
      <c r="B990" s="121">
        <v>12.0</v>
      </c>
      <c r="C990" s="122" t="s">
        <v>61</v>
      </c>
      <c r="D990" s="123">
        <v>31785.82</v>
      </c>
      <c r="E990" s="123">
        <v>3354.1</v>
      </c>
      <c r="F990" s="123">
        <v>-4620.0</v>
      </c>
      <c r="G990" s="123"/>
      <c r="H990" s="123">
        <v>-312.62</v>
      </c>
      <c r="I990" s="123"/>
      <c r="J990" s="123">
        <v>20.11</v>
      </c>
      <c r="K990" s="123">
        <v>-4742.25</v>
      </c>
      <c r="L990" s="123">
        <v>-1791.13</v>
      </c>
      <c r="M990" s="123">
        <v>-363.42</v>
      </c>
      <c r="N990" s="123">
        <v>296.63</v>
      </c>
      <c r="O990" s="123">
        <v>125629.0</v>
      </c>
      <c r="P990" s="52">
        <f t="shared" si="23"/>
        <v>125628.92</v>
      </c>
      <c r="Q990" s="124">
        <f t="shared" si="2"/>
        <v>0.07999999999</v>
      </c>
      <c r="R990" s="52">
        <f t="array" ref="R990">IFERROR(INDEX('Fund YTD Target Values'!$1:$1000, MATCH($C990,'Fund YTD Target Values'!$A:$A,0), MATCH($A990,'Fund YTD Target Values'!$1:$1,0)),0)</f>
        <v>133879.6577</v>
      </c>
      <c r="S990" s="52">
        <f>IFERROR(__xludf.DUMMYFUNCTION("IFERROR(sum(FILTER('Fund Data'!$V:$V, 'Fund Data'!$C:$C = $C990, 'Fund Data'!$A:$A &lt; $A990)),0) + IFERROR(sum(FILTER('Fund Data'!$V:$V, 'Fund Data'!$C:$C = $C990, 'Fund Data'!$A:$A = $A990, 'Fund Data'!$B:$B &lt;= $B990)),0)"),129877.20999999999)</f>
        <v>129877.21</v>
      </c>
      <c r="T990" s="44"/>
      <c r="U990" s="44"/>
      <c r="V990" s="44">
        <f t="shared" si="3"/>
        <v>31785.82</v>
      </c>
      <c r="W990" s="123"/>
      <c r="X990" s="123"/>
      <c r="Y990" s="123">
        <v>0.0</v>
      </c>
      <c r="Z990" s="123">
        <v>0.0</v>
      </c>
      <c r="AA990" s="123">
        <v>0.0</v>
      </c>
      <c r="AB990" s="123"/>
      <c r="AC990" s="123">
        <v>0.0</v>
      </c>
      <c r="AD990" s="44">
        <f t="shared" si="7"/>
        <v>-4620</v>
      </c>
      <c r="AE990" s="123">
        <v>0.0</v>
      </c>
    </row>
    <row r="991">
      <c r="A991" s="120">
        <v>2000.0</v>
      </c>
      <c r="B991" s="121">
        <v>12.0</v>
      </c>
      <c r="C991" s="122" t="s">
        <v>61</v>
      </c>
      <c r="D991" s="123">
        <v>62811.82</v>
      </c>
      <c r="E991" s="123">
        <v>1506.73</v>
      </c>
      <c r="F991" s="44"/>
      <c r="G991" s="123"/>
      <c r="H991" s="123">
        <v>-170.16</v>
      </c>
      <c r="I991" s="123"/>
      <c r="J991" s="44"/>
      <c r="K991" s="123">
        <v>-198.42</v>
      </c>
      <c r="L991" s="123">
        <v>-5166.76</v>
      </c>
      <c r="M991" s="123">
        <v>375.6</v>
      </c>
      <c r="N991" s="123">
        <v>4455.26</v>
      </c>
      <c r="O991" s="123">
        <v>102002.0</v>
      </c>
      <c r="P991" s="52">
        <f t="shared" si="23"/>
        <v>102001.68</v>
      </c>
      <c r="Q991" s="124">
        <f t="shared" si="2"/>
        <v>0.32</v>
      </c>
      <c r="R991" s="52">
        <f t="array" ref="R991">IFERROR(INDEX('Fund YTD Target Values'!$1:$1000, MATCH($C991,'Fund YTD Target Values'!$A:$A,0), MATCH($A991,'Fund YTD Target Values'!$1:$1,0)),0)</f>
        <v>99282.44203</v>
      </c>
      <c r="S991" s="52">
        <f>IFERROR(__xludf.DUMMYFUNCTION("IFERROR(sum(FILTER('Fund Data'!$V:$V, 'Fund Data'!$C:$C = $C991, 'Fund Data'!$A:$A &lt; $A991)),0) + IFERROR(sum(FILTER('Fund Data'!$V:$V, 'Fund Data'!$C:$C = $C991, 'Fund Data'!$A:$A = $A991, 'Fund Data'!$B:$B &lt;= $B991)),0)"),98091.39)</f>
        <v>98091.39</v>
      </c>
      <c r="T991" s="44"/>
      <c r="U991" s="44"/>
      <c r="V991" s="44">
        <f t="shared" si="3"/>
        <v>62811.82</v>
      </c>
      <c r="W991" s="123"/>
      <c r="X991" s="123"/>
      <c r="Y991" s="123">
        <v>0.0</v>
      </c>
      <c r="Z991" s="123">
        <v>0.0</v>
      </c>
      <c r="AA991" s="123">
        <v>0.0</v>
      </c>
      <c r="AB991" s="123"/>
      <c r="AC991" s="123">
        <v>0.0</v>
      </c>
      <c r="AD991" s="44">
        <f t="shared" si="7"/>
        <v>0</v>
      </c>
      <c r="AE991" s="123">
        <v>0.0</v>
      </c>
    </row>
    <row r="992">
      <c r="A992" s="120">
        <v>1999.0</v>
      </c>
      <c r="B992" s="121">
        <v>12.0</v>
      </c>
      <c r="C992" s="122" t="s">
        <v>61</v>
      </c>
      <c r="D992" s="123">
        <v>35279.57</v>
      </c>
      <c r="E992" s="123">
        <v>286.99</v>
      </c>
      <c r="F992" s="44"/>
      <c r="G992" s="123">
        <v>23.02</v>
      </c>
      <c r="H992" s="123">
        <v>-23.28</v>
      </c>
      <c r="I992" s="123"/>
      <c r="J992" s="44"/>
      <c r="K992" s="123">
        <v>-295.52</v>
      </c>
      <c r="L992" s="123">
        <v>1579.42</v>
      </c>
      <c r="M992" s="123">
        <v>5.19</v>
      </c>
      <c r="N992" s="123">
        <v>1532.22</v>
      </c>
      <c r="O992" s="123">
        <v>38388.0</v>
      </c>
      <c r="P992" s="52">
        <f t="shared" si="23"/>
        <v>38387.61</v>
      </c>
      <c r="Q992" s="124">
        <f t="shared" si="2"/>
        <v>0.39</v>
      </c>
      <c r="R992" s="52">
        <f t="array" ref="R992">IFERROR(INDEX('Fund YTD Target Values'!$1:$1000, MATCH($C992,'Fund YTD Target Values'!$A:$A,0), MATCH($A992,'Fund YTD Target Values'!$1:$1,0)),0)</f>
        <v>35279.57</v>
      </c>
      <c r="S992" s="52">
        <f>IFERROR(__xludf.DUMMYFUNCTION("IFERROR(sum(FILTER('Fund Data'!$V:$V, 'Fund Data'!$C:$C = $C992, 'Fund Data'!$A:$A &lt; $A992)),0) + IFERROR(sum(FILTER('Fund Data'!$V:$V, 'Fund Data'!$C:$C = $C992, 'Fund Data'!$A:$A = $A992, 'Fund Data'!$B:$B &lt;= $B992)),0)"),35279.57)</f>
        <v>35279.57</v>
      </c>
      <c r="T992" s="44"/>
      <c r="U992" s="44"/>
      <c r="V992" s="44">
        <f t="shared" si="3"/>
        <v>35279.57</v>
      </c>
      <c r="W992" s="123"/>
      <c r="X992" s="123"/>
      <c r="Y992" s="123">
        <v>0.0</v>
      </c>
      <c r="Z992" s="123">
        <v>0.0</v>
      </c>
      <c r="AA992" s="123">
        <v>0.0</v>
      </c>
      <c r="AB992" s="123"/>
      <c r="AC992" s="123">
        <v>0.0</v>
      </c>
      <c r="AD992" s="44">
        <f t="shared" si="7"/>
        <v>0</v>
      </c>
      <c r="AE992" s="123">
        <v>0.0</v>
      </c>
    </row>
    <row r="993">
      <c r="A993" s="120">
        <v>2019.0</v>
      </c>
      <c r="B993" s="121">
        <v>6.0</v>
      </c>
      <c r="C993" s="122" t="s">
        <v>62</v>
      </c>
      <c r="D993" s="44"/>
      <c r="E993" s="123">
        <v>3611.7</v>
      </c>
      <c r="F993" s="44"/>
      <c r="G993" s="44"/>
      <c r="H993" s="123">
        <v>-816.18</v>
      </c>
      <c r="I993" s="44"/>
      <c r="J993" s="44"/>
      <c r="K993" s="44"/>
      <c r="L993" s="123">
        <v>28225.3</v>
      </c>
      <c r="M993" s="44"/>
      <c r="N993" s="44"/>
      <c r="O993" s="123">
        <v>301897.32</v>
      </c>
      <c r="P993" s="52">
        <f t="shared" si="23"/>
        <v>301896.79</v>
      </c>
      <c r="Q993" s="124">
        <f t="shared" si="2"/>
        <v>0.53</v>
      </c>
      <c r="R993" s="52">
        <f t="array" ref="R993">IFERROR(INDEX('Fund YTD Target Values'!$1:$1000, MATCH($C993,'Fund YTD Target Values'!$A:$A,0), MATCH($A993,'Fund YTD Target Values'!$1:$1,0)),0)</f>
        <v>244374.8271</v>
      </c>
      <c r="S993" s="52">
        <f>IFERROR(__xludf.DUMMYFUNCTION("IFERROR(sum(FILTER('Fund Data'!$V:$V, 'Fund Data'!$C:$C = $C993, 'Fund Data'!$A:$A &lt; $A993)),0) + IFERROR(sum(FILTER('Fund Data'!$V:$V, 'Fund Data'!$C:$C = $C993, 'Fund Data'!$A:$A = $A993, 'Fund Data'!$B:$B &lt;= $B993)),0)"),194469.0)</f>
        <v>194469</v>
      </c>
      <c r="T993" s="123">
        <v>194469.0</v>
      </c>
      <c r="U993" s="44">
        <f t="shared" ref="U993:U1077" si="93">S993-T993</f>
        <v>0</v>
      </c>
      <c r="V993" s="44">
        <f t="shared" si="3"/>
        <v>0</v>
      </c>
      <c r="W993" s="52">
        <f>IFERROR(__xludf.DUMMYFUNCTION("iFERROR((FILTER('Fund Data'!$Y:$Y, 'Fund Data'!$C:$C = $C993, 'Fund Data'!$A:$A = $A993 - 1, 'Fund Data'!$B:$B = 12) + FILTER('Fund Data'!$AA:$AA, 'Fund Data'!$C:$C = $C993, 'Fund Data'!$A:$A = $A993 - 1, 'Fund Data'!$B:$B = 12)) * (1 + AVERAGE(FILTER('In"&amp;"flation Data'!$C:$C,'Inflation Data'!$A:$A = ($A993 - 2)))) * 'Parameters and Distribution Sum'!$A$4,0)"),7542.876247032937)</f>
        <v>7542.876247</v>
      </c>
      <c r="X993" s="52">
        <f>IFERROR(__xludf.DUMMYFUNCTION("IFERROR((IFERROR(FILTER('Fund Data'!$P:$P,'Fund Data'!$C:$C = $C993,'Fund Data'!$A:$A = ($A993 - 2), 'Fund Data'!$B:$B = 12),0) - SUM(FILTER('Fund Data'!$V:$V, 'Fund Data'!$C:$C = $C993, 'Fund Data'!$A:$A = ($A993 - 2), 'Fund Data'!$B:$B &gt; 3)))  * 'Parame"&amp;"ters and Distribution Sum'!$B$4 * (1 - 'Parameters and Distribution Sum'!$A$4),0)"),4042.5447600000007)</f>
        <v>4042.54476</v>
      </c>
      <c r="Y993" s="52">
        <f t="shared" ref="Y993:Y998" si="94">sum($W993:$X993)</f>
        <v>11585.42101</v>
      </c>
      <c r="Z993" s="52">
        <f>IFERROR(__xludf.DUMMYFUNCTION("((IFERROR((SUM(FILTER('Fund Data'!$V:$V, 'Fund Data'!$C:$C = $C993, 'Fund Data'!$A:$A = $A993 - 1, 'Fund Data'!$B:$B &gt;= 4, 'Fund Data'!$B:$B &lt;= ($B993 + 5))) / 12) * ($B993 - 3) * 'Parameters and Distribution Sum'!$B$4, 0) + IF($B993 &gt;= 9, IFERROR(SUM(FIL"&amp;"TER('Fund Data'!$V:$V, 'Fund Data'!$C:$C = $C993, 'Fund Data'!$A:$A = $A993, 'Fund Data'!$B:$B &lt;= 3)) * 'Parameters and Distribution Sum'!$B$4, 0),0)))"),0.0)</f>
        <v>0</v>
      </c>
      <c r="AA993" s="44">
        <f>IFERROR(__xludf.DUMMYFUNCTION("IFERROR(((IFERROR(SUM(FILTER('Fund Data'!$V:$V, 'Fund Data'!$C:$C = $C993, 'Fund Data'!$A:$A = $A993 - 2, 'Fund Data'!$B:$B &gt;= 4)) * 'Parameters and Distribution Sum'!$B$4,0) + IFERROR(SUM(FILTER('Fund Data'!$V:$V, 'Fund Data'!$C:$C = $C993, 'Fund Data'!$"&amp;"A:$A = $A993 - 1, 'Fund Data'!$B:$B &lt;= 3)) * 'Parameters and Distribution Sum'!$B$4,0))),0)"),0.0)</f>
        <v>0</v>
      </c>
      <c r="AB993" s="44">
        <f t="shared" ref="AB993:AB999" si="95">IFERROR(__xludf.DUMMYFUNCTION("IFERROR(FILTER($AE:$AE,$C:$C = $C993,$A:$A = $A993 - 1,$B:$B = 12),0)"),0.0)</f>
        <v>0</v>
      </c>
      <c r="AC993" s="44">
        <f t="shared" ref="AC993:AC999" si="96">sum($Y993:$AB993)</f>
        <v>11585.42101</v>
      </c>
      <c r="AD993" s="44">
        <f t="shared" si="7"/>
        <v>11585.42101</v>
      </c>
      <c r="AE993" s="44"/>
    </row>
    <row r="994">
      <c r="A994" s="120">
        <v>2019.0</v>
      </c>
      <c r="B994" s="121">
        <v>5.0</v>
      </c>
      <c r="C994" s="122" t="s">
        <v>62</v>
      </c>
      <c r="D994" s="44"/>
      <c r="E994" s="123">
        <v>3294.2</v>
      </c>
      <c r="F994" s="44"/>
      <c r="G994" s="44"/>
      <c r="H994" s="123">
        <v>-679.08</v>
      </c>
      <c r="I994" s="44"/>
      <c r="J994" s="44"/>
      <c r="K994" s="44"/>
      <c r="L994" s="123">
        <v>16869.13</v>
      </c>
      <c r="M994" s="44"/>
      <c r="N994" s="44"/>
      <c r="O994" s="123">
        <v>290360.75</v>
      </c>
      <c r="P994" s="52">
        <f t="shared" si="23"/>
        <v>290360.22</v>
      </c>
      <c r="Q994" s="124">
        <f t="shared" si="2"/>
        <v>0.53</v>
      </c>
      <c r="R994" s="52">
        <f t="array" ref="R994">IFERROR(INDEX('Fund YTD Target Values'!$1:$1000, MATCH($C994,'Fund YTD Target Values'!$A:$A,0), MATCH($A994,'Fund YTD Target Values'!$1:$1,0)),0)</f>
        <v>244374.8271</v>
      </c>
      <c r="S994" s="52">
        <f>IFERROR(__xludf.DUMMYFUNCTION("IFERROR(sum(FILTER('Fund Data'!$V:$V, 'Fund Data'!$C:$C = $C994, 'Fund Data'!$A:$A &lt; $A994)),0) + IFERROR(sum(FILTER('Fund Data'!$V:$V, 'Fund Data'!$C:$C = $C994, 'Fund Data'!$A:$A = $A994, 'Fund Data'!$B:$B &lt;= $B994)),0)"),194469.0)</f>
        <v>194469</v>
      </c>
      <c r="T994" s="123">
        <v>194469.0</v>
      </c>
      <c r="U994" s="44">
        <f t="shared" si="93"/>
        <v>0</v>
      </c>
      <c r="V994" s="44">
        <f t="shared" si="3"/>
        <v>0</v>
      </c>
      <c r="W994" s="52">
        <f>IFERROR(__xludf.DUMMYFUNCTION("iFERROR((FILTER('Fund Data'!$Y:$Y, 'Fund Data'!$C:$C = $C994, 'Fund Data'!$A:$A = $A994 - 1, 'Fund Data'!$B:$B = 12) + FILTER('Fund Data'!$AA:$AA, 'Fund Data'!$C:$C = $C994, 'Fund Data'!$A:$A = $A994 - 1, 'Fund Data'!$B:$B = 12)) * (1 + AVERAGE(FILTER('In"&amp;"flation Data'!$C:$C,'Inflation Data'!$A:$A = ($A994 - 2)))) * 'Parameters and Distribution Sum'!$A$4,0)"),7542.876247032937)</f>
        <v>7542.876247</v>
      </c>
      <c r="X994" s="52">
        <f>IFERROR(__xludf.DUMMYFUNCTION("IFERROR((IFERROR(FILTER('Fund Data'!$P:$P,'Fund Data'!$C:$C = $C994,'Fund Data'!$A:$A = ($A994 - 2), 'Fund Data'!$B:$B = 12),0) - SUM(FILTER('Fund Data'!$V:$V, 'Fund Data'!$C:$C = $C994, 'Fund Data'!$A:$A = ($A994 - 2), 'Fund Data'!$B:$B &gt; 3)))  * 'Parame"&amp;"ters and Distribution Sum'!$B$4 * (1 - 'Parameters and Distribution Sum'!$A$4),0)"),4042.5447600000007)</f>
        <v>4042.54476</v>
      </c>
      <c r="Y994" s="52">
        <f t="shared" si="94"/>
        <v>11585.42101</v>
      </c>
      <c r="Z994" s="52">
        <f>IFERROR(__xludf.DUMMYFUNCTION("((IFERROR((SUM(FILTER('Fund Data'!$V:$V, 'Fund Data'!$C:$C = $C994, 'Fund Data'!$A:$A = $A994 - 1, 'Fund Data'!$B:$B &gt;= 4, 'Fund Data'!$B:$B &lt;= ($B994 + 5))) / 12) * ($B994 - 3) * 'Parameters and Distribution Sum'!$B$4, 0) + IF($B994 &gt;= 9, IFERROR(SUM(FIL"&amp;"TER('Fund Data'!$V:$V, 'Fund Data'!$C:$C = $C994, 'Fund Data'!$A:$A = $A994, 'Fund Data'!$B:$B &lt;= 3)) * 'Parameters and Distribution Sum'!$B$4, 0),0)))"),0.0)</f>
        <v>0</v>
      </c>
      <c r="AA994" s="44">
        <f>IFERROR(__xludf.DUMMYFUNCTION("IFERROR(((IFERROR(SUM(FILTER('Fund Data'!$V:$V, 'Fund Data'!$C:$C = $C994, 'Fund Data'!$A:$A = $A994 - 2, 'Fund Data'!$B:$B &gt;= 4)) * 'Parameters and Distribution Sum'!$B$4,0) + IFERROR(SUM(FILTER('Fund Data'!$V:$V, 'Fund Data'!$C:$C = $C994, 'Fund Data'!$"&amp;"A:$A = $A994 - 1, 'Fund Data'!$B:$B &lt;= 3)) * 'Parameters and Distribution Sum'!$B$4,0))),0)"),0.0)</f>
        <v>0</v>
      </c>
      <c r="AB994" s="44">
        <f t="shared" si="95"/>
        <v>0</v>
      </c>
      <c r="AC994" s="44">
        <f t="shared" si="96"/>
        <v>11585.42101</v>
      </c>
      <c r="AD994" s="44">
        <f t="shared" si="7"/>
        <v>11585.42101</v>
      </c>
      <c r="AE994" s="44"/>
    </row>
    <row r="995">
      <c r="A995" s="120">
        <v>2019.0</v>
      </c>
      <c r="B995" s="121">
        <v>4.0</v>
      </c>
      <c r="C995" s="122" t="s">
        <v>62</v>
      </c>
      <c r="D995" s="44"/>
      <c r="E995" s="123">
        <v>3034.74</v>
      </c>
      <c r="F995" s="44"/>
      <c r="G995" s="44"/>
      <c r="H995" s="123">
        <v>-538.25</v>
      </c>
      <c r="I995" s="44"/>
      <c r="J995" s="44"/>
      <c r="K995" s="44"/>
      <c r="L995" s="123">
        <v>28342.55</v>
      </c>
      <c r="M995" s="44"/>
      <c r="N995" s="44"/>
      <c r="O995" s="123">
        <v>301716.0</v>
      </c>
      <c r="P995" s="52">
        <f t="shared" si="23"/>
        <v>301715.01</v>
      </c>
      <c r="Q995" s="124">
        <f t="shared" si="2"/>
        <v>0.99</v>
      </c>
      <c r="R995" s="52">
        <f t="array" ref="R995">IFERROR(INDEX('Fund YTD Target Values'!$1:$1000, MATCH($C995,'Fund YTD Target Values'!$A:$A,0), MATCH($A995,'Fund YTD Target Values'!$1:$1,0)),0)</f>
        <v>244374.8271</v>
      </c>
      <c r="S995" s="52">
        <f>IFERROR(__xludf.DUMMYFUNCTION("IFERROR(sum(FILTER('Fund Data'!$V:$V, 'Fund Data'!$C:$C = $C995, 'Fund Data'!$A:$A &lt; $A995)),0) + IFERROR(sum(FILTER('Fund Data'!$V:$V, 'Fund Data'!$C:$C = $C995, 'Fund Data'!$A:$A = $A995, 'Fund Data'!$B:$B &lt;= $B995)),0)"),194469.0)</f>
        <v>194469</v>
      </c>
      <c r="T995" s="123">
        <v>194469.0</v>
      </c>
      <c r="U995" s="44">
        <f t="shared" si="93"/>
        <v>0</v>
      </c>
      <c r="V995" s="44">
        <f t="shared" si="3"/>
        <v>0</v>
      </c>
      <c r="W995" s="52">
        <f>IFERROR(__xludf.DUMMYFUNCTION("iFERROR((FILTER('Fund Data'!$Y:$Y, 'Fund Data'!$C:$C = $C995, 'Fund Data'!$A:$A = $A995 - 1, 'Fund Data'!$B:$B = 12) + FILTER('Fund Data'!$AA:$AA, 'Fund Data'!$C:$C = $C995, 'Fund Data'!$A:$A = $A995 - 1, 'Fund Data'!$B:$B = 12)) * (1 + AVERAGE(FILTER('In"&amp;"flation Data'!$C:$C,'Inflation Data'!$A:$A = ($A995 - 2)))) * 'Parameters and Distribution Sum'!$A$4,0)"),7542.876247032937)</f>
        <v>7542.876247</v>
      </c>
      <c r="X995" s="52">
        <f>IFERROR(__xludf.DUMMYFUNCTION("IFERROR((IFERROR(FILTER('Fund Data'!$P:$P,'Fund Data'!$C:$C = $C995,'Fund Data'!$A:$A = ($A995 - 2), 'Fund Data'!$B:$B = 12),0) - SUM(FILTER('Fund Data'!$V:$V, 'Fund Data'!$C:$C = $C995, 'Fund Data'!$A:$A = ($A995 - 2), 'Fund Data'!$B:$B &gt; 3)))  * 'Parame"&amp;"ters and Distribution Sum'!$B$4 * (1 - 'Parameters and Distribution Sum'!$A$4),0)"),4042.5447600000007)</f>
        <v>4042.54476</v>
      </c>
      <c r="Y995" s="52">
        <f t="shared" si="94"/>
        <v>11585.42101</v>
      </c>
      <c r="Z995" s="52">
        <f>IFERROR(__xludf.DUMMYFUNCTION("((IFERROR((SUM(FILTER('Fund Data'!$V:$V, 'Fund Data'!$C:$C = $C995, 'Fund Data'!$A:$A = $A995 - 1, 'Fund Data'!$B:$B &gt;= 4, 'Fund Data'!$B:$B &lt;= ($B995 + 5))) / 12) * ($B995 - 3) * 'Parameters and Distribution Sum'!$B$4, 0) + IF($B995 &gt;= 9, IFERROR(SUM(FIL"&amp;"TER('Fund Data'!$V:$V, 'Fund Data'!$C:$C = $C995, 'Fund Data'!$A:$A = $A995, 'Fund Data'!$B:$B &lt;= 3)) * 'Parameters and Distribution Sum'!$B$4, 0),0)))"),0.0)</f>
        <v>0</v>
      </c>
      <c r="AA995" s="44">
        <f>IFERROR(__xludf.DUMMYFUNCTION("IFERROR(((IFERROR(SUM(FILTER('Fund Data'!$V:$V, 'Fund Data'!$C:$C = $C995, 'Fund Data'!$A:$A = $A995 - 2, 'Fund Data'!$B:$B &gt;= 4)) * 'Parameters and Distribution Sum'!$B$4,0) + IFERROR(SUM(FILTER('Fund Data'!$V:$V, 'Fund Data'!$C:$C = $C995, 'Fund Data'!$"&amp;"A:$A = $A995 - 1, 'Fund Data'!$B:$B &lt;= 3)) * 'Parameters and Distribution Sum'!$B$4,0))),0)"),0.0)</f>
        <v>0</v>
      </c>
      <c r="AB995" s="44">
        <f t="shared" si="95"/>
        <v>0</v>
      </c>
      <c r="AC995" s="44">
        <f t="shared" si="96"/>
        <v>11585.42101</v>
      </c>
      <c r="AD995" s="44">
        <f t="shared" si="7"/>
        <v>11585.42101</v>
      </c>
      <c r="AE995" s="44"/>
    </row>
    <row r="996">
      <c r="A996" s="120">
        <v>2019.0</v>
      </c>
      <c r="B996" s="121">
        <v>3.0</v>
      </c>
      <c r="C996" s="122" t="s">
        <v>62</v>
      </c>
      <c r="D996" s="44"/>
      <c r="E996" s="123">
        <v>2293.32</v>
      </c>
      <c r="F996" s="44"/>
      <c r="G996" s="44"/>
      <c r="H996" s="123">
        <v>-400.2</v>
      </c>
      <c r="I996" s="44"/>
      <c r="J996" s="44"/>
      <c r="K996" s="44"/>
      <c r="L996" s="123">
        <v>22489.56</v>
      </c>
      <c r="M996" s="44"/>
      <c r="N996" s="44"/>
      <c r="O996" s="123">
        <v>295259.0</v>
      </c>
      <c r="P996" s="52">
        <f t="shared" si="23"/>
        <v>295258.65</v>
      </c>
      <c r="Q996" s="124">
        <f t="shared" si="2"/>
        <v>0.35</v>
      </c>
      <c r="R996" s="52">
        <f t="array" ref="R996">IFERROR(INDEX('Fund YTD Target Values'!$1:$1000, MATCH($C996,'Fund YTD Target Values'!$A:$A,0), MATCH($A996,'Fund YTD Target Values'!$1:$1,0)),0)</f>
        <v>244374.8271</v>
      </c>
      <c r="S996" s="52">
        <f>IFERROR(__xludf.DUMMYFUNCTION("IFERROR(sum(FILTER('Fund Data'!$V:$V, 'Fund Data'!$C:$C = $C996, 'Fund Data'!$A:$A &lt; $A996)),0) + IFERROR(sum(FILTER('Fund Data'!$V:$V, 'Fund Data'!$C:$C = $C996, 'Fund Data'!$A:$A = $A996, 'Fund Data'!$B:$B &lt;= $B996)),0)"),194469.0)</f>
        <v>194469</v>
      </c>
      <c r="T996" s="123">
        <v>194469.0</v>
      </c>
      <c r="U996" s="44">
        <f t="shared" si="93"/>
        <v>0</v>
      </c>
      <c r="V996" s="44">
        <f t="shared" si="3"/>
        <v>0</v>
      </c>
      <c r="W996" s="52">
        <f>IFERROR(__xludf.DUMMYFUNCTION("iFERROR((FILTER('Fund Data'!$Y:$Y, 'Fund Data'!$C:$C = $C996, 'Fund Data'!$A:$A = $A996 - 1, 'Fund Data'!$B:$B = 12) + FILTER('Fund Data'!$AA:$AA, 'Fund Data'!$C:$C = $C996, 'Fund Data'!$A:$A = $A996 - 1, 'Fund Data'!$B:$B = 12)) * (1 + AVERAGE(FILTER('In"&amp;"flation Data'!$C:$C,'Inflation Data'!$A:$A = ($A996 - 2)))) * 'Parameters and Distribution Sum'!$A$4,0)"),7542.876247032937)</f>
        <v>7542.876247</v>
      </c>
      <c r="X996" s="52">
        <f>IFERROR(__xludf.DUMMYFUNCTION("IFERROR((IFERROR(FILTER('Fund Data'!$P:$P,'Fund Data'!$C:$C = $C996,'Fund Data'!$A:$A = ($A996 - 2), 'Fund Data'!$B:$B = 12),0) - SUM(FILTER('Fund Data'!$V:$V, 'Fund Data'!$C:$C = $C996, 'Fund Data'!$A:$A = ($A996 - 2), 'Fund Data'!$B:$B &gt; 3)))  * 'Parame"&amp;"ters and Distribution Sum'!$B$4 * (1 - 'Parameters and Distribution Sum'!$A$4),0)"),4042.5447600000007)</f>
        <v>4042.54476</v>
      </c>
      <c r="Y996" s="52">
        <f t="shared" si="94"/>
        <v>11585.42101</v>
      </c>
      <c r="Z996" s="52">
        <f>IFERROR(__xludf.DUMMYFUNCTION("((IFERROR((SUM(FILTER('Fund Data'!$V:$V, 'Fund Data'!$C:$C = $C996, 'Fund Data'!$A:$A = $A996 - 1, 'Fund Data'!$B:$B &gt;= 4, 'Fund Data'!$B:$B &lt;= ($B996 + 5))) / 12) * ($B996 - 3) * 'Parameters and Distribution Sum'!$B$4, 0) + IF($B996 &gt;= 9, IFERROR(SUM(FIL"&amp;"TER('Fund Data'!$V:$V, 'Fund Data'!$C:$C = $C996, 'Fund Data'!$A:$A = $A996, 'Fund Data'!$B:$B &lt;= 3)) * 'Parameters and Distribution Sum'!$B$4, 0),0)))"),0.0)</f>
        <v>0</v>
      </c>
      <c r="AA996" s="44">
        <f>IFERROR(__xludf.DUMMYFUNCTION("IFERROR(((IFERROR(SUM(FILTER('Fund Data'!$V:$V, 'Fund Data'!$C:$C = $C996, 'Fund Data'!$A:$A = $A996 - 2, 'Fund Data'!$B:$B &gt;= 4)) * 'Parameters and Distribution Sum'!$B$4,0) + IFERROR(SUM(FILTER('Fund Data'!$V:$V, 'Fund Data'!$C:$C = $C996, 'Fund Data'!$"&amp;"A:$A = $A996 - 1, 'Fund Data'!$B:$B &lt;= 3)) * 'Parameters and Distribution Sum'!$B$4,0))),0)"),0.0)</f>
        <v>0</v>
      </c>
      <c r="AB996" s="44">
        <f t="shared" si="95"/>
        <v>0</v>
      </c>
      <c r="AC996" s="44">
        <f t="shared" si="96"/>
        <v>11585.42101</v>
      </c>
      <c r="AD996" s="44">
        <f t="shared" si="7"/>
        <v>11585.42101</v>
      </c>
      <c r="AE996" s="44"/>
    </row>
    <row r="997">
      <c r="A997" s="120">
        <v>2019.0</v>
      </c>
      <c r="B997" s="121">
        <v>2.0</v>
      </c>
      <c r="C997" s="122" t="s">
        <v>62</v>
      </c>
      <c r="D997" s="44"/>
      <c r="E997" s="123">
        <v>1937.81</v>
      </c>
      <c r="F997" s="44"/>
      <c r="G997" s="44"/>
      <c r="H997" s="123">
        <v>-263.02</v>
      </c>
      <c r="I997" s="44"/>
      <c r="J997" s="44"/>
      <c r="K997" s="44"/>
      <c r="L997" s="123">
        <v>20818.67</v>
      </c>
      <c r="M997" s="44"/>
      <c r="N997" s="44"/>
      <c r="O997" s="123">
        <v>293370.0</v>
      </c>
      <c r="P997" s="52">
        <f t="shared" si="23"/>
        <v>293369.43</v>
      </c>
      <c r="Q997" s="124">
        <f t="shared" si="2"/>
        <v>0.5699999999</v>
      </c>
      <c r="R997" s="52">
        <f t="array" ref="R997">IFERROR(INDEX('Fund YTD Target Values'!$1:$1000, MATCH($C997,'Fund YTD Target Values'!$A:$A,0), MATCH($A997,'Fund YTD Target Values'!$1:$1,0)),0)</f>
        <v>244374.8271</v>
      </c>
      <c r="S997" s="52">
        <f>IFERROR(__xludf.DUMMYFUNCTION("IFERROR(sum(FILTER('Fund Data'!$V:$V, 'Fund Data'!$C:$C = $C997, 'Fund Data'!$A:$A &lt; $A997)),0) + IFERROR(sum(FILTER('Fund Data'!$V:$V, 'Fund Data'!$C:$C = $C997, 'Fund Data'!$A:$A = $A997, 'Fund Data'!$B:$B &lt;= $B997)),0)"),194469.0)</f>
        <v>194469</v>
      </c>
      <c r="T997" s="123">
        <v>194469.0</v>
      </c>
      <c r="U997" s="44">
        <f t="shared" si="93"/>
        <v>0</v>
      </c>
      <c r="V997" s="44">
        <f t="shared" si="3"/>
        <v>0</v>
      </c>
      <c r="W997" s="52">
        <f>IFERROR(__xludf.DUMMYFUNCTION("iFERROR((FILTER('Fund Data'!$Y:$Y, 'Fund Data'!$C:$C = $C997, 'Fund Data'!$A:$A = $A997 - 1, 'Fund Data'!$B:$B = 12) + FILTER('Fund Data'!$AA:$AA, 'Fund Data'!$C:$C = $C997, 'Fund Data'!$A:$A = $A997 - 1, 'Fund Data'!$B:$B = 12)) * (1 + AVERAGE(FILTER('In"&amp;"flation Data'!$C:$C,'Inflation Data'!$A:$A = ($A997 - 2)))) * 'Parameters and Distribution Sum'!$A$4,0)"),7542.876247032937)</f>
        <v>7542.876247</v>
      </c>
      <c r="X997" s="52">
        <f>IFERROR(__xludf.DUMMYFUNCTION("IFERROR((IFERROR(FILTER('Fund Data'!$P:$P,'Fund Data'!$C:$C = $C997,'Fund Data'!$A:$A = ($A997 - 2), 'Fund Data'!$B:$B = 12),0) - SUM(FILTER('Fund Data'!$V:$V, 'Fund Data'!$C:$C = $C997, 'Fund Data'!$A:$A = ($A997 - 2), 'Fund Data'!$B:$B &gt; 3)))  * 'Parame"&amp;"ters and Distribution Sum'!$B$4 * (1 - 'Parameters and Distribution Sum'!$A$4),0)"),4042.5447600000007)</f>
        <v>4042.54476</v>
      </c>
      <c r="Y997" s="52">
        <f t="shared" si="94"/>
        <v>11585.42101</v>
      </c>
      <c r="Z997" s="52">
        <f>IFERROR(__xludf.DUMMYFUNCTION("((IFERROR((SUM(FILTER('Fund Data'!$V:$V, 'Fund Data'!$C:$C = $C997, 'Fund Data'!$A:$A = $A997 - 1, 'Fund Data'!$B:$B &gt;= 4, 'Fund Data'!$B:$B &lt;= ($B997 + 5))) / 12) * ($B997 - 3) * 'Parameters and Distribution Sum'!$B$4, 0) + IF($B997 &gt;= 9, IFERROR(SUM(FIL"&amp;"TER('Fund Data'!$V:$V, 'Fund Data'!$C:$C = $C997, 'Fund Data'!$A:$A = $A997, 'Fund Data'!$B:$B &lt;= 3)) * 'Parameters and Distribution Sum'!$B$4, 0),0)))"),0.0)</f>
        <v>0</v>
      </c>
      <c r="AA997" s="44">
        <f>IFERROR(__xludf.DUMMYFUNCTION("IFERROR(((IFERROR(SUM(FILTER('Fund Data'!$V:$V, 'Fund Data'!$C:$C = $C997, 'Fund Data'!$A:$A = $A997 - 2, 'Fund Data'!$B:$B &gt;= 4)) * 'Parameters and Distribution Sum'!$B$4,0) + IFERROR(SUM(FILTER('Fund Data'!$V:$V, 'Fund Data'!$C:$C = $C997, 'Fund Data'!$"&amp;"A:$A = $A997 - 1, 'Fund Data'!$B:$B &lt;= 3)) * 'Parameters and Distribution Sum'!$B$4,0))),0)"),0.0)</f>
        <v>0</v>
      </c>
      <c r="AB997" s="44">
        <f t="shared" si="95"/>
        <v>0</v>
      </c>
      <c r="AC997" s="44">
        <f t="shared" si="96"/>
        <v>11585.42101</v>
      </c>
      <c r="AD997" s="44">
        <f t="shared" si="7"/>
        <v>11585.42101</v>
      </c>
      <c r="AE997" s="44"/>
    </row>
    <row r="998">
      <c r="A998" s="120">
        <v>2019.0</v>
      </c>
      <c r="B998" s="121">
        <v>1.0</v>
      </c>
      <c r="C998" s="122" t="s">
        <v>62</v>
      </c>
      <c r="D998" s="44"/>
      <c r="E998" s="123">
        <v>1790.32</v>
      </c>
      <c r="F998" s="44"/>
      <c r="G998" s="44"/>
      <c r="H998" s="123">
        <v>-127.81</v>
      </c>
      <c r="I998" s="44"/>
      <c r="J998" s="44"/>
      <c r="K998" s="44"/>
      <c r="L998" s="123">
        <v>16105.01</v>
      </c>
      <c r="M998" s="44"/>
      <c r="N998" s="44"/>
      <c r="O998" s="123">
        <v>288644.0</v>
      </c>
      <c r="P998" s="52">
        <f t="shared" si="23"/>
        <v>288643.49</v>
      </c>
      <c r="Q998" s="124">
        <f t="shared" si="2"/>
        <v>0.51</v>
      </c>
      <c r="R998" s="52">
        <f t="array" ref="R998">IFERROR(INDEX('Fund YTD Target Values'!$1:$1000, MATCH($C998,'Fund YTD Target Values'!$A:$A,0), MATCH($A998,'Fund YTD Target Values'!$1:$1,0)),0)</f>
        <v>244374.8271</v>
      </c>
      <c r="S998" s="52">
        <f>IFERROR(__xludf.DUMMYFUNCTION("IFERROR(sum(FILTER('Fund Data'!$V:$V, 'Fund Data'!$C:$C = $C998, 'Fund Data'!$A:$A &lt; $A998)),0) + IFERROR(sum(FILTER('Fund Data'!$V:$V, 'Fund Data'!$C:$C = $C998, 'Fund Data'!$A:$A = $A998, 'Fund Data'!$B:$B &lt;= $B998)),0)"),194469.0)</f>
        <v>194469</v>
      </c>
      <c r="T998" s="123">
        <v>194469.0</v>
      </c>
      <c r="U998" s="44">
        <f t="shared" si="93"/>
        <v>0</v>
      </c>
      <c r="V998" s="44">
        <f t="shared" si="3"/>
        <v>0</v>
      </c>
      <c r="W998" s="52">
        <f>IFERROR(__xludf.DUMMYFUNCTION("iFERROR((FILTER('Fund Data'!$Y:$Y, 'Fund Data'!$C:$C = $C998, 'Fund Data'!$A:$A = $A998 - 1, 'Fund Data'!$B:$B = 12) + FILTER('Fund Data'!$AA:$AA, 'Fund Data'!$C:$C = $C998, 'Fund Data'!$A:$A = $A998 - 1, 'Fund Data'!$B:$B = 12)) * (1 + AVERAGE(FILTER('In"&amp;"flation Data'!$C:$C,'Inflation Data'!$A:$A = ($A998 - 2)))) * 'Parameters and Distribution Sum'!$A$4,0)"),7542.876247032937)</f>
        <v>7542.876247</v>
      </c>
      <c r="X998" s="52">
        <f>IFERROR(__xludf.DUMMYFUNCTION("IFERROR((IFERROR(FILTER('Fund Data'!$P:$P,'Fund Data'!$C:$C = $C998,'Fund Data'!$A:$A = ($A998 - 2), 'Fund Data'!$B:$B = 12),0) - SUM(FILTER('Fund Data'!$V:$V, 'Fund Data'!$C:$C = $C998, 'Fund Data'!$A:$A = ($A998 - 2), 'Fund Data'!$B:$B &gt; 3)))  * 'Parame"&amp;"ters and Distribution Sum'!$B$4 * (1 - 'Parameters and Distribution Sum'!$A$4),0)"),4042.5447600000007)</f>
        <v>4042.54476</v>
      </c>
      <c r="Y998" s="52">
        <f t="shared" si="94"/>
        <v>11585.42101</v>
      </c>
      <c r="Z998" s="52">
        <f>IFERROR(__xludf.DUMMYFUNCTION("((IFERROR((SUM(FILTER('Fund Data'!$V:$V, 'Fund Data'!$C:$C = $C998, 'Fund Data'!$A:$A = $A998 - 1, 'Fund Data'!$B:$B &gt;= 4, 'Fund Data'!$B:$B &lt;= ($B998 + 5))) / 12) * ($B998 - 3) * 'Parameters and Distribution Sum'!$B$4, 0) + IF($B998 &gt;= 9, IFERROR(SUM(FIL"&amp;"TER('Fund Data'!$V:$V, 'Fund Data'!$C:$C = $C998, 'Fund Data'!$A:$A = $A998, 'Fund Data'!$B:$B &lt;= 3)) * 'Parameters and Distribution Sum'!$B$4, 0),0)))"),0.0)</f>
        <v>0</v>
      </c>
      <c r="AA998" s="44">
        <f>IFERROR(__xludf.DUMMYFUNCTION("IFERROR(((IFERROR(SUM(FILTER('Fund Data'!$V:$V, 'Fund Data'!$C:$C = $C998, 'Fund Data'!$A:$A = $A998 - 2, 'Fund Data'!$B:$B &gt;= 4)) * 'Parameters and Distribution Sum'!$B$4,0) + IFERROR(SUM(FILTER('Fund Data'!$V:$V, 'Fund Data'!$C:$C = $C998, 'Fund Data'!$"&amp;"A:$A = $A998 - 1, 'Fund Data'!$B:$B &lt;= 3)) * 'Parameters and Distribution Sum'!$B$4,0))),0)"),0.0)</f>
        <v>0</v>
      </c>
      <c r="AB998" s="44">
        <f t="shared" si="95"/>
        <v>0</v>
      </c>
      <c r="AC998" s="44">
        <f t="shared" si="96"/>
        <v>11585.42101</v>
      </c>
      <c r="AD998" s="44">
        <f t="shared" si="7"/>
        <v>11585.42101</v>
      </c>
      <c r="AE998" s="44"/>
    </row>
    <row r="999">
      <c r="A999" s="120">
        <v>2018.0</v>
      </c>
      <c r="B999" s="121">
        <v>12.0</v>
      </c>
      <c r="C999" s="122" t="s">
        <v>62</v>
      </c>
      <c r="D999" s="44"/>
      <c r="E999" s="123">
        <v>6394.43</v>
      </c>
      <c r="F999" s="123">
        <v>-6000.0</v>
      </c>
      <c r="G999" s="44"/>
      <c r="H999" s="123">
        <v>-1766.9</v>
      </c>
      <c r="I999" s="44"/>
      <c r="J999" s="44"/>
      <c r="K999" s="44"/>
      <c r="L999" s="123">
        <v>-27199.32</v>
      </c>
      <c r="M999" s="44"/>
      <c r="N999" s="44"/>
      <c r="O999" s="123">
        <v>270877.0</v>
      </c>
      <c r="P999" s="52">
        <f t="shared" si="23"/>
        <v>270875.97</v>
      </c>
      <c r="Q999" s="124">
        <f t="shared" si="2"/>
        <v>1.03</v>
      </c>
      <c r="R999" s="52">
        <f t="array" ref="R999">IFERROR(INDEX('Fund YTD Target Values'!$1:$1000, MATCH($C999,'Fund YTD Target Values'!$A:$A,0), MATCH($A999,'Fund YTD Target Values'!$1:$1,0)),0)</f>
        <v>240185.7184</v>
      </c>
      <c r="S999" s="52">
        <f>IFERROR(__xludf.DUMMYFUNCTION("IFERROR(sum(FILTER('Fund Data'!$V:$V, 'Fund Data'!$C:$C = $C999, 'Fund Data'!$A:$A &lt; $A999)),0) + IFERROR(sum(FILTER('Fund Data'!$V:$V, 'Fund Data'!$C:$C = $C999, 'Fund Data'!$A:$A = $A999, 'Fund Data'!$B:$B &lt;= $B999)),0)"),194469.0)</f>
        <v>194469</v>
      </c>
      <c r="T999" s="123">
        <v>194469.0</v>
      </c>
      <c r="U999" s="44">
        <f t="shared" si="93"/>
        <v>0</v>
      </c>
      <c r="V999" s="44">
        <f t="shared" si="3"/>
        <v>0</v>
      </c>
      <c r="W999" s="52"/>
      <c r="X999" s="52"/>
      <c r="Y999" s="52">
        <v>10550.63851058687</v>
      </c>
      <c r="Z999" s="123">
        <v>0.0</v>
      </c>
      <c r="AA999" s="123">
        <v>0.0</v>
      </c>
      <c r="AB999" s="44">
        <f t="shared" si="95"/>
        <v>0</v>
      </c>
      <c r="AC999" s="44">
        <f t="shared" si="96"/>
        <v>10550.63851</v>
      </c>
      <c r="AD999" s="44">
        <f t="shared" si="7"/>
        <v>4550.638511</v>
      </c>
      <c r="AE999" s="123">
        <v>0.0</v>
      </c>
    </row>
    <row r="1000">
      <c r="A1000" s="120">
        <v>2018.0</v>
      </c>
      <c r="B1000" s="121">
        <v>11.0</v>
      </c>
      <c r="C1000" s="122" t="s">
        <v>62</v>
      </c>
      <c r="D1000" s="44"/>
      <c r="E1000" s="123">
        <v>6012.35</v>
      </c>
      <c r="F1000" s="123">
        <v>-6000.0</v>
      </c>
      <c r="G1000" s="44"/>
      <c r="H1000" s="123">
        <v>-1632.47</v>
      </c>
      <c r="I1000" s="44"/>
      <c r="J1000" s="44"/>
      <c r="K1000" s="44"/>
      <c r="L1000" s="123">
        <v>-11264.33</v>
      </c>
      <c r="M1000" s="44"/>
      <c r="N1000" s="44"/>
      <c r="O1000" s="123">
        <v>286564.0</v>
      </c>
      <c r="P1000" s="52">
        <f t="shared" si="23"/>
        <v>286563.31</v>
      </c>
      <c r="Q1000" s="124">
        <f t="shared" si="2"/>
        <v>0.69</v>
      </c>
      <c r="R1000" s="52">
        <f t="array" ref="R1000">IFERROR(INDEX('Fund YTD Target Values'!$1:$1000, MATCH($C1000,'Fund YTD Target Values'!$A:$A,0), MATCH($A1000,'Fund YTD Target Values'!$1:$1,0)),0)</f>
        <v>240185.7184</v>
      </c>
      <c r="S1000" s="52">
        <f>IFERROR(__xludf.DUMMYFUNCTION("IFERROR(sum(FILTER('Fund Data'!$V:$V, 'Fund Data'!$C:$C = $C1000, 'Fund Data'!$A:$A &lt; $A1000)),0) + IFERROR(sum(FILTER('Fund Data'!$V:$V, 'Fund Data'!$C:$C = $C1000, 'Fund Data'!$A:$A = $A1000, 'Fund Data'!$B:$B &lt;= $B1000)),0)"),194469.0)</f>
        <v>194469</v>
      </c>
      <c r="T1000" s="123">
        <v>194469.0</v>
      </c>
      <c r="U1000" s="44">
        <f t="shared" si="93"/>
        <v>0</v>
      </c>
      <c r="V1000" s="44">
        <f t="shared" si="3"/>
        <v>0</v>
      </c>
      <c r="W1000" s="123"/>
      <c r="X1000" s="123"/>
      <c r="Y1000" s="123">
        <v>0.0</v>
      </c>
      <c r="Z1000" s="123">
        <v>0.0</v>
      </c>
      <c r="AA1000" s="123">
        <v>0.0</v>
      </c>
      <c r="AB1000" s="123"/>
      <c r="AC1000" s="123">
        <v>0.0</v>
      </c>
      <c r="AD1000" s="44">
        <f t="shared" si="7"/>
        <v>-6000</v>
      </c>
      <c r="AE1000" s="123">
        <v>0.0</v>
      </c>
    </row>
    <row r="1001">
      <c r="A1001" s="120">
        <v>2018.0</v>
      </c>
      <c r="B1001" s="121">
        <v>10.0</v>
      </c>
      <c r="C1001" s="135" t="s">
        <v>62</v>
      </c>
      <c r="D1001" s="138"/>
      <c r="E1001" s="137">
        <v>5756.75</v>
      </c>
      <c r="F1001" s="136">
        <v>-6000.0</v>
      </c>
      <c r="G1001" s="138"/>
      <c r="H1001" s="137">
        <v>-1359.74</v>
      </c>
      <c r="I1001" s="138"/>
      <c r="J1001" s="138"/>
      <c r="K1001" s="138"/>
      <c r="L1001" s="136">
        <v>-13726.69</v>
      </c>
      <c r="M1001" s="44"/>
      <c r="N1001" s="44"/>
      <c r="O1001" s="136">
        <v>284119.0</v>
      </c>
      <c r="P1001" s="52">
        <f t="shared" si="23"/>
        <v>284118.08</v>
      </c>
      <c r="Q1001" s="124">
        <f t="shared" si="2"/>
        <v>0.92</v>
      </c>
      <c r="R1001" s="52">
        <f t="array" ref="R1001">IFERROR(INDEX('Fund YTD Target Values'!$1:$1000, MATCH($C1001,'Fund YTD Target Values'!$A:$A,0), MATCH($A1001,'Fund YTD Target Values'!$1:$1,0)),0)</f>
        <v>240185.7184</v>
      </c>
      <c r="S1001" s="52">
        <f>IFERROR(__xludf.DUMMYFUNCTION("IFERROR(sum(FILTER('Fund Data'!$V:$V, 'Fund Data'!$C:$C = $C1001, 'Fund Data'!$A:$A &lt; $A1001)),0) + IFERROR(sum(FILTER('Fund Data'!$V:$V, 'Fund Data'!$C:$C = $C1001, 'Fund Data'!$A:$A = $A1001, 'Fund Data'!$B:$B &lt;= $B1001)),0)"),194469.0)</f>
        <v>194469</v>
      </c>
      <c r="T1001" s="123">
        <v>194469.0</v>
      </c>
      <c r="U1001" s="44">
        <f t="shared" si="93"/>
        <v>0</v>
      </c>
      <c r="V1001" s="44">
        <f t="shared" si="3"/>
        <v>0</v>
      </c>
      <c r="W1001" s="123"/>
      <c r="X1001" s="123"/>
      <c r="Y1001" s="123">
        <v>0.0</v>
      </c>
      <c r="Z1001" s="123">
        <v>0.0</v>
      </c>
      <c r="AA1001" s="123">
        <v>0.0</v>
      </c>
      <c r="AB1001" s="123"/>
      <c r="AC1001" s="123">
        <v>0.0</v>
      </c>
      <c r="AD1001" s="44">
        <f t="shared" si="7"/>
        <v>-6000</v>
      </c>
      <c r="AE1001" s="123">
        <v>0.0</v>
      </c>
    </row>
    <row r="1002">
      <c r="A1002" s="120">
        <v>2018.0</v>
      </c>
      <c r="B1002" s="121">
        <v>9.0</v>
      </c>
      <c r="C1002" s="122" t="s">
        <v>62</v>
      </c>
      <c r="D1002" s="44"/>
      <c r="E1002" s="123">
        <v>4898.94</v>
      </c>
      <c r="F1002" s="123">
        <v>-6000.0</v>
      </c>
      <c r="G1002" s="44"/>
      <c r="H1002" s="123">
        <v>-1359.74</v>
      </c>
      <c r="I1002" s="44"/>
      <c r="J1002" s="44"/>
      <c r="K1002" s="44"/>
      <c r="L1002" s="123">
        <v>1452.01</v>
      </c>
      <c r="M1002" s="44"/>
      <c r="N1002" s="44"/>
      <c r="O1002" s="123">
        <v>298440.0</v>
      </c>
      <c r="P1002" s="52">
        <f t="shared" si="23"/>
        <v>298438.97</v>
      </c>
      <c r="Q1002" s="124">
        <f t="shared" si="2"/>
        <v>1.03</v>
      </c>
      <c r="R1002" s="52">
        <f t="array" ref="R1002">IFERROR(INDEX('Fund YTD Target Values'!$1:$1000, MATCH($C1002,'Fund YTD Target Values'!$A:$A,0), MATCH($A1002,'Fund YTD Target Values'!$1:$1,0)),0)</f>
        <v>240185.7184</v>
      </c>
      <c r="S1002" s="52">
        <f>IFERROR(__xludf.DUMMYFUNCTION("IFERROR(sum(FILTER('Fund Data'!$V:$V, 'Fund Data'!$C:$C = $C1002, 'Fund Data'!$A:$A &lt; $A1002)),0) + IFERROR(sum(FILTER('Fund Data'!$V:$V, 'Fund Data'!$C:$C = $C1002, 'Fund Data'!$A:$A = $A1002, 'Fund Data'!$B:$B &lt;= $B1002)),0)"),194469.0)</f>
        <v>194469</v>
      </c>
      <c r="T1002" s="123">
        <v>194469.0</v>
      </c>
      <c r="U1002" s="44">
        <f t="shared" si="93"/>
        <v>0</v>
      </c>
      <c r="V1002" s="44">
        <f t="shared" si="3"/>
        <v>0</v>
      </c>
      <c r="W1002" s="123"/>
      <c r="X1002" s="123"/>
      <c r="Y1002" s="123">
        <v>0.0</v>
      </c>
      <c r="Z1002" s="123">
        <v>0.0</v>
      </c>
      <c r="AA1002" s="123">
        <v>0.0</v>
      </c>
      <c r="AB1002" s="123"/>
      <c r="AC1002" s="123">
        <v>0.0</v>
      </c>
      <c r="AD1002" s="44">
        <f t="shared" si="7"/>
        <v>-6000</v>
      </c>
      <c r="AE1002" s="123">
        <v>0.0</v>
      </c>
    </row>
    <row r="1003">
      <c r="A1003" s="120">
        <v>2018.0</v>
      </c>
      <c r="B1003" s="121">
        <v>8.0</v>
      </c>
      <c r="C1003" s="122" t="s">
        <v>62</v>
      </c>
      <c r="D1003" s="44"/>
      <c r="E1003" s="123">
        <v>4633.76</v>
      </c>
      <c r="F1003" s="44"/>
      <c r="G1003" s="44"/>
      <c r="H1003" s="123">
        <v>-1207.03</v>
      </c>
      <c r="I1003" s="44"/>
      <c r="J1003" s="44"/>
      <c r="K1003" s="44"/>
      <c r="L1003" s="123">
        <v>2536.62</v>
      </c>
      <c r="M1003" s="44"/>
      <c r="N1003" s="44"/>
      <c r="O1003" s="123">
        <v>305412.0</v>
      </c>
      <c r="P1003" s="52">
        <f t="shared" si="23"/>
        <v>305411.11</v>
      </c>
      <c r="Q1003" s="124">
        <f t="shared" si="2"/>
        <v>0.89</v>
      </c>
      <c r="R1003" s="52">
        <f t="array" ref="R1003">IFERROR(INDEX('Fund YTD Target Values'!$1:$1000, MATCH($C1003,'Fund YTD Target Values'!$A:$A,0), MATCH($A1003,'Fund YTD Target Values'!$1:$1,0)),0)</f>
        <v>240185.7184</v>
      </c>
      <c r="S1003" s="52">
        <f>IFERROR(__xludf.DUMMYFUNCTION("IFERROR(sum(FILTER('Fund Data'!$V:$V, 'Fund Data'!$C:$C = $C1003, 'Fund Data'!$A:$A &lt; $A1003)),0) + IFERROR(sum(FILTER('Fund Data'!$V:$V, 'Fund Data'!$C:$C = $C1003, 'Fund Data'!$A:$A = $A1003, 'Fund Data'!$B:$B &lt;= $B1003)),0)"),194469.0)</f>
        <v>194469</v>
      </c>
      <c r="T1003" s="123">
        <v>194469.0</v>
      </c>
      <c r="U1003" s="44">
        <f t="shared" si="93"/>
        <v>0</v>
      </c>
      <c r="V1003" s="44">
        <f t="shared" si="3"/>
        <v>0</v>
      </c>
      <c r="W1003" s="123"/>
      <c r="X1003" s="123"/>
      <c r="Y1003" s="123">
        <v>0.0</v>
      </c>
      <c r="Z1003" s="123">
        <v>0.0</v>
      </c>
      <c r="AA1003" s="123">
        <v>0.0</v>
      </c>
      <c r="AB1003" s="123"/>
      <c r="AC1003" s="123">
        <v>0.0</v>
      </c>
      <c r="AD1003" s="44">
        <f t="shared" si="7"/>
        <v>0</v>
      </c>
      <c r="AE1003" s="123">
        <v>0.0</v>
      </c>
    </row>
    <row r="1004">
      <c r="A1004" s="120">
        <v>2018.0</v>
      </c>
      <c r="B1004" s="121">
        <v>7.0</v>
      </c>
      <c r="C1004" s="122" t="s">
        <v>62</v>
      </c>
      <c r="D1004" s="44"/>
      <c r="E1004" s="123">
        <v>4378.75</v>
      </c>
      <c r="F1004" s="44"/>
      <c r="G1004" s="44"/>
      <c r="H1004" s="123">
        <v>-1054.86</v>
      </c>
      <c r="I1004" s="44"/>
      <c r="J1004" s="44"/>
      <c r="K1004" s="44"/>
      <c r="L1004" s="123">
        <v>1567.31</v>
      </c>
      <c r="M1004" s="44"/>
      <c r="N1004" s="44"/>
      <c r="O1004" s="123">
        <v>304339.0</v>
      </c>
      <c r="P1004" s="52">
        <f t="shared" si="23"/>
        <v>304338.96</v>
      </c>
      <c r="Q1004" s="124">
        <f t="shared" si="2"/>
        <v>0.03999999998</v>
      </c>
      <c r="R1004" s="52">
        <f t="array" ref="R1004">IFERROR(INDEX('Fund YTD Target Values'!$1:$1000, MATCH($C1004,'Fund YTD Target Values'!$A:$A,0), MATCH($A1004,'Fund YTD Target Values'!$1:$1,0)),0)</f>
        <v>240185.7184</v>
      </c>
      <c r="S1004" s="52">
        <f>IFERROR(__xludf.DUMMYFUNCTION("IFERROR(sum(FILTER('Fund Data'!$V:$V, 'Fund Data'!$C:$C = $C1004, 'Fund Data'!$A:$A &lt; $A1004)),0) + IFERROR(sum(FILTER('Fund Data'!$V:$V, 'Fund Data'!$C:$C = $C1004, 'Fund Data'!$A:$A = $A1004, 'Fund Data'!$B:$B &lt;= $B1004)),0)"),194469.0)</f>
        <v>194469</v>
      </c>
      <c r="T1004" s="123">
        <v>194469.0</v>
      </c>
      <c r="U1004" s="44">
        <f t="shared" si="93"/>
        <v>0</v>
      </c>
      <c r="V1004" s="44">
        <f t="shared" si="3"/>
        <v>0</v>
      </c>
      <c r="W1004" s="123"/>
      <c r="X1004" s="123"/>
      <c r="Y1004" s="123">
        <v>0.0</v>
      </c>
      <c r="Z1004" s="123">
        <v>0.0</v>
      </c>
      <c r="AA1004" s="123">
        <v>0.0</v>
      </c>
      <c r="AB1004" s="123"/>
      <c r="AC1004" s="123">
        <v>0.0</v>
      </c>
      <c r="AD1004" s="44">
        <f t="shared" si="7"/>
        <v>0</v>
      </c>
      <c r="AE1004" s="123">
        <v>0.0</v>
      </c>
    </row>
    <row r="1005">
      <c r="A1005" s="120">
        <v>2018.0</v>
      </c>
      <c r="B1005" s="121">
        <v>6.0</v>
      </c>
      <c r="C1005" s="122" t="s">
        <v>62</v>
      </c>
      <c r="D1005" s="44"/>
      <c r="E1005" s="123">
        <v>3705.46</v>
      </c>
      <c r="F1005" s="44"/>
      <c r="G1005" s="44"/>
      <c r="H1005" s="123">
        <v>-905.38</v>
      </c>
      <c r="I1005" s="44"/>
      <c r="J1005" s="44"/>
      <c r="K1005" s="44"/>
      <c r="L1005" s="123">
        <v>-3277.29</v>
      </c>
      <c r="M1005" s="44"/>
      <c r="N1005" s="44"/>
      <c r="O1005" s="123">
        <v>298971.0</v>
      </c>
      <c r="P1005" s="52">
        <f t="shared" si="23"/>
        <v>298970.55</v>
      </c>
      <c r="Q1005" s="124">
        <f t="shared" si="2"/>
        <v>0.45</v>
      </c>
      <c r="R1005" s="52">
        <f t="array" ref="R1005">IFERROR(INDEX('Fund YTD Target Values'!$1:$1000, MATCH($C1005,'Fund YTD Target Values'!$A:$A,0), MATCH($A1005,'Fund YTD Target Values'!$1:$1,0)),0)</f>
        <v>240185.7184</v>
      </c>
      <c r="S1005" s="52">
        <f>IFERROR(__xludf.DUMMYFUNCTION("IFERROR(sum(FILTER('Fund Data'!$V:$V, 'Fund Data'!$C:$C = $C1005, 'Fund Data'!$A:$A &lt; $A1005)),0) + IFERROR(sum(FILTER('Fund Data'!$V:$V, 'Fund Data'!$C:$C = $C1005, 'Fund Data'!$A:$A = $A1005, 'Fund Data'!$B:$B &lt;= $B1005)),0)"),194469.0)</f>
        <v>194469</v>
      </c>
      <c r="T1005" s="123">
        <v>194469.0</v>
      </c>
      <c r="U1005" s="44">
        <f t="shared" si="93"/>
        <v>0</v>
      </c>
      <c r="V1005" s="44">
        <f t="shared" si="3"/>
        <v>0</v>
      </c>
      <c r="W1005" s="123"/>
      <c r="X1005" s="123"/>
      <c r="Y1005" s="123">
        <v>0.0</v>
      </c>
      <c r="Z1005" s="123">
        <v>0.0</v>
      </c>
      <c r="AA1005" s="123">
        <v>0.0</v>
      </c>
      <c r="AB1005" s="123"/>
      <c r="AC1005" s="123">
        <v>0.0</v>
      </c>
      <c r="AD1005" s="44">
        <f t="shared" si="7"/>
        <v>0</v>
      </c>
      <c r="AE1005" s="123">
        <v>0.0</v>
      </c>
    </row>
    <row r="1006">
      <c r="A1006" s="120">
        <v>2018.0</v>
      </c>
      <c r="B1006" s="121">
        <v>5.0</v>
      </c>
      <c r="C1006" s="122" t="s">
        <v>62</v>
      </c>
      <c r="D1006" s="44"/>
      <c r="E1006" s="123">
        <v>3277.94</v>
      </c>
      <c r="F1006" s="44"/>
      <c r="G1006" s="44"/>
      <c r="H1006" s="123">
        <v>-754.93</v>
      </c>
      <c r="I1006" s="44"/>
      <c r="J1006" s="44"/>
      <c r="K1006" s="44"/>
      <c r="L1006" s="123">
        <v>-1070.94</v>
      </c>
      <c r="M1006" s="44"/>
      <c r="N1006" s="44"/>
      <c r="O1006" s="123">
        <v>300900.0</v>
      </c>
      <c r="P1006" s="52">
        <f t="shared" si="23"/>
        <v>300899.83</v>
      </c>
      <c r="Q1006" s="124">
        <f t="shared" si="2"/>
        <v>0.17</v>
      </c>
      <c r="R1006" s="52">
        <f t="array" ref="R1006">IFERROR(INDEX('Fund YTD Target Values'!$1:$1000, MATCH($C1006,'Fund YTD Target Values'!$A:$A,0), MATCH($A1006,'Fund YTD Target Values'!$1:$1,0)),0)</f>
        <v>240185.7184</v>
      </c>
      <c r="S1006" s="52">
        <f>IFERROR(__xludf.DUMMYFUNCTION("IFERROR(sum(FILTER('Fund Data'!$V:$V, 'Fund Data'!$C:$C = $C1006, 'Fund Data'!$A:$A &lt; $A1006)),0) + IFERROR(sum(FILTER('Fund Data'!$V:$V, 'Fund Data'!$C:$C = $C1006, 'Fund Data'!$A:$A = $A1006, 'Fund Data'!$B:$B &lt;= $B1006)),0)"),194469.0)</f>
        <v>194469</v>
      </c>
      <c r="T1006" s="123">
        <v>194469.0</v>
      </c>
      <c r="U1006" s="44">
        <f t="shared" si="93"/>
        <v>0</v>
      </c>
      <c r="V1006" s="44">
        <f t="shared" si="3"/>
        <v>0</v>
      </c>
      <c r="W1006" s="123"/>
      <c r="X1006" s="123"/>
      <c r="Y1006" s="123">
        <v>0.0</v>
      </c>
      <c r="Z1006" s="123">
        <v>0.0</v>
      </c>
      <c r="AA1006" s="123">
        <v>0.0</v>
      </c>
      <c r="AB1006" s="123"/>
      <c r="AC1006" s="123">
        <v>0.0</v>
      </c>
      <c r="AD1006" s="44">
        <f t="shared" si="7"/>
        <v>0</v>
      </c>
      <c r="AE1006" s="123">
        <v>0.0</v>
      </c>
    </row>
    <row r="1007">
      <c r="A1007" s="120">
        <v>2018.0</v>
      </c>
      <c r="B1007" s="121">
        <v>4.0</v>
      </c>
      <c r="C1007" s="122" t="s">
        <v>62</v>
      </c>
      <c r="D1007" s="44"/>
      <c r="E1007" s="123">
        <v>3039.54</v>
      </c>
      <c r="F1007" s="44"/>
      <c r="G1007" s="44"/>
      <c r="H1007" s="123">
        <v>-604.83</v>
      </c>
      <c r="I1007" s="44"/>
      <c r="J1007" s="44"/>
      <c r="K1007" s="44"/>
      <c r="L1007" s="123">
        <v>-1694.34</v>
      </c>
      <c r="M1007" s="44"/>
      <c r="N1007" s="44"/>
      <c r="O1007" s="123">
        <v>300189.0</v>
      </c>
      <c r="P1007" s="52">
        <f t="shared" si="23"/>
        <v>300188.13</v>
      </c>
      <c r="Q1007" s="124">
        <f t="shared" si="2"/>
        <v>0.87</v>
      </c>
      <c r="R1007" s="52">
        <f t="array" ref="R1007">IFERROR(INDEX('Fund YTD Target Values'!$1:$1000, MATCH($C1007,'Fund YTD Target Values'!$A:$A,0), MATCH($A1007,'Fund YTD Target Values'!$1:$1,0)),0)</f>
        <v>240185.7184</v>
      </c>
      <c r="S1007" s="52">
        <f>IFERROR(__xludf.DUMMYFUNCTION("IFERROR(sum(FILTER('Fund Data'!$V:$V, 'Fund Data'!$C:$C = $C1007, 'Fund Data'!$A:$A &lt; $A1007)),0) + IFERROR(sum(FILTER('Fund Data'!$V:$V, 'Fund Data'!$C:$C = $C1007, 'Fund Data'!$A:$A = $A1007, 'Fund Data'!$B:$B &lt;= $B1007)),0)"),194469.0)</f>
        <v>194469</v>
      </c>
      <c r="T1007" s="123">
        <v>194469.0</v>
      </c>
      <c r="U1007" s="44">
        <f t="shared" si="93"/>
        <v>0</v>
      </c>
      <c r="V1007" s="44">
        <f t="shared" si="3"/>
        <v>0</v>
      </c>
      <c r="W1007" s="123"/>
      <c r="X1007" s="123"/>
      <c r="Y1007" s="123">
        <v>0.0</v>
      </c>
      <c r="Z1007" s="123">
        <v>0.0</v>
      </c>
      <c r="AA1007" s="123">
        <v>0.0</v>
      </c>
      <c r="AB1007" s="123"/>
      <c r="AC1007" s="123">
        <v>0.0</v>
      </c>
      <c r="AD1007" s="44">
        <f t="shared" si="7"/>
        <v>0</v>
      </c>
      <c r="AE1007" s="123">
        <v>0.0</v>
      </c>
    </row>
    <row r="1008">
      <c r="A1008" s="120">
        <v>2018.0</v>
      </c>
      <c r="B1008" s="121">
        <v>3.0</v>
      </c>
      <c r="C1008" s="122" t="s">
        <v>62</v>
      </c>
      <c r="D1008" s="44"/>
      <c r="E1008" s="123">
        <v>2321.36</v>
      </c>
      <c r="F1008" s="44"/>
      <c r="G1008" s="44"/>
      <c r="H1008" s="123">
        <v>-455.14</v>
      </c>
      <c r="I1008" s="44"/>
      <c r="J1008" s="44"/>
      <c r="K1008" s="44"/>
      <c r="L1008" s="123">
        <v>-1936.67</v>
      </c>
      <c r="M1008" s="44"/>
      <c r="N1008" s="44"/>
      <c r="O1008" s="123">
        <v>299378.0</v>
      </c>
      <c r="P1008" s="52">
        <f t="shared" si="23"/>
        <v>299377.31</v>
      </c>
      <c r="Q1008" s="124">
        <f t="shared" si="2"/>
        <v>0.69</v>
      </c>
      <c r="R1008" s="52">
        <f t="array" ref="R1008">IFERROR(INDEX('Fund YTD Target Values'!$1:$1000, MATCH($C1008,'Fund YTD Target Values'!$A:$A,0), MATCH($A1008,'Fund YTD Target Values'!$1:$1,0)),0)</f>
        <v>240185.7184</v>
      </c>
      <c r="S1008" s="52">
        <f>IFERROR(__xludf.DUMMYFUNCTION("IFERROR(sum(FILTER('Fund Data'!$V:$V, 'Fund Data'!$C:$C = $C1008, 'Fund Data'!$A:$A &lt; $A1008)),0) + IFERROR(sum(FILTER('Fund Data'!$V:$V, 'Fund Data'!$C:$C = $C1008, 'Fund Data'!$A:$A = $A1008, 'Fund Data'!$B:$B &lt;= $B1008)),0)"),194469.0)</f>
        <v>194469</v>
      </c>
      <c r="T1008" s="123">
        <v>194469.0</v>
      </c>
      <c r="U1008" s="44">
        <f t="shared" si="93"/>
        <v>0</v>
      </c>
      <c r="V1008" s="44">
        <f t="shared" si="3"/>
        <v>0</v>
      </c>
      <c r="W1008" s="123"/>
      <c r="X1008" s="123"/>
      <c r="Y1008" s="123">
        <v>0.0</v>
      </c>
      <c r="Z1008" s="123">
        <v>0.0</v>
      </c>
      <c r="AA1008" s="123">
        <v>0.0</v>
      </c>
      <c r="AB1008" s="123"/>
      <c r="AC1008" s="123">
        <v>0.0</v>
      </c>
      <c r="AD1008" s="44">
        <f t="shared" si="7"/>
        <v>0</v>
      </c>
      <c r="AE1008" s="123">
        <v>0.0</v>
      </c>
    </row>
    <row r="1009">
      <c r="A1009" s="120">
        <v>2018.0</v>
      </c>
      <c r="B1009" s="121">
        <v>2.0</v>
      </c>
      <c r="C1009" s="122" t="s">
        <v>62</v>
      </c>
      <c r="D1009" s="44"/>
      <c r="E1009" s="123">
        <v>2057.64</v>
      </c>
      <c r="F1009" s="44"/>
      <c r="G1009" s="44"/>
      <c r="H1009" s="123">
        <v>-738.19</v>
      </c>
      <c r="I1009" s="44"/>
      <c r="J1009" s="44"/>
      <c r="K1009" s="44"/>
      <c r="L1009" s="123">
        <v>127.02</v>
      </c>
      <c r="M1009" s="44"/>
      <c r="N1009" s="44"/>
      <c r="O1009" s="123">
        <v>300895.0</v>
      </c>
      <c r="P1009" s="52">
        <f t="shared" si="23"/>
        <v>300894.23</v>
      </c>
      <c r="Q1009" s="124">
        <f t="shared" si="2"/>
        <v>0.77</v>
      </c>
      <c r="R1009" s="52">
        <f t="array" ref="R1009">IFERROR(INDEX('Fund YTD Target Values'!$1:$1000, MATCH($C1009,'Fund YTD Target Values'!$A:$A,0), MATCH($A1009,'Fund YTD Target Values'!$1:$1,0)),0)</f>
        <v>240185.7184</v>
      </c>
      <c r="S1009" s="52">
        <f>IFERROR(__xludf.DUMMYFUNCTION("IFERROR(sum(FILTER('Fund Data'!$V:$V, 'Fund Data'!$C:$C = $C1009, 'Fund Data'!$A:$A &lt; $A1009)),0) + IFERROR(sum(FILTER('Fund Data'!$V:$V, 'Fund Data'!$C:$C = $C1009, 'Fund Data'!$A:$A = $A1009, 'Fund Data'!$B:$B &lt;= $B1009)),0)"),194469.0)</f>
        <v>194469</v>
      </c>
      <c r="T1009" s="123">
        <v>194469.0</v>
      </c>
      <c r="U1009" s="44">
        <f t="shared" si="93"/>
        <v>0</v>
      </c>
      <c r="V1009" s="44">
        <f t="shared" si="3"/>
        <v>0</v>
      </c>
      <c r="W1009" s="123"/>
      <c r="X1009" s="123"/>
      <c r="Y1009" s="123">
        <v>0.0</v>
      </c>
      <c r="Z1009" s="123">
        <v>0.0</v>
      </c>
      <c r="AA1009" s="123">
        <v>0.0</v>
      </c>
      <c r="AB1009" s="123"/>
      <c r="AC1009" s="123">
        <v>0.0</v>
      </c>
      <c r="AD1009" s="44">
        <f t="shared" si="7"/>
        <v>0</v>
      </c>
      <c r="AE1009" s="123">
        <v>0.0</v>
      </c>
    </row>
    <row r="1010">
      <c r="A1010" s="120">
        <v>2018.0</v>
      </c>
      <c r="B1010" s="121">
        <v>1.0</v>
      </c>
      <c r="C1010" s="122" t="s">
        <v>62</v>
      </c>
      <c r="D1010" s="44"/>
      <c r="E1010" s="123">
        <v>1834.12</v>
      </c>
      <c r="F1010" s="44"/>
      <c r="G1010" s="44"/>
      <c r="H1010" s="123">
        <v>-583.22</v>
      </c>
      <c r="I1010" s="44"/>
      <c r="J1010" s="44"/>
      <c r="K1010" s="44"/>
      <c r="L1010" s="123">
        <v>9241.67</v>
      </c>
      <c r="M1010" s="44"/>
      <c r="N1010" s="44"/>
      <c r="O1010" s="123">
        <v>309941.0</v>
      </c>
      <c r="P1010" s="52">
        <f t="shared" si="23"/>
        <v>309940.33</v>
      </c>
      <c r="Q1010" s="124">
        <f t="shared" si="2"/>
        <v>0.67</v>
      </c>
      <c r="R1010" s="52">
        <f t="array" ref="R1010">IFERROR(INDEX('Fund YTD Target Values'!$1:$1000, MATCH($C1010,'Fund YTD Target Values'!$A:$A,0), MATCH($A1010,'Fund YTD Target Values'!$1:$1,0)),0)</f>
        <v>240185.7184</v>
      </c>
      <c r="S1010" s="52">
        <f>IFERROR(__xludf.DUMMYFUNCTION("IFERROR(sum(FILTER('Fund Data'!$V:$V, 'Fund Data'!$C:$C = $C1010, 'Fund Data'!$A:$A &lt; $A1010)),0) + IFERROR(sum(FILTER('Fund Data'!$V:$V, 'Fund Data'!$C:$C = $C1010, 'Fund Data'!$A:$A = $A1010, 'Fund Data'!$B:$B &lt;= $B1010)),0)"),194469.0)</f>
        <v>194469</v>
      </c>
      <c r="T1010" s="123">
        <v>194469.0</v>
      </c>
      <c r="U1010" s="44">
        <f t="shared" si="93"/>
        <v>0</v>
      </c>
      <c r="V1010" s="44">
        <f t="shared" si="3"/>
        <v>0</v>
      </c>
      <c r="W1010" s="123"/>
      <c r="X1010" s="123"/>
      <c r="Y1010" s="123">
        <v>0.0</v>
      </c>
      <c r="Z1010" s="123">
        <v>0.0</v>
      </c>
      <c r="AA1010" s="123">
        <v>0.0</v>
      </c>
      <c r="AB1010" s="123"/>
      <c r="AC1010" s="123">
        <v>0.0</v>
      </c>
      <c r="AD1010" s="44">
        <f t="shared" si="7"/>
        <v>0</v>
      </c>
      <c r="AE1010" s="123">
        <v>0.0</v>
      </c>
    </row>
    <row r="1011">
      <c r="A1011" s="120">
        <v>2017.0</v>
      </c>
      <c r="B1011" s="121">
        <v>12.0</v>
      </c>
      <c r="C1011" s="122" t="s">
        <v>62</v>
      </c>
      <c r="D1011" s="44"/>
      <c r="E1011" s="123">
        <v>6167.24</v>
      </c>
      <c r="F1011" s="123">
        <v>-5000.0</v>
      </c>
      <c r="G1011" s="123"/>
      <c r="H1011" s="123">
        <v>-1700.62</v>
      </c>
      <c r="I1011" s="44"/>
      <c r="J1011" s="44"/>
      <c r="K1011" s="44"/>
      <c r="L1011" s="123">
        <v>34822.87</v>
      </c>
      <c r="M1011" s="44"/>
      <c r="N1011" s="44"/>
      <c r="O1011" s="123">
        <v>299448.0</v>
      </c>
      <c r="P1011" s="52">
        <f t="shared" si="23"/>
        <v>299447.76</v>
      </c>
      <c r="Q1011" s="124">
        <f t="shared" si="2"/>
        <v>0.24</v>
      </c>
      <c r="R1011" s="52">
        <f t="array" ref="R1011">IFERROR(INDEX('Fund YTD Target Values'!$1:$1000, MATCH($C1011,'Fund YTD Target Values'!$A:$A,0), MATCH($A1011,'Fund YTD Target Values'!$1:$1,0)),0)</f>
        <v>234458.6336</v>
      </c>
      <c r="S1011" s="52">
        <f>IFERROR(__xludf.DUMMYFUNCTION("IFERROR(sum(FILTER('Fund Data'!$V:$V, 'Fund Data'!$C:$C = $C1011, 'Fund Data'!$A:$A &lt; $A1011)),0) + IFERROR(sum(FILTER('Fund Data'!$V:$V, 'Fund Data'!$C:$C = $C1011, 'Fund Data'!$A:$A = $A1011, 'Fund Data'!$B:$B &lt;= $B1011)),0)"),194469.0)</f>
        <v>194469</v>
      </c>
      <c r="T1011" s="123">
        <v>194469.0</v>
      </c>
      <c r="U1011" s="44">
        <f t="shared" si="93"/>
        <v>0</v>
      </c>
      <c r="V1011" s="44">
        <f t="shared" si="3"/>
        <v>0</v>
      </c>
      <c r="W1011" s="123"/>
      <c r="X1011" s="123"/>
      <c r="Y1011" s="123">
        <v>0.0</v>
      </c>
      <c r="Z1011" s="123">
        <v>0.0</v>
      </c>
      <c r="AA1011" s="123">
        <v>0.0</v>
      </c>
      <c r="AB1011" s="123"/>
      <c r="AC1011" s="123">
        <v>0.0</v>
      </c>
      <c r="AD1011" s="44">
        <f t="shared" si="7"/>
        <v>-5000</v>
      </c>
      <c r="AE1011" s="123">
        <v>0.0</v>
      </c>
    </row>
    <row r="1012">
      <c r="A1012" s="120">
        <v>2017.0</v>
      </c>
      <c r="B1012" s="121">
        <v>11.0</v>
      </c>
      <c r="C1012" s="122" t="s">
        <v>62</v>
      </c>
      <c r="D1012" s="44"/>
      <c r="E1012" s="123">
        <v>5749.53</v>
      </c>
      <c r="F1012" s="123">
        <v>-5000.0</v>
      </c>
      <c r="G1012" s="44"/>
      <c r="H1012" s="123">
        <v>-1551.74</v>
      </c>
      <c r="I1012" s="44"/>
      <c r="J1012" s="44"/>
      <c r="K1012" s="44"/>
      <c r="L1012" s="123">
        <v>33400.17</v>
      </c>
      <c r="M1012" s="44"/>
      <c r="N1012" s="44"/>
      <c r="O1012" s="123">
        <v>297757.0</v>
      </c>
      <c r="P1012" s="52">
        <f t="shared" si="23"/>
        <v>297756.23</v>
      </c>
      <c r="Q1012" s="124">
        <f t="shared" si="2"/>
        <v>0.77</v>
      </c>
      <c r="R1012" s="52">
        <f t="array" ref="R1012">IFERROR(INDEX('Fund YTD Target Values'!$1:$1000, MATCH($C1012,'Fund YTD Target Values'!$A:$A,0), MATCH($A1012,'Fund YTD Target Values'!$1:$1,0)),0)</f>
        <v>234458.6336</v>
      </c>
      <c r="S1012" s="52">
        <f>IFERROR(__xludf.DUMMYFUNCTION("IFERROR(sum(FILTER('Fund Data'!$V:$V, 'Fund Data'!$C:$C = $C1012, 'Fund Data'!$A:$A &lt; $A1012)),0) + IFERROR(sum(FILTER('Fund Data'!$V:$V, 'Fund Data'!$C:$C = $C1012, 'Fund Data'!$A:$A = $A1012, 'Fund Data'!$B:$B &lt;= $B1012)),0)"),194469.0)</f>
        <v>194469</v>
      </c>
      <c r="T1012" s="123">
        <v>194469.0</v>
      </c>
      <c r="U1012" s="44">
        <f t="shared" si="93"/>
        <v>0</v>
      </c>
      <c r="V1012" s="44">
        <f t="shared" si="3"/>
        <v>0</v>
      </c>
      <c r="W1012" s="123"/>
      <c r="X1012" s="123"/>
      <c r="Y1012" s="123">
        <v>0.0</v>
      </c>
      <c r="Z1012" s="123">
        <v>0.0</v>
      </c>
      <c r="AA1012" s="123">
        <v>0.0</v>
      </c>
      <c r="AB1012" s="123"/>
      <c r="AC1012" s="123">
        <v>0.0</v>
      </c>
      <c r="AD1012" s="44">
        <f t="shared" si="7"/>
        <v>-5000</v>
      </c>
      <c r="AE1012" s="123">
        <v>0.0</v>
      </c>
    </row>
    <row r="1013">
      <c r="A1013" s="120">
        <v>2017.0</v>
      </c>
      <c r="B1013" s="121">
        <v>10.0</v>
      </c>
      <c r="C1013" s="122" t="s">
        <v>62</v>
      </c>
      <c r="D1013" s="44"/>
      <c r="E1013" s="123">
        <v>5550.63</v>
      </c>
      <c r="F1013" s="123">
        <v>-5000.0</v>
      </c>
      <c r="G1013" s="44"/>
      <c r="H1013" s="123">
        <v>-1404.53</v>
      </c>
      <c r="I1013" s="44"/>
      <c r="J1013" s="44"/>
      <c r="K1013" s="44"/>
      <c r="L1013" s="123">
        <v>30111.16</v>
      </c>
      <c r="M1013" s="44"/>
      <c r="N1013" s="44"/>
      <c r="O1013" s="123">
        <v>294416.0</v>
      </c>
      <c r="P1013" s="52">
        <f t="shared" si="23"/>
        <v>294415.53</v>
      </c>
      <c r="Q1013" s="124">
        <f t="shared" si="2"/>
        <v>0.47</v>
      </c>
      <c r="R1013" s="52">
        <f t="array" ref="R1013">IFERROR(INDEX('Fund YTD Target Values'!$1:$1000, MATCH($C1013,'Fund YTD Target Values'!$A:$A,0), MATCH($A1013,'Fund YTD Target Values'!$1:$1,0)),0)</f>
        <v>234458.6336</v>
      </c>
      <c r="S1013" s="52">
        <f>IFERROR(__xludf.DUMMYFUNCTION("IFERROR(sum(FILTER('Fund Data'!$V:$V, 'Fund Data'!$C:$C = $C1013, 'Fund Data'!$A:$A &lt; $A1013)),0) + IFERROR(sum(FILTER('Fund Data'!$V:$V, 'Fund Data'!$C:$C = $C1013, 'Fund Data'!$A:$A = $A1013, 'Fund Data'!$B:$B &lt;= $B1013)),0)"),194469.0)</f>
        <v>194469</v>
      </c>
      <c r="T1013" s="123">
        <v>194469.0</v>
      </c>
      <c r="U1013" s="44">
        <f t="shared" si="93"/>
        <v>0</v>
      </c>
      <c r="V1013" s="44">
        <f t="shared" si="3"/>
        <v>0</v>
      </c>
      <c r="W1013" s="123"/>
      <c r="X1013" s="123"/>
      <c r="Y1013" s="123">
        <v>0.0</v>
      </c>
      <c r="Z1013" s="123">
        <v>0.0</v>
      </c>
      <c r="AA1013" s="123">
        <v>0.0</v>
      </c>
      <c r="AB1013" s="123"/>
      <c r="AC1013" s="123">
        <v>0.0</v>
      </c>
      <c r="AD1013" s="44">
        <f t="shared" si="7"/>
        <v>-5000</v>
      </c>
      <c r="AE1013" s="123">
        <v>0.0</v>
      </c>
    </row>
    <row r="1014">
      <c r="A1014" s="120">
        <v>2017.0</v>
      </c>
      <c r="B1014" s="121">
        <v>9.0</v>
      </c>
      <c r="C1014" s="122" t="s">
        <v>62</v>
      </c>
      <c r="D1014" s="44"/>
      <c r="E1014" s="123">
        <v>4950.16</v>
      </c>
      <c r="F1014" s="123">
        <v>-5000.0</v>
      </c>
      <c r="G1014" s="44"/>
      <c r="H1014" s="123">
        <v>-1259.41</v>
      </c>
      <c r="I1014" s="44"/>
      <c r="J1014" s="44"/>
      <c r="K1014" s="44"/>
      <c r="L1014" s="123">
        <v>26380.49</v>
      </c>
      <c r="M1014" s="44"/>
      <c r="N1014" s="44"/>
      <c r="O1014" s="123">
        <v>290230.0</v>
      </c>
      <c r="P1014" s="52">
        <f t="shared" si="23"/>
        <v>290229.51</v>
      </c>
      <c r="Q1014" s="124">
        <f t="shared" si="2"/>
        <v>0.49</v>
      </c>
      <c r="R1014" s="52">
        <f t="array" ref="R1014">IFERROR(INDEX('Fund YTD Target Values'!$1:$1000, MATCH($C1014,'Fund YTD Target Values'!$A:$A,0), MATCH($A1014,'Fund YTD Target Values'!$1:$1,0)),0)</f>
        <v>234458.6336</v>
      </c>
      <c r="S1014" s="52">
        <f>IFERROR(__xludf.DUMMYFUNCTION("IFERROR(sum(FILTER('Fund Data'!$V:$V, 'Fund Data'!$C:$C = $C1014, 'Fund Data'!$A:$A &lt; $A1014)),0) + IFERROR(sum(FILTER('Fund Data'!$V:$V, 'Fund Data'!$C:$C = $C1014, 'Fund Data'!$A:$A = $A1014, 'Fund Data'!$B:$B &lt;= $B1014)),0)"),194469.0)</f>
        <v>194469</v>
      </c>
      <c r="T1014" s="123">
        <v>194469.0</v>
      </c>
      <c r="U1014" s="44">
        <f t="shared" si="93"/>
        <v>0</v>
      </c>
      <c r="V1014" s="44">
        <f t="shared" si="3"/>
        <v>0</v>
      </c>
      <c r="W1014" s="123"/>
      <c r="X1014" s="123"/>
      <c r="Y1014" s="123">
        <v>0.0</v>
      </c>
      <c r="Z1014" s="123">
        <v>0.0</v>
      </c>
      <c r="AA1014" s="123">
        <v>0.0</v>
      </c>
      <c r="AB1014" s="123"/>
      <c r="AC1014" s="123">
        <v>0.0</v>
      </c>
      <c r="AD1014" s="44">
        <f t="shared" si="7"/>
        <v>-5000</v>
      </c>
      <c r="AE1014" s="123">
        <v>0.0</v>
      </c>
    </row>
    <row r="1015">
      <c r="A1015" s="120">
        <v>2017.0</v>
      </c>
      <c r="B1015" s="121">
        <v>8.0</v>
      </c>
      <c r="C1015" s="122" t="s">
        <v>62</v>
      </c>
      <c r="D1015" s="44"/>
      <c r="E1015" s="123">
        <v>4590.0</v>
      </c>
      <c r="F1015" s="123">
        <v>-5000.0</v>
      </c>
      <c r="G1015" s="44"/>
      <c r="H1015" s="123">
        <v>-1115.81</v>
      </c>
      <c r="I1015" s="44"/>
      <c r="J1015" s="44"/>
      <c r="K1015" s="44"/>
      <c r="L1015" s="123">
        <v>23560.5</v>
      </c>
      <c r="M1015" s="44"/>
      <c r="N1015" s="44"/>
      <c r="O1015" s="123">
        <v>287193.0</v>
      </c>
      <c r="P1015" s="52">
        <f t="shared" si="23"/>
        <v>287192.96</v>
      </c>
      <c r="Q1015" s="124">
        <f t="shared" si="2"/>
        <v>0.03999999998</v>
      </c>
      <c r="R1015" s="52">
        <f t="array" ref="R1015">IFERROR(INDEX('Fund YTD Target Values'!$1:$1000, MATCH($C1015,'Fund YTD Target Values'!$A:$A,0), MATCH($A1015,'Fund YTD Target Values'!$1:$1,0)),0)</f>
        <v>234458.6336</v>
      </c>
      <c r="S1015" s="52">
        <f>IFERROR(__xludf.DUMMYFUNCTION("IFERROR(sum(FILTER('Fund Data'!$V:$V, 'Fund Data'!$C:$C = $C1015, 'Fund Data'!$A:$A &lt; $A1015)),0) + IFERROR(sum(FILTER('Fund Data'!$V:$V, 'Fund Data'!$C:$C = $C1015, 'Fund Data'!$A:$A = $A1015, 'Fund Data'!$B:$B &lt;= $B1015)),0)"),194469.0)</f>
        <v>194469</v>
      </c>
      <c r="T1015" s="123">
        <v>194469.0</v>
      </c>
      <c r="U1015" s="44">
        <f t="shared" si="93"/>
        <v>0</v>
      </c>
      <c r="V1015" s="44">
        <f t="shared" si="3"/>
        <v>0</v>
      </c>
      <c r="W1015" s="123"/>
      <c r="X1015" s="123"/>
      <c r="Y1015" s="123">
        <v>0.0</v>
      </c>
      <c r="Z1015" s="123">
        <v>0.0</v>
      </c>
      <c r="AA1015" s="123">
        <v>0.0</v>
      </c>
      <c r="AB1015" s="123"/>
      <c r="AC1015" s="123">
        <v>0.0</v>
      </c>
      <c r="AD1015" s="44">
        <f t="shared" si="7"/>
        <v>-5000</v>
      </c>
      <c r="AE1015" s="123">
        <v>0.0</v>
      </c>
    </row>
    <row r="1016">
      <c r="A1016" s="120">
        <v>2017.0</v>
      </c>
      <c r="B1016" s="121">
        <v>7.0</v>
      </c>
      <c r="C1016" s="122" t="s">
        <v>62</v>
      </c>
      <c r="D1016" s="44"/>
      <c r="E1016" s="123">
        <v>4390.73</v>
      </c>
      <c r="F1016" s="44"/>
      <c r="G1016" s="44"/>
      <c r="H1016" s="123">
        <v>-970.11</v>
      </c>
      <c r="I1016" s="44"/>
      <c r="J1016" s="44"/>
      <c r="K1016" s="44"/>
      <c r="L1016" s="123">
        <v>22817.88</v>
      </c>
      <c r="M1016" s="44"/>
      <c r="N1016" s="44"/>
      <c r="O1016" s="123">
        <v>291397.0</v>
      </c>
      <c r="P1016" s="52">
        <f t="shared" si="23"/>
        <v>291396.77</v>
      </c>
      <c r="Q1016" s="124">
        <f t="shared" si="2"/>
        <v>0.23</v>
      </c>
      <c r="R1016" s="52">
        <f t="array" ref="R1016">IFERROR(INDEX('Fund YTD Target Values'!$1:$1000, MATCH($C1016,'Fund YTD Target Values'!$A:$A,0), MATCH($A1016,'Fund YTD Target Values'!$1:$1,0)),0)</f>
        <v>234458.6336</v>
      </c>
      <c r="S1016" s="52">
        <f>IFERROR(__xludf.DUMMYFUNCTION("IFERROR(sum(FILTER('Fund Data'!$V:$V, 'Fund Data'!$C:$C = $C1016, 'Fund Data'!$A:$A &lt; $A1016)),0) + IFERROR(sum(FILTER('Fund Data'!$V:$V, 'Fund Data'!$C:$C = $C1016, 'Fund Data'!$A:$A = $A1016, 'Fund Data'!$B:$B &lt;= $B1016)),0)"),194469.0)</f>
        <v>194469</v>
      </c>
      <c r="T1016" s="123">
        <v>194469.0</v>
      </c>
      <c r="U1016" s="44">
        <f t="shared" si="93"/>
        <v>0</v>
      </c>
      <c r="V1016" s="44">
        <f t="shared" si="3"/>
        <v>0</v>
      </c>
      <c r="W1016" s="123"/>
      <c r="X1016" s="123"/>
      <c r="Y1016" s="123">
        <v>0.0</v>
      </c>
      <c r="Z1016" s="123">
        <v>0.0</v>
      </c>
      <c r="AA1016" s="123">
        <v>0.0</v>
      </c>
      <c r="AB1016" s="123"/>
      <c r="AC1016" s="123">
        <v>0.0</v>
      </c>
      <c r="AD1016" s="44">
        <f t="shared" si="7"/>
        <v>0</v>
      </c>
      <c r="AE1016" s="123">
        <v>0.0</v>
      </c>
    </row>
    <row r="1017">
      <c r="A1017" s="120">
        <v>2017.0</v>
      </c>
      <c r="B1017" s="121">
        <v>6.0</v>
      </c>
      <c r="C1017" s="122" t="s">
        <v>62</v>
      </c>
      <c r="D1017" s="44"/>
      <c r="E1017" s="123">
        <v>3493.08</v>
      </c>
      <c r="F1017" s="44"/>
      <c r="G1017" s="44"/>
      <c r="H1017" s="123">
        <v>-827.72</v>
      </c>
      <c r="I1017" s="44"/>
      <c r="J1017" s="44"/>
      <c r="K1017" s="44"/>
      <c r="L1017" s="123">
        <v>16945.34</v>
      </c>
      <c r="M1017" s="44"/>
      <c r="N1017" s="44"/>
      <c r="O1017" s="123">
        <v>284770.0</v>
      </c>
      <c r="P1017" s="52">
        <f t="shared" si="23"/>
        <v>284768.97</v>
      </c>
      <c r="Q1017" s="124">
        <f t="shared" si="2"/>
        <v>1.03</v>
      </c>
      <c r="R1017" s="52">
        <f t="array" ref="R1017">IFERROR(INDEX('Fund YTD Target Values'!$1:$1000, MATCH($C1017,'Fund YTD Target Values'!$A:$A,0), MATCH($A1017,'Fund YTD Target Values'!$1:$1,0)),0)</f>
        <v>234458.6336</v>
      </c>
      <c r="S1017" s="52">
        <f>IFERROR(__xludf.DUMMYFUNCTION("IFERROR(sum(FILTER('Fund Data'!$V:$V, 'Fund Data'!$C:$C = $C1017, 'Fund Data'!$A:$A &lt; $A1017)),0) + IFERROR(sum(FILTER('Fund Data'!$V:$V, 'Fund Data'!$C:$C = $C1017, 'Fund Data'!$A:$A = $A1017, 'Fund Data'!$B:$B &lt;= $B1017)),0)"),194469.0)</f>
        <v>194469</v>
      </c>
      <c r="T1017" s="123">
        <v>194469.0</v>
      </c>
      <c r="U1017" s="44">
        <f t="shared" si="93"/>
        <v>0</v>
      </c>
      <c r="V1017" s="44">
        <f t="shared" si="3"/>
        <v>0</v>
      </c>
      <c r="W1017" s="123"/>
      <c r="X1017" s="123"/>
      <c r="Y1017" s="123">
        <v>0.0</v>
      </c>
      <c r="Z1017" s="123">
        <v>0.0</v>
      </c>
      <c r="AA1017" s="123">
        <v>0.0</v>
      </c>
      <c r="AB1017" s="123"/>
      <c r="AC1017" s="123">
        <v>0.0</v>
      </c>
      <c r="AD1017" s="44">
        <f t="shared" si="7"/>
        <v>0</v>
      </c>
      <c r="AE1017" s="123">
        <v>0.0</v>
      </c>
    </row>
    <row r="1018">
      <c r="A1018" s="168">
        <v>2017.0</v>
      </c>
      <c r="B1018" s="169">
        <v>5.0</v>
      </c>
      <c r="C1018" s="122" t="s">
        <v>62</v>
      </c>
      <c r="D1018" s="44"/>
      <c r="E1018" s="123">
        <v>3304.09</v>
      </c>
      <c r="F1018" s="44"/>
      <c r="G1018" s="44"/>
      <c r="H1018" s="123">
        <v>-685.66</v>
      </c>
      <c r="I1018" s="44"/>
      <c r="J1018" s="44"/>
      <c r="K1018" s="44"/>
      <c r="L1018" s="123">
        <v>16341.48</v>
      </c>
      <c r="M1018" s="44"/>
      <c r="N1018" s="44"/>
      <c r="O1018" s="123">
        <v>284119.0</v>
      </c>
      <c r="P1018" s="52">
        <f t="shared" si="23"/>
        <v>284118.18</v>
      </c>
      <c r="Q1018" s="124">
        <f t="shared" si="2"/>
        <v>0.82</v>
      </c>
      <c r="R1018" s="52">
        <f t="array" ref="R1018">IFERROR(INDEX('Fund YTD Target Values'!$1:$1000, MATCH($C1018,'Fund YTD Target Values'!$A:$A,0), MATCH($A1018,'Fund YTD Target Values'!$1:$1,0)),0)</f>
        <v>234458.6336</v>
      </c>
      <c r="S1018" s="52">
        <f>IFERROR(__xludf.DUMMYFUNCTION("IFERROR(sum(FILTER('Fund Data'!$V:$V, 'Fund Data'!$C:$C = $C1018, 'Fund Data'!$A:$A &lt; $A1018)),0) + IFERROR(sum(FILTER('Fund Data'!$V:$V, 'Fund Data'!$C:$C = $C1018, 'Fund Data'!$A:$A = $A1018, 'Fund Data'!$B:$B &lt;= $B1018)),0)"),194469.0)</f>
        <v>194469</v>
      </c>
      <c r="T1018" s="123">
        <v>194469.0</v>
      </c>
      <c r="U1018" s="44">
        <f t="shared" si="93"/>
        <v>0</v>
      </c>
      <c r="V1018" s="44">
        <f t="shared" si="3"/>
        <v>0</v>
      </c>
      <c r="W1018" s="123"/>
      <c r="X1018" s="123"/>
      <c r="Y1018" s="123">
        <v>0.0</v>
      </c>
      <c r="Z1018" s="123">
        <v>0.0</v>
      </c>
      <c r="AA1018" s="123">
        <v>0.0</v>
      </c>
      <c r="AB1018" s="123"/>
      <c r="AC1018" s="123">
        <v>0.0</v>
      </c>
      <c r="AD1018" s="44">
        <f t="shared" si="7"/>
        <v>0</v>
      </c>
      <c r="AE1018" s="123">
        <v>0.0</v>
      </c>
    </row>
    <row r="1019">
      <c r="A1019" s="120">
        <v>2017.0</v>
      </c>
      <c r="B1019" s="121">
        <v>4.0</v>
      </c>
      <c r="C1019" s="122" t="s">
        <v>62</v>
      </c>
      <c r="D1019" s="44"/>
      <c r="E1019" s="123">
        <v>3122.17</v>
      </c>
      <c r="F1019" s="44"/>
      <c r="G1019" s="44"/>
      <c r="H1019" s="123">
        <v>-545.19</v>
      </c>
      <c r="I1019" s="44"/>
      <c r="J1019" s="44"/>
      <c r="K1019" s="44"/>
      <c r="L1019" s="123">
        <v>13210.76</v>
      </c>
      <c r="M1019" s="44"/>
      <c r="N1019" s="44"/>
      <c r="O1019" s="123">
        <v>280947.0</v>
      </c>
      <c r="P1019" s="52">
        <f t="shared" si="23"/>
        <v>280946.01</v>
      </c>
      <c r="Q1019" s="124">
        <f t="shared" si="2"/>
        <v>0.99</v>
      </c>
      <c r="R1019" s="52">
        <f t="array" ref="R1019">IFERROR(INDEX('Fund YTD Target Values'!$1:$1000, MATCH($C1019,'Fund YTD Target Values'!$A:$A,0), MATCH($A1019,'Fund YTD Target Values'!$1:$1,0)),0)</f>
        <v>234458.6336</v>
      </c>
      <c r="S1019" s="52">
        <f>IFERROR(__xludf.DUMMYFUNCTION("IFERROR(sum(FILTER('Fund Data'!$V:$V, 'Fund Data'!$C:$C = $C1019, 'Fund Data'!$A:$A &lt; $A1019)),0) + IFERROR(sum(FILTER('Fund Data'!$V:$V, 'Fund Data'!$C:$C = $C1019, 'Fund Data'!$A:$A = $A1019, 'Fund Data'!$B:$B &lt;= $B1019)),0)"),194469.0)</f>
        <v>194469</v>
      </c>
      <c r="T1019" s="123">
        <v>194469.0</v>
      </c>
      <c r="U1019" s="44">
        <f t="shared" si="93"/>
        <v>0</v>
      </c>
      <c r="V1019" s="44">
        <f t="shared" si="3"/>
        <v>0</v>
      </c>
      <c r="W1019" s="123"/>
      <c r="X1019" s="123"/>
      <c r="Y1019" s="123">
        <v>0.0</v>
      </c>
      <c r="Z1019" s="123">
        <v>0.0</v>
      </c>
      <c r="AA1019" s="123">
        <v>0.0</v>
      </c>
      <c r="AB1019" s="123"/>
      <c r="AC1019" s="123">
        <v>0.0</v>
      </c>
      <c r="AD1019" s="44">
        <f t="shared" si="7"/>
        <v>0</v>
      </c>
      <c r="AE1019" s="123">
        <v>0.0</v>
      </c>
    </row>
    <row r="1020">
      <c r="A1020" s="120">
        <v>2017.0</v>
      </c>
      <c r="B1020" s="121">
        <v>3.0</v>
      </c>
      <c r="C1020" s="122" t="s">
        <v>62</v>
      </c>
      <c r="D1020" s="44"/>
      <c r="E1020" s="123">
        <v>2362.27</v>
      </c>
      <c r="F1020" s="44"/>
      <c r="G1020" s="44"/>
      <c r="H1020" s="123">
        <v>-406.42</v>
      </c>
      <c r="I1020" s="44"/>
      <c r="J1020" s="44"/>
      <c r="K1020" s="44"/>
      <c r="L1020" s="123">
        <v>10431.81</v>
      </c>
      <c r="M1020" s="44"/>
      <c r="N1020" s="44"/>
      <c r="O1020" s="123">
        <v>277546.0</v>
      </c>
      <c r="P1020" s="52">
        <f t="shared" si="23"/>
        <v>277545.93</v>
      </c>
      <c r="Q1020" s="124">
        <f t="shared" si="2"/>
        <v>0.07000000001</v>
      </c>
      <c r="R1020" s="52">
        <f t="array" ref="R1020">IFERROR(INDEX('Fund YTD Target Values'!$1:$1000, MATCH($C1020,'Fund YTD Target Values'!$A:$A,0), MATCH($A1020,'Fund YTD Target Values'!$1:$1,0)),0)</f>
        <v>234458.6336</v>
      </c>
      <c r="S1020" s="52">
        <f>IFERROR(__xludf.DUMMYFUNCTION("IFERROR(sum(FILTER('Fund Data'!$V:$V, 'Fund Data'!$C:$C = $C1020, 'Fund Data'!$A:$A &lt; $A1020)),0) + IFERROR(sum(FILTER('Fund Data'!$V:$V, 'Fund Data'!$C:$C = $C1020, 'Fund Data'!$A:$A = $A1020, 'Fund Data'!$B:$B &lt;= $B1020)),0)"),194469.0)</f>
        <v>194469</v>
      </c>
      <c r="T1020" s="123">
        <v>194469.0</v>
      </c>
      <c r="U1020" s="44">
        <f t="shared" si="93"/>
        <v>0</v>
      </c>
      <c r="V1020" s="44">
        <f t="shared" si="3"/>
        <v>0</v>
      </c>
      <c r="W1020" s="123"/>
      <c r="X1020" s="123"/>
      <c r="Y1020" s="123">
        <v>0.0</v>
      </c>
      <c r="Z1020" s="123">
        <v>0.0</v>
      </c>
      <c r="AA1020" s="123">
        <v>0.0</v>
      </c>
      <c r="AB1020" s="123"/>
      <c r="AC1020" s="123">
        <v>0.0</v>
      </c>
      <c r="AD1020" s="44">
        <f t="shared" si="7"/>
        <v>0</v>
      </c>
      <c r="AE1020" s="123">
        <v>0.0</v>
      </c>
    </row>
    <row r="1021">
      <c r="A1021" s="168">
        <v>2017.0</v>
      </c>
      <c r="B1021" s="169">
        <v>2.0</v>
      </c>
      <c r="C1021" s="122" t="s">
        <v>62</v>
      </c>
      <c r="D1021" s="44"/>
      <c r="E1021" s="123">
        <v>2177.93</v>
      </c>
      <c r="F1021" s="44"/>
      <c r="G1021" s="44"/>
      <c r="H1021" s="123">
        <v>-268.16</v>
      </c>
      <c r="I1021" s="44"/>
      <c r="J1021" s="44"/>
      <c r="K1021" s="44"/>
      <c r="L1021" s="123">
        <v>9454.69</v>
      </c>
      <c r="M1021" s="44"/>
      <c r="N1021" s="44"/>
      <c r="O1021" s="123">
        <v>276523.0</v>
      </c>
      <c r="P1021" s="52">
        <f t="shared" si="23"/>
        <v>276522.73</v>
      </c>
      <c r="Q1021" s="124">
        <f t="shared" si="2"/>
        <v>0.27</v>
      </c>
      <c r="R1021" s="52">
        <f t="array" ref="R1021">IFERROR(INDEX('Fund YTD Target Values'!$1:$1000, MATCH($C1021,'Fund YTD Target Values'!$A:$A,0), MATCH($A1021,'Fund YTD Target Values'!$1:$1,0)),0)</f>
        <v>234458.6336</v>
      </c>
      <c r="S1021" s="52">
        <f>IFERROR(__xludf.DUMMYFUNCTION("IFERROR(sum(FILTER('Fund Data'!$V:$V, 'Fund Data'!$C:$C = $C1021, 'Fund Data'!$A:$A &lt; $A1021)),0) + IFERROR(sum(FILTER('Fund Data'!$V:$V, 'Fund Data'!$C:$C = $C1021, 'Fund Data'!$A:$A = $A1021, 'Fund Data'!$B:$B &lt;= $B1021)),0)"),194469.0)</f>
        <v>194469</v>
      </c>
      <c r="T1021" s="123">
        <v>194469.0</v>
      </c>
      <c r="U1021" s="44">
        <f t="shared" si="93"/>
        <v>0</v>
      </c>
      <c r="V1021" s="44">
        <f t="shared" si="3"/>
        <v>0</v>
      </c>
      <c r="W1021" s="123"/>
      <c r="X1021" s="123"/>
      <c r="Y1021" s="123">
        <v>0.0</v>
      </c>
      <c r="Z1021" s="123">
        <v>0.0</v>
      </c>
      <c r="AA1021" s="123">
        <v>0.0</v>
      </c>
      <c r="AB1021" s="123"/>
      <c r="AC1021" s="123">
        <v>0.0</v>
      </c>
      <c r="AD1021" s="44">
        <f t="shared" si="7"/>
        <v>0</v>
      </c>
      <c r="AE1021" s="123">
        <v>0.0</v>
      </c>
    </row>
    <row r="1022">
      <c r="A1022" s="168">
        <v>2017.0</v>
      </c>
      <c r="B1022" s="169">
        <v>1.0</v>
      </c>
      <c r="C1022" s="122" t="s">
        <v>62</v>
      </c>
      <c r="D1022" s="44"/>
      <c r="E1022" s="123">
        <v>1988.36</v>
      </c>
      <c r="F1022" s="44"/>
      <c r="G1022" s="44"/>
      <c r="H1022" s="123">
        <v>-132.58</v>
      </c>
      <c r="I1022" s="44"/>
      <c r="J1022" s="44"/>
      <c r="K1022" s="44"/>
      <c r="L1022" s="123">
        <v>4133.25</v>
      </c>
      <c r="M1022" s="44"/>
      <c r="N1022" s="44"/>
      <c r="O1022" s="123">
        <v>271148.0</v>
      </c>
      <c r="P1022" s="52">
        <f t="shared" si="23"/>
        <v>271147.3</v>
      </c>
      <c r="Q1022" s="124">
        <f t="shared" si="2"/>
        <v>0.7</v>
      </c>
      <c r="R1022" s="52">
        <f t="array" ref="R1022">IFERROR(INDEX('Fund YTD Target Values'!$1:$1000, MATCH($C1022,'Fund YTD Target Values'!$A:$A,0), MATCH($A1022,'Fund YTD Target Values'!$1:$1,0)),0)</f>
        <v>234458.6336</v>
      </c>
      <c r="S1022" s="52">
        <f>IFERROR(__xludf.DUMMYFUNCTION("IFERROR(sum(FILTER('Fund Data'!$V:$V, 'Fund Data'!$C:$C = $C1022, 'Fund Data'!$A:$A &lt; $A1022)),0) + IFERROR(sum(FILTER('Fund Data'!$V:$V, 'Fund Data'!$C:$C = $C1022, 'Fund Data'!$A:$A = $A1022, 'Fund Data'!$B:$B &lt;= $B1022)),0)"),194469.0)</f>
        <v>194469</v>
      </c>
      <c r="T1022" s="123">
        <v>194469.0</v>
      </c>
      <c r="U1022" s="44">
        <f t="shared" si="93"/>
        <v>0</v>
      </c>
      <c r="V1022" s="44">
        <f t="shared" si="3"/>
        <v>0</v>
      </c>
      <c r="W1022" s="123"/>
      <c r="X1022" s="123"/>
      <c r="Y1022" s="123">
        <v>0.0</v>
      </c>
      <c r="Z1022" s="123">
        <v>0.0</v>
      </c>
      <c r="AA1022" s="123">
        <v>0.0</v>
      </c>
      <c r="AB1022" s="123"/>
      <c r="AC1022" s="123">
        <v>0.0</v>
      </c>
      <c r="AD1022" s="44">
        <f t="shared" si="7"/>
        <v>0</v>
      </c>
      <c r="AE1022" s="123">
        <v>0.0</v>
      </c>
    </row>
    <row r="1023">
      <c r="A1023" s="120">
        <v>2016.0</v>
      </c>
      <c r="B1023" s="121">
        <v>12.0</v>
      </c>
      <c r="C1023" s="122" t="s">
        <v>62</v>
      </c>
      <c r="D1023" s="44"/>
      <c r="E1023" s="123">
        <v>5497.78</v>
      </c>
      <c r="F1023" s="123">
        <v>-2070.0</v>
      </c>
      <c r="G1023" s="123"/>
      <c r="H1023" s="123">
        <v>-1553.05</v>
      </c>
      <c r="I1023" s="44"/>
      <c r="J1023" s="44"/>
      <c r="K1023" s="44"/>
      <c r="L1023" s="123">
        <v>11043.5</v>
      </c>
      <c r="M1023" s="44"/>
      <c r="N1023" s="44"/>
      <c r="O1023" s="123">
        <v>265159.0</v>
      </c>
      <c r="P1023" s="52">
        <f t="shared" si="23"/>
        <v>265158.27</v>
      </c>
      <c r="Q1023" s="124">
        <f t="shared" si="2"/>
        <v>0.73</v>
      </c>
      <c r="R1023" s="52">
        <f t="array" ref="R1023">IFERROR(INDEX('Fund YTD Target Values'!$1:$1000, MATCH($C1023,'Fund YTD Target Values'!$A:$A,0), MATCH($A1023,'Fund YTD Target Values'!$1:$1,0)),0)</f>
        <v>229565.1878</v>
      </c>
      <c r="S1023" s="52">
        <f>IFERROR(__xludf.DUMMYFUNCTION("IFERROR(sum(FILTER('Fund Data'!$V:$V, 'Fund Data'!$C:$C = $C1023, 'Fund Data'!$A:$A &lt; $A1023)),0) + IFERROR(sum(FILTER('Fund Data'!$V:$V, 'Fund Data'!$C:$C = $C1023, 'Fund Data'!$A:$A = $A1023, 'Fund Data'!$B:$B &lt;= $B1023)),0)"),194469.0)</f>
        <v>194469</v>
      </c>
      <c r="T1023" s="123">
        <v>194469.0</v>
      </c>
      <c r="U1023" s="44">
        <f t="shared" si="93"/>
        <v>0</v>
      </c>
      <c r="V1023" s="44">
        <f t="shared" si="3"/>
        <v>0</v>
      </c>
      <c r="W1023" s="123"/>
      <c r="X1023" s="123"/>
      <c r="Y1023" s="123">
        <v>0.0</v>
      </c>
      <c r="Z1023" s="123">
        <v>0.0</v>
      </c>
      <c r="AA1023" s="123">
        <v>0.0</v>
      </c>
      <c r="AB1023" s="123"/>
      <c r="AC1023" s="123">
        <v>0.0</v>
      </c>
      <c r="AD1023" s="44">
        <f t="shared" si="7"/>
        <v>-2070</v>
      </c>
      <c r="AE1023" s="123">
        <v>0.0</v>
      </c>
    </row>
    <row r="1024">
      <c r="A1024" s="120">
        <v>2015.0</v>
      </c>
      <c r="B1024" s="121">
        <v>12.0</v>
      </c>
      <c r="C1024" s="122" t="s">
        <v>62</v>
      </c>
      <c r="D1024" s="44"/>
      <c r="E1024" s="123">
        <v>6044.55</v>
      </c>
      <c r="F1024" s="123">
        <v>-1625.0</v>
      </c>
      <c r="G1024" s="123"/>
      <c r="H1024" s="123">
        <v>-1574.3</v>
      </c>
      <c r="I1024" s="44"/>
      <c r="J1024" s="44"/>
      <c r="K1024" s="44"/>
      <c r="L1024" s="123">
        <v>-11240.86</v>
      </c>
      <c r="M1024" s="44"/>
      <c r="N1024" s="44"/>
      <c r="O1024" s="123">
        <v>252241.0</v>
      </c>
      <c r="P1024" s="52">
        <f t="shared" si="23"/>
        <v>252240.04</v>
      </c>
      <c r="Q1024" s="124">
        <f t="shared" si="2"/>
        <v>0.96</v>
      </c>
      <c r="R1024" s="52">
        <f t="array" ref="R1024">IFERROR(INDEX('Fund YTD Target Values'!$1:$1000, MATCH($C1024,'Fund YTD Target Values'!$A:$A,0), MATCH($A1024,'Fund YTD Target Values'!$1:$1,0)),0)</f>
        <v>226704.5306</v>
      </c>
      <c r="S1024" s="52">
        <f>IFERROR(__xludf.DUMMYFUNCTION("IFERROR(sum(FILTER('Fund Data'!$V:$V, 'Fund Data'!$C:$C = $C1024, 'Fund Data'!$A:$A &lt; $A1024)),0) + IFERROR(sum(FILTER('Fund Data'!$V:$V, 'Fund Data'!$C:$C = $C1024, 'Fund Data'!$A:$A = $A1024, 'Fund Data'!$B:$B &lt;= $B1024)),0)"),194469.0)</f>
        <v>194469</v>
      </c>
      <c r="T1024" s="123">
        <v>194469.0</v>
      </c>
      <c r="U1024" s="44">
        <f t="shared" si="93"/>
        <v>0</v>
      </c>
      <c r="V1024" s="44">
        <f t="shared" si="3"/>
        <v>0</v>
      </c>
      <c r="W1024" s="123"/>
      <c r="X1024" s="123"/>
      <c r="Y1024" s="123">
        <v>0.0</v>
      </c>
      <c r="Z1024" s="123">
        <v>0.0</v>
      </c>
      <c r="AA1024" s="123">
        <v>0.0</v>
      </c>
      <c r="AB1024" s="123"/>
      <c r="AC1024" s="123">
        <v>0.0</v>
      </c>
      <c r="AD1024" s="44">
        <f t="shared" si="7"/>
        <v>-1625</v>
      </c>
      <c r="AE1024" s="123">
        <v>0.0</v>
      </c>
    </row>
    <row r="1025">
      <c r="A1025" s="120">
        <v>2014.0</v>
      </c>
      <c r="B1025" s="121">
        <v>12.0</v>
      </c>
      <c r="C1025" s="122" t="s">
        <v>62</v>
      </c>
      <c r="D1025" s="123">
        <v>10000.0</v>
      </c>
      <c r="E1025" s="123">
        <v>4810.82</v>
      </c>
      <c r="F1025" s="44"/>
      <c r="G1025" s="123"/>
      <c r="H1025" s="123">
        <v>-1562.4</v>
      </c>
      <c r="I1025" s="44"/>
      <c r="J1025" s="44"/>
      <c r="K1025" s="44"/>
      <c r="L1025" s="123">
        <v>1082.92</v>
      </c>
      <c r="M1025" s="44"/>
      <c r="N1025" s="44"/>
      <c r="O1025" s="123">
        <v>260636.0</v>
      </c>
      <c r="P1025" s="52">
        <f t="shared" si="23"/>
        <v>260635.65</v>
      </c>
      <c r="Q1025" s="124">
        <f t="shared" si="2"/>
        <v>0.35</v>
      </c>
      <c r="R1025" s="52">
        <f t="array" ref="R1025">IFERROR(INDEX('Fund YTD Target Values'!$1:$1000, MATCH($C1025,'Fund YTD Target Values'!$A:$A,0), MATCH($A1025,'Fund YTD Target Values'!$1:$1,0)),0)</f>
        <v>226435.3</v>
      </c>
      <c r="S1025" s="52">
        <f>IFERROR(__xludf.DUMMYFUNCTION("IFERROR(sum(FILTER('Fund Data'!$V:$V, 'Fund Data'!$C:$C = $C1025, 'Fund Data'!$A:$A &lt; $A1025)),0) + IFERROR(sum(FILTER('Fund Data'!$V:$V, 'Fund Data'!$C:$C = $C1025, 'Fund Data'!$A:$A = $A1025, 'Fund Data'!$B:$B &lt;= $B1025)),0)"),194469.0)</f>
        <v>194469</v>
      </c>
      <c r="T1025" s="123">
        <v>194469.0</v>
      </c>
      <c r="U1025" s="44">
        <f t="shared" si="93"/>
        <v>0</v>
      </c>
      <c r="V1025" s="44">
        <f t="shared" si="3"/>
        <v>10000</v>
      </c>
      <c r="W1025" s="123"/>
      <c r="X1025" s="123"/>
      <c r="Y1025" s="123">
        <v>0.0</v>
      </c>
      <c r="Z1025" s="123">
        <v>0.0</v>
      </c>
      <c r="AA1025" s="123">
        <v>0.0</v>
      </c>
      <c r="AB1025" s="123"/>
      <c r="AC1025" s="123">
        <v>0.0</v>
      </c>
      <c r="AD1025" s="44">
        <f t="shared" si="7"/>
        <v>0</v>
      </c>
      <c r="AE1025" s="123">
        <v>0.0</v>
      </c>
    </row>
    <row r="1026">
      <c r="A1026" s="120">
        <v>2013.0</v>
      </c>
      <c r="B1026" s="121">
        <v>12.0</v>
      </c>
      <c r="C1026" s="122" t="s">
        <v>62</v>
      </c>
      <c r="D1026" s="44"/>
      <c r="E1026" s="123">
        <v>4783.81</v>
      </c>
      <c r="F1026" s="123">
        <v>-2800.0</v>
      </c>
      <c r="G1026" s="123"/>
      <c r="H1026" s="123">
        <v>-1409.38</v>
      </c>
      <c r="I1026" s="44"/>
      <c r="J1026" s="123">
        <v>426.83</v>
      </c>
      <c r="K1026" s="44"/>
      <c r="L1026" s="123">
        <v>19986.26</v>
      </c>
      <c r="M1026" s="44"/>
      <c r="N1026" s="44"/>
      <c r="O1026" s="123">
        <v>246305.0</v>
      </c>
      <c r="P1026" s="52">
        <f t="shared" si="23"/>
        <v>246304.31</v>
      </c>
      <c r="Q1026" s="124">
        <f t="shared" si="2"/>
        <v>0.69</v>
      </c>
      <c r="R1026" s="52">
        <f t="array" ref="R1026">IFERROR(INDEX('Fund YTD Target Values'!$1:$1000, MATCH($C1026,'Fund YTD Target Values'!$A:$A,0), MATCH($A1026,'Fund YTD Target Values'!$1:$1,0)),0)</f>
        <v>212980.9517</v>
      </c>
      <c r="S1026" s="52">
        <f>IFERROR(__xludf.DUMMYFUNCTION("IFERROR(sum(FILTER('Fund Data'!$V:$V, 'Fund Data'!$C:$C = $C1026, 'Fund Data'!$A:$A &lt; $A1026)),0) + IFERROR(sum(FILTER('Fund Data'!$V:$V, 'Fund Data'!$C:$C = $C1026, 'Fund Data'!$A:$A = $A1026, 'Fund Data'!$B:$B &lt;= $B1026)),0)"),184469.0)</f>
        <v>184469</v>
      </c>
      <c r="T1026" s="123">
        <v>184469.0</v>
      </c>
      <c r="U1026" s="44">
        <f t="shared" si="93"/>
        <v>0</v>
      </c>
      <c r="V1026" s="44">
        <f t="shared" si="3"/>
        <v>0</v>
      </c>
      <c r="W1026" s="123"/>
      <c r="X1026" s="123"/>
      <c r="Y1026" s="123">
        <v>0.0</v>
      </c>
      <c r="Z1026" s="123">
        <v>0.0</v>
      </c>
      <c r="AA1026" s="123">
        <v>0.0</v>
      </c>
      <c r="AB1026" s="123"/>
      <c r="AC1026" s="123">
        <v>0.0</v>
      </c>
      <c r="AD1026" s="44">
        <f t="shared" si="7"/>
        <v>-2800</v>
      </c>
      <c r="AE1026" s="123">
        <v>0.0</v>
      </c>
    </row>
    <row r="1027">
      <c r="A1027" s="120">
        <v>2012.0</v>
      </c>
      <c r="B1027" s="121">
        <v>12.0</v>
      </c>
      <c r="C1027" s="122" t="s">
        <v>62</v>
      </c>
      <c r="D1027" s="44"/>
      <c r="E1027" s="123">
        <v>4372.23</v>
      </c>
      <c r="F1027" s="123">
        <v>-765.0</v>
      </c>
      <c r="G1027" s="123"/>
      <c r="H1027" s="123">
        <v>-1296.71</v>
      </c>
      <c r="I1027" s="44"/>
      <c r="J1027" s="123">
        <v>88.26</v>
      </c>
      <c r="K1027" s="44"/>
      <c r="L1027" s="123">
        <v>21248.61</v>
      </c>
      <c r="M1027" s="44"/>
      <c r="N1027" s="44"/>
      <c r="O1027" s="123">
        <v>225316.0</v>
      </c>
      <c r="P1027" s="52">
        <f t="shared" si="23"/>
        <v>225316.79</v>
      </c>
      <c r="Q1027" s="124">
        <f t="shared" si="2"/>
        <v>-0.79</v>
      </c>
      <c r="R1027" s="52">
        <f t="array" ref="R1027">IFERROR(INDEX('Fund YTD Target Values'!$1:$1000, MATCH($C1027,'Fund YTD Target Values'!$A:$A,0), MATCH($A1027,'Fund YTD Target Values'!$1:$1,0)),0)</f>
        <v>209903.6684</v>
      </c>
      <c r="S1027" s="52">
        <f>IFERROR(__xludf.DUMMYFUNCTION("IFERROR(sum(FILTER('Fund Data'!$V:$V, 'Fund Data'!$C:$C = $C1027, 'Fund Data'!$A:$A &lt; $A1027)),0) + IFERROR(sum(FILTER('Fund Data'!$V:$V, 'Fund Data'!$C:$C = $C1027, 'Fund Data'!$A:$A = $A1027, 'Fund Data'!$B:$B &lt;= $B1027)),0)"),184469.0)</f>
        <v>184469</v>
      </c>
      <c r="T1027" s="123">
        <v>184469.0</v>
      </c>
      <c r="U1027" s="44">
        <f t="shared" si="93"/>
        <v>0</v>
      </c>
      <c r="V1027" s="44">
        <f t="shared" si="3"/>
        <v>0</v>
      </c>
      <c r="W1027" s="123"/>
      <c r="X1027" s="123"/>
      <c r="Y1027" s="123">
        <v>0.0</v>
      </c>
      <c r="Z1027" s="123">
        <v>0.0</v>
      </c>
      <c r="AA1027" s="123">
        <v>0.0</v>
      </c>
      <c r="AB1027" s="123"/>
      <c r="AC1027" s="123">
        <v>0.0</v>
      </c>
      <c r="AD1027" s="44">
        <f t="shared" si="7"/>
        <v>-765</v>
      </c>
      <c r="AE1027" s="123">
        <v>0.0</v>
      </c>
    </row>
    <row r="1028">
      <c r="A1028" s="120">
        <v>2011.0</v>
      </c>
      <c r="B1028" s="121">
        <v>12.0</v>
      </c>
      <c r="C1028" s="122" t="s">
        <v>62</v>
      </c>
      <c r="D1028" s="44"/>
      <c r="E1028" s="123">
        <v>3638.83</v>
      </c>
      <c r="F1028" s="123">
        <v>-4275.0</v>
      </c>
      <c r="G1028" s="123"/>
      <c r="H1028" s="123">
        <v>-1297.68</v>
      </c>
      <c r="I1028" s="44"/>
      <c r="J1028" s="123">
        <v>582.82</v>
      </c>
      <c r="K1028" s="44"/>
      <c r="L1028" s="123">
        <v>-13677.08</v>
      </c>
      <c r="M1028" s="44"/>
      <c r="N1028" s="44"/>
      <c r="O1028" s="123">
        <v>201669.0</v>
      </c>
      <c r="P1028" s="52">
        <f t="shared" si="23"/>
        <v>201669.4</v>
      </c>
      <c r="Q1028" s="124">
        <f t="shared" si="2"/>
        <v>-0.4</v>
      </c>
      <c r="R1028" s="52">
        <f t="array" ref="R1028">IFERROR(INDEX('Fund YTD Target Values'!$1:$1000, MATCH($C1028,'Fund YTD Target Values'!$A:$A,0), MATCH($A1028,'Fund YTD Target Values'!$1:$1,0)),0)</f>
        <v>205640.3477</v>
      </c>
      <c r="S1028" s="52">
        <f>IFERROR(__xludf.DUMMYFUNCTION("IFERROR(sum(FILTER('Fund Data'!$V:$V, 'Fund Data'!$C:$C = $C1028, 'Fund Data'!$A:$A &lt; $A1028)),0) + IFERROR(sum(FILTER('Fund Data'!$V:$V, 'Fund Data'!$C:$C = $C1028, 'Fund Data'!$A:$A = $A1028, 'Fund Data'!$B:$B &lt;= $B1028)),0)"),184469.0)</f>
        <v>184469</v>
      </c>
      <c r="T1028" s="123">
        <v>184469.0</v>
      </c>
      <c r="U1028" s="44">
        <f t="shared" si="93"/>
        <v>0</v>
      </c>
      <c r="V1028" s="44">
        <f t="shared" si="3"/>
        <v>0</v>
      </c>
      <c r="W1028" s="123"/>
      <c r="X1028" s="123"/>
      <c r="Y1028" s="123">
        <v>0.0</v>
      </c>
      <c r="Z1028" s="123">
        <v>0.0</v>
      </c>
      <c r="AA1028" s="123">
        <v>0.0</v>
      </c>
      <c r="AB1028" s="123"/>
      <c r="AC1028" s="123">
        <v>0.0</v>
      </c>
      <c r="AD1028" s="44">
        <f t="shared" si="7"/>
        <v>-4275</v>
      </c>
      <c r="AE1028" s="123">
        <v>0.0</v>
      </c>
    </row>
    <row r="1029">
      <c r="A1029" s="120">
        <v>2010.0</v>
      </c>
      <c r="B1029" s="121">
        <v>12.0</v>
      </c>
      <c r="C1029" s="122" t="s">
        <v>62</v>
      </c>
      <c r="D1029" s="44"/>
      <c r="E1029" s="123">
        <v>4157.16</v>
      </c>
      <c r="F1029" s="123">
        <v>-5000.0</v>
      </c>
      <c r="G1029" s="123"/>
      <c r="H1029" s="123">
        <v>-1191.2</v>
      </c>
      <c r="I1029" s="44"/>
      <c r="J1029" s="123">
        <v>20.45</v>
      </c>
      <c r="K1029" s="44"/>
      <c r="L1029" s="123">
        <v>22762.19</v>
      </c>
      <c r="M1029" s="44"/>
      <c r="N1029" s="44"/>
      <c r="O1029" s="123">
        <v>216698.0</v>
      </c>
      <c r="P1029" s="52">
        <f t="shared" si="23"/>
        <v>216697.51</v>
      </c>
      <c r="Q1029" s="124">
        <f t="shared" si="2"/>
        <v>0.49</v>
      </c>
      <c r="R1029" s="52">
        <f t="array" ref="R1029">IFERROR(INDEX('Fund YTD Target Values'!$1:$1000, MATCH($C1029,'Fund YTD Target Values'!$A:$A,0), MATCH($A1029,'Fund YTD Target Values'!$1:$1,0)),0)</f>
        <v>199350.4397</v>
      </c>
      <c r="S1029" s="52">
        <f>IFERROR(__xludf.DUMMYFUNCTION("IFERROR(sum(FILTER('Fund Data'!$V:$V, 'Fund Data'!$C:$C = $C1029, 'Fund Data'!$A:$A &lt; $A1029)),0) + IFERROR(sum(FILTER('Fund Data'!$V:$V, 'Fund Data'!$C:$C = $C1029, 'Fund Data'!$A:$A = $A1029, 'Fund Data'!$B:$B &lt;= $B1029)),0)"),184469.0)</f>
        <v>184469</v>
      </c>
      <c r="T1029" s="123">
        <v>184469.0</v>
      </c>
      <c r="U1029" s="44">
        <f t="shared" si="93"/>
        <v>0</v>
      </c>
      <c r="V1029" s="44">
        <f t="shared" si="3"/>
        <v>0</v>
      </c>
      <c r="W1029" s="123"/>
      <c r="X1029" s="123"/>
      <c r="Y1029" s="123">
        <v>0.0</v>
      </c>
      <c r="Z1029" s="123">
        <v>0.0</v>
      </c>
      <c r="AA1029" s="123">
        <v>0.0</v>
      </c>
      <c r="AB1029" s="123"/>
      <c r="AC1029" s="123">
        <v>0.0</v>
      </c>
      <c r="AD1029" s="44">
        <f t="shared" si="7"/>
        <v>-5000</v>
      </c>
      <c r="AE1029" s="123">
        <v>0.0</v>
      </c>
    </row>
    <row r="1030">
      <c r="A1030" s="120">
        <v>2009.0</v>
      </c>
      <c r="B1030" s="121">
        <v>12.0</v>
      </c>
      <c r="C1030" s="122" t="s">
        <v>62</v>
      </c>
      <c r="D1030" s="44"/>
      <c r="E1030" s="123">
        <v>5037.24</v>
      </c>
      <c r="F1030" s="44"/>
      <c r="G1030" s="123"/>
      <c r="H1030" s="123">
        <v>-1025.25</v>
      </c>
      <c r="I1030" s="44"/>
      <c r="J1030" s="44"/>
      <c r="K1030" s="44"/>
      <c r="L1030" s="123">
        <v>29948.05</v>
      </c>
      <c r="M1030" s="44"/>
      <c r="N1030" s="44"/>
      <c r="O1030" s="123">
        <v>195949.0</v>
      </c>
      <c r="P1030" s="52">
        <f t="shared" si="23"/>
        <v>195948.91</v>
      </c>
      <c r="Q1030" s="124">
        <f t="shared" si="2"/>
        <v>0.09</v>
      </c>
      <c r="R1030" s="52">
        <f t="array" ref="R1030">IFERROR(INDEX('Fund YTD Target Values'!$1:$1000, MATCH($C1030,'Fund YTD Target Values'!$A:$A,0), MATCH($A1030,'Fund YTD Target Values'!$1:$1,0)),0)</f>
        <v>196125.5097</v>
      </c>
      <c r="S1030" s="52">
        <f>IFERROR(__xludf.DUMMYFUNCTION("IFERROR(sum(FILTER('Fund Data'!$V:$V, 'Fund Data'!$C:$C = $C1030, 'Fund Data'!$A:$A &lt; $A1030)),0) + IFERROR(sum(FILTER('Fund Data'!$V:$V, 'Fund Data'!$C:$C = $C1030, 'Fund Data'!$A:$A = $A1030, 'Fund Data'!$B:$B &lt;= $B1030)),0)"),184469.0)</f>
        <v>184469</v>
      </c>
      <c r="T1030" s="123">
        <v>184469.0</v>
      </c>
      <c r="U1030" s="44">
        <f t="shared" si="93"/>
        <v>0</v>
      </c>
      <c r="V1030" s="44">
        <f t="shared" si="3"/>
        <v>0</v>
      </c>
      <c r="W1030" s="123"/>
      <c r="X1030" s="123"/>
      <c r="Y1030" s="123">
        <v>0.0</v>
      </c>
      <c r="Z1030" s="123">
        <v>0.0</v>
      </c>
      <c r="AA1030" s="123">
        <v>0.0</v>
      </c>
      <c r="AB1030" s="123"/>
      <c r="AC1030" s="123">
        <v>0.0</v>
      </c>
      <c r="AD1030" s="44">
        <f t="shared" si="7"/>
        <v>0</v>
      </c>
      <c r="AE1030" s="123">
        <v>0.0</v>
      </c>
    </row>
    <row r="1031">
      <c r="A1031" s="120">
        <v>2008.0</v>
      </c>
      <c r="B1031" s="121">
        <v>12.0</v>
      </c>
      <c r="C1031" s="122" t="s">
        <v>62</v>
      </c>
      <c r="D1031" s="44"/>
      <c r="E1031" s="123">
        <v>5155.0</v>
      </c>
      <c r="F1031" s="44"/>
      <c r="G1031" s="123"/>
      <c r="H1031" s="123">
        <v>-1157.85</v>
      </c>
      <c r="I1031" s="44"/>
      <c r="J1031" s="44"/>
      <c r="K1031" s="44"/>
      <c r="L1031" s="123">
        <v>-52901.57</v>
      </c>
      <c r="M1031" s="44"/>
      <c r="N1031" s="44"/>
      <c r="O1031" s="123">
        <v>161989.0</v>
      </c>
      <c r="P1031" s="52">
        <f t="shared" si="23"/>
        <v>161988.87</v>
      </c>
      <c r="Q1031" s="124">
        <f t="shared" si="2"/>
        <v>0.13</v>
      </c>
      <c r="R1031" s="52">
        <f t="array" ref="R1031">IFERROR(INDEX('Fund YTD Target Values'!$1:$1000, MATCH($C1031,'Fund YTD Target Values'!$A:$A,0), MATCH($A1031,'Fund YTD Target Values'!$1:$1,0)),0)</f>
        <v>196790.2672</v>
      </c>
      <c r="S1031" s="52">
        <f>IFERROR(__xludf.DUMMYFUNCTION("IFERROR(sum(FILTER('Fund Data'!$V:$V, 'Fund Data'!$C:$C = $C1031, 'Fund Data'!$A:$A &lt; $A1031)),0) + IFERROR(sum(FILTER('Fund Data'!$V:$V, 'Fund Data'!$C:$C = $C1031, 'Fund Data'!$A:$A = $A1031, 'Fund Data'!$B:$B &lt;= $B1031)),0)"),184469.0)</f>
        <v>184469</v>
      </c>
      <c r="T1031" s="123">
        <v>184469.0</v>
      </c>
      <c r="U1031" s="44">
        <f t="shared" si="93"/>
        <v>0</v>
      </c>
      <c r="V1031" s="44">
        <f t="shared" si="3"/>
        <v>0</v>
      </c>
      <c r="W1031" s="123"/>
      <c r="X1031" s="123"/>
      <c r="Y1031" s="123">
        <v>0.0</v>
      </c>
      <c r="Z1031" s="123">
        <v>0.0</v>
      </c>
      <c r="AA1031" s="123">
        <v>0.0</v>
      </c>
      <c r="AB1031" s="123"/>
      <c r="AC1031" s="123">
        <v>0.0</v>
      </c>
      <c r="AD1031" s="44">
        <f t="shared" si="7"/>
        <v>0</v>
      </c>
      <c r="AE1031" s="123">
        <v>0.0</v>
      </c>
    </row>
    <row r="1032">
      <c r="A1032" s="120">
        <v>2007.0</v>
      </c>
      <c r="B1032" s="121">
        <v>12.0</v>
      </c>
      <c r="C1032" s="122" t="s">
        <v>62</v>
      </c>
      <c r="D1032" s="123">
        <v>7994.0</v>
      </c>
      <c r="E1032" s="123">
        <v>3474.06</v>
      </c>
      <c r="F1032" s="123">
        <v>-7000.0</v>
      </c>
      <c r="G1032" s="123"/>
      <c r="H1032" s="123">
        <v>-1247.02</v>
      </c>
      <c r="I1032" s="44"/>
      <c r="J1032" s="44"/>
      <c r="K1032" s="44"/>
      <c r="L1032" s="123">
        <v>16601.25</v>
      </c>
      <c r="M1032" s="123">
        <v>-14.0</v>
      </c>
      <c r="N1032" s="44"/>
      <c r="O1032" s="123">
        <v>210893.0</v>
      </c>
      <c r="P1032" s="52">
        <f t="shared" si="23"/>
        <v>210893.29</v>
      </c>
      <c r="Q1032" s="124">
        <f t="shared" si="2"/>
        <v>-0.29</v>
      </c>
      <c r="R1032" s="52">
        <f t="array" ref="R1032">IFERROR(INDEX('Fund YTD Target Values'!$1:$1000, MATCH($C1032,'Fund YTD Target Values'!$A:$A,0), MATCH($A1032,'Fund YTD Target Values'!$1:$1,0)),0)</f>
        <v>189502.6895</v>
      </c>
      <c r="S1032" s="52">
        <f>IFERROR(__xludf.DUMMYFUNCTION("IFERROR(sum(FILTER('Fund Data'!$V:$V, 'Fund Data'!$C:$C = $C1032, 'Fund Data'!$A:$A &lt; $A1032)),0) + IFERROR(sum(FILTER('Fund Data'!$V:$V, 'Fund Data'!$C:$C = $C1032, 'Fund Data'!$A:$A = $A1032, 'Fund Data'!$B:$B &lt;= $B1032)),0)"),184469.0)</f>
        <v>184469</v>
      </c>
      <c r="T1032" s="123">
        <v>184469.0</v>
      </c>
      <c r="U1032" s="44">
        <f t="shared" si="93"/>
        <v>0</v>
      </c>
      <c r="V1032" s="44">
        <f t="shared" si="3"/>
        <v>7994</v>
      </c>
      <c r="W1032" s="123"/>
      <c r="X1032" s="123"/>
      <c r="Y1032" s="123">
        <v>0.0</v>
      </c>
      <c r="Z1032" s="123">
        <v>0.0</v>
      </c>
      <c r="AA1032" s="123">
        <v>0.0</v>
      </c>
      <c r="AB1032" s="123"/>
      <c r="AC1032" s="123">
        <v>0.0</v>
      </c>
      <c r="AD1032" s="44">
        <f t="shared" si="7"/>
        <v>-7000</v>
      </c>
      <c r="AE1032" s="123">
        <v>0.0</v>
      </c>
    </row>
    <row r="1033">
      <c r="A1033" s="120">
        <v>2006.0</v>
      </c>
      <c r="B1033" s="121">
        <v>12.0</v>
      </c>
      <c r="C1033" s="122" t="s">
        <v>62</v>
      </c>
      <c r="D1033" s="123">
        <v>176475.0</v>
      </c>
      <c r="E1033" s="123">
        <v>2587.61</v>
      </c>
      <c r="F1033" s="44"/>
      <c r="G1033" s="123"/>
      <c r="H1033" s="123">
        <v>-907.52</v>
      </c>
      <c r="I1033" s="44"/>
      <c r="J1033" s="44"/>
      <c r="K1033" s="44"/>
      <c r="L1033" s="123">
        <v>12916.88</v>
      </c>
      <c r="M1033" s="123">
        <v>13.03</v>
      </c>
      <c r="N1033" s="44"/>
      <c r="O1033" s="123">
        <v>191085.0</v>
      </c>
      <c r="P1033" s="52">
        <f t="shared" si="23"/>
        <v>191085</v>
      </c>
      <c r="Q1033" s="124">
        <f t="shared" si="2"/>
        <v>0</v>
      </c>
      <c r="R1033" s="52">
        <f t="array" ref="R1033">IFERROR(INDEX('Fund YTD Target Values'!$1:$1000, MATCH($C1033,'Fund YTD Target Values'!$A:$A,0), MATCH($A1033,'Fund YTD Target Values'!$1:$1,0)),0)</f>
        <v>176475</v>
      </c>
      <c r="S1033" s="52">
        <f>IFERROR(__xludf.DUMMYFUNCTION("IFERROR(sum(FILTER('Fund Data'!$V:$V, 'Fund Data'!$C:$C = $C1033, 'Fund Data'!$A:$A &lt; $A1033)),0) + IFERROR(sum(FILTER('Fund Data'!$V:$V, 'Fund Data'!$C:$C = $C1033, 'Fund Data'!$A:$A = $A1033, 'Fund Data'!$B:$B &lt;= $B1033)),0)"),176475.0)</f>
        <v>176475</v>
      </c>
      <c r="T1033" s="123">
        <v>176475.0</v>
      </c>
      <c r="U1033" s="44">
        <f t="shared" si="93"/>
        <v>0</v>
      </c>
      <c r="V1033" s="44">
        <f t="shared" si="3"/>
        <v>176475</v>
      </c>
      <c r="W1033" s="123"/>
      <c r="X1033" s="123"/>
      <c r="Y1033" s="123">
        <v>0.0</v>
      </c>
      <c r="Z1033" s="123">
        <v>0.0</v>
      </c>
      <c r="AA1033" s="123">
        <v>0.0</v>
      </c>
      <c r="AB1033" s="123"/>
      <c r="AC1033" s="123">
        <v>0.0</v>
      </c>
      <c r="AD1033" s="44">
        <f t="shared" si="7"/>
        <v>0</v>
      </c>
      <c r="AE1033" s="123">
        <v>0.0</v>
      </c>
    </row>
    <row r="1034">
      <c r="A1034" s="120">
        <v>2019.0</v>
      </c>
      <c r="B1034" s="121">
        <v>6.0</v>
      </c>
      <c r="C1034" s="122" t="s">
        <v>63</v>
      </c>
      <c r="D1034" s="44"/>
      <c r="E1034" s="123">
        <v>1463.81</v>
      </c>
      <c r="F1034" s="123">
        <v>-5000.0</v>
      </c>
      <c r="G1034" s="44"/>
      <c r="H1034" s="123">
        <v>-330.15</v>
      </c>
      <c r="I1034" s="44"/>
      <c r="J1034" s="123">
        <v>1212.1</v>
      </c>
      <c r="K1034" s="44"/>
      <c r="L1034" s="123">
        <v>10333.03</v>
      </c>
      <c r="M1034" s="44"/>
      <c r="N1034" s="44"/>
      <c r="O1034" s="123">
        <v>117977.01</v>
      </c>
      <c r="P1034" s="52">
        <f t="shared" si="23"/>
        <v>117976.27</v>
      </c>
      <c r="Q1034" s="124">
        <f t="shared" si="2"/>
        <v>0.74</v>
      </c>
      <c r="R1034" s="52">
        <f t="array" ref="R1034">IFERROR(INDEX('Fund YTD Target Values'!$1:$1000, MATCH($C1034,'Fund YTD Target Values'!$A:$A,0), MATCH($A1034,'Fund YTD Target Values'!$1:$1,0)),0)</f>
        <v>132976.5995</v>
      </c>
      <c r="S1034" s="52">
        <f>IFERROR(__xludf.DUMMYFUNCTION("IFERROR(sum(FILTER('Fund Data'!$V:$V, 'Fund Data'!$C:$C = $C1034, 'Fund Data'!$A:$A &lt; $A1034)),0) + IFERROR(sum(FILTER('Fund Data'!$V:$V, 'Fund Data'!$C:$C = $C1034, 'Fund Data'!$A:$A = $A1034, 'Fund Data'!$B:$B &lt;= $B1034)),0)"),100000.0)</f>
        <v>100000</v>
      </c>
      <c r="T1034" s="123">
        <v>100000.0</v>
      </c>
      <c r="U1034" s="44">
        <f t="shared" si="93"/>
        <v>0</v>
      </c>
      <c r="V1034" s="44">
        <f t="shared" si="3"/>
        <v>0</v>
      </c>
      <c r="W1034" s="52">
        <f>IFERROR(__xludf.DUMMYFUNCTION("iFERROR((FILTER('Fund Data'!$Y:$Y, 'Fund Data'!$C:$C = $C1034, 'Fund Data'!$A:$A = $A1034 - 1, 'Fund Data'!$B:$B = 12) + FILTER('Fund Data'!$AA:$AA, 'Fund Data'!$C:$C = $C1034, 'Fund Data'!$A:$A = $A1034 - 1, 'Fund Data'!$B:$B = 12)) * (1 + AVERAGE(FILTER"&amp;"('Inflation Data'!$C:$C,'Inflation Data'!$A:$A = ($A1034 - 2)))) * 'Parameters and Distribution Sum'!$A$4,0)"),4037.921818829265)</f>
        <v>4037.921819</v>
      </c>
      <c r="X1034" s="52">
        <f>IFERROR(__xludf.DUMMYFUNCTION("IFERROR((IFERROR(FILTER('Fund Data'!$P:$P,'Fund Data'!$C:$C = $C1034,'Fund Data'!$A:$A = ($A1034 - 2), 'Fund Data'!$B:$B = 12),0) - SUM(FILTER('Fund Data'!$V:$V, 'Fund Data'!$C:$C = $C1034, 'Fund Data'!$A:$A = ($A1034 - 2), 'Fund Data'!$B:$B &gt; 3)))  * 'Pa"&amp;"rameters and Distribution Sum'!$B$4 * (1 - 'Parameters and Distribution Sum'!$A$4),0)"),1694.4194250000005)</f>
        <v>1694.419425</v>
      </c>
      <c r="Y1034" s="52">
        <f t="shared" ref="Y1034:Y1039" si="97">sum($W1034:$X1034)</f>
        <v>5732.341244</v>
      </c>
      <c r="Z1034" s="52">
        <f>IFERROR(__xludf.DUMMYFUNCTION("((IFERROR((SUM(FILTER('Fund Data'!$V:$V, 'Fund Data'!$C:$C = $C1034, 'Fund Data'!$A:$A = $A1034 - 1, 'Fund Data'!$B:$B &gt;= 4, 'Fund Data'!$B:$B &lt;= ($B1034 + 5))) / 12) * ($B1034 - 3) * 'Parameters and Distribution Sum'!$B$4, 0) + IF($B1034 &gt;= 9, IFERROR(SU"&amp;"M(FILTER('Fund Data'!$V:$V, 'Fund Data'!$C:$C = $C1034, 'Fund Data'!$A:$A = $A1034, 'Fund Data'!$B:$B &lt;= 3)) * 'Parameters and Distribution Sum'!$B$4, 0),0)))"),0.0)</f>
        <v>0</v>
      </c>
      <c r="AA1034" s="44">
        <f>IFERROR(__xludf.DUMMYFUNCTION("IFERROR(((IFERROR(SUM(FILTER('Fund Data'!$V:$V, 'Fund Data'!$C:$C = $C1034, 'Fund Data'!$A:$A = $A1034 - 2, 'Fund Data'!$B:$B &gt;= 4)) * 'Parameters and Distribution Sum'!$B$4,0) + IFERROR(SUM(FILTER('Fund Data'!$V:$V, 'Fund Data'!$C:$C = $C1034, 'Fund Data"&amp;"'!$A:$A = $A1034 - 1, 'Fund Data'!$B:$B &lt;= 3)) * 'Parameters and Distribution Sum'!$B$4,0))),0)"),0.0)</f>
        <v>0</v>
      </c>
      <c r="AB1034" s="44">
        <f t="shared" ref="AB1034:AB1040" si="98">IFERROR(__xludf.DUMMYFUNCTION("IFERROR(FILTER($AE:$AE,$C:$C = $C1034,$A:$A = $A1034 - 1,$B:$B = 12),0)"),0.0)</f>
        <v>0</v>
      </c>
      <c r="AC1034" s="44">
        <f t="shared" ref="AC1034:AC1040" si="99">sum($Y1034:$AB1034)</f>
        <v>5732.341244</v>
      </c>
      <c r="AD1034" s="44">
        <f t="shared" si="7"/>
        <v>732.3412438</v>
      </c>
      <c r="AE1034" s="44"/>
    </row>
    <row r="1035">
      <c r="A1035" s="120">
        <v>2019.0</v>
      </c>
      <c r="B1035" s="121">
        <v>5.0</v>
      </c>
      <c r="C1035" s="122" t="s">
        <v>63</v>
      </c>
      <c r="D1035" s="44"/>
      <c r="E1035" s="123">
        <v>1341.0</v>
      </c>
      <c r="F1035" s="123">
        <v>-5000.0</v>
      </c>
      <c r="G1035" s="44"/>
      <c r="H1035" s="123">
        <v>-276.61</v>
      </c>
      <c r="I1035" s="44"/>
      <c r="J1035" s="123">
        <v>1212.1</v>
      </c>
      <c r="K1035" s="44"/>
      <c r="L1035" s="123">
        <v>5824.12</v>
      </c>
      <c r="M1035" s="44"/>
      <c r="N1035" s="44"/>
      <c r="O1035" s="123">
        <v>113398.83</v>
      </c>
      <c r="P1035" s="52">
        <f t="shared" si="23"/>
        <v>113398.09</v>
      </c>
      <c r="Q1035" s="124">
        <f t="shared" si="2"/>
        <v>0.74</v>
      </c>
      <c r="R1035" s="52">
        <f t="array" ref="R1035">IFERROR(INDEX('Fund YTD Target Values'!$1:$1000, MATCH($C1035,'Fund YTD Target Values'!$A:$A,0), MATCH($A1035,'Fund YTD Target Values'!$1:$1,0)),0)</f>
        <v>132976.5995</v>
      </c>
      <c r="S1035" s="52">
        <f>IFERROR(__xludf.DUMMYFUNCTION("IFERROR(sum(FILTER('Fund Data'!$V:$V, 'Fund Data'!$C:$C = $C1035, 'Fund Data'!$A:$A &lt; $A1035)),0) + IFERROR(sum(FILTER('Fund Data'!$V:$V, 'Fund Data'!$C:$C = $C1035, 'Fund Data'!$A:$A = $A1035, 'Fund Data'!$B:$B &lt;= $B1035)),0)"),100000.0)</f>
        <v>100000</v>
      </c>
      <c r="T1035" s="123">
        <v>100000.0</v>
      </c>
      <c r="U1035" s="44">
        <f t="shared" si="93"/>
        <v>0</v>
      </c>
      <c r="V1035" s="44">
        <f t="shared" si="3"/>
        <v>0</v>
      </c>
      <c r="W1035" s="52">
        <f>IFERROR(__xludf.DUMMYFUNCTION("iFERROR((FILTER('Fund Data'!$Y:$Y, 'Fund Data'!$C:$C = $C1035, 'Fund Data'!$A:$A = $A1035 - 1, 'Fund Data'!$B:$B = 12) + FILTER('Fund Data'!$AA:$AA, 'Fund Data'!$C:$C = $C1035, 'Fund Data'!$A:$A = $A1035 - 1, 'Fund Data'!$B:$B = 12)) * (1 + AVERAGE(FILTER"&amp;"('Inflation Data'!$C:$C,'Inflation Data'!$A:$A = ($A1035 - 2)))) * 'Parameters and Distribution Sum'!$A$4,0)"),4037.921818829265)</f>
        <v>4037.921819</v>
      </c>
      <c r="X1035" s="52">
        <f>IFERROR(__xludf.DUMMYFUNCTION("IFERROR((IFERROR(FILTER('Fund Data'!$P:$P,'Fund Data'!$C:$C = $C1035,'Fund Data'!$A:$A = ($A1035 - 2), 'Fund Data'!$B:$B = 12),0) - SUM(FILTER('Fund Data'!$V:$V, 'Fund Data'!$C:$C = $C1035, 'Fund Data'!$A:$A = ($A1035 - 2), 'Fund Data'!$B:$B &gt; 3)))  * 'Pa"&amp;"rameters and Distribution Sum'!$B$4 * (1 - 'Parameters and Distribution Sum'!$A$4),0)"),1694.4194250000005)</f>
        <v>1694.419425</v>
      </c>
      <c r="Y1035" s="52">
        <f t="shared" si="97"/>
        <v>5732.341244</v>
      </c>
      <c r="Z1035" s="52">
        <f>IFERROR(__xludf.DUMMYFUNCTION("((IFERROR((SUM(FILTER('Fund Data'!$V:$V, 'Fund Data'!$C:$C = $C1035, 'Fund Data'!$A:$A = $A1035 - 1, 'Fund Data'!$B:$B &gt;= 4, 'Fund Data'!$B:$B &lt;= ($B1035 + 5))) / 12) * ($B1035 - 3) * 'Parameters and Distribution Sum'!$B$4, 0) + IF($B1035 &gt;= 9, IFERROR(SU"&amp;"M(FILTER('Fund Data'!$V:$V, 'Fund Data'!$C:$C = $C1035, 'Fund Data'!$A:$A = $A1035, 'Fund Data'!$B:$B &lt;= 3)) * 'Parameters and Distribution Sum'!$B$4, 0),0)))"),0.0)</f>
        <v>0</v>
      </c>
      <c r="AA1035" s="44">
        <f>IFERROR(__xludf.DUMMYFUNCTION("IFERROR(((IFERROR(SUM(FILTER('Fund Data'!$V:$V, 'Fund Data'!$C:$C = $C1035, 'Fund Data'!$A:$A = $A1035 - 2, 'Fund Data'!$B:$B &gt;= 4)) * 'Parameters and Distribution Sum'!$B$4,0) + IFERROR(SUM(FILTER('Fund Data'!$V:$V, 'Fund Data'!$C:$C = $C1035, 'Fund Data"&amp;"'!$A:$A = $A1035 - 1, 'Fund Data'!$B:$B &lt;= 3)) * 'Parameters and Distribution Sum'!$B$4,0))),0)"),0.0)</f>
        <v>0</v>
      </c>
      <c r="AB1035" s="44">
        <f t="shared" si="98"/>
        <v>0</v>
      </c>
      <c r="AC1035" s="44">
        <f t="shared" si="99"/>
        <v>5732.341244</v>
      </c>
      <c r="AD1035" s="44">
        <f t="shared" si="7"/>
        <v>732.3412438</v>
      </c>
      <c r="AE1035" s="44"/>
    </row>
    <row r="1036">
      <c r="A1036" s="120">
        <v>2019.0</v>
      </c>
      <c r="B1036" s="121">
        <v>4.0</v>
      </c>
      <c r="C1036" s="122" t="s">
        <v>63</v>
      </c>
      <c r="D1036" s="44"/>
      <c r="E1036" s="123">
        <v>1237.52</v>
      </c>
      <c r="F1036" s="44"/>
      <c r="G1036" s="44"/>
      <c r="H1036" s="123">
        <v>-219.24</v>
      </c>
      <c r="I1036" s="44"/>
      <c r="J1036" s="44"/>
      <c r="K1036" s="44"/>
      <c r="L1036" s="123">
        <v>11591.69</v>
      </c>
      <c r="M1036" s="44"/>
      <c r="N1036" s="44"/>
      <c r="O1036" s="123">
        <v>122908.0</v>
      </c>
      <c r="P1036" s="52">
        <f t="shared" si="23"/>
        <v>122907.45</v>
      </c>
      <c r="Q1036" s="124">
        <f t="shared" si="2"/>
        <v>0.55</v>
      </c>
      <c r="R1036" s="52">
        <f t="array" ref="R1036">IFERROR(INDEX('Fund YTD Target Values'!$1:$1000, MATCH($C1036,'Fund YTD Target Values'!$A:$A,0), MATCH($A1036,'Fund YTD Target Values'!$1:$1,0)),0)</f>
        <v>132976.5995</v>
      </c>
      <c r="S1036" s="52">
        <f>IFERROR(__xludf.DUMMYFUNCTION("IFERROR(sum(FILTER('Fund Data'!$V:$V, 'Fund Data'!$C:$C = $C1036, 'Fund Data'!$A:$A &lt; $A1036)),0) + IFERROR(sum(FILTER('Fund Data'!$V:$V, 'Fund Data'!$C:$C = $C1036, 'Fund Data'!$A:$A = $A1036, 'Fund Data'!$B:$B &lt;= $B1036)),0)"),100000.0)</f>
        <v>100000</v>
      </c>
      <c r="T1036" s="123">
        <v>100000.0</v>
      </c>
      <c r="U1036" s="44">
        <f t="shared" si="93"/>
        <v>0</v>
      </c>
      <c r="V1036" s="44">
        <f t="shared" si="3"/>
        <v>0</v>
      </c>
      <c r="W1036" s="52">
        <f>IFERROR(__xludf.DUMMYFUNCTION("iFERROR((FILTER('Fund Data'!$Y:$Y, 'Fund Data'!$C:$C = $C1036, 'Fund Data'!$A:$A = $A1036 - 1, 'Fund Data'!$B:$B = 12) + FILTER('Fund Data'!$AA:$AA, 'Fund Data'!$C:$C = $C1036, 'Fund Data'!$A:$A = $A1036 - 1, 'Fund Data'!$B:$B = 12)) * (1 + AVERAGE(FILTER"&amp;"('Inflation Data'!$C:$C,'Inflation Data'!$A:$A = ($A1036 - 2)))) * 'Parameters and Distribution Sum'!$A$4,0)"),4037.921818829265)</f>
        <v>4037.921819</v>
      </c>
      <c r="X1036" s="52">
        <f>IFERROR(__xludf.DUMMYFUNCTION("IFERROR((IFERROR(FILTER('Fund Data'!$P:$P,'Fund Data'!$C:$C = $C1036,'Fund Data'!$A:$A = ($A1036 - 2), 'Fund Data'!$B:$B = 12),0) - SUM(FILTER('Fund Data'!$V:$V, 'Fund Data'!$C:$C = $C1036, 'Fund Data'!$A:$A = ($A1036 - 2), 'Fund Data'!$B:$B &gt; 3)))  * 'Pa"&amp;"rameters and Distribution Sum'!$B$4 * (1 - 'Parameters and Distribution Sum'!$A$4),0)"),1694.4194250000005)</f>
        <v>1694.419425</v>
      </c>
      <c r="Y1036" s="52">
        <f t="shared" si="97"/>
        <v>5732.341244</v>
      </c>
      <c r="Z1036" s="52">
        <f>IFERROR(__xludf.DUMMYFUNCTION("((IFERROR((SUM(FILTER('Fund Data'!$V:$V, 'Fund Data'!$C:$C = $C1036, 'Fund Data'!$A:$A = $A1036 - 1, 'Fund Data'!$B:$B &gt;= 4, 'Fund Data'!$B:$B &lt;= ($B1036 + 5))) / 12) * ($B1036 - 3) * 'Parameters and Distribution Sum'!$B$4, 0) + IF($B1036 &gt;= 9, IFERROR(SU"&amp;"M(FILTER('Fund Data'!$V:$V, 'Fund Data'!$C:$C = $C1036, 'Fund Data'!$A:$A = $A1036, 'Fund Data'!$B:$B &lt;= 3)) * 'Parameters and Distribution Sum'!$B$4, 0),0)))"),0.0)</f>
        <v>0</v>
      </c>
      <c r="AA1036" s="44">
        <f>IFERROR(__xludf.DUMMYFUNCTION("IFERROR(((IFERROR(SUM(FILTER('Fund Data'!$V:$V, 'Fund Data'!$C:$C = $C1036, 'Fund Data'!$A:$A = $A1036 - 2, 'Fund Data'!$B:$B &gt;= 4)) * 'Parameters and Distribution Sum'!$B$4,0) + IFERROR(SUM(FILTER('Fund Data'!$V:$V, 'Fund Data'!$C:$C = $C1036, 'Fund Data"&amp;"'!$A:$A = $A1036 - 1, 'Fund Data'!$B:$B &lt;= 3)) * 'Parameters and Distribution Sum'!$B$4,0))),0)"),0.0)</f>
        <v>0</v>
      </c>
      <c r="AB1036" s="44">
        <f t="shared" si="98"/>
        <v>0</v>
      </c>
      <c r="AC1036" s="44">
        <f t="shared" si="99"/>
        <v>5732.341244</v>
      </c>
      <c r="AD1036" s="44">
        <f t="shared" si="7"/>
        <v>5732.341244</v>
      </c>
      <c r="AE1036" s="44"/>
    </row>
    <row r="1037">
      <c r="A1037" s="120">
        <v>2019.0</v>
      </c>
      <c r="B1037" s="121">
        <v>3.0</v>
      </c>
      <c r="C1037" s="122" t="s">
        <v>63</v>
      </c>
      <c r="D1037" s="44"/>
      <c r="E1037" s="123">
        <v>935.24</v>
      </c>
      <c r="F1037" s="44"/>
      <c r="G1037" s="44"/>
      <c r="H1037" s="123">
        <v>-163.01</v>
      </c>
      <c r="I1037" s="44"/>
      <c r="J1037" s="44"/>
      <c r="K1037" s="44"/>
      <c r="L1037" s="123">
        <v>9197.9</v>
      </c>
      <c r="M1037" s="44"/>
      <c r="N1037" s="44"/>
      <c r="O1037" s="123">
        <v>120268.0</v>
      </c>
      <c r="P1037" s="52">
        <f t="shared" si="23"/>
        <v>120267.61</v>
      </c>
      <c r="Q1037" s="124">
        <f t="shared" si="2"/>
        <v>0.39</v>
      </c>
      <c r="R1037" s="52">
        <f t="array" ref="R1037">IFERROR(INDEX('Fund YTD Target Values'!$1:$1000, MATCH($C1037,'Fund YTD Target Values'!$A:$A,0), MATCH($A1037,'Fund YTD Target Values'!$1:$1,0)),0)</f>
        <v>132976.5995</v>
      </c>
      <c r="S1037" s="52">
        <f>IFERROR(__xludf.DUMMYFUNCTION("IFERROR(sum(FILTER('Fund Data'!$V:$V, 'Fund Data'!$C:$C = $C1037, 'Fund Data'!$A:$A &lt; $A1037)),0) + IFERROR(sum(FILTER('Fund Data'!$V:$V, 'Fund Data'!$C:$C = $C1037, 'Fund Data'!$A:$A = $A1037, 'Fund Data'!$B:$B &lt;= $B1037)),0)"),100000.0)</f>
        <v>100000</v>
      </c>
      <c r="T1037" s="123">
        <v>100000.0</v>
      </c>
      <c r="U1037" s="44">
        <f t="shared" si="93"/>
        <v>0</v>
      </c>
      <c r="V1037" s="44">
        <f t="shared" si="3"/>
        <v>0</v>
      </c>
      <c r="W1037" s="52">
        <f>IFERROR(__xludf.DUMMYFUNCTION("iFERROR((FILTER('Fund Data'!$Y:$Y, 'Fund Data'!$C:$C = $C1037, 'Fund Data'!$A:$A = $A1037 - 1, 'Fund Data'!$B:$B = 12) + FILTER('Fund Data'!$AA:$AA, 'Fund Data'!$C:$C = $C1037, 'Fund Data'!$A:$A = $A1037 - 1, 'Fund Data'!$B:$B = 12)) * (1 + AVERAGE(FILTER"&amp;"('Inflation Data'!$C:$C,'Inflation Data'!$A:$A = ($A1037 - 2)))) * 'Parameters and Distribution Sum'!$A$4,0)"),4037.921818829265)</f>
        <v>4037.921819</v>
      </c>
      <c r="X1037" s="52">
        <f>IFERROR(__xludf.DUMMYFUNCTION("IFERROR((IFERROR(FILTER('Fund Data'!$P:$P,'Fund Data'!$C:$C = $C1037,'Fund Data'!$A:$A = ($A1037 - 2), 'Fund Data'!$B:$B = 12),0) - SUM(FILTER('Fund Data'!$V:$V, 'Fund Data'!$C:$C = $C1037, 'Fund Data'!$A:$A = ($A1037 - 2), 'Fund Data'!$B:$B &gt; 3)))  * 'Pa"&amp;"rameters and Distribution Sum'!$B$4 * (1 - 'Parameters and Distribution Sum'!$A$4),0)"),1694.4194250000005)</f>
        <v>1694.419425</v>
      </c>
      <c r="Y1037" s="52">
        <f t="shared" si="97"/>
        <v>5732.341244</v>
      </c>
      <c r="Z1037" s="52">
        <f>IFERROR(__xludf.DUMMYFUNCTION("((IFERROR((SUM(FILTER('Fund Data'!$V:$V, 'Fund Data'!$C:$C = $C1037, 'Fund Data'!$A:$A = $A1037 - 1, 'Fund Data'!$B:$B &gt;= 4, 'Fund Data'!$B:$B &lt;= ($B1037 + 5))) / 12) * ($B1037 - 3) * 'Parameters and Distribution Sum'!$B$4, 0) + IF($B1037 &gt;= 9, IFERROR(SU"&amp;"M(FILTER('Fund Data'!$V:$V, 'Fund Data'!$C:$C = $C1037, 'Fund Data'!$A:$A = $A1037, 'Fund Data'!$B:$B &lt;= 3)) * 'Parameters and Distribution Sum'!$B$4, 0),0)))"),0.0)</f>
        <v>0</v>
      </c>
      <c r="AA1037" s="44">
        <f>IFERROR(__xludf.DUMMYFUNCTION("IFERROR(((IFERROR(SUM(FILTER('Fund Data'!$V:$V, 'Fund Data'!$C:$C = $C1037, 'Fund Data'!$A:$A = $A1037 - 2, 'Fund Data'!$B:$B &gt;= 4)) * 'Parameters and Distribution Sum'!$B$4,0) + IFERROR(SUM(FILTER('Fund Data'!$V:$V, 'Fund Data'!$C:$C = $C1037, 'Fund Data"&amp;"'!$A:$A = $A1037 - 1, 'Fund Data'!$B:$B &lt;= 3)) * 'Parameters and Distribution Sum'!$B$4,0))),0)"),0.0)</f>
        <v>0</v>
      </c>
      <c r="AB1037" s="44">
        <f t="shared" si="98"/>
        <v>0</v>
      </c>
      <c r="AC1037" s="44">
        <f t="shared" si="99"/>
        <v>5732.341244</v>
      </c>
      <c r="AD1037" s="44">
        <f t="shared" si="7"/>
        <v>5732.341244</v>
      </c>
      <c r="AE1037" s="44"/>
    </row>
    <row r="1038">
      <c r="A1038" s="120">
        <v>2019.0</v>
      </c>
      <c r="B1038" s="121">
        <v>2.0</v>
      </c>
      <c r="C1038" s="122" t="s">
        <v>63</v>
      </c>
      <c r="D1038" s="44"/>
      <c r="E1038" s="123">
        <v>790.7</v>
      </c>
      <c r="F1038" s="44"/>
      <c r="G1038" s="44"/>
      <c r="H1038" s="123">
        <v>-107.13</v>
      </c>
      <c r="I1038" s="44"/>
      <c r="J1038" s="44"/>
      <c r="K1038" s="44"/>
      <c r="L1038" s="123">
        <v>8514.53</v>
      </c>
      <c r="M1038" s="44"/>
      <c r="N1038" s="44"/>
      <c r="O1038" s="123">
        <v>119496.0</v>
      </c>
      <c r="P1038" s="52">
        <f t="shared" si="23"/>
        <v>119495.58</v>
      </c>
      <c r="Q1038" s="124">
        <f t="shared" si="2"/>
        <v>0.42</v>
      </c>
      <c r="R1038" s="52">
        <f t="array" ref="R1038">IFERROR(INDEX('Fund YTD Target Values'!$1:$1000, MATCH($C1038,'Fund YTD Target Values'!$A:$A,0), MATCH($A1038,'Fund YTD Target Values'!$1:$1,0)),0)</f>
        <v>132976.5995</v>
      </c>
      <c r="S1038" s="52">
        <f>IFERROR(__xludf.DUMMYFUNCTION("IFERROR(sum(FILTER('Fund Data'!$V:$V, 'Fund Data'!$C:$C = $C1038, 'Fund Data'!$A:$A &lt; $A1038)),0) + IFERROR(sum(FILTER('Fund Data'!$V:$V, 'Fund Data'!$C:$C = $C1038, 'Fund Data'!$A:$A = $A1038, 'Fund Data'!$B:$B &lt;= $B1038)),0)"),100000.0)</f>
        <v>100000</v>
      </c>
      <c r="T1038" s="123">
        <v>100000.0</v>
      </c>
      <c r="U1038" s="44">
        <f t="shared" si="93"/>
        <v>0</v>
      </c>
      <c r="V1038" s="44">
        <f t="shared" si="3"/>
        <v>0</v>
      </c>
      <c r="W1038" s="52">
        <f>IFERROR(__xludf.DUMMYFUNCTION("iFERROR((FILTER('Fund Data'!$Y:$Y, 'Fund Data'!$C:$C = $C1038, 'Fund Data'!$A:$A = $A1038 - 1, 'Fund Data'!$B:$B = 12) + FILTER('Fund Data'!$AA:$AA, 'Fund Data'!$C:$C = $C1038, 'Fund Data'!$A:$A = $A1038 - 1, 'Fund Data'!$B:$B = 12)) * (1 + AVERAGE(FILTER"&amp;"('Inflation Data'!$C:$C,'Inflation Data'!$A:$A = ($A1038 - 2)))) * 'Parameters and Distribution Sum'!$A$4,0)"),4037.921818829265)</f>
        <v>4037.921819</v>
      </c>
      <c r="X1038" s="52">
        <f>IFERROR(__xludf.DUMMYFUNCTION("IFERROR((IFERROR(FILTER('Fund Data'!$P:$P,'Fund Data'!$C:$C = $C1038,'Fund Data'!$A:$A = ($A1038 - 2), 'Fund Data'!$B:$B = 12),0) - SUM(FILTER('Fund Data'!$V:$V, 'Fund Data'!$C:$C = $C1038, 'Fund Data'!$A:$A = ($A1038 - 2), 'Fund Data'!$B:$B &gt; 3)))  * 'Pa"&amp;"rameters and Distribution Sum'!$B$4 * (1 - 'Parameters and Distribution Sum'!$A$4),0)"),1694.4194250000005)</f>
        <v>1694.419425</v>
      </c>
      <c r="Y1038" s="52">
        <f t="shared" si="97"/>
        <v>5732.341244</v>
      </c>
      <c r="Z1038" s="52">
        <f>IFERROR(__xludf.DUMMYFUNCTION("((IFERROR((SUM(FILTER('Fund Data'!$V:$V, 'Fund Data'!$C:$C = $C1038, 'Fund Data'!$A:$A = $A1038 - 1, 'Fund Data'!$B:$B &gt;= 4, 'Fund Data'!$B:$B &lt;= ($B1038 + 5))) / 12) * ($B1038 - 3) * 'Parameters and Distribution Sum'!$B$4, 0) + IF($B1038 &gt;= 9, IFERROR(SU"&amp;"M(FILTER('Fund Data'!$V:$V, 'Fund Data'!$C:$C = $C1038, 'Fund Data'!$A:$A = $A1038, 'Fund Data'!$B:$B &lt;= 3)) * 'Parameters and Distribution Sum'!$B$4, 0),0)))"),0.0)</f>
        <v>0</v>
      </c>
      <c r="AA1038" s="44">
        <f>IFERROR(__xludf.DUMMYFUNCTION("IFERROR(((IFERROR(SUM(FILTER('Fund Data'!$V:$V, 'Fund Data'!$C:$C = $C1038, 'Fund Data'!$A:$A = $A1038 - 2, 'Fund Data'!$B:$B &gt;= 4)) * 'Parameters and Distribution Sum'!$B$4,0) + IFERROR(SUM(FILTER('Fund Data'!$V:$V, 'Fund Data'!$C:$C = $C1038, 'Fund Data"&amp;"'!$A:$A = $A1038 - 1, 'Fund Data'!$B:$B &lt;= 3)) * 'Parameters and Distribution Sum'!$B$4,0))),0)"),0.0)</f>
        <v>0</v>
      </c>
      <c r="AB1038" s="44">
        <f t="shared" si="98"/>
        <v>0</v>
      </c>
      <c r="AC1038" s="44">
        <f t="shared" si="99"/>
        <v>5732.341244</v>
      </c>
      <c r="AD1038" s="44">
        <f t="shared" si="7"/>
        <v>5732.341244</v>
      </c>
      <c r="AE1038" s="44"/>
    </row>
    <row r="1039">
      <c r="A1039" s="120">
        <v>2019.0</v>
      </c>
      <c r="B1039" s="121">
        <v>1.0</v>
      </c>
      <c r="C1039" s="122" t="s">
        <v>63</v>
      </c>
      <c r="D1039" s="44"/>
      <c r="E1039" s="123">
        <v>731.32</v>
      </c>
      <c r="F1039" s="44"/>
      <c r="G1039" s="44"/>
      <c r="H1039" s="123">
        <v>-52.05</v>
      </c>
      <c r="I1039" s="44"/>
      <c r="J1039" s="44"/>
      <c r="K1039" s="44"/>
      <c r="L1039" s="123">
        <v>6586.71</v>
      </c>
      <c r="M1039" s="44"/>
      <c r="N1039" s="44"/>
      <c r="O1039" s="123">
        <v>117564.0</v>
      </c>
      <c r="P1039" s="52">
        <f t="shared" si="23"/>
        <v>117563.46</v>
      </c>
      <c r="Q1039" s="124">
        <f t="shared" si="2"/>
        <v>0.54</v>
      </c>
      <c r="R1039" s="52">
        <f t="array" ref="R1039">IFERROR(INDEX('Fund YTD Target Values'!$1:$1000, MATCH($C1039,'Fund YTD Target Values'!$A:$A,0), MATCH($A1039,'Fund YTD Target Values'!$1:$1,0)),0)</f>
        <v>132976.5995</v>
      </c>
      <c r="S1039" s="52">
        <f>IFERROR(__xludf.DUMMYFUNCTION("IFERROR(sum(FILTER('Fund Data'!$V:$V, 'Fund Data'!$C:$C = $C1039, 'Fund Data'!$A:$A &lt; $A1039)),0) + IFERROR(sum(FILTER('Fund Data'!$V:$V, 'Fund Data'!$C:$C = $C1039, 'Fund Data'!$A:$A = $A1039, 'Fund Data'!$B:$B &lt;= $B1039)),0)"),100000.0)</f>
        <v>100000</v>
      </c>
      <c r="T1039" s="123">
        <v>100000.0</v>
      </c>
      <c r="U1039" s="44">
        <f t="shared" si="93"/>
        <v>0</v>
      </c>
      <c r="V1039" s="44">
        <f t="shared" si="3"/>
        <v>0</v>
      </c>
      <c r="W1039" s="52">
        <f>IFERROR(__xludf.DUMMYFUNCTION("iFERROR((FILTER('Fund Data'!$Y:$Y, 'Fund Data'!$C:$C = $C1039, 'Fund Data'!$A:$A = $A1039 - 1, 'Fund Data'!$B:$B = 12) + FILTER('Fund Data'!$AA:$AA, 'Fund Data'!$C:$C = $C1039, 'Fund Data'!$A:$A = $A1039 - 1, 'Fund Data'!$B:$B = 12)) * (1 + AVERAGE(FILTER"&amp;"('Inflation Data'!$C:$C,'Inflation Data'!$A:$A = ($A1039 - 2)))) * 'Parameters and Distribution Sum'!$A$4,0)"),4037.921818829265)</f>
        <v>4037.921819</v>
      </c>
      <c r="X1039" s="52">
        <f>IFERROR(__xludf.DUMMYFUNCTION("IFERROR((IFERROR(FILTER('Fund Data'!$P:$P,'Fund Data'!$C:$C = $C1039,'Fund Data'!$A:$A = ($A1039 - 2), 'Fund Data'!$B:$B = 12),0) - SUM(FILTER('Fund Data'!$V:$V, 'Fund Data'!$C:$C = $C1039, 'Fund Data'!$A:$A = ($A1039 - 2), 'Fund Data'!$B:$B &gt; 3)))  * 'Pa"&amp;"rameters and Distribution Sum'!$B$4 * (1 - 'Parameters and Distribution Sum'!$A$4),0)"),1694.4194250000005)</f>
        <v>1694.419425</v>
      </c>
      <c r="Y1039" s="52">
        <f t="shared" si="97"/>
        <v>5732.341244</v>
      </c>
      <c r="Z1039" s="52">
        <f>IFERROR(__xludf.DUMMYFUNCTION("((IFERROR((SUM(FILTER('Fund Data'!$V:$V, 'Fund Data'!$C:$C = $C1039, 'Fund Data'!$A:$A = $A1039 - 1, 'Fund Data'!$B:$B &gt;= 4, 'Fund Data'!$B:$B &lt;= ($B1039 + 5))) / 12) * ($B1039 - 3) * 'Parameters and Distribution Sum'!$B$4, 0) + IF($B1039 &gt;= 9, IFERROR(SU"&amp;"M(FILTER('Fund Data'!$V:$V, 'Fund Data'!$C:$C = $C1039, 'Fund Data'!$A:$A = $A1039, 'Fund Data'!$B:$B &lt;= 3)) * 'Parameters and Distribution Sum'!$B$4, 0),0)))"),0.0)</f>
        <v>0</v>
      </c>
      <c r="AA1039" s="44">
        <f>IFERROR(__xludf.DUMMYFUNCTION("IFERROR(((IFERROR(SUM(FILTER('Fund Data'!$V:$V, 'Fund Data'!$C:$C = $C1039, 'Fund Data'!$A:$A = $A1039 - 2, 'Fund Data'!$B:$B &gt;= 4)) * 'Parameters and Distribution Sum'!$B$4,0) + IFERROR(SUM(FILTER('Fund Data'!$V:$V, 'Fund Data'!$C:$C = $C1039, 'Fund Data"&amp;"'!$A:$A = $A1039 - 1, 'Fund Data'!$B:$B &lt;= 3)) * 'Parameters and Distribution Sum'!$B$4,0))),0)"),0.0)</f>
        <v>0</v>
      </c>
      <c r="AB1039" s="44">
        <f t="shared" si="98"/>
        <v>0</v>
      </c>
      <c r="AC1039" s="44">
        <f t="shared" si="99"/>
        <v>5732.341244</v>
      </c>
      <c r="AD1039" s="44">
        <f t="shared" si="7"/>
        <v>5732.341244</v>
      </c>
      <c r="AE1039" s="44"/>
    </row>
    <row r="1040">
      <c r="A1040" s="120">
        <v>2018.0</v>
      </c>
      <c r="B1040" s="121">
        <v>12.0</v>
      </c>
      <c r="C1040" s="122" t="s">
        <v>63</v>
      </c>
      <c r="D1040" s="44"/>
      <c r="E1040" s="123">
        <v>2661.11</v>
      </c>
      <c r="F1040" s="123">
        <v>-6000.0</v>
      </c>
      <c r="G1040" s="44"/>
      <c r="H1040" s="123">
        <v>-732.48</v>
      </c>
      <c r="I1040" s="44"/>
      <c r="J1040" s="123">
        <v>1482.8</v>
      </c>
      <c r="K1040" s="44"/>
      <c r="L1040" s="123">
        <v>-12626.5</v>
      </c>
      <c r="M1040" s="44"/>
      <c r="N1040" s="44"/>
      <c r="O1040" s="123">
        <v>110298.0</v>
      </c>
      <c r="P1040" s="52">
        <f t="shared" si="23"/>
        <v>110297.48</v>
      </c>
      <c r="Q1040" s="124">
        <f t="shared" si="2"/>
        <v>0.52</v>
      </c>
      <c r="R1040" s="52">
        <f t="array" ref="R1040">IFERROR(INDEX('Fund YTD Target Values'!$1:$1000, MATCH($C1040,'Fund YTD Target Values'!$A:$A,0), MATCH($A1040,'Fund YTD Target Values'!$1:$1,0)),0)</f>
        <v>130697.0954</v>
      </c>
      <c r="S1040" s="52">
        <f>IFERROR(__xludf.DUMMYFUNCTION("IFERROR(sum(FILTER('Fund Data'!$V:$V, 'Fund Data'!$C:$C = $C1040, 'Fund Data'!$A:$A &lt; $A1040)),0) + IFERROR(sum(FILTER('Fund Data'!$V:$V, 'Fund Data'!$C:$C = $C1040, 'Fund Data'!$A:$A = $A1040, 'Fund Data'!$B:$B &lt;= $B1040)),0)"),100000.0)</f>
        <v>100000</v>
      </c>
      <c r="T1040" s="123">
        <v>100000.0</v>
      </c>
      <c r="U1040" s="44">
        <f t="shared" si="93"/>
        <v>0</v>
      </c>
      <c r="V1040" s="44">
        <f t="shared" si="3"/>
        <v>0</v>
      </c>
      <c r="W1040" s="52"/>
      <c r="X1040" s="52"/>
      <c r="Y1040" s="52">
        <v>5648.0647500000005</v>
      </c>
      <c r="Z1040" s="123">
        <v>0.0</v>
      </c>
      <c r="AA1040" s="123">
        <v>0.0</v>
      </c>
      <c r="AB1040" s="44">
        <f t="shared" si="98"/>
        <v>0</v>
      </c>
      <c r="AC1040" s="44">
        <f t="shared" si="99"/>
        <v>5648.06475</v>
      </c>
      <c r="AD1040" s="44">
        <f t="shared" si="7"/>
        <v>-351.93525</v>
      </c>
      <c r="AE1040" s="123">
        <v>0.0</v>
      </c>
    </row>
    <row r="1041">
      <c r="A1041" s="120">
        <v>2018.0</v>
      </c>
      <c r="B1041" s="121">
        <v>11.0</v>
      </c>
      <c r="C1041" s="122" t="s">
        <v>63</v>
      </c>
      <c r="D1041" s="44"/>
      <c r="E1041" s="123">
        <v>2505.68</v>
      </c>
      <c r="F1041" s="123">
        <v>-6000.0</v>
      </c>
      <c r="G1041" s="44"/>
      <c r="H1041" s="123">
        <v>-677.73</v>
      </c>
      <c r="I1041" s="44"/>
      <c r="J1041" s="123">
        <v>1482.8</v>
      </c>
      <c r="K1041" s="44"/>
      <c r="L1041" s="123">
        <v>-6109.32</v>
      </c>
      <c r="M1041" s="44"/>
      <c r="N1041" s="44"/>
      <c r="O1041" s="123">
        <v>116715.0</v>
      </c>
      <c r="P1041" s="52">
        <f t="shared" si="23"/>
        <v>116713.98</v>
      </c>
      <c r="Q1041" s="124">
        <f t="shared" si="2"/>
        <v>1.02</v>
      </c>
      <c r="R1041" s="52">
        <f t="array" ref="R1041">IFERROR(INDEX('Fund YTD Target Values'!$1:$1000, MATCH($C1041,'Fund YTD Target Values'!$A:$A,0), MATCH($A1041,'Fund YTD Target Values'!$1:$1,0)),0)</f>
        <v>130697.0954</v>
      </c>
      <c r="S1041" s="52">
        <f>IFERROR(__xludf.DUMMYFUNCTION("IFERROR(sum(FILTER('Fund Data'!$V:$V, 'Fund Data'!$C:$C = $C1041, 'Fund Data'!$A:$A &lt; $A1041)),0) + IFERROR(sum(FILTER('Fund Data'!$V:$V, 'Fund Data'!$C:$C = $C1041, 'Fund Data'!$A:$A = $A1041, 'Fund Data'!$B:$B &lt;= $B1041)),0)"),100000.0)</f>
        <v>100000</v>
      </c>
      <c r="T1041" s="123">
        <v>100000.0</v>
      </c>
      <c r="U1041" s="44">
        <f t="shared" si="93"/>
        <v>0</v>
      </c>
      <c r="V1041" s="44">
        <f t="shared" si="3"/>
        <v>0</v>
      </c>
      <c r="W1041" s="123"/>
      <c r="X1041" s="123"/>
      <c r="Y1041" s="123">
        <v>0.0</v>
      </c>
      <c r="Z1041" s="123">
        <v>0.0</v>
      </c>
      <c r="AA1041" s="123">
        <v>0.0</v>
      </c>
      <c r="AB1041" s="123"/>
      <c r="AC1041" s="123">
        <v>0.0</v>
      </c>
      <c r="AD1041" s="44">
        <f t="shared" si="7"/>
        <v>-6000</v>
      </c>
      <c r="AE1041" s="123">
        <v>0.0</v>
      </c>
    </row>
    <row r="1042">
      <c r="A1042" s="120">
        <v>2018.0</v>
      </c>
      <c r="B1042" s="121">
        <v>10.0</v>
      </c>
      <c r="C1042" s="135" t="s">
        <v>63</v>
      </c>
      <c r="D1042" s="138"/>
      <c r="E1042" s="137">
        <v>2401.98</v>
      </c>
      <c r="F1042" s="136">
        <v>-6000.0</v>
      </c>
      <c r="G1042" s="138"/>
      <c r="H1042" s="137">
        <v>-566.64</v>
      </c>
      <c r="I1042" s="138"/>
      <c r="J1042" s="136">
        <v>1482.8</v>
      </c>
      <c r="K1042" s="138"/>
      <c r="L1042" s="136">
        <v>-7116.39</v>
      </c>
      <c r="M1042" s="44"/>
      <c r="N1042" s="44"/>
      <c r="O1042" s="136">
        <v>115715.0</v>
      </c>
      <c r="P1042" s="52">
        <f t="shared" si="23"/>
        <v>115714.3</v>
      </c>
      <c r="Q1042" s="124">
        <f t="shared" si="2"/>
        <v>0.7</v>
      </c>
      <c r="R1042" s="52">
        <f t="array" ref="R1042">IFERROR(INDEX('Fund YTD Target Values'!$1:$1000, MATCH($C1042,'Fund YTD Target Values'!$A:$A,0), MATCH($A1042,'Fund YTD Target Values'!$1:$1,0)),0)</f>
        <v>130697.0954</v>
      </c>
      <c r="S1042" s="52">
        <f>IFERROR(__xludf.DUMMYFUNCTION("IFERROR(sum(FILTER('Fund Data'!$V:$V, 'Fund Data'!$C:$C = $C1042, 'Fund Data'!$A:$A &lt; $A1042)),0) + IFERROR(sum(FILTER('Fund Data'!$V:$V, 'Fund Data'!$C:$C = $C1042, 'Fund Data'!$A:$A = $A1042, 'Fund Data'!$B:$B &lt;= $B1042)),0)"),100000.0)</f>
        <v>100000</v>
      </c>
      <c r="T1042" s="123">
        <v>100000.0</v>
      </c>
      <c r="U1042" s="44">
        <f t="shared" si="93"/>
        <v>0</v>
      </c>
      <c r="V1042" s="44">
        <f t="shared" si="3"/>
        <v>0</v>
      </c>
      <c r="W1042" s="123"/>
      <c r="X1042" s="123"/>
      <c r="Y1042" s="123">
        <v>0.0</v>
      </c>
      <c r="Z1042" s="123">
        <v>0.0</v>
      </c>
      <c r="AA1042" s="123">
        <v>0.0</v>
      </c>
      <c r="AB1042" s="123"/>
      <c r="AC1042" s="123">
        <v>0.0</v>
      </c>
      <c r="AD1042" s="44">
        <f t="shared" si="7"/>
        <v>-6000</v>
      </c>
      <c r="AE1042" s="123">
        <v>0.0</v>
      </c>
    </row>
    <row r="1043">
      <c r="A1043" s="120">
        <v>2018.0</v>
      </c>
      <c r="B1043" s="121">
        <v>9.0</v>
      </c>
      <c r="C1043" s="122" t="s">
        <v>63</v>
      </c>
      <c r="D1043" s="44"/>
      <c r="E1043" s="123">
        <v>2053.99</v>
      </c>
      <c r="F1043" s="123">
        <v>-6000.0</v>
      </c>
      <c r="G1043" s="44"/>
      <c r="H1043" s="123">
        <v>-566.64</v>
      </c>
      <c r="I1043" s="44"/>
      <c r="J1043" s="123">
        <v>1482.8</v>
      </c>
      <c r="K1043" s="44"/>
      <c r="L1043" s="123">
        <v>-908.53</v>
      </c>
      <c r="M1043" s="44"/>
      <c r="N1043" s="44"/>
      <c r="O1043" s="123">
        <v>121575.0</v>
      </c>
      <c r="P1043" s="52">
        <f t="shared" si="23"/>
        <v>121574.17</v>
      </c>
      <c r="Q1043" s="124">
        <f t="shared" si="2"/>
        <v>0.83</v>
      </c>
      <c r="R1043" s="52">
        <f t="array" ref="R1043">IFERROR(INDEX('Fund YTD Target Values'!$1:$1000, MATCH($C1043,'Fund YTD Target Values'!$A:$A,0), MATCH($A1043,'Fund YTD Target Values'!$1:$1,0)),0)</f>
        <v>130697.0954</v>
      </c>
      <c r="S1043" s="52">
        <f>IFERROR(__xludf.DUMMYFUNCTION("IFERROR(sum(FILTER('Fund Data'!$V:$V, 'Fund Data'!$C:$C = $C1043, 'Fund Data'!$A:$A &lt; $A1043)),0) + IFERROR(sum(FILTER('Fund Data'!$V:$V, 'Fund Data'!$C:$C = $C1043, 'Fund Data'!$A:$A = $A1043, 'Fund Data'!$B:$B &lt;= $B1043)),0)"),100000.0)</f>
        <v>100000</v>
      </c>
      <c r="T1043" s="123">
        <v>100000.0</v>
      </c>
      <c r="U1043" s="44">
        <f t="shared" si="93"/>
        <v>0</v>
      </c>
      <c r="V1043" s="44">
        <f t="shared" si="3"/>
        <v>0</v>
      </c>
      <c r="W1043" s="123"/>
      <c r="X1043" s="123"/>
      <c r="Y1043" s="123">
        <v>0.0</v>
      </c>
      <c r="Z1043" s="123">
        <v>0.0</v>
      </c>
      <c r="AA1043" s="123">
        <v>0.0</v>
      </c>
      <c r="AB1043" s="123"/>
      <c r="AC1043" s="123">
        <v>0.0</v>
      </c>
      <c r="AD1043" s="44">
        <f t="shared" si="7"/>
        <v>-6000</v>
      </c>
      <c r="AE1043" s="123">
        <v>0.0</v>
      </c>
    </row>
    <row r="1044">
      <c r="A1044" s="120">
        <v>2018.0</v>
      </c>
      <c r="B1044" s="121">
        <v>8.0</v>
      </c>
      <c r="C1044" s="122" t="s">
        <v>63</v>
      </c>
      <c r="D1044" s="44"/>
      <c r="E1044" s="123">
        <v>1947.74</v>
      </c>
      <c r="F1044" s="123">
        <v>-4200.0</v>
      </c>
      <c r="G1044" s="44"/>
      <c r="H1044" s="123">
        <v>-504.74</v>
      </c>
      <c r="I1044" s="44"/>
      <c r="J1044" s="123">
        <v>882.76</v>
      </c>
      <c r="K1044" s="44"/>
      <c r="L1044" s="123">
        <v>144.48</v>
      </c>
      <c r="M1044" s="44"/>
      <c r="N1044" s="44"/>
      <c r="O1044" s="123">
        <v>123784.0</v>
      </c>
      <c r="P1044" s="52">
        <f t="shared" si="23"/>
        <v>123782.79</v>
      </c>
      <c r="Q1044" s="124">
        <f t="shared" si="2"/>
        <v>1.21</v>
      </c>
      <c r="R1044" s="52">
        <f t="array" ref="R1044">IFERROR(INDEX('Fund YTD Target Values'!$1:$1000, MATCH($C1044,'Fund YTD Target Values'!$A:$A,0), MATCH($A1044,'Fund YTD Target Values'!$1:$1,0)),0)</f>
        <v>130697.0954</v>
      </c>
      <c r="S1044" s="52">
        <f>IFERROR(__xludf.DUMMYFUNCTION("IFERROR(sum(FILTER('Fund Data'!$V:$V, 'Fund Data'!$C:$C = $C1044, 'Fund Data'!$A:$A &lt; $A1044)),0) + IFERROR(sum(FILTER('Fund Data'!$V:$V, 'Fund Data'!$C:$C = $C1044, 'Fund Data'!$A:$A = $A1044, 'Fund Data'!$B:$B &lt;= $B1044)),0)"),100000.0)</f>
        <v>100000</v>
      </c>
      <c r="T1044" s="123">
        <v>100000.0</v>
      </c>
      <c r="U1044" s="44">
        <f t="shared" si="93"/>
        <v>0</v>
      </c>
      <c r="V1044" s="44">
        <f t="shared" si="3"/>
        <v>0</v>
      </c>
      <c r="W1044" s="123"/>
      <c r="X1044" s="123"/>
      <c r="Y1044" s="123">
        <v>0.0</v>
      </c>
      <c r="Z1044" s="123">
        <v>0.0</v>
      </c>
      <c r="AA1044" s="123">
        <v>0.0</v>
      </c>
      <c r="AB1044" s="123"/>
      <c r="AC1044" s="123">
        <v>0.0</v>
      </c>
      <c r="AD1044" s="44">
        <f t="shared" si="7"/>
        <v>-4200</v>
      </c>
      <c r="AE1044" s="123">
        <v>0.0</v>
      </c>
    </row>
    <row r="1045">
      <c r="A1045" s="120">
        <v>2018.0</v>
      </c>
      <c r="B1045" s="121">
        <v>7.0</v>
      </c>
      <c r="C1045" s="122" t="s">
        <v>63</v>
      </c>
      <c r="D1045" s="44"/>
      <c r="E1045" s="123">
        <v>1843.66</v>
      </c>
      <c r="F1045" s="123">
        <v>-1200.0</v>
      </c>
      <c r="G1045" s="44"/>
      <c r="H1045" s="123">
        <v>-441.55</v>
      </c>
      <c r="I1045" s="44"/>
      <c r="J1045" s="44"/>
      <c r="K1045" s="44"/>
      <c r="L1045" s="123">
        <v>664.47</v>
      </c>
      <c r="M1045" s="44"/>
      <c r="N1045" s="44"/>
      <c r="O1045" s="123">
        <v>126380.0</v>
      </c>
      <c r="P1045" s="52">
        <f t="shared" si="23"/>
        <v>126379.13</v>
      </c>
      <c r="Q1045" s="124">
        <f t="shared" si="2"/>
        <v>0.87</v>
      </c>
      <c r="R1045" s="52">
        <f t="array" ref="R1045">IFERROR(INDEX('Fund YTD Target Values'!$1:$1000, MATCH($C1045,'Fund YTD Target Values'!$A:$A,0), MATCH($A1045,'Fund YTD Target Values'!$1:$1,0)),0)</f>
        <v>130697.0954</v>
      </c>
      <c r="S1045" s="52">
        <f>IFERROR(__xludf.DUMMYFUNCTION("IFERROR(sum(FILTER('Fund Data'!$V:$V, 'Fund Data'!$C:$C = $C1045, 'Fund Data'!$A:$A &lt; $A1045)),0) + IFERROR(sum(FILTER('Fund Data'!$V:$V, 'Fund Data'!$C:$C = $C1045, 'Fund Data'!$A:$A = $A1045, 'Fund Data'!$B:$B &lt;= $B1045)),0)"),100000.0)</f>
        <v>100000</v>
      </c>
      <c r="T1045" s="123">
        <v>100000.0</v>
      </c>
      <c r="U1045" s="44">
        <f t="shared" si="93"/>
        <v>0</v>
      </c>
      <c r="V1045" s="44">
        <f t="shared" si="3"/>
        <v>0</v>
      </c>
      <c r="W1045" s="123"/>
      <c r="X1045" s="123"/>
      <c r="Y1045" s="123">
        <v>0.0</v>
      </c>
      <c r="Z1045" s="123">
        <v>0.0</v>
      </c>
      <c r="AA1045" s="123">
        <v>0.0</v>
      </c>
      <c r="AB1045" s="123"/>
      <c r="AC1045" s="123">
        <v>0.0</v>
      </c>
      <c r="AD1045" s="44">
        <f t="shared" si="7"/>
        <v>-1200</v>
      </c>
      <c r="AE1045" s="123">
        <v>0.0</v>
      </c>
    </row>
    <row r="1046">
      <c r="A1046" s="120">
        <v>2018.0</v>
      </c>
      <c r="B1046" s="121">
        <v>6.0</v>
      </c>
      <c r="C1046" s="122" t="s">
        <v>63</v>
      </c>
      <c r="D1046" s="44"/>
      <c r="E1046" s="123">
        <v>1561.28</v>
      </c>
      <c r="F1046" s="123">
        <v>-1200.0</v>
      </c>
      <c r="G1046" s="44"/>
      <c r="H1046" s="123">
        <v>-379.5</v>
      </c>
      <c r="I1046" s="44"/>
      <c r="J1046" s="44"/>
      <c r="K1046" s="44"/>
      <c r="L1046" s="123">
        <v>-1389.4</v>
      </c>
      <c r="M1046" s="44"/>
      <c r="N1046" s="44"/>
      <c r="O1046" s="123">
        <v>124106.0</v>
      </c>
      <c r="P1046" s="52">
        <f t="shared" si="23"/>
        <v>124104.93</v>
      </c>
      <c r="Q1046" s="124">
        <f t="shared" si="2"/>
        <v>1.07</v>
      </c>
      <c r="R1046" s="52">
        <f t="array" ref="R1046">IFERROR(INDEX('Fund YTD Target Values'!$1:$1000, MATCH($C1046,'Fund YTD Target Values'!$A:$A,0), MATCH($A1046,'Fund YTD Target Values'!$1:$1,0)),0)</f>
        <v>130697.0954</v>
      </c>
      <c r="S1046" s="52">
        <f>IFERROR(__xludf.DUMMYFUNCTION("IFERROR(sum(FILTER('Fund Data'!$V:$V, 'Fund Data'!$C:$C = $C1046, 'Fund Data'!$A:$A &lt; $A1046)),0) + IFERROR(sum(FILTER('Fund Data'!$V:$V, 'Fund Data'!$C:$C = $C1046, 'Fund Data'!$A:$A = $A1046, 'Fund Data'!$B:$B &lt;= $B1046)),0)"),100000.0)</f>
        <v>100000</v>
      </c>
      <c r="T1046" s="123">
        <v>100000.0</v>
      </c>
      <c r="U1046" s="44">
        <f t="shared" si="93"/>
        <v>0</v>
      </c>
      <c r="V1046" s="44">
        <f t="shared" si="3"/>
        <v>0</v>
      </c>
      <c r="W1046" s="123"/>
      <c r="X1046" s="123"/>
      <c r="Y1046" s="123">
        <v>0.0</v>
      </c>
      <c r="Z1046" s="123">
        <v>0.0</v>
      </c>
      <c r="AA1046" s="123">
        <v>0.0</v>
      </c>
      <c r="AB1046" s="123"/>
      <c r="AC1046" s="123">
        <v>0.0</v>
      </c>
      <c r="AD1046" s="44">
        <f t="shared" si="7"/>
        <v>-1200</v>
      </c>
      <c r="AE1046" s="123">
        <v>0.0</v>
      </c>
    </row>
    <row r="1047">
      <c r="A1047" s="120">
        <v>2018.0</v>
      </c>
      <c r="B1047" s="121">
        <v>5.0</v>
      </c>
      <c r="C1047" s="122" t="s">
        <v>63</v>
      </c>
      <c r="D1047" s="44"/>
      <c r="E1047" s="123">
        <v>1382.02</v>
      </c>
      <c r="F1047" s="44"/>
      <c r="G1047" s="44"/>
      <c r="H1047" s="123">
        <v>-316.44</v>
      </c>
      <c r="I1047" s="44"/>
      <c r="J1047" s="44"/>
      <c r="K1047" s="44"/>
      <c r="L1047" s="123">
        <v>-454.02</v>
      </c>
      <c r="M1047" s="44"/>
      <c r="N1047" s="44"/>
      <c r="O1047" s="123">
        <v>126125.0</v>
      </c>
      <c r="P1047" s="52">
        <f t="shared" si="23"/>
        <v>126124.11</v>
      </c>
      <c r="Q1047" s="124">
        <f t="shared" si="2"/>
        <v>0.89</v>
      </c>
      <c r="R1047" s="52">
        <f t="array" ref="R1047">IFERROR(INDEX('Fund YTD Target Values'!$1:$1000, MATCH($C1047,'Fund YTD Target Values'!$A:$A,0), MATCH($A1047,'Fund YTD Target Values'!$1:$1,0)),0)</f>
        <v>130697.0954</v>
      </c>
      <c r="S1047" s="52">
        <f>IFERROR(__xludf.DUMMYFUNCTION("IFERROR(sum(FILTER('Fund Data'!$V:$V, 'Fund Data'!$C:$C = $C1047, 'Fund Data'!$A:$A &lt; $A1047)),0) + IFERROR(sum(FILTER('Fund Data'!$V:$V, 'Fund Data'!$C:$C = $C1047, 'Fund Data'!$A:$A = $A1047, 'Fund Data'!$B:$B &lt;= $B1047)),0)"),100000.0)</f>
        <v>100000</v>
      </c>
      <c r="T1047" s="123">
        <v>100000.0</v>
      </c>
      <c r="U1047" s="44">
        <f t="shared" si="93"/>
        <v>0</v>
      </c>
      <c r="V1047" s="44">
        <f t="shared" si="3"/>
        <v>0</v>
      </c>
      <c r="W1047" s="123"/>
      <c r="X1047" s="123"/>
      <c r="Y1047" s="123">
        <v>0.0</v>
      </c>
      <c r="Z1047" s="123">
        <v>0.0</v>
      </c>
      <c r="AA1047" s="123">
        <v>0.0</v>
      </c>
      <c r="AB1047" s="123"/>
      <c r="AC1047" s="123">
        <v>0.0</v>
      </c>
      <c r="AD1047" s="44">
        <f t="shared" si="7"/>
        <v>0</v>
      </c>
      <c r="AE1047" s="123">
        <v>0.0</v>
      </c>
    </row>
    <row r="1048">
      <c r="A1048" s="120">
        <v>2018.0</v>
      </c>
      <c r="B1048" s="121">
        <v>4.0</v>
      </c>
      <c r="C1048" s="122" t="s">
        <v>63</v>
      </c>
      <c r="D1048" s="44"/>
      <c r="E1048" s="123">
        <v>1282.78</v>
      </c>
      <c r="F1048" s="44"/>
      <c r="G1048" s="44"/>
      <c r="H1048" s="123">
        <v>-253.53</v>
      </c>
      <c r="I1048" s="44"/>
      <c r="J1048" s="44"/>
      <c r="K1048" s="44"/>
      <c r="L1048" s="123">
        <v>-718.31</v>
      </c>
      <c r="M1048" s="44"/>
      <c r="N1048" s="44"/>
      <c r="O1048" s="123">
        <v>125824.0</v>
      </c>
      <c r="P1048" s="52">
        <f t="shared" si="23"/>
        <v>125823.49</v>
      </c>
      <c r="Q1048" s="124">
        <f t="shared" si="2"/>
        <v>0.51</v>
      </c>
      <c r="R1048" s="52">
        <f t="array" ref="R1048">IFERROR(INDEX('Fund YTD Target Values'!$1:$1000, MATCH($C1048,'Fund YTD Target Values'!$A:$A,0), MATCH($A1048,'Fund YTD Target Values'!$1:$1,0)),0)</f>
        <v>130697.0954</v>
      </c>
      <c r="S1048" s="52">
        <f>IFERROR(__xludf.DUMMYFUNCTION("IFERROR(sum(FILTER('Fund Data'!$V:$V, 'Fund Data'!$C:$C = $C1048, 'Fund Data'!$A:$A &lt; $A1048)),0) + IFERROR(sum(FILTER('Fund Data'!$V:$V, 'Fund Data'!$C:$C = $C1048, 'Fund Data'!$A:$A = $A1048, 'Fund Data'!$B:$B &lt;= $B1048)),0)"),100000.0)</f>
        <v>100000</v>
      </c>
      <c r="T1048" s="123">
        <v>100000.0</v>
      </c>
      <c r="U1048" s="44">
        <f t="shared" si="93"/>
        <v>0</v>
      </c>
      <c r="V1048" s="44">
        <f t="shared" si="3"/>
        <v>0</v>
      </c>
      <c r="W1048" s="123"/>
      <c r="X1048" s="123"/>
      <c r="Y1048" s="123">
        <v>0.0</v>
      </c>
      <c r="Z1048" s="123">
        <v>0.0</v>
      </c>
      <c r="AA1048" s="123">
        <v>0.0</v>
      </c>
      <c r="AB1048" s="123"/>
      <c r="AC1048" s="123">
        <v>0.0</v>
      </c>
      <c r="AD1048" s="44">
        <f t="shared" si="7"/>
        <v>0</v>
      </c>
      <c r="AE1048" s="123">
        <v>0.0</v>
      </c>
    </row>
    <row r="1049">
      <c r="A1049" s="120">
        <v>2018.0</v>
      </c>
      <c r="B1049" s="121">
        <v>3.0</v>
      </c>
      <c r="C1049" s="122" t="s">
        <v>63</v>
      </c>
      <c r="D1049" s="44"/>
      <c r="E1049" s="123">
        <v>980.0</v>
      </c>
      <c r="F1049" s="44"/>
      <c r="G1049" s="44"/>
      <c r="H1049" s="123">
        <v>-190.79</v>
      </c>
      <c r="I1049" s="44"/>
      <c r="J1049" s="44"/>
      <c r="K1049" s="44"/>
      <c r="L1049" s="123">
        <v>-821.05</v>
      </c>
      <c r="M1049" s="44"/>
      <c r="N1049" s="44"/>
      <c r="O1049" s="123">
        <v>125482.0</v>
      </c>
      <c r="P1049" s="52">
        <f t="shared" si="23"/>
        <v>125480.71</v>
      </c>
      <c r="Q1049" s="124">
        <f t="shared" si="2"/>
        <v>1.29</v>
      </c>
      <c r="R1049" s="52">
        <f t="array" ref="R1049">IFERROR(INDEX('Fund YTD Target Values'!$1:$1000, MATCH($C1049,'Fund YTD Target Values'!$A:$A,0), MATCH($A1049,'Fund YTD Target Values'!$1:$1,0)),0)</f>
        <v>130697.0954</v>
      </c>
      <c r="S1049" s="52">
        <f>IFERROR(__xludf.DUMMYFUNCTION("IFERROR(sum(FILTER('Fund Data'!$V:$V, 'Fund Data'!$C:$C = $C1049, 'Fund Data'!$A:$A &lt; $A1049)),0) + IFERROR(sum(FILTER('Fund Data'!$V:$V, 'Fund Data'!$C:$C = $C1049, 'Fund Data'!$A:$A = $A1049, 'Fund Data'!$B:$B &lt;= $B1049)),0)"),100000.0)</f>
        <v>100000</v>
      </c>
      <c r="T1049" s="123">
        <v>100000.0</v>
      </c>
      <c r="U1049" s="44">
        <f t="shared" si="93"/>
        <v>0</v>
      </c>
      <c r="V1049" s="44">
        <f t="shared" si="3"/>
        <v>0</v>
      </c>
      <c r="W1049" s="123"/>
      <c r="X1049" s="123"/>
      <c r="Y1049" s="123">
        <v>0.0</v>
      </c>
      <c r="Z1049" s="123">
        <v>0.0</v>
      </c>
      <c r="AA1049" s="123">
        <v>0.0</v>
      </c>
      <c r="AB1049" s="123"/>
      <c r="AC1049" s="123">
        <v>0.0</v>
      </c>
      <c r="AD1049" s="44">
        <f t="shared" si="7"/>
        <v>0</v>
      </c>
      <c r="AE1049" s="123">
        <v>0.0</v>
      </c>
    </row>
    <row r="1050">
      <c r="A1050" s="120">
        <v>2018.0</v>
      </c>
      <c r="B1050" s="121">
        <v>2.0</v>
      </c>
      <c r="C1050" s="122" t="s">
        <v>63</v>
      </c>
      <c r="D1050" s="44"/>
      <c r="E1050" s="123">
        <v>869.57</v>
      </c>
      <c r="F1050" s="44"/>
      <c r="G1050" s="44"/>
      <c r="H1050" s="123">
        <v>-311.51</v>
      </c>
      <c r="I1050" s="44"/>
      <c r="J1050" s="44"/>
      <c r="K1050" s="44"/>
      <c r="L1050" s="123">
        <v>53.86</v>
      </c>
      <c r="M1050" s="44"/>
      <c r="N1050" s="44"/>
      <c r="O1050" s="123">
        <v>126125.0</v>
      </c>
      <c r="P1050" s="52">
        <f t="shared" si="23"/>
        <v>126124.47</v>
      </c>
      <c r="Q1050" s="124">
        <f t="shared" si="2"/>
        <v>0.53</v>
      </c>
      <c r="R1050" s="52">
        <f t="array" ref="R1050">IFERROR(INDEX('Fund YTD Target Values'!$1:$1000, MATCH($C1050,'Fund YTD Target Values'!$A:$A,0), MATCH($A1050,'Fund YTD Target Values'!$1:$1,0)),0)</f>
        <v>130697.0954</v>
      </c>
      <c r="S1050" s="52">
        <f>IFERROR(__xludf.DUMMYFUNCTION("IFERROR(sum(FILTER('Fund Data'!$V:$V, 'Fund Data'!$C:$C = $C1050, 'Fund Data'!$A:$A &lt; $A1050)),0) + IFERROR(sum(FILTER('Fund Data'!$V:$V, 'Fund Data'!$C:$C = $C1050, 'Fund Data'!$A:$A = $A1050, 'Fund Data'!$B:$B &lt;= $B1050)),0)"),100000.0)</f>
        <v>100000</v>
      </c>
      <c r="T1050" s="123">
        <v>100000.0</v>
      </c>
      <c r="U1050" s="44">
        <f t="shared" si="93"/>
        <v>0</v>
      </c>
      <c r="V1050" s="44">
        <f t="shared" si="3"/>
        <v>0</v>
      </c>
      <c r="W1050" s="123"/>
      <c r="X1050" s="123"/>
      <c r="Y1050" s="123">
        <v>0.0</v>
      </c>
      <c r="Z1050" s="123">
        <v>0.0</v>
      </c>
      <c r="AA1050" s="123">
        <v>0.0</v>
      </c>
      <c r="AB1050" s="123"/>
      <c r="AC1050" s="123">
        <v>0.0</v>
      </c>
      <c r="AD1050" s="44">
        <f t="shared" si="7"/>
        <v>0</v>
      </c>
      <c r="AE1050" s="123">
        <v>0.0</v>
      </c>
    </row>
    <row r="1051">
      <c r="A1051" s="120">
        <v>2018.0</v>
      </c>
      <c r="B1051" s="121">
        <v>1.0</v>
      </c>
      <c r="C1051" s="122" t="s">
        <v>63</v>
      </c>
      <c r="D1051" s="44"/>
      <c r="E1051" s="123">
        <v>776.27</v>
      </c>
      <c r="F1051" s="44"/>
      <c r="G1051" s="44"/>
      <c r="H1051" s="123">
        <v>-246.53</v>
      </c>
      <c r="I1051" s="44"/>
      <c r="J1051" s="44"/>
      <c r="K1051" s="44"/>
      <c r="L1051" s="123">
        <v>3918.01</v>
      </c>
      <c r="M1051" s="44"/>
      <c r="N1051" s="44"/>
      <c r="O1051" s="123">
        <v>129961.0</v>
      </c>
      <c r="P1051" s="52">
        <f t="shared" si="23"/>
        <v>129960.3</v>
      </c>
      <c r="Q1051" s="124">
        <f t="shared" si="2"/>
        <v>0.7</v>
      </c>
      <c r="R1051" s="52">
        <f t="array" ref="R1051">IFERROR(INDEX('Fund YTD Target Values'!$1:$1000, MATCH($C1051,'Fund YTD Target Values'!$A:$A,0), MATCH($A1051,'Fund YTD Target Values'!$1:$1,0)),0)</f>
        <v>130697.0954</v>
      </c>
      <c r="S1051" s="52">
        <f>IFERROR(__xludf.DUMMYFUNCTION("IFERROR(sum(FILTER('Fund Data'!$V:$V, 'Fund Data'!$C:$C = $C1051, 'Fund Data'!$A:$A &lt; $A1051)),0) + IFERROR(sum(FILTER('Fund Data'!$V:$V, 'Fund Data'!$C:$C = $C1051, 'Fund Data'!$A:$A = $A1051, 'Fund Data'!$B:$B &lt;= $B1051)),0)"),100000.0)</f>
        <v>100000</v>
      </c>
      <c r="T1051" s="123">
        <v>100000.0</v>
      </c>
      <c r="U1051" s="44">
        <f t="shared" si="93"/>
        <v>0</v>
      </c>
      <c r="V1051" s="44">
        <f t="shared" si="3"/>
        <v>0</v>
      </c>
      <c r="W1051" s="123"/>
      <c r="X1051" s="123"/>
      <c r="Y1051" s="123">
        <v>0.0</v>
      </c>
      <c r="Z1051" s="123">
        <v>0.0</v>
      </c>
      <c r="AA1051" s="123">
        <v>0.0</v>
      </c>
      <c r="AB1051" s="123"/>
      <c r="AC1051" s="123">
        <v>0.0</v>
      </c>
      <c r="AD1051" s="44">
        <f t="shared" si="7"/>
        <v>0</v>
      </c>
      <c r="AE1051" s="123">
        <v>0.0</v>
      </c>
    </row>
    <row r="1052">
      <c r="A1052" s="120">
        <v>2017.0</v>
      </c>
      <c r="B1052" s="121">
        <v>12.0</v>
      </c>
      <c r="C1052" s="122" t="s">
        <v>63</v>
      </c>
      <c r="D1052" s="44"/>
      <c r="E1052" s="123">
        <v>2605.78</v>
      </c>
      <c r="F1052" s="123">
        <v>-2000.0</v>
      </c>
      <c r="G1052" s="123"/>
      <c r="H1052" s="123">
        <v>-712.5</v>
      </c>
      <c r="I1052" s="44"/>
      <c r="J1052" s="44"/>
      <c r="K1052" s="44"/>
      <c r="L1052" s="123">
        <v>14763.06</v>
      </c>
      <c r="M1052" s="44"/>
      <c r="N1052" s="44"/>
      <c r="O1052" s="123">
        <v>125513.0</v>
      </c>
      <c r="P1052" s="52">
        <f t="shared" si="23"/>
        <v>125512.55</v>
      </c>
      <c r="Q1052" s="124">
        <f t="shared" si="2"/>
        <v>0.45</v>
      </c>
      <c r="R1052" s="52">
        <f t="array" ref="R1052">IFERROR(INDEX('Fund YTD Target Values'!$1:$1000, MATCH($C1052,'Fund YTD Target Values'!$A:$A,0), MATCH($A1052,'Fund YTD Target Values'!$1:$1,0)),0)</f>
        <v>127580.7013</v>
      </c>
      <c r="S1052" s="52">
        <f>IFERROR(__xludf.DUMMYFUNCTION("IFERROR(sum(FILTER('Fund Data'!$V:$V, 'Fund Data'!$C:$C = $C1052, 'Fund Data'!$A:$A &lt; $A1052)),0) + IFERROR(sum(FILTER('Fund Data'!$V:$V, 'Fund Data'!$C:$C = $C1052, 'Fund Data'!$A:$A = $A1052, 'Fund Data'!$B:$B &lt;= $B1052)),0)"),100000.0)</f>
        <v>100000</v>
      </c>
      <c r="T1052" s="123">
        <v>100000.0</v>
      </c>
      <c r="U1052" s="44">
        <f t="shared" si="93"/>
        <v>0</v>
      </c>
      <c r="V1052" s="44">
        <f t="shared" si="3"/>
        <v>0</v>
      </c>
      <c r="W1052" s="123"/>
      <c r="X1052" s="123"/>
      <c r="Y1052" s="123">
        <v>0.0</v>
      </c>
      <c r="Z1052" s="123">
        <v>0.0</v>
      </c>
      <c r="AA1052" s="123">
        <v>0.0</v>
      </c>
      <c r="AB1052" s="123"/>
      <c r="AC1052" s="123">
        <v>0.0</v>
      </c>
      <c r="AD1052" s="44">
        <f t="shared" si="7"/>
        <v>-2000</v>
      </c>
      <c r="AE1052" s="123">
        <v>0.0</v>
      </c>
    </row>
    <row r="1053">
      <c r="A1053" s="120">
        <v>2017.0</v>
      </c>
      <c r="B1053" s="121">
        <v>11.0</v>
      </c>
      <c r="C1053" s="122" t="s">
        <v>63</v>
      </c>
      <c r="D1053" s="44"/>
      <c r="E1053" s="123">
        <v>2429.59</v>
      </c>
      <c r="F1053" s="123">
        <v>-2000.0</v>
      </c>
      <c r="G1053" s="44"/>
      <c r="H1053" s="123">
        <v>-650.09</v>
      </c>
      <c r="I1053" s="44"/>
      <c r="J1053" s="44"/>
      <c r="K1053" s="44"/>
      <c r="L1053" s="123">
        <v>14159.91</v>
      </c>
      <c r="M1053" s="44"/>
      <c r="N1053" s="44"/>
      <c r="O1053" s="123">
        <v>124796.0</v>
      </c>
      <c r="P1053" s="52">
        <f t="shared" si="23"/>
        <v>124795.62</v>
      </c>
      <c r="Q1053" s="124">
        <f t="shared" si="2"/>
        <v>0.38</v>
      </c>
      <c r="R1053" s="52">
        <f t="array" ref="R1053">IFERROR(INDEX('Fund YTD Target Values'!$1:$1000, MATCH($C1053,'Fund YTD Target Values'!$A:$A,0), MATCH($A1053,'Fund YTD Target Values'!$1:$1,0)),0)</f>
        <v>127580.7013</v>
      </c>
      <c r="S1053" s="52">
        <f>IFERROR(__xludf.DUMMYFUNCTION("IFERROR(sum(FILTER('Fund Data'!$V:$V, 'Fund Data'!$C:$C = $C1053, 'Fund Data'!$A:$A &lt; $A1053)),0) + IFERROR(sum(FILTER('Fund Data'!$V:$V, 'Fund Data'!$C:$C = $C1053, 'Fund Data'!$A:$A = $A1053, 'Fund Data'!$B:$B &lt;= $B1053)),0)"),100000.0)</f>
        <v>100000</v>
      </c>
      <c r="T1053" s="123">
        <v>100000.0</v>
      </c>
      <c r="U1053" s="44">
        <f t="shared" si="93"/>
        <v>0</v>
      </c>
      <c r="V1053" s="44">
        <f t="shared" si="3"/>
        <v>0</v>
      </c>
      <c r="W1053" s="123"/>
      <c r="X1053" s="123"/>
      <c r="Y1053" s="123">
        <v>0.0</v>
      </c>
      <c r="Z1053" s="123">
        <v>0.0</v>
      </c>
      <c r="AA1053" s="123">
        <v>0.0</v>
      </c>
      <c r="AB1053" s="123"/>
      <c r="AC1053" s="123">
        <v>0.0</v>
      </c>
      <c r="AD1053" s="44">
        <f t="shared" si="7"/>
        <v>-2000</v>
      </c>
      <c r="AE1053" s="123">
        <v>0.0</v>
      </c>
    </row>
    <row r="1054">
      <c r="A1054" s="120">
        <v>2017.0</v>
      </c>
      <c r="B1054" s="121">
        <v>10.0</v>
      </c>
      <c r="C1054" s="122" t="s">
        <v>63</v>
      </c>
      <c r="D1054" s="44"/>
      <c r="E1054" s="123">
        <v>2346.08</v>
      </c>
      <c r="F1054" s="123">
        <v>-1600.0</v>
      </c>
      <c r="G1054" s="44"/>
      <c r="H1054" s="123">
        <v>-588.2</v>
      </c>
      <c r="I1054" s="44"/>
      <c r="J1054" s="44"/>
      <c r="K1054" s="44"/>
      <c r="L1054" s="123">
        <v>12765.53</v>
      </c>
      <c r="M1054" s="44"/>
      <c r="N1054" s="44"/>
      <c r="O1054" s="123">
        <v>123780.0</v>
      </c>
      <c r="P1054" s="52">
        <f t="shared" si="23"/>
        <v>123779.62</v>
      </c>
      <c r="Q1054" s="124">
        <f t="shared" si="2"/>
        <v>0.38</v>
      </c>
      <c r="R1054" s="52">
        <f t="array" ref="R1054">IFERROR(INDEX('Fund YTD Target Values'!$1:$1000, MATCH($C1054,'Fund YTD Target Values'!$A:$A,0), MATCH($A1054,'Fund YTD Target Values'!$1:$1,0)),0)</f>
        <v>127580.7013</v>
      </c>
      <c r="S1054" s="52">
        <f>IFERROR(__xludf.DUMMYFUNCTION("IFERROR(sum(FILTER('Fund Data'!$V:$V, 'Fund Data'!$C:$C = $C1054, 'Fund Data'!$A:$A &lt; $A1054)),0) + IFERROR(sum(FILTER('Fund Data'!$V:$V, 'Fund Data'!$C:$C = $C1054, 'Fund Data'!$A:$A = $A1054, 'Fund Data'!$B:$B &lt;= $B1054)),0)"),100000.0)</f>
        <v>100000</v>
      </c>
      <c r="T1054" s="123">
        <v>100000.0</v>
      </c>
      <c r="U1054" s="44">
        <f t="shared" si="93"/>
        <v>0</v>
      </c>
      <c r="V1054" s="44">
        <f t="shared" si="3"/>
        <v>0</v>
      </c>
      <c r="W1054" s="123"/>
      <c r="X1054" s="123"/>
      <c r="Y1054" s="123">
        <v>0.0</v>
      </c>
      <c r="Z1054" s="123">
        <v>0.0</v>
      </c>
      <c r="AA1054" s="123">
        <v>0.0</v>
      </c>
      <c r="AB1054" s="123"/>
      <c r="AC1054" s="123">
        <v>0.0</v>
      </c>
      <c r="AD1054" s="44">
        <f t="shared" si="7"/>
        <v>-1600</v>
      </c>
      <c r="AE1054" s="123">
        <v>0.0</v>
      </c>
    </row>
    <row r="1055">
      <c r="A1055" s="120">
        <v>2017.0</v>
      </c>
      <c r="B1055" s="121">
        <v>9.0</v>
      </c>
      <c r="C1055" s="122" t="s">
        <v>63</v>
      </c>
      <c r="D1055" s="44"/>
      <c r="E1055" s="123">
        <v>2092.29</v>
      </c>
      <c r="F1055" s="123">
        <v>-1600.0</v>
      </c>
      <c r="G1055" s="44"/>
      <c r="H1055" s="123">
        <v>-527.2</v>
      </c>
      <c r="I1055" s="44"/>
      <c r="J1055" s="44"/>
      <c r="K1055" s="44"/>
      <c r="L1055" s="123">
        <v>11183.92</v>
      </c>
      <c r="M1055" s="44"/>
      <c r="N1055" s="44"/>
      <c r="O1055" s="123">
        <v>122006.0</v>
      </c>
      <c r="P1055" s="52">
        <f t="shared" si="23"/>
        <v>122005.22</v>
      </c>
      <c r="Q1055" s="124">
        <f t="shared" si="2"/>
        <v>0.78</v>
      </c>
      <c r="R1055" s="52">
        <f t="array" ref="R1055">IFERROR(INDEX('Fund YTD Target Values'!$1:$1000, MATCH($C1055,'Fund YTD Target Values'!$A:$A,0), MATCH($A1055,'Fund YTD Target Values'!$1:$1,0)),0)</f>
        <v>127580.7013</v>
      </c>
      <c r="S1055" s="52">
        <f>IFERROR(__xludf.DUMMYFUNCTION("IFERROR(sum(FILTER('Fund Data'!$V:$V, 'Fund Data'!$C:$C = $C1055, 'Fund Data'!$A:$A &lt; $A1055)),0) + IFERROR(sum(FILTER('Fund Data'!$V:$V, 'Fund Data'!$C:$C = $C1055, 'Fund Data'!$A:$A = $A1055, 'Fund Data'!$B:$B &lt;= $B1055)),0)"),100000.0)</f>
        <v>100000</v>
      </c>
      <c r="T1055" s="123">
        <v>100000.0</v>
      </c>
      <c r="U1055" s="44">
        <f t="shared" si="93"/>
        <v>0</v>
      </c>
      <c r="V1055" s="44">
        <f t="shared" si="3"/>
        <v>0</v>
      </c>
      <c r="W1055" s="123"/>
      <c r="X1055" s="123"/>
      <c r="Y1055" s="123">
        <v>0.0</v>
      </c>
      <c r="Z1055" s="123">
        <v>0.0</v>
      </c>
      <c r="AA1055" s="123">
        <v>0.0</v>
      </c>
      <c r="AB1055" s="123"/>
      <c r="AC1055" s="123">
        <v>0.0</v>
      </c>
      <c r="AD1055" s="44">
        <f t="shared" si="7"/>
        <v>-1600</v>
      </c>
      <c r="AE1055" s="123">
        <v>0.0</v>
      </c>
    </row>
    <row r="1056">
      <c r="A1056" s="120">
        <v>2017.0</v>
      </c>
      <c r="B1056" s="121">
        <v>8.0</v>
      </c>
      <c r="C1056" s="122" t="s">
        <v>63</v>
      </c>
      <c r="D1056" s="44"/>
      <c r="E1056" s="123">
        <v>1940.39</v>
      </c>
      <c r="F1056" s="123">
        <v>-1600.0</v>
      </c>
      <c r="G1056" s="44"/>
      <c r="H1056" s="123">
        <v>-466.84</v>
      </c>
      <c r="I1056" s="44"/>
      <c r="J1056" s="44"/>
      <c r="K1056" s="44"/>
      <c r="L1056" s="123">
        <v>9988.4</v>
      </c>
      <c r="M1056" s="44"/>
      <c r="N1056" s="44"/>
      <c r="O1056" s="123">
        <v>120719.0</v>
      </c>
      <c r="P1056" s="52">
        <f t="shared" si="23"/>
        <v>120718.16</v>
      </c>
      <c r="Q1056" s="124">
        <f t="shared" si="2"/>
        <v>0.84</v>
      </c>
      <c r="R1056" s="52">
        <f t="array" ref="R1056">IFERROR(INDEX('Fund YTD Target Values'!$1:$1000, MATCH($C1056,'Fund YTD Target Values'!$A:$A,0), MATCH($A1056,'Fund YTD Target Values'!$1:$1,0)),0)</f>
        <v>127580.7013</v>
      </c>
      <c r="S1056" s="52">
        <f>IFERROR(__xludf.DUMMYFUNCTION("IFERROR(sum(FILTER('Fund Data'!$V:$V, 'Fund Data'!$C:$C = $C1056, 'Fund Data'!$A:$A &lt; $A1056)),0) + IFERROR(sum(FILTER('Fund Data'!$V:$V, 'Fund Data'!$C:$C = $C1056, 'Fund Data'!$A:$A = $A1056, 'Fund Data'!$B:$B &lt;= $B1056)),0)"),100000.0)</f>
        <v>100000</v>
      </c>
      <c r="T1056" s="123">
        <v>100000.0</v>
      </c>
      <c r="U1056" s="44">
        <f t="shared" si="93"/>
        <v>0</v>
      </c>
      <c r="V1056" s="44">
        <f t="shared" si="3"/>
        <v>0</v>
      </c>
      <c r="W1056" s="123"/>
      <c r="X1056" s="123"/>
      <c r="Y1056" s="123">
        <v>0.0</v>
      </c>
      <c r="Z1056" s="123">
        <v>0.0</v>
      </c>
      <c r="AA1056" s="123">
        <v>0.0</v>
      </c>
      <c r="AB1056" s="123"/>
      <c r="AC1056" s="123">
        <v>0.0</v>
      </c>
      <c r="AD1056" s="44">
        <f t="shared" si="7"/>
        <v>-1600</v>
      </c>
      <c r="AE1056" s="123">
        <v>0.0</v>
      </c>
    </row>
    <row r="1057">
      <c r="A1057" s="120">
        <v>2017.0</v>
      </c>
      <c r="B1057" s="121">
        <v>7.0</v>
      </c>
      <c r="C1057" s="122" t="s">
        <v>63</v>
      </c>
      <c r="D1057" s="44"/>
      <c r="E1057" s="123">
        <v>1857.04</v>
      </c>
      <c r="F1057" s="44"/>
      <c r="G1057" s="44"/>
      <c r="H1057" s="123">
        <v>-405.85</v>
      </c>
      <c r="I1057" s="44"/>
      <c r="J1057" s="44"/>
      <c r="K1057" s="44"/>
      <c r="L1057" s="123">
        <v>9673.57</v>
      </c>
      <c r="M1057" s="44"/>
      <c r="N1057" s="44"/>
      <c r="O1057" s="123">
        <v>121982.0</v>
      </c>
      <c r="P1057" s="52">
        <f t="shared" si="23"/>
        <v>121980.97</v>
      </c>
      <c r="Q1057" s="124">
        <f t="shared" si="2"/>
        <v>1.03</v>
      </c>
      <c r="R1057" s="52">
        <f t="array" ref="R1057">IFERROR(INDEX('Fund YTD Target Values'!$1:$1000, MATCH($C1057,'Fund YTD Target Values'!$A:$A,0), MATCH($A1057,'Fund YTD Target Values'!$1:$1,0)),0)</f>
        <v>127580.7013</v>
      </c>
      <c r="S1057" s="52">
        <f>IFERROR(__xludf.DUMMYFUNCTION("IFERROR(sum(FILTER('Fund Data'!$V:$V, 'Fund Data'!$C:$C = $C1057, 'Fund Data'!$A:$A &lt; $A1057)),0) + IFERROR(sum(FILTER('Fund Data'!$V:$V, 'Fund Data'!$C:$C = $C1057, 'Fund Data'!$A:$A = $A1057, 'Fund Data'!$B:$B &lt;= $B1057)),0)"),100000.0)</f>
        <v>100000</v>
      </c>
      <c r="T1057" s="123">
        <v>100000.0</v>
      </c>
      <c r="U1057" s="44">
        <f t="shared" si="93"/>
        <v>0</v>
      </c>
      <c r="V1057" s="44">
        <f t="shared" si="3"/>
        <v>0</v>
      </c>
      <c r="W1057" s="123"/>
      <c r="X1057" s="123"/>
      <c r="Y1057" s="123">
        <v>0.0</v>
      </c>
      <c r="Z1057" s="123">
        <v>0.0</v>
      </c>
      <c r="AA1057" s="123">
        <v>0.0</v>
      </c>
      <c r="AB1057" s="123"/>
      <c r="AC1057" s="123">
        <v>0.0</v>
      </c>
      <c r="AD1057" s="44">
        <f t="shared" si="7"/>
        <v>0</v>
      </c>
      <c r="AE1057" s="123">
        <v>0.0</v>
      </c>
    </row>
    <row r="1058">
      <c r="A1058" s="120">
        <v>2017.0</v>
      </c>
      <c r="B1058" s="121">
        <v>6.0</v>
      </c>
      <c r="C1058" s="122" t="s">
        <v>63</v>
      </c>
      <c r="D1058" s="44"/>
      <c r="E1058" s="123">
        <v>1477.43</v>
      </c>
      <c r="F1058" s="44"/>
      <c r="G1058" s="44"/>
      <c r="H1058" s="123">
        <v>-346.26</v>
      </c>
      <c r="I1058" s="44"/>
      <c r="J1058" s="44"/>
      <c r="K1058" s="44"/>
      <c r="L1058" s="123">
        <v>7183.92</v>
      </c>
      <c r="M1058" s="44"/>
      <c r="N1058" s="44"/>
      <c r="O1058" s="123">
        <v>119172.0</v>
      </c>
      <c r="P1058" s="52">
        <f t="shared" si="23"/>
        <v>119171.3</v>
      </c>
      <c r="Q1058" s="124">
        <f t="shared" si="2"/>
        <v>0.7</v>
      </c>
      <c r="R1058" s="52">
        <f t="array" ref="R1058">IFERROR(INDEX('Fund YTD Target Values'!$1:$1000, MATCH($C1058,'Fund YTD Target Values'!$A:$A,0), MATCH($A1058,'Fund YTD Target Values'!$1:$1,0)),0)</f>
        <v>127580.7013</v>
      </c>
      <c r="S1058" s="52">
        <f>IFERROR(__xludf.DUMMYFUNCTION("IFERROR(sum(FILTER('Fund Data'!$V:$V, 'Fund Data'!$C:$C = $C1058, 'Fund Data'!$A:$A &lt; $A1058)),0) + IFERROR(sum(FILTER('Fund Data'!$V:$V, 'Fund Data'!$C:$C = $C1058, 'Fund Data'!$A:$A = $A1058, 'Fund Data'!$B:$B &lt;= $B1058)),0)"),100000.0)</f>
        <v>100000</v>
      </c>
      <c r="T1058" s="123">
        <v>100000.0</v>
      </c>
      <c r="U1058" s="44">
        <f t="shared" si="93"/>
        <v>0</v>
      </c>
      <c r="V1058" s="44">
        <f t="shared" si="3"/>
        <v>0</v>
      </c>
      <c r="W1058" s="123"/>
      <c r="X1058" s="123"/>
      <c r="Y1058" s="123">
        <v>0.0</v>
      </c>
      <c r="Z1058" s="123">
        <v>0.0</v>
      </c>
      <c r="AA1058" s="123">
        <v>0.0</v>
      </c>
      <c r="AB1058" s="123"/>
      <c r="AC1058" s="123">
        <v>0.0</v>
      </c>
      <c r="AD1058" s="44">
        <f t="shared" si="7"/>
        <v>0</v>
      </c>
      <c r="AE1058" s="123">
        <v>0.0</v>
      </c>
    </row>
    <row r="1059">
      <c r="A1059" s="168">
        <v>2017.0</v>
      </c>
      <c r="B1059" s="169">
        <v>5.0</v>
      </c>
      <c r="C1059" s="122" t="s">
        <v>63</v>
      </c>
      <c r="D1059" s="44"/>
      <c r="E1059" s="123">
        <v>1398.14</v>
      </c>
      <c r="F1059" s="44"/>
      <c r="G1059" s="44"/>
      <c r="H1059" s="123">
        <v>-286.81</v>
      </c>
      <c r="I1059" s="44"/>
      <c r="J1059" s="44"/>
      <c r="K1059" s="44"/>
      <c r="L1059" s="123">
        <v>6927.92</v>
      </c>
      <c r="M1059" s="44"/>
      <c r="N1059" s="44"/>
      <c r="O1059" s="123">
        <v>118896.0</v>
      </c>
      <c r="P1059" s="52">
        <f t="shared" si="23"/>
        <v>118895.46</v>
      </c>
      <c r="Q1059" s="124">
        <f t="shared" si="2"/>
        <v>0.54</v>
      </c>
      <c r="R1059" s="52">
        <f t="array" ref="R1059">IFERROR(INDEX('Fund YTD Target Values'!$1:$1000, MATCH($C1059,'Fund YTD Target Values'!$A:$A,0), MATCH($A1059,'Fund YTD Target Values'!$1:$1,0)),0)</f>
        <v>127580.7013</v>
      </c>
      <c r="S1059" s="52">
        <f>IFERROR(__xludf.DUMMYFUNCTION("IFERROR(sum(FILTER('Fund Data'!$V:$V, 'Fund Data'!$C:$C = $C1059, 'Fund Data'!$A:$A &lt; $A1059)),0) + IFERROR(sum(FILTER('Fund Data'!$V:$V, 'Fund Data'!$C:$C = $C1059, 'Fund Data'!$A:$A = $A1059, 'Fund Data'!$B:$B &lt;= $B1059)),0)"),100000.0)</f>
        <v>100000</v>
      </c>
      <c r="T1059" s="123">
        <v>100000.0</v>
      </c>
      <c r="U1059" s="44">
        <f t="shared" si="93"/>
        <v>0</v>
      </c>
      <c r="V1059" s="44">
        <f t="shared" si="3"/>
        <v>0</v>
      </c>
      <c r="W1059" s="123"/>
      <c r="X1059" s="123"/>
      <c r="Y1059" s="123">
        <v>0.0</v>
      </c>
      <c r="Z1059" s="123">
        <v>0.0</v>
      </c>
      <c r="AA1059" s="123">
        <v>0.0</v>
      </c>
      <c r="AB1059" s="123"/>
      <c r="AC1059" s="123">
        <v>0.0</v>
      </c>
      <c r="AD1059" s="44">
        <f t="shared" si="7"/>
        <v>0</v>
      </c>
      <c r="AE1059" s="123">
        <v>0.0</v>
      </c>
    </row>
    <row r="1060">
      <c r="A1060" s="120">
        <v>2017.0</v>
      </c>
      <c r="B1060" s="121">
        <v>4.0</v>
      </c>
      <c r="C1060" s="122" t="s">
        <v>63</v>
      </c>
      <c r="D1060" s="44"/>
      <c r="E1060" s="123">
        <v>1321.77</v>
      </c>
      <c r="F1060" s="44"/>
      <c r="G1060" s="44"/>
      <c r="H1060" s="123">
        <v>-228.03</v>
      </c>
      <c r="I1060" s="44"/>
      <c r="J1060" s="44"/>
      <c r="K1060" s="44"/>
      <c r="L1060" s="123">
        <v>5600.66</v>
      </c>
      <c r="M1060" s="44"/>
      <c r="N1060" s="44"/>
      <c r="O1060" s="123">
        <v>117551.0</v>
      </c>
      <c r="P1060" s="52">
        <f t="shared" si="23"/>
        <v>117550.61</v>
      </c>
      <c r="Q1060" s="124">
        <f t="shared" si="2"/>
        <v>0.39</v>
      </c>
      <c r="R1060" s="52">
        <f t="array" ref="R1060">IFERROR(INDEX('Fund YTD Target Values'!$1:$1000, MATCH($C1060,'Fund YTD Target Values'!$A:$A,0), MATCH($A1060,'Fund YTD Target Values'!$1:$1,0)),0)</f>
        <v>127580.7013</v>
      </c>
      <c r="S1060" s="52">
        <f>IFERROR(__xludf.DUMMYFUNCTION("IFERROR(sum(FILTER('Fund Data'!$V:$V, 'Fund Data'!$C:$C = $C1060, 'Fund Data'!$A:$A &lt; $A1060)),0) + IFERROR(sum(FILTER('Fund Data'!$V:$V, 'Fund Data'!$C:$C = $C1060, 'Fund Data'!$A:$A = $A1060, 'Fund Data'!$B:$B &lt;= $B1060)),0)"),100000.0)</f>
        <v>100000</v>
      </c>
      <c r="T1060" s="123">
        <v>100000.0</v>
      </c>
      <c r="U1060" s="44">
        <f t="shared" si="93"/>
        <v>0</v>
      </c>
      <c r="V1060" s="44">
        <f t="shared" si="3"/>
        <v>0</v>
      </c>
      <c r="W1060" s="123"/>
      <c r="X1060" s="123"/>
      <c r="Y1060" s="123">
        <v>0.0</v>
      </c>
      <c r="Z1060" s="123">
        <v>0.0</v>
      </c>
      <c r="AA1060" s="123">
        <v>0.0</v>
      </c>
      <c r="AB1060" s="123"/>
      <c r="AC1060" s="123">
        <v>0.0</v>
      </c>
      <c r="AD1060" s="44">
        <f t="shared" si="7"/>
        <v>0</v>
      </c>
      <c r="AE1060" s="123">
        <v>0.0</v>
      </c>
    </row>
    <row r="1061">
      <c r="A1061" s="120">
        <v>2017.0</v>
      </c>
      <c r="B1061" s="121">
        <v>3.0</v>
      </c>
      <c r="C1061" s="122" t="s">
        <v>63</v>
      </c>
      <c r="D1061" s="44"/>
      <c r="E1061" s="123">
        <v>1000.28</v>
      </c>
      <c r="F1061" s="44"/>
      <c r="G1061" s="44"/>
      <c r="H1061" s="123">
        <v>-169.97</v>
      </c>
      <c r="I1061" s="44"/>
      <c r="J1061" s="44"/>
      <c r="K1061" s="44"/>
      <c r="L1061" s="123">
        <v>4422.53</v>
      </c>
      <c r="M1061" s="44"/>
      <c r="N1061" s="44"/>
      <c r="O1061" s="123">
        <v>116110.0</v>
      </c>
      <c r="P1061" s="52">
        <f t="shared" si="23"/>
        <v>116109.05</v>
      </c>
      <c r="Q1061" s="124">
        <f t="shared" si="2"/>
        <v>0.95</v>
      </c>
      <c r="R1061" s="52">
        <f t="array" ref="R1061">IFERROR(INDEX('Fund YTD Target Values'!$1:$1000, MATCH($C1061,'Fund YTD Target Values'!$A:$A,0), MATCH($A1061,'Fund YTD Target Values'!$1:$1,0)),0)</f>
        <v>127580.7013</v>
      </c>
      <c r="S1061" s="52">
        <f>IFERROR(__xludf.DUMMYFUNCTION("IFERROR(sum(FILTER('Fund Data'!$V:$V, 'Fund Data'!$C:$C = $C1061, 'Fund Data'!$A:$A &lt; $A1061)),0) + IFERROR(sum(FILTER('Fund Data'!$V:$V, 'Fund Data'!$C:$C = $C1061, 'Fund Data'!$A:$A = $A1061, 'Fund Data'!$B:$B &lt;= $B1061)),0)"),100000.0)</f>
        <v>100000</v>
      </c>
      <c r="T1061" s="123">
        <v>100000.0</v>
      </c>
      <c r="U1061" s="44">
        <f t="shared" si="93"/>
        <v>0</v>
      </c>
      <c r="V1061" s="44">
        <f t="shared" si="3"/>
        <v>0</v>
      </c>
      <c r="W1061" s="123"/>
      <c r="X1061" s="123"/>
      <c r="Y1061" s="123">
        <v>0.0</v>
      </c>
      <c r="Z1061" s="123">
        <v>0.0</v>
      </c>
      <c r="AA1061" s="123">
        <v>0.0</v>
      </c>
      <c r="AB1061" s="123"/>
      <c r="AC1061" s="123">
        <v>0.0</v>
      </c>
      <c r="AD1061" s="44">
        <f t="shared" si="7"/>
        <v>0</v>
      </c>
      <c r="AE1061" s="123">
        <v>0.0</v>
      </c>
    </row>
    <row r="1062">
      <c r="A1062" s="168">
        <v>2017.0</v>
      </c>
      <c r="B1062" s="169">
        <v>2.0</v>
      </c>
      <c r="C1062" s="122" t="s">
        <v>63</v>
      </c>
      <c r="D1062" s="44"/>
      <c r="E1062" s="123">
        <v>922.66</v>
      </c>
      <c r="F1062" s="44"/>
      <c r="G1062" s="44"/>
      <c r="H1062" s="123">
        <v>-112.13</v>
      </c>
      <c r="I1062" s="44"/>
      <c r="J1062" s="44"/>
      <c r="K1062" s="44"/>
      <c r="L1062" s="123">
        <v>4008.28</v>
      </c>
      <c r="M1062" s="44"/>
      <c r="N1062" s="44"/>
      <c r="O1062" s="123">
        <v>115676.0</v>
      </c>
      <c r="P1062" s="52">
        <f t="shared" si="23"/>
        <v>115675.02</v>
      </c>
      <c r="Q1062" s="124">
        <f t="shared" si="2"/>
        <v>0.98</v>
      </c>
      <c r="R1062" s="52">
        <f t="array" ref="R1062">IFERROR(INDEX('Fund YTD Target Values'!$1:$1000, MATCH($C1062,'Fund YTD Target Values'!$A:$A,0), MATCH($A1062,'Fund YTD Target Values'!$1:$1,0)),0)</f>
        <v>127580.7013</v>
      </c>
      <c r="S1062" s="52">
        <f>IFERROR(__xludf.DUMMYFUNCTION("IFERROR(sum(FILTER('Fund Data'!$V:$V, 'Fund Data'!$C:$C = $C1062, 'Fund Data'!$A:$A &lt; $A1062)),0) + IFERROR(sum(FILTER('Fund Data'!$V:$V, 'Fund Data'!$C:$C = $C1062, 'Fund Data'!$A:$A = $A1062, 'Fund Data'!$B:$B &lt;= $B1062)),0)"),100000.0)</f>
        <v>100000</v>
      </c>
      <c r="T1062" s="123">
        <v>100000.0</v>
      </c>
      <c r="U1062" s="44">
        <f t="shared" si="93"/>
        <v>0</v>
      </c>
      <c r="V1062" s="44">
        <f t="shared" si="3"/>
        <v>0</v>
      </c>
      <c r="W1062" s="123"/>
      <c r="X1062" s="123"/>
      <c r="Y1062" s="123">
        <v>0.0</v>
      </c>
      <c r="Z1062" s="123">
        <v>0.0</v>
      </c>
      <c r="AA1062" s="123">
        <v>0.0</v>
      </c>
      <c r="AB1062" s="123"/>
      <c r="AC1062" s="123">
        <v>0.0</v>
      </c>
      <c r="AD1062" s="44">
        <f t="shared" si="7"/>
        <v>0</v>
      </c>
      <c r="AE1062" s="123">
        <v>0.0</v>
      </c>
    </row>
    <row r="1063">
      <c r="A1063" s="168">
        <v>2017.0</v>
      </c>
      <c r="B1063" s="169">
        <v>1.0</v>
      </c>
      <c r="C1063" s="122" t="s">
        <v>63</v>
      </c>
      <c r="D1063" s="44"/>
      <c r="E1063" s="123">
        <v>842.67</v>
      </c>
      <c r="F1063" s="44"/>
      <c r="G1063" s="44"/>
      <c r="H1063" s="123">
        <v>-55.43</v>
      </c>
      <c r="I1063" s="44"/>
      <c r="J1063" s="44"/>
      <c r="K1063" s="44"/>
      <c r="L1063" s="123">
        <v>1752.27</v>
      </c>
      <c r="M1063" s="44"/>
      <c r="N1063" s="44"/>
      <c r="O1063" s="123">
        <v>113397.0</v>
      </c>
      <c r="P1063" s="52">
        <f t="shared" si="23"/>
        <v>113395.72</v>
      </c>
      <c r="Q1063" s="124">
        <f t="shared" si="2"/>
        <v>1.28</v>
      </c>
      <c r="R1063" s="52">
        <f t="array" ref="R1063">IFERROR(INDEX('Fund YTD Target Values'!$1:$1000, MATCH($C1063,'Fund YTD Target Values'!$A:$A,0), MATCH($A1063,'Fund YTD Target Values'!$1:$1,0)),0)</f>
        <v>127580.7013</v>
      </c>
      <c r="S1063" s="52">
        <f>IFERROR(__xludf.DUMMYFUNCTION("IFERROR(sum(FILTER('Fund Data'!$V:$V, 'Fund Data'!$C:$C = $C1063, 'Fund Data'!$A:$A &lt; $A1063)),0) + IFERROR(sum(FILTER('Fund Data'!$V:$V, 'Fund Data'!$C:$C = $C1063, 'Fund Data'!$A:$A = $A1063, 'Fund Data'!$B:$B &lt;= $B1063)),0)"),100000.0)</f>
        <v>100000</v>
      </c>
      <c r="T1063" s="123">
        <v>100000.0</v>
      </c>
      <c r="U1063" s="44">
        <f t="shared" si="93"/>
        <v>0</v>
      </c>
      <c r="V1063" s="44">
        <f t="shared" si="3"/>
        <v>0</v>
      </c>
      <c r="W1063" s="123"/>
      <c r="X1063" s="123"/>
      <c r="Y1063" s="123">
        <v>0.0</v>
      </c>
      <c r="Z1063" s="123">
        <v>0.0</v>
      </c>
      <c r="AA1063" s="123">
        <v>0.0</v>
      </c>
      <c r="AB1063" s="123"/>
      <c r="AC1063" s="123">
        <v>0.0</v>
      </c>
      <c r="AD1063" s="44">
        <f t="shared" si="7"/>
        <v>0</v>
      </c>
      <c r="AE1063" s="123">
        <v>0.0</v>
      </c>
    </row>
    <row r="1064">
      <c r="A1064" s="120">
        <v>2016.0</v>
      </c>
      <c r="B1064" s="121">
        <v>12.0</v>
      </c>
      <c r="C1064" s="122" t="s">
        <v>63</v>
      </c>
      <c r="D1064" s="44"/>
      <c r="E1064" s="123">
        <v>2464.44</v>
      </c>
      <c r="F1064" s="123">
        <v>-7900.0</v>
      </c>
      <c r="G1064" s="123"/>
      <c r="H1064" s="123">
        <v>-681.24</v>
      </c>
      <c r="I1064" s="44"/>
      <c r="J1064" s="123">
        <v>975.24</v>
      </c>
      <c r="K1064" s="44"/>
      <c r="L1064" s="123">
        <v>3968.22</v>
      </c>
      <c r="M1064" s="44"/>
      <c r="N1064" s="44"/>
      <c r="O1064" s="123">
        <v>110857.0</v>
      </c>
      <c r="P1064" s="52">
        <f t="shared" si="23"/>
        <v>110856.21</v>
      </c>
      <c r="Q1064" s="124">
        <f t="shared" si="2"/>
        <v>0.79</v>
      </c>
      <c r="R1064" s="52">
        <f t="array" ref="R1064">IFERROR(INDEX('Fund YTD Target Values'!$1:$1000, MATCH($C1064,'Fund YTD Target Values'!$A:$A,0), MATCH($A1064,'Fund YTD Target Values'!$1:$1,0)),0)</f>
        <v>124917.932</v>
      </c>
      <c r="S1064" s="52">
        <f>IFERROR(__xludf.DUMMYFUNCTION("IFERROR(sum(FILTER('Fund Data'!$V:$V, 'Fund Data'!$C:$C = $C1064, 'Fund Data'!$A:$A &lt; $A1064)),0) + IFERROR(sum(FILTER('Fund Data'!$V:$V, 'Fund Data'!$C:$C = $C1064, 'Fund Data'!$A:$A = $A1064, 'Fund Data'!$B:$B &lt;= $B1064)),0)"),100000.0)</f>
        <v>100000</v>
      </c>
      <c r="T1064" s="123">
        <v>100000.0</v>
      </c>
      <c r="U1064" s="44">
        <f t="shared" si="93"/>
        <v>0</v>
      </c>
      <c r="V1064" s="44">
        <f t="shared" si="3"/>
        <v>0</v>
      </c>
      <c r="W1064" s="123"/>
      <c r="X1064" s="123"/>
      <c r="Y1064" s="123">
        <v>0.0</v>
      </c>
      <c r="Z1064" s="123">
        <v>0.0</v>
      </c>
      <c r="AA1064" s="123">
        <v>0.0</v>
      </c>
      <c r="AB1064" s="123"/>
      <c r="AC1064" s="123">
        <v>0.0</v>
      </c>
      <c r="AD1064" s="44">
        <f t="shared" si="7"/>
        <v>-7900</v>
      </c>
      <c r="AE1064" s="123">
        <v>0.0</v>
      </c>
    </row>
    <row r="1065">
      <c r="A1065" s="120">
        <v>2015.0</v>
      </c>
      <c r="B1065" s="121">
        <v>12.0</v>
      </c>
      <c r="C1065" s="122" t="s">
        <v>63</v>
      </c>
      <c r="D1065" s="44"/>
      <c r="E1065" s="123">
        <v>2726.83</v>
      </c>
      <c r="F1065" s="123">
        <v>-2000.0</v>
      </c>
      <c r="G1065" s="123"/>
      <c r="H1065" s="123">
        <v>-703.43</v>
      </c>
      <c r="I1065" s="44"/>
      <c r="J1065" s="44"/>
      <c r="K1065" s="44"/>
      <c r="L1065" s="123">
        <v>-5075.32</v>
      </c>
      <c r="M1065" s="44"/>
      <c r="N1065" s="44"/>
      <c r="O1065" s="123">
        <v>112030.0</v>
      </c>
      <c r="P1065" s="52">
        <f t="shared" si="23"/>
        <v>112029.55</v>
      </c>
      <c r="Q1065" s="124">
        <f t="shared" si="2"/>
        <v>0.45</v>
      </c>
      <c r="R1065" s="52">
        <f t="array" ref="R1065">IFERROR(INDEX('Fund YTD Target Values'!$1:$1000, MATCH($C1065,'Fund YTD Target Values'!$A:$A,0), MATCH($A1065,'Fund YTD Target Values'!$1:$1,0)),0)</f>
        <v>123361.305</v>
      </c>
      <c r="S1065" s="52">
        <f>IFERROR(__xludf.DUMMYFUNCTION("IFERROR(sum(FILTER('Fund Data'!$V:$V, 'Fund Data'!$C:$C = $C1065, 'Fund Data'!$A:$A &lt; $A1065)),0) + IFERROR(sum(FILTER('Fund Data'!$V:$V, 'Fund Data'!$C:$C = $C1065, 'Fund Data'!$A:$A = $A1065, 'Fund Data'!$B:$B &lt;= $B1065)),0)"),100000.0)</f>
        <v>100000</v>
      </c>
      <c r="T1065" s="123">
        <v>100000.0</v>
      </c>
      <c r="U1065" s="44">
        <f t="shared" si="93"/>
        <v>0</v>
      </c>
      <c r="V1065" s="44">
        <f t="shared" si="3"/>
        <v>0</v>
      </c>
      <c r="W1065" s="123"/>
      <c r="X1065" s="123"/>
      <c r="Y1065" s="123">
        <v>0.0</v>
      </c>
      <c r="Z1065" s="123">
        <v>0.0</v>
      </c>
      <c r="AA1065" s="123">
        <v>0.0</v>
      </c>
      <c r="AB1065" s="123"/>
      <c r="AC1065" s="123">
        <v>0.0</v>
      </c>
      <c r="AD1065" s="44">
        <f t="shared" si="7"/>
        <v>-2000</v>
      </c>
      <c r="AE1065" s="123">
        <v>0.0</v>
      </c>
    </row>
    <row r="1066">
      <c r="A1066" s="120">
        <v>2014.0</v>
      </c>
      <c r="B1066" s="121">
        <v>12.0</v>
      </c>
      <c r="C1066" s="122" t="s">
        <v>63</v>
      </c>
      <c r="D1066" s="44"/>
      <c r="E1066" s="123">
        <v>2202.93</v>
      </c>
      <c r="F1066" s="123">
        <v>-1600.0</v>
      </c>
      <c r="G1066" s="123"/>
      <c r="H1066" s="123">
        <v>-715.81</v>
      </c>
      <c r="I1066" s="44"/>
      <c r="J1066" s="44"/>
      <c r="K1066" s="44"/>
      <c r="L1066" s="123">
        <v>478.54</v>
      </c>
      <c r="M1066" s="44"/>
      <c r="N1066" s="44"/>
      <c r="O1066" s="123">
        <v>117082.0</v>
      </c>
      <c r="P1066" s="52">
        <f t="shared" si="23"/>
        <v>117081.47</v>
      </c>
      <c r="Q1066" s="124">
        <f t="shared" si="2"/>
        <v>0.53</v>
      </c>
      <c r="R1066" s="52">
        <f t="array" ref="R1066">IFERROR(INDEX('Fund YTD Target Values'!$1:$1000, MATCH($C1066,'Fund YTD Target Values'!$A:$A,0), MATCH($A1066,'Fund YTD Target Values'!$1:$1,0)),0)</f>
        <v>123214.8031</v>
      </c>
      <c r="S1066" s="52">
        <f>IFERROR(__xludf.DUMMYFUNCTION("IFERROR(sum(FILTER('Fund Data'!$V:$V, 'Fund Data'!$C:$C = $C1066, 'Fund Data'!$A:$A &lt; $A1066)),0) + IFERROR(sum(FILTER('Fund Data'!$V:$V, 'Fund Data'!$C:$C = $C1066, 'Fund Data'!$A:$A = $A1066, 'Fund Data'!$B:$B &lt;= $B1066)),0)"),100000.0)</f>
        <v>100000</v>
      </c>
      <c r="T1066" s="123">
        <v>100000.0</v>
      </c>
      <c r="U1066" s="44">
        <f t="shared" si="93"/>
        <v>0</v>
      </c>
      <c r="V1066" s="44">
        <f t="shared" si="3"/>
        <v>0</v>
      </c>
      <c r="W1066" s="123"/>
      <c r="X1066" s="123"/>
      <c r="Y1066" s="123">
        <v>0.0</v>
      </c>
      <c r="Z1066" s="123">
        <v>0.0</v>
      </c>
      <c r="AA1066" s="123">
        <v>0.0</v>
      </c>
      <c r="AB1066" s="123"/>
      <c r="AC1066" s="123">
        <v>0.0</v>
      </c>
      <c r="AD1066" s="44">
        <f t="shared" si="7"/>
        <v>-1600</v>
      </c>
      <c r="AE1066" s="123">
        <v>0.0</v>
      </c>
    </row>
    <row r="1067">
      <c r="A1067" s="120">
        <v>2013.0</v>
      </c>
      <c r="B1067" s="121">
        <v>12.0</v>
      </c>
      <c r="C1067" s="122" t="s">
        <v>63</v>
      </c>
      <c r="D1067" s="44"/>
      <c r="E1067" s="123">
        <v>2389.54</v>
      </c>
      <c r="F1067" s="123">
        <v>-10000.0</v>
      </c>
      <c r="G1067" s="123"/>
      <c r="H1067" s="123">
        <v>-687.36</v>
      </c>
      <c r="I1067" s="44"/>
      <c r="J1067" s="123">
        <v>2183.28</v>
      </c>
      <c r="K1067" s="44"/>
      <c r="L1067" s="123">
        <v>8237.57</v>
      </c>
      <c r="M1067" s="44"/>
      <c r="N1067" s="44"/>
      <c r="O1067" s="123">
        <v>116717.0</v>
      </c>
      <c r="P1067" s="52">
        <f t="shared" si="23"/>
        <v>116715.81</v>
      </c>
      <c r="Q1067" s="124">
        <f t="shared" si="2"/>
        <v>1.19</v>
      </c>
      <c r="R1067" s="52">
        <f t="array" ref="R1067">IFERROR(INDEX('Fund YTD Target Values'!$1:$1000, MATCH($C1067,'Fund YTD Target Values'!$A:$A,0), MATCH($A1067,'Fund YTD Target Values'!$1:$1,0)),0)</f>
        <v>121248.2716</v>
      </c>
      <c r="S1067" s="52">
        <f>IFERROR(__xludf.DUMMYFUNCTION("IFERROR(sum(FILTER('Fund Data'!$V:$V, 'Fund Data'!$C:$C = $C1067, 'Fund Data'!$A:$A &lt; $A1067)),0) + IFERROR(sum(FILTER('Fund Data'!$V:$V, 'Fund Data'!$C:$C = $C1067, 'Fund Data'!$A:$A = $A1067, 'Fund Data'!$B:$B &lt;= $B1067)),0)"),100000.0)</f>
        <v>100000</v>
      </c>
      <c r="T1067" s="123">
        <v>100000.0</v>
      </c>
      <c r="U1067" s="44">
        <f t="shared" si="93"/>
        <v>0</v>
      </c>
      <c r="V1067" s="44">
        <f t="shared" si="3"/>
        <v>0</v>
      </c>
      <c r="W1067" s="123"/>
      <c r="X1067" s="123"/>
      <c r="Y1067" s="123">
        <v>0.0</v>
      </c>
      <c r="Z1067" s="123">
        <v>0.0</v>
      </c>
      <c r="AA1067" s="123">
        <v>0.0</v>
      </c>
      <c r="AB1067" s="123"/>
      <c r="AC1067" s="123">
        <v>0.0</v>
      </c>
      <c r="AD1067" s="44">
        <f t="shared" si="7"/>
        <v>-10000</v>
      </c>
      <c r="AE1067" s="123">
        <v>0.0</v>
      </c>
    </row>
    <row r="1068">
      <c r="A1068" s="120">
        <v>2012.0</v>
      </c>
      <c r="B1068" s="121">
        <v>12.0</v>
      </c>
      <c r="C1068" s="122" t="s">
        <v>63</v>
      </c>
      <c r="D1068" s="44"/>
      <c r="E1068" s="123">
        <v>2352.39</v>
      </c>
      <c r="F1068" s="123">
        <v>-7500.0</v>
      </c>
      <c r="G1068" s="123"/>
      <c r="H1068" s="123">
        <v>-697.1</v>
      </c>
      <c r="I1068" s="44"/>
      <c r="J1068" s="123">
        <v>604.13</v>
      </c>
      <c r="K1068" s="44"/>
      <c r="L1068" s="123">
        <v>10845.28</v>
      </c>
      <c r="M1068" s="44"/>
      <c r="N1068" s="44"/>
      <c r="O1068" s="123">
        <v>114594.0</v>
      </c>
      <c r="P1068" s="52">
        <f t="shared" si="23"/>
        <v>114592.78</v>
      </c>
      <c r="Q1068" s="124">
        <f t="shared" si="2"/>
        <v>1.22</v>
      </c>
      <c r="R1068" s="52">
        <f t="array" ref="R1068">IFERROR(INDEX('Fund YTD Target Values'!$1:$1000, MATCH($C1068,'Fund YTD Target Values'!$A:$A,0), MATCH($A1068,'Fund YTD Target Values'!$1:$1,0)),0)</f>
        <v>119496.3999</v>
      </c>
      <c r="S1068" s="52">
        <f>IFERROR(__xludf.DUMMYFUNCTION("IFERROR(sum(FILTER('Fund Data'!$V:$V, 'Fund Data'!$C:$C = $C1068, 'Fund Data'!$A:$A &lt; $A1068)),0) + IFERROR(sum(FILTER('Fund Data'!$V:$V, 'Fund Data'!$C:$C = $C1068, 'Fund Data'!$A:$A = $A1068, 'Fund Data'!$B:$B &lt;= $B1068)),0)"),100000.0)</f>
        <v>100000</v>
      </c>
      <c r="T1068" s="123">
        <v>100000.0</v>
      </c>
      <c r="U1068" s="44">
        <f t="shared" si="93"/>
        <v>0</v>
      </c>
      <c r="V1068" s="44">
        <f t="shared" si="3"/>
        <v>0</v>
      </c>
      <c r="W1068" s="123"/>
      <c r="X1068" s="123"/>
      <c r="Y1068" s="123">
        <v>0.0</v>
      </c>
      <c r="Z1068" s="123">
        <v>0.0</v>
      </c>
      <c r="AA1068" s="123">
        <v>0.0</v>
      </c>
      <c r="AB1068" s="123"/>
      <c r="AC1068" s="123">
        <v>0.0</v>
      </c>
      <c r="AD1068" s="44">
        <f t="shared" si="7"/>
        <v>-7500</v>
      </c>
      <c r="AE1068" s="123">
        <v>0.0</v>
      </c>
    </row>
    <row r="1069">
      <c r="A1069" s="120">
        <v>2011.0</v>
      </c>
      <c r="B1069" s="121">
        <v>12.0</v>
      </c>
      <c r="C1069" s="122" t="s">
        <v>63</v>
      </c>
      <c r="D1069" s="44"/>
      <c r="E1069" s="123">
        <v>2068.86</v>
      </c>
      <c r="F1069" s="123">
        <v>-10000.0</v>
      </c>
      <c r="G1069" s="123"/>
      <c r="H1069" s="123">
        <v>-737.93</v>
      </c>
      <c r="I1069" s="44"/>
      <c r="J1069" s="123">
        <v>1057.85</v>
      </c>
      <c r="K1069" s="44"/>
      <c r="L1069" s="123">
        <v>-8209.36</v>
      </c>
      <c r="M1069" s="44"/>
      <c r="N1069" s="44"/>
      <c r="O1069" s="123">
        <v>108989.0</v>
      </c>
      <c r="P1069" s="52">
        <f t="shared" si="23"/>
        <v>108988.08</v>
      </c>
      <c r="Q1069" s="124">
        <f t="shared" si="2"/>
        <v>0.92</v>
      </c>
      <c r="R1069" s="52">
        <f t="array" ref="R1069">IFERROR(INDEX('Fund YTD Target Values'!$1:$1000, MATCH($C1069,'Fund YTD Target Values'!$A:$A,0), MATCH($A1069,'Fund YTD Target Values'!$1:$1,0)),0)</f>
        <v>117069.3272</v>
      </c>
      <c r="S1069" s="52">
        <f>IFERROR(__xludf.DUMMYFUNCTION("IFERROR(sum(FILTER('Fund Data'!$V:$V, 'Fund Data'!$C:$C = $C1069, 'Fund Data'!$A:$A &lt; $A1069)),0) + IFERROR(sum(FILTER('Fund Data'!$V:$V, 'Fund Data'!$C:$C = $C1069, 'Fund Data'!$A:$A = $A1069, 'Fund Data'!$B:$B &lt;= $B1069)),0)"),100000.0)</f>
        <v>100000</v>
      </c>
      <c r="T1069" s="123">
        <v>100000.0</v>
      </c>
      <c r="U1069" s="44">
        <f t="shared" si="93"/>
        <v>0</v>
      </c>
      <c r="V1069" s="44">
        <f t="shared" si="3"/>
        <v>0</v>
      </c>
      <c r="W1069" s="123"/>
      <c r="X1069" s="123"/>
      <c r="Y1069" s="123">
        <v>0.0</v>
      </c>
      <c r="Z1069" s="123">
        <v>0.0</v>
      </c>
      <c r="AA1069" s="123">
        <v>0.0</v>
      </c>
      <c r="AB1069" s="123"/>
      <c r="AC1069" s="123">
        <v>0.0</v>
      </c>
      <c r="AD1069" s="44">
        <f t="shared" si="7"/>
        <v>-10000</v>
      </c>
      <c r="AE1069" s="123">
        <v>0.0</v>
      </c>
    </row>
    <row r="1070">
      <c r="A1070" s="120">
        <v>2010.0</v>
      </c>
      <c r="B1070" s="121">
        <v>12.0</v>
      </c>
      <c r="C1070" s="122" t="s">
        <v>63</v>
      </c>
      <c r="D1070" s="44"/>
      <c r="E1070" s="123">
        <v>2437.32</v>
      </c>
      <c r="F1070" s="123">
        <v>-5000.0</v>
      </c>
      <c r="G1070" s="123"/>
      <c r="H1070" s="123">
        <v>-695.7</v>
      </c>
      <c r="I1070" s="44"/>
      <c r="J1070" s="123">
        <v>170.95</v>
      </c>
      <c r="K1070" s="44"/>
      <c r="L1070" s="123">
        <v>13119.61</v>
      </c>
      <c r="M1070" s="44"/>
      <c r="N1070" s="44"/>
      <c r="O1070" s="123">
        <v>124809.0</v>
      </c>
      <c r="P1070" s="52">
        <f t="shared" si="23"/>
        <v>124808.66</v>
      </c>
      <c r="Q1070" s="124">
        <f t="shared" si="2"/>
        <v>0.34</v>
      </c>
      <c r="R1070" s="52">
        <f t="array" ref="R1070">IFERROR(INDEX('Fund YTD Target Values'!$1:$1000, MATCH($C1070,'Fund YTD Target Values'!$A:$A,0), MATCH($A1070,'Fund YTD Target Values'!$1:$1,0)),0)</f>
        <v>113488.5353</v>
      </c>
      <c r="S1070" s="52">
        <f>IFERROR(__xludf.DUMMYFUNCTION("IFERROR(sum(FILTER('Fund Data'!$V:$V, 'Fund Data'!$C:$C = $C1070, 'Fund Data'!$A:$A &lt; $A1070)),0) + IFERROR(sum(FILTER('Fund Data'!$V:$V, 'Fund Data'!$C:$C = $C1070, 'Fund Data'!$A:$A = $A1070, 'Fund Data'!$B:$B &lt;= $B1070)),0)"),100000.0)</f>
        <v>100000</v>
      </c>
      <c r="T1070" s="123">
        <v>100000.0</v>
      </c>
      <c r="U1070" s="44">
        <f t="shared" si="93"/>
        <v>0</v>
      </c>
      <c r="V1070" s="44">
        <f t="shared" si="3"/>
        <v>0</v>
      </c>
      <c r="W1070" s="123"/>
      <c r="X1070" s="123"/>
      <c r="Y1070" s="123">
        <v>0.0</v>
      </c>
      <c r="Z1070" s="123">
        <v>0.0</v>
      </c>
      <c r="AA1070" s="123">
        <v>0.0</v>
      </c>
      <c r="AB1070" s="123"/>
      <c r="AC1070" s="123">
        <v>0.0</v>
      </c>
      <c r="AD1070" s="44">
        <f t="shared" si="7"/>
        <v>-5000</v>
      </c>
      <c r="AE1070" s="123">
        <v>0.0</v>
      </c>
    </row>
    <row r="1071">
      <c r="A1071" s="120">
        <v>2009.0</v>
      </c>
      <c r="B1071" s="121">
        <v>12.0</v>
      </c>
      <c r="C1071" s="122" t="s">
        <v>63</v>
      </c>
      <c r="D1071" s="44"/>
      <c r="E1071" s="123">
        <v>2996.39</v>
      </c>
      <c r="F1071" s="123">
        <v>-3000.0</v>
      </c>
      <c r="G1071" s="123"/>
      <c r="H1071" s="123">
        <v>-610.43</v>
      </c>
      <c r="I1071" s="44"/>
      <c r="J1071" s="44"/>
      <c r="K1071" s="44"/>
      <c r="L1071" s="123">
        <v>17651.8</v>
      </c>
      <c r="M1071" s="44"/>
      <c r="N1071" s="44"/>
      <c r="O1071" s="123">
        <v>114777.0</v>
      </c>
      <c r="P1071" s="52">
        <f t="shared" si="23"/>
        <v>114776.48</v>
      </c>
      <c r="Q1071" s="124">
        <f t="shared" si="2"/>
        <v>0.52</v>
      </c>
      <c r="R1071" s="52">
        <f t="array" ref="R1071">IFERROR(INDEX('Fund YTD Target Values'!$1:$1000, MATCH($C1071,'Fund YTD Target Values'!$A:$A,0), MATCH($A1071,'Fund YTD Target Values'!$1:$1,0)),0)</f>
        <v>111652.6096</v>
      </c>
      <c r="S1071" s="52">
        <f>IFERROR(__xludf.DUMMYFUNCTION("IFERROR(sum(FILTER('Fund Data'!$V:$V, 'Fund Data'!$C:$C = $C1071, 'Fund Data'!$A:$A &lt; $A1071)),0) + IFERROR(sum(FILTER('Fund Data'!$V:$V, 'Fund Data'!$C:$C = $C1071, 'Fund Data'!$A:$A = $A1071, 'Fund Data'!$B:$B &lt;= $B1071)),0)"),100000.0)</f>
        <v>100000</v>
      </c>
      <c r="T1071" s="123">
        <v>100000.0</v>
      </c>
      <c r="U1071" s="44">
        <f t="shared" si="93"/>
        <v>0</v>
      </c>
      <c r="V1071" s="44">
        <f t="shared" si="3"/>
        <v>0</v>
      </c>
      <c r="W1071" s="123"/>
      <c r="X1071" s="123"/>
      <c r="Y1071" s="123">
        <v>0.0</v>
      </c>
      <c r="Z1071" s="123">
        <v>0.0</v>
      </c>
      <c r="AA1071" s="123">
        <v>0.0</v>
      </c>
      <c r="AB1071" s="123"/>
      <c r="AC1071" s="123">
        <v>0.0</v>
      </c>
      <c r="AD1071" s="44">
        <f t="shared" si="7"/>
        <v>-3000</v>
      </c>
      <c r="AE1071" s="123">
        <v>0.0</v>
      </c>
    </row>
    <row r="1072">
      <c r="A1072" s="120">
        <v>2008.0</v>
      </c>
      <c r="B1072" s="121">
        <v>12.0</v>
      </c>
      <c r="C1072" s="122" t="s">
        <v>63</v>
      </c>
      <c r="D1072" s="44"/>
      <c r="E1072" s="123">
        <v>3097.02</v>
      </c>
      <c r="F1072" s="44"/>
      <c r="G1072" s="123"/>
      <c r="H1072" s="123">
        <v>-698.23</v>
      </c>
      <c r="I1072" s="44"/>
      <c r="J1072" s="44"/>
      <c r="K1072" s="44"/>
      <c r="L1072" s="123">
        <v>-32008.0</v>
      </c>
      <c r="M1072" s="44"/>
      <c r="N1072" s="44"/>
      <c r="O1072" s="123">
        <v>97739.0</v>
      </c>
      <c r="P1072" s="52">
        <f t="shared" si="23"/>
        <v>97738.72</v>
      </c>
      <c r="Q1072" s="124">
        <f t="shared" si="2"/>
        <v>0.28</v>
      </c>
      <c r="R1072" s="52">
        <f t="array" ref="R1072">IFERROR(INDEX('Fund YTD Target Values'!$1:$1000, MATCH($C1072,'Fund YTD Target Values'!$A:$A,0), MATCH($A1072,'Fund YTD Target Values'!$1:$1,0)),0)</f>
        <v>112031.0505</v>
      </c>
      <c r="S1072" s="52">
        <f>IFERROR(__xludf.DUMMYFUNCTION("IFERROR(sum(FILTER('Fund Data'!$V:$V, 'Fund Data'!$C:$C = $C1072, 'Fund Data'!$A:$A &lt; $A1072)),0) + IFERROR(sum(FILTER('Fund Data'!$V:$V, 'Fund Data'!$C:$C = $C1072, 'Fund Data'!$A:$A = $A1072, 'Fund Data'!$B:$B &lt;= $B1072)),0)"),100000.0)</f>
        <v>100000</v>
      </c>
      <c r="T1072" s="123">
        <v>100000.0</v>
      </c>
      <c r="U1072" s="44">
        <f t="shared" si="93"/>
        <v>0</v>
      </c>
      <c r="V1072" s="44">
        <f t="shared" si="3"/>
        <v>0</v>
      </c>
      <c r="W1072" s="123"/>
      <c r="X1072" s="123"/>
      <c r="Y1072" s="123">
        <v>0.0</v>
      </c>
      <c r="Z1072" s="123">
        <v>0.0</v>
      </c>
      <c r="AA1072" s="123">
        <v>0.0</v>
      </c>
      <c r="AB1072" s="123"/>
      <c r="AC1072" s="123">
        <v>0.0</v>
      </c>
      <c r="AD1072" s="44">
        <f t="shared" si="7"/>
        <v>0</v>
      </c>
      <c r="AE1072" s="123">
        <v>0.0</v>
      </c>
    </row>
    <row r="1073">
      <c r="A1073" s="120">
        <v>2007.0</v>
      </c>
      <c r="B1073" s="121">
        <v>12.0</v>
      </c>
      <c r="C1073" s="122" t="s">
        <v>63</v>
      </c>
      <c r="D1073" s="44"/>
      <c r="E1073" s="123">
        <v>1956.83</v>
      </c>
      <c r="F1073" s="123">
        <v>-2000.0</v>
      </c>
      <c r="G1073" s="123"/>
      <c r="H1073" s="123">
        <v>-752.76</v>
      </c>
      <c r="I1073" s="44"/>
      <c r="J1073" s="123">
        <v>186.76</v>
      </c>
      <c r="K1073" s="44"/>
      <c r="L1073" s="123">
        <v>10210.28</v>
      </c>
      <c r="M1073" s="123">
        <v>-2.0</v>
      </c>
      <c r="N1073" s="44"/>
      <c r="O1073" s="123">
        <v>127348.0</v>
      </c>
      <c r="P1073" s="52">
        <f t="shared" si="23"/>
        <v>127347.93</v>
      </c>
      <c r="Q1073" s="124">
        <f t="shared" si="2"/>
        <v>0.06999999999</v>
      </c>
      <c r="R1073" s="52">
        <f t="array" ref="R1073">IFERROR(INDEX('Fund YTD Target Values'!$1:$1000, MATCH($C1073,'Fund YTD Target Values'!$A:$A,0), MATCH($A1073,'Fund YTD Target Values'!$1:$1,0)),0)</f>
        <v>107882.2935</v>
      </c>
      <c r="S1073" s="52">
        <f>IFERROR(__xludf.DUMMYFUNCTION("IFERROR(sum(FILTER('Fund Data'!$V:$V, 'Fund Data'!$C:$C = $C1073, 'Fund Data'!$A:$A &lt; $A1073)),0) + IFERROR(sum(FILTER('Fund Data'!$V:$V, 'Fund Data'!$C:$C = $C1073, 'Fund Data'!$A:$A = $A1073, 'Fund Data'!$B:$B &lt;= $B1073)),0)"),100000.0)</f>
        <v>100000</v>
      </c>
      <c r="T1073" s="123">
        <v>100000.0</v>
      </c>
      <c r="U1073" s="44">
        <f t="shared" si="93"/>
        <v>0</v>
      </c>
      <c r="V1073" s="44">
        <f t="shared" si="3"/>
        <v>0</v>
      </c>
      <c r="W1073" s="123"/>
      <c r="X1073" s="123"/>
      <c r="Y1073" s="123">
        <v>0.0</v>
      </c>
      <c r="Z1073" s="123">
        <v>0.0</v>
      </c>
      <c r="AA1073" s="123">
        <v>0.0</v>
      </c>
      <c r="AB1073" s="123"/>
      <c r="AC1073" s="123">
        <v>0.0</v>
      </c>
      <c r="AD1073" s="44">
        <f t="shared" si="7"/>
        <v>-2000</v>
      </c>
      <c r="AE1073" s="123">
        <v>0.0</v>
      </c>
    </row>
    <row r="1074">
      <c r="A1074" s="120">
        <v>2006.0</v>
      </c>
      <c r="B1074" s="121">
        <v>12.0</v>
      </c>
      <c r="C1074" s="122" t="s">
        <v>63</v>
      </c>
      <c r="D1074" s="123">
        <v>25000.0</v>
      </c>
      <c r="E1074" s="123">
        <v>1884.26</v>
      </c>
      <c r="F1074" s="123">
        <v>-6200.0</v>
      </c>
      <c r="G1074" s="123"/>
      <c r="H1074" s="123">
        <v>-668.13</v>
      </c>
      <c r="I1074" s="44"/>
      <c r="J1074" s="123">
        <v>90.21</v>
      </c>
      <c r="K1074" s="44"/>
      <c r="L1074" s="123">
        <v>8633.47</v>
      </c>
      <c r="M1074" s="123">
        <v>-251.93</v>
      </c>
      <c r="N1074" s="44"/>
      <c r="O1074" s="123">
        <v>117749.0</v>
      </c>
      <c r="P1074" s="52">
        <f t="shared" si="23"/>
        <v>117748.82</v>
      </c>
      <c r="Q1074" s="124">
        <f t="shared" si="2"/>
        <v>0.18</v>
      </c>
      <c r="R1074" s="52">
        <f t="array" ref="R1074">IFERROR(INDEX('Fund YTD Target Values'!$1:$1000, MATCH($C1074,'Fund YTD Target Values'!$A:$A,0), MATCH($A1074,'Fund YTD Target Values'!$1:$1,0)),0)</f>
        <v>104890.448</v>
      </c>
      <c r="S1074" s="52">
        <f>IFERROR(__xludf.DUMMYFUNCTION("IFERROR(sum(FILTER('Fund Data'!$V:$V, 'Fund Data'!$C:$C = $C1074, 'Fund Data'!$A:$A &lt; $A1074)),0) + IFERROR(sum(FILTER('Fund Data'!$V:$V, 'Fund Data'!$C:$C = $C1074, 'Fund Data'!$A:$A = $A1074, 'Fund Data'!$B:$B &lt;= $B1074)),0)"),100000.0)</f>
        <v>100000</v>
      </c>
      <c r="T1074" s="123">
        <v>100000.0</v>
      </c>
      <c r="U1074" s="44">
        <f t="shared" si="93"/>
        <v>0</v>
      </c>
      <c r="V1074" s="44">
        <f t="shared" si="3"/>
        <v>25000</v>
      </c>
      <c r="W1074" s="123"/>
      <c r="X1074" s="123"/>
      <c r="Y1074" s="123">
        <v>0.0</v>
      </c>
      <c r="Z1074" s="123">
        <v>0.0</v>
      </c>
      <c r="AA1074" s="123">
        <v>0.0</v>
      </c>
      <c r="AB1074" s="123"/>
      <c r="AC1074" s="123">
        <v>0.0</v>
      </c>
      <c r="AD1074" s="44">
        <f t="shared" si="7"/>
        <v>-6200</v>
      </c>
      <c r="AE1074" s="123">
        <v>0.0</v>
      </c>
    </row>
    <row r="1075">
      <c r="A1075" s="120">
        <v>2005.0</v>
      </c>
      <c r="B1075" s="121">
        <v>12.0</v>
      </c>
      <c r="C1075" s="122" t="s">
        <v>63</v>
      </c>
      <c r="D1075" s="123">
        <v>25000.0</v>
      </c>
      <c r="E1075" s="123">
        <v>1710.23</v>
      </c>
      <c r="F1075" s="44"/>
      <c r="G1075" s="123"/>
      <c r="H1075" s="123">
        <v>-449.76</v>
      </c>
      <c r="I1075" s="44"/>
      <c r="J1075" s="123">
        <v>9130.08</v>
      </c>
      <c r="K1075" s="123">
        <v>-67.79</v>
      </c>
      <c r="L1075" s="123">
        <v>-5096.47</v>
      </c>
      <c r="M1075" s="123">
        <v>251.48</v>
      </c>
      <c r="N1075" s="44"/>
      <c r="O1075" s="123">
        <v>89261.0</v>
      </c>
      <c r="P1075" s="52">
        <f t="shared" si="23"/>
        <v>89260.94</v>
      </c>
      <c r="Q1075" s="124">
        <f t="shared" si="2"/>
        <v>0.06</v>
      </c>
      <c r="R1075" s="52">
        <f t="array" ref="R1075">IFERROR(INDEX('Fund YTD Target Values'!$1:$1000, MATCH($C1075,'Fund YTD Target Values'!$A:$A,0), MATCH($A1075,'Fund YTD Target Values'!$1:$1,0)),0)</f>
        <v>77386.81425</v>
      </c>
      <c r="S1075" s="52">
        <f>IFERROR(__xludf.DUMMYFUNCTION("IFERROR(sum(FILTER('Fund Data'!$V:$V, 'Fund Data'!$C:$C = $C1075, 'Fund Data'!$A:$A &lt; $A1075)),0) + IFERROR(sum(FILTER('Fund Data'!$V:$V, 'Fund Data'!$C:$C = $C1075, 'Fund Data'!$A:$A = $A1075, 'Fund Data'!$B:$B &lt;= $B1075)),0)"),75000.0)</f>
        <v>75000</v>
      </c>
      <c r="T1075" s="123">
        <v>75000.0</v>
      </c>
      <c r="U1075" s="44">
        <f t="shared" si="93"/>
        <v>0</v>
      </c>
      <c r="V1075" s="44">
        <f t="shared" si="3"/>
        <v>25000</v>
      </c>
      <c r="W1075" s="123"/>
      <c r="X1075" s="123"/>
      <c r="Y1075" s="123">
        <v>0.0</v>
      </c>
      <c r="Z1075" s="123">
        <v>0.0</v>
      </c>
      <c r="AA1075" s="123">
        <v>0.0</v>
      </c>
      <c r="AB1075" s="123"/>
      <c r="AC1075" s="123">
        <v>0.0</v>
      </c>
      <c r="AD1075" s="44">
        <f t="shared" si="7"/>
        <v>0</v>
      </c>
      <c r="AE1075" s="123">
        <v>0.0</v>
      </c>
    </row>
    <row r="1076">
      <c r="A1076" s="120">
        <v>2004.0</v>
      </c>
      <c r="B1076" s="121">
        <v>12.0</v>
      </c>
      <c r="C1076" s="122" t="s">
        <v>63</v>
      </c>
      <c r="D1076" s="123">
        <v>25000.0</v>
      </c>
      <c r="E1076" s="123">
        <v>1388.99</v>
      </c>
      <c r="F1076" s="123">
        <v>-1000.0</v>
      </c>
      <c r="G1076" s="123"/>
      <c r="H1076" s="123">
        <v>-242.29</v>
      </c>
      <c r="I1076" s="123"/>
      <c r="J1076" s="123">
        <v>574.35</v>
      </c>
      <c r="K1076" s="123">
        <v>-774.19</v>
      </c>
      <c r="L1076" s="123">
        <v>3513.42</v>
      </c>
      <c r="M1076" s="123">
        <v>-0.97</v>
      </c>
      <c r="N1076" s="123">
        <v>590.1</v>
      </c>
      <c r="O1076" s="123">
        <v>58783.0</v>
      </c>
      <c r="P1076" s="52">
        <f t="shared" si="23"/>
        <v>58783.17</v>
      </c>
      <c r="Q1076" s="124">
        <f t="shared" si="2"/>
        <v>-0.17</v>
      </c>
      <c r="R1076" s="52">
        <f t="array" ref="R1076">IFERROR(INDEX('Fund YTD Target Values'!$1:$1000, MATCH($C1076,'Fund YTD Target Values'!$A:$A,0), MATCH($A1076,'Fund YTD Target Values'!$1:$1,0)),0)</f>
        <v>50668.96549</v>
      </c>
      <c r="S1076" s="52">
        <f>IFERROR(__xludf.DUMMYFUNCTION("IFERROR(sum(FILTER('Fund Data'!$V:$V, 'Fund Data'!$C:$C = $C1076, 'Fund Data'!$A:$A &lt; $A1076)),0) + IFERROR(sum(FILTER('Fund Data'!$V:$V, 'Fund Data'!$C:$C = $C1076, 'Fund Data'!$A:$A = $A1076, 'Fund Data'!$B:$B &lt;= $B1076)),0)"),50000.0)</f>
        <v>50000</v>
      </c>
      <c r="T1076" s="123">
        <v>50000.0</v>
      </c>
      <c r="U1076" s="44">
        <f t="shared" si="93"/>
        <v>0</v>
      </c>
      <c r="V1076" s="44">
        <f t="shared" si="3"/>
        <v>25000</v>
      </c>
      <c r="W1076" s="123"/>
      <c r="X1076" s="123"/>
      <c r="Y1076" s="123">
        <v>0.0</v>
      </c>
      <c r="Z1076" s="123">
        <v>0.0</v>
      </c>
      <c r="AA1076" s="123">
        <v>0.0</v>
      </c>
      <c r="AB1076" s="123"/>
      <c r="AC1076" s="123">
        <v>0.0</v>
      </c>
      <c r="AD1076" s="44">
        <f t="shared" si="7"/>
        <v>-1000</v>
      </c>
      <c r="AE1076" s="123">
        <v>0.0</v>
      </c>
    </row>
    <row r="1077">
      <c r="A1077" s="120">
        <v>2003.0</v>
      </c>
      <c r="B1077" s="121">
        <v>12.0</v>
      </c>
      <c r="C1077" s="122" t="s">
        <v>63</v>
      </c>
      <c r="D1077" s="123">
        <v>25000.0</v>
      </c>
      <c r="E1077" s="123">
        <v>567.87</v>
      </c>
      <c r="F1077" s="123">
        <v>-3000.0</v>
      </c>
      <c r="G1077" s="123"/>
      <c r="H1077" s="123">
        <v>-123.08</v>
      </c>
      <c r="I1077" s="123"/>
      <c r="J1077" s="123">
        <v>5615.3</v>
      </c>
      <c r="K1077" s="44"/>
      <c r="L1077" s="123">
        <v>1536.0</v>
      </c>
      <c r="M1077" s="123">
        <v>2.61</v>
      </c>
      <c r="N1077" s="123">
        <v>135.06</v>
      </c>
      <c r="O1077" s="123">
        <v>29734.0</v>
      </c>
      <c r="P1077" s="52">
        <f t="shared" si="23"/>
        <v>29733.76</v>
      </c>
      <c r="Q1077" s="124">
        <f t="shared" si="2"/>
        <v>0.24</v>
      </c>
      <c r="R1077" s="52">
        <f t="array" ref="R1077">IFERROR(INDEX('Fund YTD Target Values'!$1:$1000, MATCH($C1077,'Fund YTD Target Values'!$A:$A,0), MATCH($A1077,'Fund YTD Target Values'!$1:$1,0)),0)</f>
        <v>25000</v>
      </c>
      <c r="S1077" s="52">
        <f>IFERROR(__xludf.DUMMYFUNCTION("IFERROR(sum(FILTER('Fund Data'!$V:$V, 'Fund Data'!$C:$C = $C1077, 'Fund Data'!$A:$A &lt; $A1077)),0) + IFERROR(sum(FILTER('Fund Data'!$V:$V, 'Fund Data'!$C:$C = $C1077, 'Fund Data'!$A:$A = $A1077, 'Fund Data'!$B:$B &lt;= $B1077)),0)"),25000.0)</f>
        <v>25000</v>
      </c>
      <c r="T1077" s="123">
        <v>25000.0</v>
      </c>
      <c r="U1077" s="44">
        <f t="shared" si="93"/>
        <v>0</v>
      </c>
      <c r="V1077" s="44">
        <f t="shared" si="3"/>
        <v>25000</v>
      </c>
      <c r="W1077" s="123"/>
      <c r="X1077" s="123"/>
      <c r="Y1077" s="123">
        <v>0.0</v>
      </c>
      <c r="Z1077" s="123">
        <v>0.0</v>
      </c>
      <c r="AA1077" s="123">
        <v>0.0</v>
      </c>
      <c r="AB1077" s="123"/>
      <c r="AC1077" s="123">
        <v>0.0</v>
      </c>
      <c r="AD1077" s="44">
        <f t="shared" si="7"/>
        <v>-3000</v>
      </c>
      <c r="AE1077" s="123">
        <v>0.0</v>
      </c>
    </row>
    <row r="1078">
      <c r="A1078" s="120">
        <v>2019.0</v>
      </c>
      <c r="B1078" s="121">
        <v>6.0</v>
      </c>
      <c r="C1078" s="122" t="s">
        <v>43</v>
      </c>
      <c r="D1078" s="123">
        <v>1000.0</v>
      </c>
      <c r="E1078" s="123">
        <v>14504.53</v>
      </c>
      <c r="F1078" s="123">
        <v>-27600.0</v>
      </c>
      <c r="G1078" s="44"/>
      <c r="H1078" s="123">
        <v>-3270.07</v>
      </c>
      <c r="I1078" s="44"/>
      <c r="J1078" s="44"/>
      <c r="K1078" s="123">
        <v>-103.73</v>
      </c>
      <c r="L1078" s="123">
        <v>114307.16</v>
      </c>
      <c r="M1078" s="44"/>
      <c r="N1078" s="44"/>
      <c r="O1078" s="123">
        <v>1190378.24</v>
      </c>
      <c r="P1078" s="52">
        <f t="shared" si="23"/>
        <v>1190377.92</v>
      </c>
      <c r="Q1078" s="124">
        <f t="shared" si="2"/>
        <v>0.3200000001</v>
      </c>
      <c r="R1078" s="52">
        <f t="array" ref="R1078">IFERROR(INDEX('Fund YTD Target Values'!$1:$1000, MATCH($C1078,'Fund YTD Target Values'!$A:$A,0), MATCH($A1078,'Fund YTD Target Values'!$1:$1,0)),0)</f>
        <v>1169018.869</v>
      </c>
      <c r="S1078" s="52">
        <f>IFERROR(__xludf.DUMMYFUNCTION("IFERROR(sum(FILTER('Fund Data'!$V:$V, 'Fund Data'!$C:$C = $C1078, 'Fund Data'!$A:$A &lt; $A1078)),0) + IFERROR(sum(FILTER('Fund Data'!$V:$V, 'Fund Data'!$C:$C = $C1078, 'Fund Data'!$A:$A = $A1078, 'Fund Data'!$B:$B &lt;= $B1078)),0)"),1081136.0)</f>
        <v>1081136</v>
      </c>
      <c r="T1078" s="44"/>
      <c r="U1078" s="44"/>
      <c r="V1078" s="44">
        <f t="shared" si="3"/>
        <v>0</v>
      </c>
      <c r="W1078" s="52">
        <f>IFERROR(__xludf.DUMMYFUNCTION("iFERROR((FILTER('Fund Data'!$Y:$Y, 'Fund Data'!$C:$C = $C1078, 'Fund Data'!$A:$A = $A1078 - 1, 'Fund Data'!$B:$B = 12) + FILTER('Fund Data'!$AA:$AA, 'Fund Data'!$C:$C = $C1078, 'Fund Data'!$A:$A = $A1078 - 1, 'Fund Data'!$B:$B = 12)) * (1 + AVERAGE(FILTER"&amp;"('Inflation Data'!$C:$C,'Inflation Data'!$A:$A = ($A1078 - 2)))) * 'Parameters and Distribution Sum'!$A$4,0)"),33647.195102028425)</f>
        <v>33647.1951</v>
      </c>
      <c r="X1078" s="52">
        <f>IFERROR(__xludf.DUMMYFUNCTION("IFERROR((IFERROR(FILTER('Fund Data'!$P:$P,'Fund Data'!$C:$C = $C1078,'Fund Data'!$A:$A = ($A1078 - 2), 'Fund Data'!$B:$B = 12),0) - SUM(FILTER('Fund Data'!$V:$V, 'Fund Data'!$C:$C = $C1078, 'Fund Data'!$A:$A = ($A1078 - 2), 'Fund Data'!$B:$B &gt; 3)))  * 'Pa"&amp;"rameters and Distribution Sum'!$B$4 * (1 - 'Parameters and Distribution Sum'!$A$4),0)"),15672.907755)</f>
        <v>15672.90776</v>
      </c>
      <c r="Y1078" s="52">
        <f t="shared" ref="Y1078:Y1083" si="100">sum($W1078:$X1078)</f>
        <v>49320.10286</v>
      </c>
      <c r="Z1078" s="52">
        <f>IFERROR(__xludf.DUMMYFUNCTION("((IFERROR((SUM(FILTER('Fund Data'!$V:$V, 'Fund Data'!$C:$C = $C1078, 'Fund Data'!$A:$A = $A1078 - 1, 'Fund Data'!$B:$B &gt;= 4, 'Fund Data'!$B:$B &lt;= ($B1078 + 5))) / 12) * ($B1078 - 3) * 'Parameters and Distribution Sum'!$B$4, 0) + IF($B1078 &gt;= 9, IFERROR(SU"&amp;"M(FILTER('Fund Data'!$V:$V, 'Fund Data'!$C:$C = $C1078, 'Fund Data'!$A:$A = $A1078, 'Fund Data'!$B:$B &lt;= 3)) * 'Parameters and Distribution Sum'!$B$4, 0),0)))"),0.0)</f>
        <v>0</v>
      </c>
      <c r="AA1078" s="44">
        <f>IFERROR(__xludf.DUMMYFUNCTION("IFERROR(((IFERROR(SUM(FILTER('Fund Data'!$V:$V, 'Fund Data'!$C:$C = $C1078, 'Fund Data'!$A:$A = $A1078 - 2, 'Fund Data'!$B:$B &gt;= 4)) * 'Parameters and Distribution Sum'!$B$4,0) + IFERROR(SUM(FILTER('Fund Data'!$V:$V, 'Fund Data'!$C:$C = $C1078, 'Fund Data"&amp;"'!$A:$A = $A1078 - 1, 'Fund Data'!$B:$B &lt;= 3)) * 'Parameters and Distribution Sum'!$B$4,0))),0)"),3532.5)</f>
        <v>3532.5</v>
      </c>
      <c r="AB1078" s="44">
        <f t="shared" ref="AB1078:AB1084" si="101">IFERROR(__xludf.DUMMYFUNCTION("IFERROR(FILTER($AE:$AE,$C:$C = $C1078,$A:$A = $A1078 - 1,$B:$B = 12),0)"),0.0)</f>
        <v>0</v>
      </c>
      <c r="AC1078" s="44">
        <f t="shared" ref="AC1078:AC1084" si="102">sum($Y1078:$AB1078)</f>
        <v>52852.60286</v>
      </c>
      <c r="AD1078" s="44">
        <f t="shared" si="7"/>
        <v>25252.60286</v>
      </c>
      <c r="AE1078" s="44"/>
    </row>
    <row r="1079">
      <c r="A1079" s="120">
        <v>2019.0</v>
      </c>
      <c r="B1079" s="121">
        <v>5.0</v>
      </c>
      <c r="C1079" s="122" t="s">
        <v>43</v>
      </c>
      <c r="D1079" s="123">
        <v>1000.0</v>
      </c>
      <c r="E1079" s="123">
        <v>13259.84</v>
      </c>
      <c r="F1079" s="123">
        <v>-18500.0</v>
      </c>
      <c r="G1079" s="44"/>
      <c r="H1079" s="123">
        <v>-2725.61</v>
      </c>
      <c r="I1079" s="44"/>
      <c r="J1079" s="44"/>
      <c r="K1079" s="123">
        <v>-12.62</v>
      </c>
      <c r="L1079" s="123">
        <v>68485.43</v>
      </c>
      <c r="M1079" s="44"/>
      <c r="N1079" s="44"/>
      <c r="O1079" s="123">
        <v>1153047.39</v>
      </c>
      <c r="P1079" s="52">
        <f t="shared" si="23"/>
        <v>1153047.07</v>
      </c>
      <c r="Q1079" s="124">
        <f t="shared" si="2"/>
        <v>0.3199999998</v>
      </c>
      <c r="R1079" s="52">
        <f t="array" ref="R1079">IFERROR(INDEX('Fund YTD Target Values'!$1:$1000, MATCH($C1079,'Fund YTD Target Values'!$A:$A,0), MATCH($A1079,'Fund YTD Target Values'!$1:$1,0)),0)</f>
        <v>1169018.869</v>
      </c>
      <c r="S1079" s="52">
        <f>IFERROR(__xludf.DUMMYFUNCTION("IFERROR(sum(FILTER('Fund Data'!$V:$V, 'Fund Data'!$C:$C = $C1079, 'Fund Data'!$A:$A &lt; $A1079)),0) + IFERROR(sum(FILTER('Fund Data'!$V:$V, 'Fund Data'!$C:$C = $C1079, 'Fund Data'!$A:$A = $A1079, 'Fund Data'!$B:$B &lt;= $B1079)),0)"),1081136.0)</f>
        <v>1081136</v>
      </c>
      <c r="T1079" s="44"/>
      <c r="U1079" s="44"/>
      <c r="V1079" s="44">
        <f t="shared" si="3"/>
        <v>0</v>
      </c>
      <c r="W1079" s="52">
        <f>IFERROR(__xludf.DUMMYFUNCTION("iFERROR((FILTER('Fund Data'!$Y:$Y, 'Fund Data'!$C:$C = $C1079, 'Fund Data'!$A:$A = $A1079 - 1, 'Fund Data'!$B:$B = 12) + FILTER('Fund Data'!$AA:$AA, 'Fund Data'!$C:$C = $C1079, 'Fund Data'!$A:$A = $A1079 - 1, 'Fund Data'!$B:$B = 12)) * (1 + AVERAGE(FILTER"&amp;"('Inflation Data'!$C:$C,'Inflation Data'!$A:$A = ($A1079 - 2)))) * 'Parameters and Distribution Sum'!$A$4,0)"),33647.195102028425)</f>
        <v>33647.1951</v>
      </c>
      <c r="X1079" s="52">
        <f>IFERROR(__xludf.DUMMYFUNCTION("IFERROR((IFERROR(FILTER('Fund Data'!$P:$P,'Fund Data'!$C:$C = $C1079,'Fund Data'!$A:$A = ($A1079 - 2), 'Fund Data'!$B:$B = 12),0) - SUM(FILTER('Fund Data'!$V:$V, 'Fund Data'!$C:$C = $C1079, 'Fund Data'!$A:$A = ($A1079 - 2), 'Fund Data'!$B:$B &gt; 3)))  * 'Pa"&amp;"rameters and Distribution Sum'!$B$4 * (1 - 'Parameters and Distribution Sum'!$A$4),0)"),15672.907755)</f>
        <v>15672.90776</v>
      </c>
      <c r="Y1079" s="52">
        <f t="shared" si="100"/>
        <v>49320.10286</v>
      </c>
      <c r="Z1079" s="52">
        <f>IFERROR(__xludf.DUMMYFUNCTION("((IFERROR((SUM(FILTER('Fund Data'!$V:$V, 'Fund Data'!$C:$C = $C1079, 'Fund Data'!$A:$A = $A1079 - 1, 'Fund Data'!$B:$B &gt;= 4, 'Fund Data'!$B:$B &lt;= ($B1079 + 5))) / 12) * ($B1079 - 3) * 'Parameters and Distribution Sum'!$B$4, 0) + IF($B1079 &gt;= 9, IFERROR(SU"&amp;"M(FILTER('Fund Data'!$V:$V, 'Fund Data'!$C:$C = $C1079, 'Fund Data'!$A:$A = $A1079, 'Fund Data'!$B:$B &lt;= 3)) * 'Parameters and Distribution Sum'!$B$4, 0),0)))"),0.0)</f>
        <v>0</v>
      </c>
      <c r="AA1079" s="44">
        <f>IFERROR(__xludf.DUMMYFUNCTION("IFERROR(((IFERROR(SUM(FILTER('Fund Data'!$V:$V, 'Fund Data'!$C:$C = $C1079, 'Fund Data'!$A:$A = $A1079 - 2, 'Fund Data'!$B:$B &gt;= 4)) * 'Parameters and Distribution Sum'!$B$4,0) + IFERROR(SUM(FILTER('Fund Data'!$V:$V, 'Fund Data'!$C:$C = $C1079, 'Fund Data"&amp;"'!$A:$A = $A1079 - 1, 'Fund Data'!$B:$B &lt;= 3)) * 'Parameters and Distribution Sum'!$B$4,0))),0)"),3532.5)</f>
        <v>3532.5</v>
      </c>
      <c r="AB1079" s="44">
        <f t="shared" si="101"/>
        <v>0</v>
      </c>
      <c r="AC1079" s="44">
        <f t="shared" si="102"/>
        <v>52852.60286</v>
      </c>
      <c r="AD1079" s="44">
        <f t="shared" si="7"/>
        <v>34352.60286</v>
      </c>
      <c r="AE1079" s="44"/>
    </row>
    <row r="1080">
      <c r="A1080" s="120">
        <v>2019.0</v>
      </c>
      <c r="B1080" s="121">
        <v>4.0</v>
      </c>
      <c r="C1080" s="122" t="s">
        <v>43</v>
      </c>
      <c r="D1080" s="123">
        <v>1000.0</v>
      </c>
      <c r="E1080" s="123">
        <v>12244.81</v>
      </c>
      <c r="F1080" s="123">
        <v>-16500.0</v>
      </c>
      <c r="G1080" s="44"/>
      <c r="H1080" s="123">
        <v>-2165.04</v>
      </c>
      <c r="I1080" s="44"/>
      <c r="J1080" s="44"/>
      <c r="K1080" s="123">
        <v>-19.35</v>
      </c>
      <c r="L1080" s="123">
        <v>114813.01</v>
      </c>
      <c r="M1080" s="44"/>
      <c r="N1080" s="44"/>
      <c r="O1080" s="123">
        <v>1200914.0</v>
      </c>
      <c r="P1080" s="52">
        <f t="shared" si="23"/>
        <v>1200913.46</v>
      </c>
      <c r="Q1080" s="124">
        <f t="shared" si="2"/>
        <v>0.54</v>
      </c>
      <c r="R1080" s="52">
        <f t="array" ref="R1080">IFERROR(INDEX('Fund YTD Target Values'!$1:$1000, MATCH($C1080,'Fund YTD Target Values'!$A:$A,0), MATCH($A1080,'Fund YTD Target Values'!$1:$1,0)),0)</f>
        <v>1169018.869</v>
      </c>
      <c r="S1080" s="52">
        <f>IFERROR(__xludf.DUMMYFUNCTION("IFERROR(sum(FILTER('Fund Data'!$V:$V, 'Fund Data'!$C:$C = $C1080, 'Fund Data'!$A:$A &lt; $A1080)),0) + IFERROR(sum(FILTER('Fund Data'!$V:$V, 'Fund Data'!$C:$C = $C1080, 'Fund Data'!$A:$A = $A1080, 'Fund Data'!$B:$B &lt;= $B1080)),0)"),1081136.0)</f>
        <v>1081136</v>
      </c>
      <c r="T1080" s="44"/>
      <c r="U1080" s="44"/>
      <c r="V1080" s="44">
        <f t="shared" si="3"/>
        <v>0</v>
      </c>
      <c r="W1080" s="52">
        <f>IFERROR(__xludf.DUMMYFUNCTION("iFERROR((FILTER('Fund Data'!$Y:$Y, 'Fund Data'!$C:$C = $C1080, 'Fund Data'!$A:$A = $A1080 - 1, 'Fund Data'!$B:$B = 12) + FILTER('Fund Data'!$AA:$AA, 'Fund Data'!$C:$C = $C1080, 'Fund Data'!$A:$A = $A1080 - 1, 'Fund Data'!$B:$B = 12)) * (1 + AVERAGE(FILTER"&amp;"('Inflation Data'!$C:$C,'Inflation Data'!$A:$A = ($A1080 - 2)))) * 'Parameters and Distribution Sum'!$A$4,0)"),33647.195102028425)</f>
        <v>33647.1951</v>
      </c>
      <c r="X1080" s="52">
        <f>IFERROR(__xludf.DUMMYFUNCTION("IFERROR((IFERROR(FILTER('Fund Data'!$P:$P,'Fund Data'!$C:$C = $C1080,'Fund Data'!$A:$A = ($A1080 - 2), 'Fund Data'!$B:$B = 12),0) - SUM(FILTER('Fund Data'!$V:$V, 'Fund Data'!$C:$C = $C1080, 'Fund Data'!$A:$A = ($A1080 - 2), 'Fund Data'!$B:$B &gt; 3)))  * 'Pa"&amp;"rameters and Distribution Sum'!$B$4 * (1 - 'Parameters and Distribution Sum'!$A$4),0)"),15672.907755)</f>
        <v>15672.90776</v>
      </c>
      <c r="Y1080" s="52">
        <f t="shared" si="100"/>
        <v>49320.10286</v>
      </c>
      <c r="Z1080" s="52">
        <f>IFERROR(__xludf.DUMMYFUNCTION("((IFERROR((SUM(FILTER('Fund Data'!$V:$V, 'Fund Data'!$C:$C = $C1080, 'Fund Data'!$A:$A = $A1080 - 1, 'Fund Data'!$B:$B &gt;= 4, 'Fund Data'!$B:$B &lt;= ($B1080 + 5))) / 12) * ($B1080 - 3) * 'Parameters and Distribution Sum'!$B$4, 0) + IF($B1080 &gt;= 9, IFERROR(SU"&amp;"M(FILTER('Fund Data'!$V:$V, 'Fund Data'!$C:$C = $C1080, 'Fund Data'!$A:$A = $A1080, 'Fund Data'!$B:$B &lt;= 3)) * 'Parameters and Distribution Sum'!$B$4, 0),0)))"),0.0)</f>
        <v>0</v>
      </c>
      <c r="AA1080" s="44">
        <f>IFERROR(__xludf.DUMMYFUNCTION("IFERROR(((IFERROR(SUM(FILTER('Fund Data'!$V:$V, 'Fund Data'!$C:$C = $C1080, 'Fund Data'!$A:$A = $A1080 - 2, 'Fund Data'!$B:$B &gt;= 4)) * 'Parameters and Distribution Sum'!$B$4,0) + IFERROR(SUM(FILTER('Fund Data'!$V:$V, 'Fund Data'!$C:$C = $C1080, 'Fund Data"&amp;"'!$A:$A = $A1080 - 1, 'Fund Data'!$B:$B &lt;= 3)) * 'Parameters and Distribution Sum'!$B$4,0))),0)"),3532.5)</f>
        <v>3532.5</v>
      </c>
      <c r="AB1080" s="44">
        <f t="shared" si="101"/>
        <v>0</v>
      </c>
      <c r="AC1080" s="44">
        <f t="shared" si="102"/>
        <v>52852.60286</v>
      </c>
      <c r="AD1080" s="44">
        <f t="shared" si="7"/>
        <v>36352.60286</v>
      </c>
      <c r="AE1080" s="44"/>
    </row>
    <row r="1081">
      <c r="A1081" s="120">
        <v>2019.0</v>
      </c>
      <c r="B1081" s="121">
        <v>3.0</v>
      </c>
      <c r="C1081" s="122" t="s">
        <v>43</v>
      </c>
      <c r="D1081" s="123">
        <v>1000.0</v>
      </c>
      <c r="E1081" s="123">
        <v>9261.62</v>
      </c>
      <c r="F1081" s="123">
        <v>-12700.0</v>
      </c>
      <c r="G1081" s="44"/>
      <c r="H1081" s="123">
        <v>-1613.97</v>
      </c>
      <c r="I1081" s="44"/>
      <c r="J1081" s="44"/>
      <c r="K1081" s="123">
        <v>-19.27</v>
      </c>
      <c r="L1081" s="123">
        <v>91129.38</v>
      </c>
      <c r="M1081" s="44"/>
      <c r="N1081" s="44"/>
      <c r="O1081" s="123">
        <v>1178598.0</v>
      </c>
      <c r="P1081" s="52">
        <f t="shared" si="23"/>
        <v>1178597.79</v>
      </c>
      <c r="Q1081" s="124">
        <f t="shared" si="2"/>
        <v>0.21</v>
      </c>
      <c r="R1081" s="52">
        <f t="array" ref="R1081">IFERROR(INDEX('Fund YTD Target Values'!$1:$1000, MATCH($C1081,'Fund YTD Target Values'!$A:$A,0), MATCH($A1081,'Fund YTD Target Values'!$1:$1,0)),0)</f>
        <v>1169018.869</v>
      </c>
      <c r="S1081" s="52">
        <f>IFERROR(__xludf.DUMMYFUNCTION("IFERROR(sum(FILTER('Fund Data'!$V:$V, 'Fund Data'!$C:$C = $C1081, 'Fund Data'!$A:$A &lt; $A1081)),0) + IFERROR(sum(FILTER('Fund Data'!$V:$V, 'Fund Data'!$C:$C = $C1081, 'Fund Data'!$A:$A = $A1081, 'Fund Data'!$B:$B &lt;= $B1081)),0)"),1081136.0)</f>
        <v>1081136</v>
      </c>
      <c r="T1081" s="123"/>
      <c r="U1081" s="44"/>
      <c r="V1081" s="44">
        <f t="shared" si="3"/>
        <v>0</v>
      </c>
      <c r="W1081" s="52">
        <f>IFERROR(__xludf.DUMMYFUNCTION("iFERROR((FILTER('Fund Data'!$Y:$Y, 'Fund Data'!$C:$C = $C1081, 'Fund Data'!$A:$A = $A1081 - 1, 'Fund Data'!$B:$B = 12) + FILTER('Fund Data'!$AA:$AA, 'Fund Data'!$C:$C = $C1081, 'Fund Data'!$A:$A = $A1081 - 1, 'Fund Data'!$B:$B = 12)) * (1 + AVERAGE(FILTER"&amp;"('Inflation Data'!$C:$C,'Inflation Data'!$A:$A = ($A1081 - 2)))) * 'Parameters and Distribution Sum'!$A$4,0)"),33647.195102028425)</f>
        <v>33647.1951</v>
      </c>
      <c r="X1081" s="52">
        <f>IFERROR(__xludf.DUMMYFUNCTION("IFERROR((IFERROR(FILTER('Fund Data'!$P:$P,'Fund Data'!$C:$C = $C1081,'Fund Data'!$A:$A = ($A1081 - 2), 'Fund Data'!$B:$B = 12),0) - SUM(FILTER('Fund Data'!$V:$V, 'Fund Data'!$C:$C = $C1081, 'Fund Data'!$A:$A = ($A1081 - 2), 'Fund Data'!$B:$B &gt; 3)))  * 'Pa"&amp;"rameters and Distribution Sum'!$B$4 * (1 - 'Parameters and Distribution Sum'!$A$4),0)"),15672.907755)</f>
        <v>15672.90776</v>
      </c>
      <c r="Y1081" s="52">
        <f t="shared" si="100"/>
        <v>49320.10286</v>
      </c>
      <c r="Z1081" s="52">
        <f>IFERROR(__xludf.DUMMYFUNCTION("((IFERROR((SUM(FILTER('Fund Data'!$V:$V, 'Fund Data'!$C:$C = $C1081, 'Fund Data'!$A:$A = $A1081 - 1, 'Fund Data'!$B:$B &gt;= 4, 'Fund Data'!$B:$B &lt;= ($B1081 + 5))) / 12) * ($B1081 - 3) * 'Parameters and Distribution Sum'!$B$4, 0) + IF($B1081 &gt;= 9, IFERROR(SU"&amp;"M(FILTER('Fund Data'!$V:$V, 'Fund Data'!$C:$C = $C1081, 'Fund Data'!$A:$A = $A1081, 'Fund Data'!$B:$B &lt;= 3)) * 'Parameters and Distribution Sum'!$B$4, 0),0)))"),0.0)</f>
        <v>0</v>
      </c>
      <c r="AA1081" s="44">
        <f>IFERROR(__xludf.DUMMYFUNCTION("IFERROR(((IFERROR(SUM(FILTER('Fund Data'!$V:$V, 'Fund Data'!$C:$C = $C1081, 'Fund Data'!$A:$A = $A1081 - 2, 'Fund Data'!$B:$B &gt;= 4)) * 'Parameters and Distribution Sum'!$B$4,0) + IFERROR(SUM(FILTER('Fund Data'!$V:$V, 'Fund Data'!$C:$C = $C1081, 'Fund Data"&amp;"'!$A:$A = $A1081 - 1, 'Fund Data'!$B:$B &lt;= 3)) * 'Parameters and Distribution Sum'!$B$4,0))),0)"),3532.5)</f>
        <v>3532.5</v>
      </c>
      <c r="AB1081" s="44">
        <f t="shared" si="101"/>
        <v>0</v>
      </c>
      <c r="AC1081" s="44">
        <f t="shared" si="102"/>
        <v>52852.60286</v>
      </c>
      <c r="AD1081" s="44">
        <f t="shared" si="7"/>
        <v>40152.60286</v>
      </c>
      <c r="AE1081" s="44"/>
    </row>
    <row r="1082">
      <c r="A1082" s="120">
        <v>2019.0</v>
      </c>
      <c r="B1082" s="121">
        <v>2.0</v>
      </c>
      <c r="C1082" s="122" t="s">
        <v>43</v>
      </c>
      <c r="D1082" s="123">
        <v>1000.0</v>
      </c>
      <c r="E1082" s="123">
        <v>7829.86</v>
      </c>
      <c r="F1082" s="44"/>
      <c r="G1082" s="44"/>
      <c r="H1082" s="123">
        <v>-1060.51</v>
      </c>
      <c r="I1082" s="44"/>
      <c r="J1082" s="44"/>
      <c r="K1082" s="44"/>
      <c r="L1082" s="123">
        <v>84339.95</v>
      </c>
      <c r="M1082" s="44"/>
      <c r="N1082" s="44"/>
      <c r="O1082" s="123">
        <v>1183650.0</v>
      </c>
      <c r="P1082" s="52">
        <f t="shared" si="23"/>
        <v>1183649.33</v>
      </c>
      <c r="Q1082" s="124">
        <f t="shared" si="2"/>
        <v>0.6699999999</v>
      </c>
      <c r="R1082" s="52">
        <f t="array" ref="R1082">IFERROR(INDEX('Fund YTD Target Values'!$1:$1000, MATCH($C1082,'Fund YTD Target Values'!$A:$A,0), MATCH($A1082,'Fund YTD Target Values'!$1:$1,0)),0)</f>
        <v>1169018.869</v>
      </c>
      <c r="S1082" s="52">
        <f>IFERROR(__xludf.DUMMYFUNCTION("IFERROR(sum(FILTER('Fund Data'!$V:$V, 'Fund Data'!$C:$C = $C1082, 'Fund Data'!$A:$A &lt; $A1082)),0) + IFERROR(sum(FILTER('Fund Data'!$V:$V, 'Fund Data'!$C:$C = $C1082, 'Fund Data'!$A:$A = $A1082, 'Fund Data'!$B:$B &lt;= $B1082)),0)"),1081136.0)</f>
        <v>1081136</v>
      </c>
      <c r="T1082" s="44"/>
      <c r="U1082" s="44"/>
      <c r="V1082" s="44">
        <f t="shared" si="3"/>
        <v>0</v>
      </c>
      <c r="W1082" s="52">
        <f>IFERROR(__xludf.DUMMYFUNCTION("iFERROR((FILTER('Fund Data'!$Y:$Y, 'Fund Data'!$C:$C = $C1082, 'Fund Data'!$A:$A = $A1082 - 1, 'Fund Data'!$B:$B = 12) + FILTER('Fund Data'!$AA:$AA, 'Fund Data'!$C:$C = $C1082, 'Fund Data'!$A:$A = $A1082 - 1, 'Fund Data'!$B:$B = 12)) * (1 + AVERAGE(FILTER"&amp;"('Inflation Data'!$C:$C,'Inflation Data'!$A:$A = ($A1082 - 2)))) * 'Parameters and Distribution Sum'!$A$4,0)"),33647.195102028425)</f>
        <v>33647.1951</v>
      </c>
      <c r="X1082" s="52">
        <f>IFERROR(__xludf.DUMMYFUNCTION("IFERROR((IFERROR(FILTER('Fund Data'!$P:$P,'Fund Data'!$C:$C = $C1082,'Fund Data'!$A:$A = ($A1082 - 2), 'Fund Data'!$B:$B = 12),0) - SUM(FILTER('Fund Data'!$V:$V, 'Fund Data'!$C:$C = $C1082, 'Fund Data'!$A:$A = ($A1082 - 2), 'Fund Data'!$B:$B &gt; 3)))  * 'Pa"&amp;"rameters and Distribution Sum'!$B$4 * (1 - 'Parameters and Distribution Sum'!$A$4),0)"),15672.907755)</f>
        <v>15672.90776</v>
      </c>
      <c r="Y1082" s="52">
        <f t="shared" si="100"/>
        <v>49320.10286</v>
      </c>
      <c r="Z1082" s="52">
        <f>IFERROR(__xludf.DUMMYFUNCTION("((IFERROR((SUM(FILTER('Fund Data'!$V:$V, 'Fund Data'!$C:$C = $C1082, 'Fund Data'!$A:$A = $A1082 - 1, 'Fund Data'!$B:$B &gt;= 4, 'Fund Data'!$B:$B &lt;= ($B1082 + 5))) / 12) * ($B1082 - 3) * 'Parameters and Distribution Sum'!$B$4, 0) + IF($B1082 &gt;= 9, IFERROR(SU"&amp;"M(FILTER('Fund Data'!$V:$V, 'Fund Data'!$C:$C = $C1082, 'Fund Data'!$A:$A = $A1082, 'Fund Data'!$B:$B &lt;= 3)) * 'Parameters and Distribution Sum'!$B$4, 0),0)))"),0.0)</f>
        <v>0</v>
      </c>
      <c r="AA1082" s="44">
        <f>IFERROR(__xludf.DUMMYFUNCTION("IFERROR(((IFERROR(SUM(FILTER('Fund Data'!$V:$V, 'Fund Data'!$C:$C = $C1082, 'Fund Data'!$A:$A = $A1082 - 2, 'Fund Data'!$B:$B &gt;= 4)) * 'Parameters and Distribution Sum'!$B$4,0) + IFERROR(SUM(FILTER('Fund Data'!$V:$V, 'Fund Data'!$C:$C = $C1082, 'Fund Data"&amp;"'!$A:$A = $A1082 - 1, 'Fund Data'!$B:$B &lt;= 3)) * 'Parameters and Distribution Sum'!$B$4,0))),0)"),3532.5)</f>
        <v>3532.5</v>
      </c>
      <c r="AB1082" s="44">
        <f t="shared" si="101"/>
        <v>0</v>
      </c>
      <c r="AC1082" s="44">
        <f t="shared" si="102"/>
        <v>52852.60286</v>
      </c>
      <c r="AD1082" s="44">
        <f t="shared" si="7"/>
        <v>52852.60286</v>
      </c>
      <c r="AE1082" s="44"/>
    </row>
    <row r="1083">
      <c r="A1083" s="120">
        <v>2019.0</v>
      </c>
      <c r="B1083" s="121">
        <v>1.0</v>
      </c>
      <c r="C1083" s="122" t="s">
        <v>43</v>
      </c>
      <c r="D1083" s="123">
        <v>1000.0</v>
      </c>
      <c r="E1083" s="123">
        <v>7242.16</v>
      </c>
      <c r="F1083" s="44"/>
      <c r="G1083" s="44"/>
      <c r="H1083" s="123">
        <v>-515.01</v>
      </c>
      <c r="I1083" s="44"/>
      <c r="J1083" s="44"/>
      <c r="K1083" s="44"/>
      <c r="L1083" s="123">
        <v>65244.11</v>
      </c>
      <c r="M1083" s="44"/>
      <c r="N1083" s="44"/>
      <c r="O1083" s="123">
        <v>1164512.0</v>
      </c>
      <c r="P1083" s="52">
        <f t="shared" si="23"/>
        <v>1164511.29</v>
      </c>
      <c r="Q1083" s="124">
        <f t="shared" si="2"/>
        <v>0.71</v>
      </c>
      <c r="R1083" s="52">
        <f t="array" ref="R1083">IFERROR(INDEX('Fund YTD Target Values'!$1:$1000, MATCH($C1083,'Fund YTD Target Values'!$A:$A,0), MATCH($A1083,'Fund YTD Target Values'!$1:$1,0)),0)</f>
        <v>1169018.869</v>
      </c>
      <c r="S1083" s="52">
        <f>IFERROR(__xludf.DUMMYFUNCTION("IFERROR(sum(FILTER('Fund Data'!$V:$V, 'Fund Data'!$C:$C = $C1083, 'Fund Data'!$A:$A &lt; $A1083)),0) + IFERROR(sum(FILTER('Fund Data'!$V:$V, 'Fund Data'!$C:$C = $C1083, 'Fund Data'!$A:$A = $A1083, 'Fund Data'!$B:$B &lt;= $B1083)),0)"),1081136.0)</f>
        <v>1081136</v>
      </c>
      <c r="T1083" s="44"/>
      <c r="U1083" s="44"/>
      <c r="V1083" s="44">
        <f t="shared" si="3"/>
        <v>1000</v>
      </c>
      <c r="W1083" s="52">
        <f>IFERROR(__xludf.DUMMYFUNCTION("iFERROR((FILTER('Fund Data'!$Y:$Y, 'Fund Data'!$C:$C = $C1083, 'Fund Data'!$A:$A = $A1083 - 1, 'Fund Data'!$B:$B = 12) + FILTER('Fund Data'!$AA:$AA, 'Fund Data'!$C:$C = $C1083, 'Fund Data'!$A:$A = $A1083 - 1, 'Fund Data'!$B:$B = 12)) * (1 + AVERAGE(FILTER"&amp;"('Inflation Data'!$C:$C,'Inflation Data'!$A:$A = ($A1083 - 2)))) * 'Parameters and Distribution Sum'!$A$4,0)"),33647.195102028425)</f>
        <v>33647.1951</v>
      </c>
      <c r="X1083" s="52">
        <f>IFERROR(__xludf.DUMMYFUNCTION("IFERROR((IFERROR(FILTER('Fund Data'!$P:$P,'Fund Data'!$C:$C = $C1083,'Fund Data'!$A:$A = ($A1083 - 2), 'Fund Data'!$B:$B = 12),0) - SUM(FILTER('Fund Data'!$V:$V, 'Fund Data'!$C:$C = $C1083, 'Fund Data'!$A:$A = ($A1083 - 2), 'Fund Data'!$B:$B &gt; 3)))  * 'Pa"&amp;"rameters and Distribution Sum'!$B$4 * (1 - 'Parameters and Distribution Sum'!$A$4),0)"),15672.907755)</f>
        <v>15672.90776</v>
      </c>
      <c r="Y1083" s="52">
        <f t="shared" si="100"/>
        <v>49320.10286</v>
      </c>
      <c r="Z1083" s="52">
        <f>IFERROR(__xludf.DUMMYFUNCTION("((IFERROR((SUM(FILTER('Fund Data'!$V:$V, 'Fund Data'!$C:$C = $C1083, 'Fund Data'!$A:$A = $A1083 - 1, 'Fund Data'!$B:$B &gt;= 4, 'Fund Data'!$B:$B &lt;= ($B1083 + 5))) / 12) * ($B1083 - 3) * 'Parameters and Distribution Sum'!$B$4, 0) + IF($B1083 &gt;= 9, IFERROR(SU"&amp;"M(FILTER('Fund Data'!$V:$V, 'Fund Data'!$C:$C = $C1083, 'Fund Data'!$A:$A = $A1083, 'Fund Data'!$B:$B &lt;= 3)) * 'Parameters and Distribution Sum'!$B$4, 0),0)))"),0.0)</f>
        <v>0</v>
      </c>
      <c r="AA1083" s="44">
        <f>IFERROR(__xludf.DUMMYFUNCTION("IFERROR(((IFERROR(SUM(FILTER('Fund Data'!$V:$V, 'Fund Data'!$C:$C = $C1083, 'Fund Data'!$A:$A = $A1083 - 2, 'Fund Data'!$B:$B &gt;= 4)) * 'Parameters and Distribution Sum'!$B$4,0) + IFERROR(SUM(FILTER('Fund Data'!$V:$V, 'Fund Data'!$C:$C = $C1083, 'Fund Data"&amp;"'!$A:$A = $A1083 - 1, 'Fund Data'!$B:$B &lt;= 3)) * 'Parameters and Distribution Sum'!$B$4,0))),0)"),3532.5)</f>
        <v>3532.5</v>
      </c>
      <c r="AB1083" s="44">
        <f t="shared" si="101"/>
        <v>0</v>
      </c>
      <c r="AC1083" s="44">
        <f t="shared" si="102"/>
        <v>52852.60286</v>
      </c>
      <c r="AD1083" s="44">
        <f t="shared" si="7"/>
        <v>52852.60286</v>
      </c>
      <c r="AE1083" s="44"/>
    </row>
    <row r="1084">
      <c r="A1084" s="120">
        <v>2018.0</v>
      </c>
      <c r="B1084" s="121">
        <v>12.0</v>
      </c>
      <c r="C1084" s="122" t="s">
        <v>43</v>
      </c>
      <c r="D1084" s="123">
        <v>75000.0</v>
      </c>
      <c r="E1084" s="123">
        <v>25667.4</v>
      </c>
      <c r="F1084" s="123">
        <v>-55979.0</v>
      </c>
      <c r="G1084" s="44"/>
      <c r="H1084" s="123">
        <v>-7410.1</v>
      </c>
      <c r="I1084" s="44"/>
      <c r="J1084" s="123">
        <v>5363.5</v>
      </c>
      <c r="K1084" s="44"/>
      <c r="L1084" s="123">
        <v>-115557.9</v>
      </c>
      <c r="M1084" s="44"/>
      <c r="N1084" s="44"/>
      <c r="O1084" s="123">
        <v>1091540.0</v>
      </c>
      <c r="P1084" s="52">
        <f t="shared" si="23"/>
        <v>1091540.03</v>
      </c>
      <c r="Q1084" s="124">
        <f t="shared" si="2"/>
        <v>-0.03000000003</v>
      </c>
      <c r="R1084" s="52">
        <f t="array" ref="R1084">IFERROR(INDEX('Fund YTD Target Values'!$1:$1000, MATCH($C1084,'Fund YTD Target Values'!$A:$A,0), MATCH($A1084,'Fund YTD Target Values'!$1:$1,0)),0)</f>
        <v>1148979.378</v>
      </c>
      <c r="S1084" s="52">
        <f>IFERROR(__xludf.DUMMYFUNCTION("IFERROR(sum(FILTER('Fund Data'!$V:$V, 'Fund Data'!$C:$C = $C1084, 'Fund Data'!$A:$A &lt; $A1084)),0) + IFERROR(sum(FILTER('Fund Data'!$V:$V, 'Fund Data'!$C:$C = $C1084, 'Fund Data'!$A:$A = $A1084, 'Fund Data'!$B:$B &lt;= $B1084)),0)"),1080136.0)</f>
        <v>1080136</v>
      </c>
      <c r="T1084" s="123">
        <v>1081043.0</v>
      </c>
      <c r="U1084" s="44">
        <f>S1084-T1084</f>
        <v>-907</v>
      </c>
      <c r="V1084" s="44">
        <f t="shared" si="3"/>
        <v>0</v>
      </c>
      <c r="W1084" s="52"/>
      <c r="X1084" s="52"/>
      <c r="Y1084" s="52">
        <v>47019.19418671139</v>
      </c>
      <c r="Z1084" s="123">
        <v>978.75</v>
      </c>
      <c r="AA1084" s="123">
        <v>45.0</v>
      </c>
      <c r="AB1084" s="44">
        <f t="shared" si="101"/>
        <v>0</v>
      </c>
      <c r="AC1084" s="44">
        <f t="shared" si="102"/>
        <v>48042.94419</v>
      </c>
      <c r="AD1084" s="44">
        <f t="shared" si="7"/>
        <v>-7936.055813</v>
      </c>
      <c r="AE1084" s="123">
        <v>0.0</v>
      </c>
    </row>
    <row r="1085">
      <c r="A1085" s="120">
        <v>2018.0</v>
      </c>
      <c r="B1085" s="121">
        <v>11.0</v>
      </c>
      <c r="C1085" s="122" t="s">
        <v>43</v>
      </c>
      <c r="D1085" s="123">
        <v>75000.0</v>
      </c>
      <c r="E1085" s="123">
        <v>24129.48</v>
      </c>
      <c r="F1085" s="123">
        <v>-55979.0</v>
      </c>
      <c r="G1085" s="44"/>
      <c r="H1085" s="123">
        <v>-6868.24</v>
      </c>
      <c r="I1085" s="44"/>
      <c r="J1085" s="123">
        <v>5363.5</v>
      </c>
      <c r="K1085" s="44"/>
      <c r="L1085" s="123">
        <v>-51002.57</v>
      </c>
      <c r="M1085" s="44"/>
      <c r="N1085" s="44"/>
      <c r="O1085" s="123">
        <v>1155100.0</v>
      </c>
      <c r="P1085" s="52">
        <f t="shared" si="23"/>
        <v>1155099.3</v>
      </c>
      <c r="Q1085" s="124">
        <f t="shared" si="2"/>
        <v>0.7</v>
      </c>
      <c r="R1085" s="52">
        <f t="array" ref="R1085">IFERROR(INDEX('Fund YTD Target Values'!$1:$1000, MATCH($C1085,'Fund YTD Target Values'!$A:$A,0), MATCH($A1085,'Fund YTD Target Values'!$1:$1,0)),0)</f>
        <v>1148979.378</v>
      </c>
      <c r="S1085" s="52">
        <f>IFERROR(__xludf.DUMMYFUNCTION("IFERROR(sum(FILTER('Fund Data'!$V:$V, 'Fund Data'!$C:$C = $C1085, 'Fund Data'!$A:$A &lt; $A1085)),0) + IFERROR(sum(FILTER('Fund Data'!$V:$V, 'Fund Data'!$C:$C = $C1085, 'Fund Data'!$A:$A = $A1085, 'Fund Data'!$B:$B &lt;= $B1085)),0)"),1080136.0)</f>
        <v>1080136</v>
      </c>
      <c r="T1085" s="44"/>
      <c r="U1085" s="44"/>
      <c r="V1085" s="44">
        <f t="shared" si="3"/>
        <v>0</v>
      </c>
      <c r="W1085" s="123"/>
      <c r="X1085" s="123"/>
      <c r="Y1085" s="123">
        <v>0.0</v>
      </c>
      <c r="Z1085" s="123">
        <v>0.0</v>
      </c>
      <c r="AA1085" s="123">
        <v>0.0</v>
      </c>
      <c r="AB1085" s="123"/>
      <c r="AC1085" s="123">
        <v>0.0</v>
      </c>
      <c r="AD1085" s="44">
        <f t="shared" si="7"/>
        <v>-55979</v>
      </c>
      <c r="AE1085" s="123">
        <v>0.0</v>
      </c>
    </row>
    <row r="1086">
      <c r="A1086" s="120">
        <v>2018.0</v>
      </c>
      <c r="B1086" s="121">
        <v>10.0</v>
      </c>
      <c r="C1086" s="135" t="s">
        <v>43</v>
      </c>
      <c r="D1086" s="136">
        <v>75000.0</v>
      </c>
      <c r="E1086" s="137">
        <v>23102.33</v>
      </c>
      <c r="F1086" s="136">
        <v>-55000.0</v>
      </c>
      <c r="G1086" s="138"/>
      <c r="H1086" s="137">
        <v>-5767.84</v>
      </c>
      <c r="I1086" s="138"/>
      <c r="J1086" s="136">
        <v>5363.5</v>
      </c>
      <c r="K1086" s="138"/>
      <c r="L1086" s="136">
        <v>-60978.01</v>
      </c>
      <c r="M1086" s="44"/>
      <c r="N1086" s="44"/>
      <c r="O1086" s="136">
        <v>1146176.0</v>
      </c>
      <c r="P1086" s="52">
        <f t="shared" si="23"/>
        <v>1146176.11</v>
      </c>
      <c r="Q1086" s="124">
        <f t="shared" si="2"/>
        <v>-0.1100000001</v>
      </c>
      <c r="R1086" s="52">
        <f t="array" ref="R1086">IFERROR(INDEX('Fund YTD Target Values'!$1:$1000, MATCH($C1086,'Fund YTD Target Values'!$A:$A,0), MATCH($A1086,'Fund YTD Target Values'!$1:$1,0)),0)</f>
        <v>1148979.378</v>
      </c>
      <c r="S1086" s="52">
        <f>IFERROR(__xludf.DUMMYFUNCTION("IFERROR(sum(FILTER('Fund Data'!$V:$V, 'Fund Data'!$C:$C = $C1086, 'Fund Data'!$A:$A &lt; $A1086)),0) + IFERROR(sum(FILTER('Fund Data'!$V:$V, 'Fund Data'!$C:$C = $C1086, 'Fund Data'!$A:$A = $A1086, 'Fund Data'!$B:$B &lt;= $B1086)),0)"),1080136.0)</f>
        <v>1080136</v>
      </c>
      <c r="T1086" s="44"/>
      <c r="U1086" s="44"/>
      <c r="V1086" s="44">
        <f t="shared" si="3"/>
        <v>0</v>
      </c>
      <c r="W1086" s="123"/>
      <c r="X1086" s="123"/>
      <c r="Y1086" s="123">
        <v>0.0</v>
      </c>
      <c r="Z1086" s="123">
        <v>0.0</v>
      </c>
      <c r="AA1086" s="123">
        <v>0.0</v>
      </c>
      <c r="AB1086" s="123"/>
      <c r="AC1086" s="123">
        <v>0.0</v>
      </c>
      <c r="AD1086" s="44">
        <f t="shared" si="7"/>
        <v>-55000</v>
      </c>
      <c r="AE1086" s="123">
        <v>0.0</v>
      </c>
    </row>
    <row r="1087">
      <c r="A1087" s="120">
        <v>2018.0</v>
      </c>
      <c r="B1087" s="121">
        <v>9.0</v>
      </c>
      <c r="C1087" s="122" t="s">
        <v>43</v>
      </c>
      <c r="D1087" s="123">
        <v>75000.0</v>
      </c>
      <c r="E1087" s="123">
        <v>19655.22</v>
      </c>
      <c r="F1087" s="123">
        <v>-55000.0</v>
      </c>
      <c r="G1087" s="44"/>
      <c r="H1087" s="123">
        <v>-5767.84</v>
      </c>
      <c r="I1087" s="44"/>
      <c r="J1087" s="123">
        <v>5363.5</v>
      </c>
      <c r="K1087" s="44"/>
      <c r="L1087" s="123">
        <v>513.44</v>
      </c>
      <c r="M1087" s="44"/>
      <c r="N1087" s="44"/>
      <c r="O1087" s="123">
        <v>1204221.0</v>
      </c>
      <c r="P1087" s="52">
        <f t="shared" si="23"/>
        <v>1204220.45</v>
      </c>
      <c r="Q1087" s="124">
        <f t="shared" si="2"/>
        <v>0.5499999998</v>
      </c>
      <c r="R1087" s="52">
        <f t="array" ref="R1087">IFERROR(INDEX('Fund YTD Target Values'!$1:$1000, MATCH($C1087,'Fund YTD Target Values'!$A:$A,0), MATCH($A1087,'Fund YTD Target Values'!$1:$1,0)),0)</f>
        <v>1148979.378</v>
      </c>
      <c r="S1087" s="52">
        <f>IFERROR(__xludf.DUMMYFUNCTION("IFERROR(sum(FILTER('Fund Data'!$V:$V, 'Fund Data'!$C:$C = $C1087, 'Fund Data'!$A:$A &lt; $A1087)),0) + IFERROR(sum(FILTER('Fund Data'!$V:$V, 'Fund Data'!$C:$C = $C1087, 'Fund Data'!$A:$A = $A1087, 'Fund Data'!$B:$B &lt;= $B1087)),0)"),1080136.0)</f>
        <v>1080136</v>
      </c>
      <c r="T1087" s="123">
        <v>1079091.0</v>
      </c>
      <c r="U1087" s="44">
        <f>S1091-T1091</f>
        <v>1045</v>
      </c>
      <c r="V1087" s="44">
        <f t="shared" si="3"/>
        <v>0</v>
      </c>
      <c r="W1087" s="123"/>
      <c r="X1087" s="123"/>
      <c r="Y1087" s="123">
        <v>0.0</v>
      </c>
      <c r="Z1087" s="123">
        <v>0.0</v>
      </c>
      <c r="AA1087" s="123">
        <v>0.0</v>
      </c>
      <c r="AB1087" s="123"/>
      <c r="AC1087" s="123">
        <v>0.0</v>
      </c>
      <c r="AD1087" s="44">
        <f t="shared" si="7"/>
        <v>-55000</v>
      </c>
      <c r="AE1087" s="123">
        <v>0.0</v>
      </c>
    </row>
    <row r="1088">
      <c r="A1088" s="120">
        <v>2018.0</v>
      </c>
      <c r="B1088" s="121">
        <v>8.0</v>
      </c>
      <c r="C1088" s="122" t="s">
        <v>43</v>
      </c>
      <c r="D1088" s="123">
        <v>75000.0</v>
      </c>
      <c r="E1088" s="123">
        <v>18606.05</v>
      </c>
      <c r="F1088" s="123">
        <v>-34800.0</v>
      </c>
      <c r="G1088" s="44"/>
      <c r="H1088" s="123">
        <v>-5124.32</v>
      </c>
      <c r="I1088" s="44"/>
      <c r="J1088" s="123">
        <v>2919.15</v>
      </c>
      <c r="K1088" s="44"/>
      <c r="L1088" s="123">
        <v>7457.51</v>
      </c>
      <c r="M1088" s="44"/>
      <c r="N1088" s="44"/>
      <c r="O1088" s="123">
        <v>1228515.0</v>
      </c>
      <c r="P1088" s="52">
        <f t="shared" si="23"/>
        <v>1228514.52</v>
      </c>
      <c r="Q1088" s="124">
        <f t="shared" si="2"/>
        <v>0.48</v>
      </c>
      <c r="R1088" s="52">
        <f t="array" ref="R1088">IFERROR(INDEX('Fund YTD Target Values'!$1:$1000, MATCH($C1088,'Fund YTD Target Values'!$A:$A,0), MATCH($A1088,'Fund YTD Target Values'!$1:$1,0)),0)</f>
        <v>1148979.378</v>
      </c>
      <c r="S1088" s="52">
        <f>IFERROR(__xludf.DUMMYFUNCTION("IFERROR(sum(FILTER('Fund Data'!$V:$V, 'Fund Data'!$C:$C = $C1088, 'Fund Data'!$A:$A &lt; $A1088)),0) + IFERROR(sum(FILTER('Fund Data'!$V:$V, 'Fund Data'!$C:$C = $C1088, 'Fund Data'!$A:$A = $A1088, 'Fund Data'!$B:$B &lt;= $B1088)),0)"),1080136.0)</f>
        <v>1080136</v>
      </c>
      <c r="T1088" s="123">
        <v>1079091.0</v>
      </c>
      <c r="U1088" s="44">
        <f t="shared" ref="U1088:U1156" si="103">S1088-T1088</f>
        <v>1045</v>
      </c>
      <c r="V1088" s="44">
        <f t="shared" si="3"/>
        <v>0</v>
      </c>
      <c r="W1088" s="123"/>
      <c r="X1088" s="123"/>
      <c r="Y1088" s="123">
        <v>0.0</v>
      </c>
      <c r="Z1088" s="123">
        <v>0.0</v>
      </c>
      <c r="AA1088" s="123">
        <v>0.0</v>
      </c>
      <c r="AB1088" s="123"/>
      <c r="AC1088" s="123">
        <v>0.0</v>
      </c>
      <c r="AD1088" s="44">
        <f t="shared" si="7"/>
        <v>-34800</v>
      </c>
      <c r="AE1088" s="123">
        <v>0.0</v>
      </c>
    </row>
    <row r="1089">
      <c r="A1089" s="120">
        <v>2018.0</v>
      </c>
      <c r="B1089" s="121">
        <v>7.0</v>
      </c>
      <c r="C1089" s="122" t="s">
        <v>43</v>
      </c>
      <c r="D1089" s="123">
        <v>75000.0</v>
      </c>
      <c r="E1089" s="123">
        <v>17588.29</v>
      </c>
      <c r="F1089" s="123">
        <v>-24800.0</v>
      </c>
      <c r="G1089" s="44"/>
      <c r="H1089" s="123">
        <v>-4478.0</v>
      </c>
      <c r="I1089" s="44"/>
      <c r="J1089" s="123">
        <v>1855.91</v>
      </c>
      <c r="K1089" s="44"/>
      <c r="L1089" s="123">
        <v>4670.06</v>
      </c>
      <c r="M1089" s="44"/>
      <c r="N1089" s="44"/>
      <c r="O1089" s="123">
        <v>1234293.0</v>
      </c>
      <c r="P1089" s="52">
        <f t="shared" si="23"/>
        <v>1234292.39</v>
      </c>
      <c r="Q1089" s="124">
        <f t="shared" si="2"/>
        <v>0.6099999999</v>
      </c>
      <c r="R1089" s="52">
        <f t="array" ref="R1089">IFERROR(INDEX('Fund YTD Target Values'!$1:$1000, MATCH($C1089,'Fund YTD Target Values'!$A:$A,0), MATCH($A1089,'Fund YTD Target Values'!$1:$1,0)),0)</f>
        <v>1148979.378</v>
      </c>
      <c r="S1089" s="52">
        <f>IFERROR(__xludf.DUMMYFUNCTION("IFERROR(sum(FILTER('Fund Data'!$V:$V, 'Fund Data'!$C:$C = $C1089, 'Fund Data'!$A:$A &lt; $A1089)),0) + IFERROR(sum(FILTER('Fund Data'!$V:$V, 'Fund Data'!$C:$C = $C1089, 'Fund Data'!$A:$A = $A1089, 'Fund Data'!$B:$B &lt;= $B1089)),0)"),1080136.0)</f>
        <v>1080136</v>
      </c>
      <c r="T1089" s="123">
        <v>1079091.0</v>
      </c>
      <c r="U1089" s="44">
        <f t="shared" si="103"/>
        <v>1045</v>
      </c>
      <c r="V1089" s="44">
        <f t="shared" si="3"/>
        <v>0</v>
      </c>
      <c r="W1089" s="123"/>
      <c r="X1089" s="123"/>
      <c r="Y1089" s="123">
        <v>0.0</v>
      </c>
      <c r="Z1089" s="123">
        <v>0.0</v>
      </c>
      <c r="AA1089" s="123">
        <v>0.0</v>
      </c>
      <c r="AB1089" s="123"/>
      <c r="AC1089" s="123">
        <v>0.0</v>
      </c>
      <c r="AD1089" s="44">
        <f t="shared" si="7"/>
        <v>-24800</v>
      </c>
      <c r="AE1089" s="123">
        <v>0.0</v>
      </c>
    </row>
    <row r="1090">
      <c r="A1090" s="120">
        <v>2018.0</v>
      </c>
      <c r="B1090" s="121">
        <v>6.0</v>
      </c>
      <c r="C1090" s="122" t="s">
        <v>43</v>
      </c>
      <c r="D1090" s="123">
        <v>75000.0</v>
      </c>
      <c r="E1090" s="123">
        <v>14829.29</v>
      </c>
      <c r="F1090" s="123">
        <v>-22100.0</v>
      </c>
      <c r="G1090" s="44"/>
      <c r="H1090" s="123">
        <v>-3841.45</v>
      </c>
      <c r="I1090" s="44"/>
      <c r="J1090" s="123">
        <v>1855.91</v>
      </c>
      <c r="K1090" s="44"/>
      <c r="L1090" s="123">
        <v>-15436.19</v>
      </c>
      <c r="M1090" s="44"/>
      <c r="N1090" s="44"/>
      <c r="O1090" s="123">
        <v>1214764.0</v>
      </c>
      <c r="P1090" s="52">
        <f t="shared" si="23"/>
        <v>1214763.69</v>
      </c>
      <c r="Q1090" s="124">
        <f t="shared" si="2"/>
        <v>0.3099999998</v>
      </c>
      <c r="R1090" s="52">
        <f t="array" ref="R1090">IFERROR(INDEX('Fund YTD Target Values'!$1:$1000, MATCH($C1090,'Fund YTD Target Values'!$A:$A,0), MATCH($A1090,'Fund YTD Target Values'!$1:$1,0)),0)</f>
        <v>1148979.378</v>
      </c>
      <c r="S1090" s="52">
        <f>IFERROR(__xludf.DUMMYFUNCTION("IFERROR(sum(FILTER('Fund Data'!$V:$V, 'Fund Data'!$C:$C = $C1090, 'Fund Data'!$A:$A &lt; $A1090)),0) + IFERROR(sum(FILTER('Fund Data'!$V:$V, 'Fund Data'!$C:$C = $C1090, 'Fund Data'!$A:$A = $A1090, 'Fund Data'!$B:$B &lt;= $B1090)),0)"),1080136.0)</f>
        <v>1080136</v>
      </c>
      <c r="T1090" s="123">
        <v>1079091.0</v>
      </c>
      <c r="U1090" s="44">
        <f t="shared" si="103"/>
        <v>1045</v>
      </c>
      <c r="V1090" s="44">
        <f t="shared" si="3"/>
        <v>0</v>
      </c>
      <c r="W1090" s="123"/>
      <c r="X1090" s="123"/>
      <c r="Y1090" s="123">
        <v>0.0</v>
      </c>
      <c r="Z1090" s="123">
        <v>0.0</v>
      </c>
      <c r="AA1090" s="123">
        <v>0.0</v>
      </c>
      <c r="AB1090" s="123"/>
      <c r="AC1090" s="123">
        <v>0.0</v>
      </c>
      <c r="AD1090" s="44">
        <f t="shared" si="7"/>
        <v>-22100</v>
      </c>
      <c r="AE1090" s="123">
        <v>0.0</v>
      </c>
    </row>
    <row r="1091">
      <c r="A1091" s="120">
        <v>2018.0</v>
      </c>
      <c r="B1091" s="121">
        <v>5.0</v>
      </c>
      <c r="C1091" s="122" t="s">
        <v>43</v>
      </c>
      <c r="D1091" s="123">
        <v>75000.0</v>
      </c>
      <c r="E1091" s="123">
        <v>13062.42</v>
      </c>
      <c r="F1091" s="123">
        <v>-6000.0</v>
      </c>
      <c r="G1091" s="44"/>
      <c r="H1091" s="123">
        <v>-3192.89</v>
      </c>
      <c r="I1091" s="44"/>
      <c r="J1091" s="44"/>
      <c r="K1091" s="44"/>
      <c r="L1091" s="123">
        <v>-4537.59</v>
      </c>
      <c r="M1091" s="44"/>
      <c r="N1091" s="44"/>
      <c r="O1091" s="123">
        <v>1238788.0</v>
      </c>
      <c r="P1091" s="52">
        <f t="shared" si="23"/>
        <v>1238788.07</v>
      </c>
      <c r="Q1091" s="124">
        <f t="shared" si="2"/>
        <v>-0.07000000007</v>
      </c>
      <c r="R1091" s="52">
        <f t="array" ref="R1091">IFERROR(INDEX('Fund YTD Target Values'!$1:$1000, MATCH($C1091,'Fund YTD Target Values'!$A:$A,0), MATCH($A1091,'Fund YTD Target Values'!$1:$1,0)),0)</f>
        <v>1148979.378</v>
      </c>
      <c r="S1091" s="52">
        <f>IFERROR(__xludf.DUMMYFUNCTION("IFERROR(sum(FILTER('Fund Data'!$V:$V, 'Fund Data'!$C:$C = $C1091, 'Fund Data'!$A:$A &lt; $A1091)),0) + IFERROR(sum(FILTER('Fund Data'!$V:$V, 'Fund Data'!$C:$C = $C1091, 'Fund Data'!$A:$A = $A1091, 'Fund Data'!$B:$B &lt;= $B1091)),0)"),1080136.0)</f>
        <v>1080136</v>
      </c>
      <c r="T1091" s="123">
        <v>1079091.0</v>
      </c>
      <c r="U1091" s="44">
        <f t="shared" si="103"/>
        <v>1045</v>
      </c>
      <c r="V1091" s="44">
        <f t="shared" si="3"/>
        <v>0</v>
      </c>
      <c r="W1091" s="123"/>
      <c r="X1091" s="123"/>
      <c r="Y1091" s="123">
        <v>0.0</v>
      </c>
      <c r="Z1091" s="123">
        <v>0.0</v>
      </c>
      <c r="AA1091" s="123">
        <v>0.0</v>
      </c>
      <c r="AB1091" s="123"/>
      <c r="AC1091" s="123">
        <v>0.0</v>
      </c>
      <c r="AD1091" s="44">
        <f t="shared" si="7"/>
        <v>-6000</v>
      </c>
      <c r="AE1091" s="123">
        <v>0.0</v>
      </c>
    </row>
    <row r="1092">
      <c r="A1092" s="120">
        <v>2018.0</v>
      </c>
      <c r="B1092" s="121">
        <v>4.0</v>
      </c>
      <c r="C1092" s="122" t="s">
        <v>43</v>
      </c>
      <c r="D1092" s="123">
        <v>75000.0</v>
      </c>
      <c r="E1092" s="123">
        <v>12085.26</v>
      </c>
      <c r="F1092" s="44"/>
      <c r="G1092" s="44"/>
      <c r="H1092" s="123">
        <v>-2542.8</v>
      </c>
      <c r="I1092" s="44"/>
      <c r="J1092" s="44"/>
      <c r="K1092" s="44"/>
      <c r="L1092" s="123">
        <v>-7156.26</v>
      </c>
      <c r="M1092" s="44"/>
      <c r="N1092" s="44"/>
      <c r="O1092" s="123">
        <v>1241843.0</v>
      </c>
      <c r="P1092" s="52">
        <f t="shared" si="23"/>
        <v>1241842.33</v>
      </c>
      <c r="Q1092" s="124">
        <f t="shared" si="2"/>
        <v>0.6699999999</v>
      </c>
      <c r="R1092" s="52">
        <f t="array" ref="R1092">IFERROR(INDEX('Fund YTD Target Values'!$1:$1000, MATCH($C1092,'Fund YTD Target Values'!$A:$A,0), MATCH($A1092,'Fund YTD Target Values'!$1:$1,0)),0)</f>
        <v>1148979.378</v>
      </c>
      <c r="S1092" s="52">
        <f>IFERROR(__xludf.DUMMYFUNCTION("IFERROR(sum(FILTER('Fund Data'!$V:$V, 'Fund Data'!$C:$C = $C1092, 'Fund Data'!$A:$A &lt; $A1092)),0) + IFERROR(sum(FILTER('Fund Data'!$V:$V, 'Fund Data'!$C:$C = $C1092, 'Fund Data'!$A:$A = $A1092, 'Fund Data'!$B:$B &lt;= $B1092)),0)"),1080136.0)</f>
        <v>1080136</v>
      </c>
      <c r="T1092" s="123">
        <v>1079091.0</v>
      </c>
      <c r="U1092" s="44">
        <f t="shared" si="103"/>
        <v>1045</v>
      </c>
      <c r="V1092" s="44">
        <f t="shared" si="3"/>
        <v>0</v>
      </c>
      <c r="W1092" s="123"/>
      <c r="X1092" s="123"/>
      <c r="Y1092" s="123">
        <v>0.0</v>
      </c>
      <c r="Z1092" s="123">
        <v>0.0</v>
      </c>
      <c r="AA1092" s="123">
        <v>0.0</v>
      </c>
      <c r="AB1092" s="123"/>
      <c r="AC1092" s="123">
        <v>0.0</v>
      </c>
      <c r="AD1092" s="44">
        <f t="shared" si="7"/>
        <v>0</v>
      </c>
      <c r="AE1092" s="123">
        <v>0.0</v>
      </c>
    </row>
    <row r="1093">
      <c r="A1093" s="120">
        <v>2018.0</v>
      </c>
      <c r="B1093" s="121">
        <v>3.0</v>
      </c>
      <c r="C1093" s="122" t="s">
        <v>43</v>
      </c>
      <c r="D1093" s="123">
        <v>75000.0</v>
      </c>
      <c r="E1093" s="123">
        <v>9087.56</v>
      </c>
      <c r="F1093" s="44"/>
      <c r="G1093" s="44"/>
      <c r="H1093" s="123">
        <v>-1894.39</v>
      </c>
      <c r="I1093" s="44"/>
      <c r="J1093" s="44"/>
      <c r="K1093" s="44"/>
      <c r="L1093" s="123">
        <v>-8174.17</v>
      </c>
      <c r="M1093" s="44"/>
      <c r="N1093" s="44"/>
      <c r="O1093" s="123">
        <v>1238475.0</v>
      </c>
      <c r="P1093" s="52">
        <f t="shared" si="23"/>
        <v>1238475.13</v>
      </c>
      <c r="Q1093" s="124">
        <f t="shared" si="2"/>
        <v>-0.1300000001</v>
      </c>
      <c r="R1093" s="52">
        <f t="array" ref="R1093">IFERROR(INDEX('Fund YTD Target Values'!$1:$1000, MATCH($C1093,'Fund YTD Target Values'!$A:$A,0), MATCH($A1093,'Fund YTD Target Values'!$1:$1,0)),0)</f>
        <v>1148979.378</v>
      </c>
      <c r="S1093" s="52">
        <f>IFERROR(__xludf.DUMMYFUNCTION("IFERROR(sum(FILTER('Fund Data'!$V:$V, 'Fund Data'!$C:$C = $C1093, 'Fund Data'!$A:$A &lt; $A1093)),0) + IFERROR(sum(FILTER('Fund Data'!$V:$V, 'Fund Data'!$C:$C = $C1093, 'Fund Data'!$A:$A = $A1093, 'Fund Data'!$B:$B &lt;= $B1093)),0)"),1080136.0)</f>
        <v>1080136</v>
      </c>
      <c r="T1093" s="123">
        <v>1079091.0</v>
      </c>
      <c r="U1093" s="44">
        <f t="shared" si="103"/>
        <v>1045</v>
      </c>
      <c r="V1093" s="44">
        <f t="shared" si="3"/>
        <v>0</v>
      </c>
      <c r="W1093" s="123"/>
      <c r="X1093" s="123"/>
      <c r="Y1093" s="123">
        <v>0.0</v>
      </c>
      <c r="Z1093" s="123">
        <v>0.0</v>
      </c>
      <c r="AA1093" s="123">
        <v>0.0</v>
      </c>
      <c r="AB1093" s="123"/>
      <c r="AC1093" s="123">
        <v>0.0</v>
      </c>
      <c r="AD1093" s="44">
        <f t="shared" si="7"/>
        <v>0</v>
      </c>
      <c r="AE1093" s="123">
        <v>0.0</v>
      </c>
    </row>
    <row r="1094">
      <c r="A1094" s="120">
        <v>2018.0</v>
      </c>
      <c r="B1094" s="121">
        <v>2.0</v>
      </c>
      <c r="C1094" s="122" t="s">
        <v>43</v>
      </c>
      <c r="D1094" s="123">
        <v>75000.0</v>
      </c>
      <c r="E1094" s="123">
        <v>8006.83</v>
      </c>
      <c r="F1094" s="44"/>
      <c r="G1094" s="44"/>
      <c r="H1094" s="123">
        <v>-2930.34</v>
      </c>
      <c r="I1094" s="44"/>
      <c r="J1094" s="44"/>
      <c r="K1094" s="44"/>
      <c r="L1094" s="123">
        <v>494.53</v>
      </c>
      <c r="M1094" s="44"/>
      <c r="N1094" s="44"/>
      <c r="O1094" s="123">
        <v>1245027.0</v>
      </c>
      <c r="P1094" s="52">
        <f t="shared" si="23"/>
        <v>1245027.15</v>
      </c>
      <c r="Q1094" s="124">
        <f t="shared" si="2"/>
        <v>-0.1500000001</v>
      </c>
      <c r="R1094" s="52">
        <f t="array" ref="R1094">IFERROR(INDEX('Fund YTD Target Values'!$1:$1000, MATCH($C1094,'Fund YTD Target Values'!$A:$A,0), MATCH($A1094,'Fund YTD Target Values'!$1:$1,0)),0)</f>
        <v>1148979.378</v>
      </c>
      <c r="S1094" s="52">
        <f>IFERROR(__xludf.DUMMYFUNCTION("IFERROR(sum(FILTER('Fund Data'!$V:$V, 'Fund Data'!$C:$C = $C1094, 'Fund Data'!$A:$A &lt; $A1094)),0) + IFERROR(sum(FILTER('Fund Data'!$V:$V, 'Fund Data'!$C:$C = $C1094, 'Fund Data'!$A:$A = $A1094, 'Fund Data'!$B:$B &lt;= $B1094)),0)"),1080136.0)</f>
        <v>1080136</v>
      </c>
      <c r="T1094" s="123">
        <v>1079091.0</v>
      </c>
      <c r="U1094" s="44">
        <f t="shared" si="103"/>
        <v>1045</v>
      </c>
      <c r="V1094" s="44">
        <f t="shared" si="3"/>
        <v>75000</v>
      </c>
      <c r="W1094" s="123"/>
      <c r="X1094" s="123"/>
      <c r="Y1094" s="123">
        <v>0.0</v>
      </c>
      <c r="Z1094" s="123">
        <v>0.0</v>
      </c>
      <c r="AA1094" s="123">
        <v>0.0</v>
      </c>
      <c r="AB1094" s="123"/>
      <c r="AC1094" s="123">
        <v>0.0</v>
      </c>
      <c r="AD1094" s="44">
        <f t="shared" si="7"/>
        <v>0</v>
      </c>
      <c r="AE1094" s="123">
        <v>0.0</v>
      </c>
    </row>
    <row r="1095">
      <c r="A1095" s="120">
        <v>2018.0</v>
      </c>
      <c r="B1095" s="121">
        <v>1.0</v>
      </c>
      <c r="C1095" s="122" t="s">
        <v>43</v>
      </c>
      <c r="D1095" s="44"/>
      <c r="E1095" s="123">
        <v>7138.32</v>
      </c>
      <c r="F1095" s="44"/>
      <c r="G1095" s="44"/>
      <c r="H1095" s="123">
        <v>-2298.53</v>
      </c>
      <c r="I1095" s="44"/>
      <c r="J1095" s="44"/>
      <c r="K1095" s="44"/>
      <c r="L1095" s="123">
        <v>35978.66</v>
      </c>
      <c r="M1095" s="44"/>
      <c r="N1095" s="44"/>
      <c r="O1095" s="123">
        <v>1205275.0</v>
      </c>
      <c r="P1095" s="52">
        <f t="shared" si="23"/>
        <v>1205274.58</v>
      </c>
      <c r="Q1095" s="124">
        <f t="shared" si="2"/>
        <v>0.4199999999</v>
      </c>
      <c r="R1095" s="52">
        <f t="array" ref="R1095">IFERROR(INDEX('Fund YTD Target Values'!$1:$1000, MATCH($C1095,'Fund YTD Target Values'!$A:$A,0), MATCH($A1095,'Fund YTD Target Values'!$1:$1,0)),0)</f>
        <v>1148979.378</v>
      </c>
      <c r="S1095" s="52">
        <f>IFERROR(__xludf.DUMMYFUNCTION("IFERROR(sum(FILTER('Fund Data'!$V:$V, 'Fund Data'!$C:$C = $C1095, 'Fund Data'!$A:$A &lt; $A1095)),0) + IFERROR(sum(FILTER('Fund Data'!$V:$V, 'Fund Data'!$C:$C = $C1095, 'Fund Data'!$A:$A = $A1095, 'Fund Data'!$B:$B &lt;= $B1095)),0)"),1005136.0)</f>
        <v>1005136</v>
      </c>
      <c r="T1095" s="123">
        <v>1004091.0</v>
      </c>
      <c r="U1095" s="44">
        <f t="shared" si="103"/>
        <v>1045</v>
      </c>
      <c r="V1095" s="44">
        <f t="shared" si="3"/>
        <v>0</v>
      </c>
      <c r="W1095" s="123"/>
      <c r="X1095" s="123"/>
      <c r="Y1095" s="123">
        <v>0.0</v>
      </c>
      <c r="Z1095" s="123">
        <v>0.0</v>
      </c>
      <c r="AA1095" s="123">
        <v>0.0</v>
      </c>
      <c r="AB1095" s="123"/>
      <c r="AC1095" s="123">
        <v>0.0</v>
      </c>
      <c r="AD1095" s="44">
        <f t="shared" si="7"/>
        <v>0</v>
      </c>
      <c r="AE1095" s="123">
        <v>0.0</v>
      </c>
    </row>
    <row r="1096">
      <c r="A1096" s="120">
        <v>2017.0</v>
      </c>
      <c r="B1096" s="121">
        <v>12.0</v>
      </c>
      <c r="C1096" s="122" t="s">
        <v>43</v>
      </c>
      <c r="D1096" s="123">
        <v>3500.0</v>
      </c>
      <c r="E1096" s="123">
        <v>23969.63</v>
      </c>
      <c r="F1096" s="123">
        <v>-16500.0</v>
      </c>
      <c r="G1096" s="123"/>
      <c r="H1096" s="123">
        <v>-6929.99</v>
      </c>
      <c r="I1096" s="44"/>
      <c r="J1096" s="44"/>
      <c r="K1096" s="44"/>
      <c r="L1096" s="123">
        <v>135568.55</v>
      </c>
      <c r="M1096" s="44"/>
      <c r="N1096" s="44"/>
      <c r="O1096" s="123">
        <v>1164456.0</v>
      </c>
      <c r="P1096" s="52">
        <f t="shared" si="23"/>
        <v>1164456.13</v>
      </c>
      <c r="Q1096" s="124">
        <f t="shared" si="2"/>
        <v>-0.1299999999</v>
      </c>
      <c r="R1096" s="52">
        <f t="array" ref="R1096">IFERROR(INDEX('Fund YTD Target Values'!$1:$1000, MATCH($C1096,'Fund YTD Target Values'!$A:$A,0), MATCH($A1096,'Fund YTD Target Values'!$1:$1,0)),0)</f>
        <v>1048370.982</v>
      </c>
      <c r="S1096" s="52">
        <f>IFERROR(__xludf.DUMMYFUNCTION("IFERROR(sum(FILTER('Fund Data'!$V:$V, 'Fund Data'!$C:$C = $C1096, 'Fund Data'!$A:$A &lt; $A1096)),0) + IFERROR(sum(FILTER('Fund Data'!$V:$V, 'Fund Data'!$C:$C = $C1096, 'Fund Data'!$A:$A = $A1096, 'Fund Data'!$B:$B &lt;= $B1096)),0)"),1005136.0)</f>
        <v>1005136</v>
      </c>
      <c r="T1096" s="123">
        <v>1005043.0</v>
      </c>
      <c r="U1096" s="44">
        <f t="shared" si="103"/>
        <v>93</v>
      </c>
      <c r="V1096" s="44">
        <f t="shared" si="3"/>
        <v>0</v>
      </c>
      <c r="W1096" s="123"/>
      <c r="X1096" s="123"/>
      <c r="Y1096" s="123">
        <v>0.0</v>
      </c>
      <c r="Z1096" s="123">
        <v>0.0</v>
      </c>
      <c r="AA1096" s="123">
        <v>0.0</v>
      </c>
      <c r="AB1096" s="123"/>
      <c r="AC1096" s="123">
        <v>0.0</v>
      </c>
      <c r="AD1096" s="44">
        <f t="shared" si="7"/>
        <v>-16500</v>
      </c>
      <c r="AE1096" s="123">
        <v>0.0</v>
      </c>
    </row>
    <row r="1097">
      <c r="A1097" s="120">
        <v>2017.0</v>
      </c>
      <c r="B1097" s="121">
        <v>11.0</v>
      </c>
      <c r="C1097" s="122" t="s">
        <v>43</v>
      </c>
      <c r="D1097" s="123">
        <v>3500.0</v>
      </c>
      <c r="E1097" s="123">
        <v>22345.22</v>
      </c>
      <c r="F1097" s="123">
        <v>-16500.0</v>
      </c>
      <c r="G1097" s="44"/>
      <c r="H1097" s="123">
        <v>-6322.37</v>
      </c>
      <c r="I1097" s="44"/>
      <c r="J1097" s="44"/>
      <c r="K1097" s="44"/>
      <c r="L1097" s="123">
        <v>130029.86</v>
      </c>
      <c r="M1097" s="44"/>
      <c r="N1097" s="44"/>
      <c r="O1097" s="123">
        <v>1157901.0</v>
      </c>
      <c r="P1097" s="52">
        <f t="shared" si="23"/>
        <v>1157900.65</v>
      </c>
      <c r="Q1097" s="124">
        <f t="shared" si="2"/>
        <v>0.3500000001</v>
      </c>
      <c r="R1097" s="52">
        <f t="array" ref="R1097">IFERROR(INDEX('Fund YTD Target Values'!$1:$1000, MATCH($C1097,'Fund YTD Target Values'!$A:$A,0), MATCH($A1097,'Fund YTD Target Values'!$1:$1,0)),0)</f>
        <v>1048370.982</v>
      </c>
      <c r="S1097" s="52">
        <f>IFERROR(__xludf.DUMMYFUNCTION("IFERROR(sum(FILTER('Fund Data'!$V:$V, 'Fund Data'!$C:$C = $C1097, 'Fund Data'!$A:$A &lt; $A1097)),0) + IFERROR(sum(FILTER('Fund Data'!$V:$V, 'Fund Data'!$C:$C = $C1097, 'Fund Data'!$A:$A = $A1097, 'Fund Data'!$B:$B &lt;= $B1097)),0)"),1005136.0)</f>
        <v>1005136</v>
      </c>
      <c r="T1097" s="123">
        <v>1004449.0</v>
      </c>
      <c r="U1097" s="44">
        <f t="shared" si="103"/>
        <v>687</v>
      </c>
      <c r="V1097" s="44">
        <f t="shared" si="3"/>
        <v>1000</v>
      </c>
      <c r="W1097" s="123"/>
      <c r="X1097" s="123"/>
      <c r="Y1097" s="123">
        <v>0.0</v>
      </c>
      <c r="Z1097" s="123">
        <v>0.0</v>
      </c>
      <c r="AA1097" s="123">
        <v>0.0</v>
      </c>
      <c r="AB1097" s="123"/>
      <c r="AC1097" s="123">
        <v>0.0</v>
      </c>
      <c r="AD1097" s="44">
        <f t="shared" si="7"/>
        <v>-16500</v>
      </c>
      <c r="AE1097" s="123">
        <v>0.0</v>
      </c>
    </row>
    <row r="1098">
      <c r="A1098" s="120">
        <v>2017.0</v>
      </c>
      <c r="B1098" s="121">
        <v>10.0</v>
      </c>
      <c r="C1098" s="122" t="s">
        <v>43</v>
      </c>
      <c r="D1098" s="123">
        <v>2500.0</v>
      </c>
      <c r="E1098" s="123">
        <v>21572.66</v>
      </c>
      <c r="F1098" s="123">
        <v>-16500.0</v>
      </c>
      <c r="G1098" s="44"/>
      <c r="H1098" s="123">
        <v>-5721.24</v>
      </c>
      <c r="I1098" s="44"/>
      <c r="J1098" s="44"/>
      <c r="K1098" s="44"/>
      <c r="L1098" s="123">
        <v>117225.45</v>
      </c>
      <c r="M1098" s="44"/>
      <c r="N1098" s="44"/>
      <c r="O1098" s="123">
        <v>1143925.0</v>
      </c>
      <c r="P1098" s="52">
        <f t="shared" si="23"/>
        <v>1143924.81</v>
      </c>
      <c r="Q1098" s="124">
        <f t="shared" si="2"/>
        <v>0.1899999999</v>
      </c>
      <c r="R1098" s="52">
        <f t="array" ref="R1098">IFERROR(INDEX('Fund YTD Target Values'!$1:$1000, MATCH($C1098,'Fund YTD Target Values'!$A:$A,0), MATCH($A1098,'Fund YTD Target Values'!$1:$1,0)),0)</f>
        <v>1048370.982</v>
      </c>
      <c r="S1098" s="52">
        <f>IFERROR(__xludf.DUMMYFUNCTION("IFERROR(sum(FILTER('Fund Data'!$V:$V, 'Fund Data'!$C:$C = $C1098, 'Fund Data'!$A:$A &lt; $A1098)),0) + IFERROR(sum(FILTER('Fund Data'!$V:$V, 'Fund Data'!$C:$C = $C1098, 'Fund Data'!$A:$A = $A1098, 'Fund Data'!$B:$B &lt;= $B1098)),0)"),1004136.0)</f>
        <v>1004136</v>
      </c>
      <c r="T1098" s="123">
        <v>1004449.0</v>
      </c>
      <c r="U1098" s="44">
        <f t="shared" si="103"/>
        <v>-313</v>
      </c>
      <c r="V1098" s="44">
        <f t="shared" si="3"/>
        <v>0</v>
      </c>
      <c r="W1098" s="123"/>
      <c r="X1098" s="123"/>
      <c r="Y1098" s="123">
        <v>0.0</v>
      </c>
      <c r="Z1098" s="123">
        <v>0.0</v>
      </c>
      <c r="AA1098" s="123">
        <v>0.0</v>
      </c>
      <c r="AB1098" s="123"/>
      <c r="AC1098" s="123">
        <v>0.0</v>
      </c>
      <c r="AD1098" s="44">
        <f t="shared" si="7"/>
        <v>-16500</v>
      </c>
      <c r="AE1098" s="123">
        <v>0.0</v>
      </c>
    </row>
    <row r="1099">
      <c r="A1099" s="120">
        <v>2017.0</v>
      </c>
      <c r="B1099" s="121">
        <v>9.0</v>
      </c>
      <c r="C1099" s="122" t="s">
        <v>43</v>
      </c>
      <c r="D1099" s="123">
        <v>2500.0</v>
      </c>
      <c r="E1099" s="123">
        <v>19236.66</v>
      </c>
      <c r="F1099" s="123">
        <v>-16500.0</v>
      </c>
      <c r="G1099" s="44"/>
      <c r="H1099" s="123">
        <v>-5128.24</v>
      </c>
      <c r="I1099" s="44"/>
      <c r="J1099" s="44"/>
      <c r="K1099" s="44"/>
      <c r="L1099" s="123">
        <v>102701.6</v>
      </c>
      <c r="M1099" s="44"/>
      <c r="N1099" s="44"/>
      <c r="O1099" s="123">
        <v>1127658.0</v>
      </c>
      <c r="P1099" s="52">
        <f t="shared" si="23"/>
        <v>1127657.96</v>
      </c>
      <c r="Q1099" s="124">
        <f t="shared" si="2"/>
        <v>0.04000000004</v>
      </c>
      <c r="R1099" s="52">
        <f t="array" ref="R1099">IFERROR(INDEX('Fund YTD Target Values'!$1:$1000, MATCH($C1099,'Fund YTD Target Values'!$A:$A,0), MATCH($A1099,'Fund YTD Target Values'!$1:$1,0)),0)</f>
        <v>1048370.982</v>
      </c>
      <c r="S1099" s="52">
        <f>IFERROR(__xludf.DUMMYFUNCTION("IFERROR(sum(FILTER('Fund Data'!$V:$V, 'Fund Data'!$C:$C = $C1099, 'Fund Data'!$A:$A &lt; $A1099)),0) + IFERROR(sum(FILTER('Fund Data'!$V:$V, 'Fund Data'!$C:$C = $C1099, 'Fund Data'!$A:$A = $A1099, 'Fund Data'!$B:$B &lt;= $B1099)),0)"),1004136.0)</f>
        <v>1004136</v>
      </c>
      <c r="T1099" s="123">
        <v>1004449.0</v>
      </c>
      <c r="U1099" s="44">
        <f t="shared" si="103"/>
        <v>-313</v>
      </c>
      <c r="V1099" s="44">
        <f t="shared" si="3"/>
        <v>0</v>
      </c>
      <c r="W1099" s="123"/>
      <c r="X1099" s="123"/>
      <c r="Y1099" s="123">
        <v>0.0</v>
      </c>
      <c r="Z1099" s="123">
        <v>0.0</v>
      </c>
      <c r="AA1099" s="123">
        <v>0.0</v>
      </c>
      <c r="AB1099" s="123"/>
      <c r="AC1099" s="123">
        <v>0.0</v>
      </c>
      <c r="AD1099" s="44">
        <f t="shared" si="7"/>
        <v>-16500</v>
      </c>
      <c r="AE1099" s="123">
        <v>0.0</v>
      </c>
    </row>
    <row r="1100">
      <c r="A1100" s="120">
        <v>2017.0</v>
      </c>
      <c r="B1100" s="121">
        <v>8.0</v>
      </c>
      <c r="C1100" s="122" t="s">
        <v>43</v>
      </c>
      <c r="D1100" s="123">
        <v>2500.0</v>
      </c>
      <c r="E1100" s="123">
        <v>17836.37</v>
      </c>
      <c r="F1100" s="123">
        <v>-16500.0</v>
      </c>
      <c r="G1100" s="44"/>
      <c r="H1100" s="123">
        <v>-4541.14</v>
      </c>
      <c r="I1100" s="44"/>
      <c r="J1100" s="44"/>
      <c r="K1100" s="44"/>
      <c r="L1100" s="123">
        <v>91723.13</v>
      </c>
      <c r="M1100" s="44"/>
      <c r="N1100" s="44"/>
      <c r="O1100" s="123">
        <v>1115867.0</v>
      </c>
      <c r="P1100" s="52">
        <f t="shared" si="23"/>
        <v>1115866.3</v>
      </c>
      <c r="Q1100" s="124">
        <f t="shared" si="2"/>
        <v>0.7</v>
      </c>
      <c r="R1100" s="52">
        <f t="array" ref="R1100">IFERROR(INDEX('Fund YTD Target Values'!$1:$1000, MATCH($C1100,'Fund YTD Target Values'!$A:$A,0), MATCH($A1100,'Fund YTD Target Values'!$1:$1,0)),0)</f>
        <v>1048370.982</v>
      </c>
      <c r="S1100" s="52">
        <f>IFERROR(__xludf.DUMMYFUNCTION("IFERROR(sum(FILTER('Fund Data'!$V:$V, 'Fund Data'!$C:$C = $C1100, 'Fund Data'!$A:$A &lt; $A1100)),0) + IFERROR(sum(FILTER('Fund Data'!$V:$V, 'Fund Data'!$C:$C = $C1100, 'Fund Data'!$A:$A = $A1100, 'Fund Data'!$B:$B &lt;= $B1100)),0)"),1004136.0)</f>
        <v>1004136</v>
      </c>
      <c r="T1100" s="123">
        <v>1004449.0</v>
      </c>
      <c r="U1100" s="44">
        <f t="shared" si="103"/>
        <v>-313</v>
      </c>
      <c r="V1100" s="44">
        <f t="shared" si="3"/>
        <v>0</v>
      </c>
      <c r="W1100" s="123"/>
      <c r="X1100" s="123"/>
      <c r="Y1100" s="123">
        <v>0.0</v>
      </c>
      <c r="Z1100" s="123">
        <v>0.0</v>
      </c>
      <c r="AA1100" s="123">
        <v>0.0</v>
      </c>
      <c r="AB1100" s="123"/>
      <c r="AC1100" s="123">
        <v>0.0</v>
      </c>
      <c r="AD1100" s="44">
        <f t="shared" si="7"/>
        <v>-16500</v>
      </c>
      <c r="AE1100" s="123">
        <v>0.0</v>
      </c>
    </row>
    <row r="1101">
      <c r="A1101" s="120">
        <v>2017.0</v>
      </c>
      <c r="B1101" s="121">
        <v>7.0</v>
      </c>
      <c r="C1101" s="122" t="s">
        <v>43</v>
      </c>
      <c r="D1101" s="123">
        <v>2500.0</v>
      </c>
      <c r="E1101" s="123">
        <v>17068.99</v>
      </c>
      <c r="F1101" s="123">
        <v>-6500.0</v>
      </c>
      <c r="G1101" s="44"/>
      <c r="H1101" s="123">
        <v>-3950.57</v>
      </c>
      <c r="I1101" s="44"/>
      <c r="J1101" s="44"/>
      <c r="K1101" s="44"/>
      <c r="L1101" s="123">
        <v>88832.06</v>
      </c>
      <c r="M1101" s="44"/>
      <c r="N1101" s="44"/>
      <c r="O1101" s="123">
        <v>1122799.0</v>
      </c>
      <c r="P1101" s="52">
        <f t="shared" si="23"/>
        <v>1122798.42</v>
      </c>
      <c r="Q1101" s="124">
        <f t="shared" si="2"/>
        <v>0.5800000001</v>
      </c>
      <c r="R1101" s="52">
        <f t="array" ref="R1101">IFERROR(INDEX('Fund YTD Target Values'!$1:$1000, MATCH($C1101,'Fund YTD Target Values'!$A:$A,0), MATCH($A1101,'Fund YTD Target Values'!$1:$1,0)),0)</f>
        <v>1048370.982</v>
      </c>
      <c r="S1101" s="52">
        <f>IFERROR(__xludf.DUMMYFUNCTION("IFERROR(sum(FILTER('Fund Data'!$V:$V, 'Fund Data'!$C:$C = $C1101, 'Fund Data'!$A:$A &lt; $A1101)),0) + IFERROR(sum(FILTER('Fund Data'!$V:$V, 'Fund Data'!$C:$C = $C1101, 'Fund Data'!$A:$A = $A1101, 'Fund Data'!$B:$B &lt;= $B1101)),0)"),1004136.0)</f>
        <v>1004136</v>
      </c>
      <c r="T1101" s="123">
        <v>1004449.0</v>
      </c>
      <c r="U1101" s="44">
        <f t="shared" si="103"/>
        <v>-313</v>
      </c>
      <c r="V1101" s="44">
        <f t="shared" si="3"/>
        <v>0</v>
      </c>
      <c r="W1101" s="123"/>
      <c r="X1101" s="123"/>
      <c r="Y1101" s="123">
        <v>0.0</v>
      </c>
      <c r="Z1101" s="123">
        <v>0.0</v>
      </c>
      <c r="AA1101" s="123">
        <v>0.0</v>
      </c>
      <c r="AB1101" s="123"/>
      <c r="AC1101" s="123">
        <v>0.0</v>
      </c>
      <c r="AD1101" s="44">
        <f t="shared" si="7"/>
        <v>-6500</v>
      </c>
      <c r="AE1101" s="123">
        <v>0.0</v>
      </c>
    </row>
    <row r="1102">
      <c r="A1102" s="120">
        <v>2017.0</v>
      </c>
      <c r="B1102" s="121">
        <v>6.0</v>
      </c>
      <c r="C1102" s="122" t="s">
        <v>43</v>
      </c>
      <c r="D1102" s="123">
        <v>2500.0</v>
      </c>
      <c r="E1102" s="123">
        <v>13581.4</v>
      </c>
      <c r="F1102" s="123">
        <v>-6500.0</v>
      </c>
      <c r="G1102" s="44"/>
      <c r="H1102" s="123">
        <v>-3372.89</v>
      </c>
      <c r="I1102" s="44"/>
      <c r="J1102" s="44"/>
      <c r="K1102" s="44"/>
      <c r="L1102" s="123">
        <v>65969.74</v>
      </c>
      <c r="M1102" s="44"/>
      <c r="N1102" s="44"/>
      <c r="O1102" s="123">
        <v>1097027.0</v>
      </c>
      <c r="P1102" s="52">
        <f t="shared" si="23"/>
        <v>1097026.19</v>
      </c>
      <c r="Q1102" s="124">
        <f t="shared" si="2"/>
        <v>0.8100000001</v>
      </c>
      <c r="R1102" s="52">
        <f t="array" ref="R1102">IFERROR(INDEX('Fund YTD Target Values'!$1:$1000, MATCH($C1102,'Fund YTD Target Values'!$A:$A,0), MATCH($A1102,'Fund YTD Target Values'!$1:$1,0)),0)</f>
        <v>1048370.982</v>
      </c>
      <c r="S1102" s="52">
        <f>IFERROR(__xludf.DUMMYFUNCTION("IFERROR(sum(FILTER('Fund Data'!$V:$V, 'Fund Data'!$C:$C = $C1102, 'Fund Data'!$A:$A &lt; $A1102)),0) + IFERROR(sum(FILTER('Fund Data'!$V:$V, 'Fund Data'!$C:$C = $C1102, 'Fund Data'!$A:$A = $A1102, 'Fund Data'!$B:$B &lt;= $B1102)),0)"),1004136.0)</f>
        <v>1004136</v>
      </c>
      <c r="T1102" s="123">
        <v>1004449.0</v>
      </c>
      <c r="U1102" s="44">
        <f t="shared" si="103"/>
        <v>-313</v>
      </c>
      <c r="V1102" s="44">
        <f t="shared" si="3"/>
        <v>0</v>
      </c>
      <c r="W1102" s="123"/>
      <c r="X1102" s="123"/>
      <c r="Y1102" s="123">
        <v>0.0</v>
      </c>
      <c r="Z1102" s="123">
        <v>0.0</v>
      </c>
      <c r="AA1102" s="123">
        <v>0.0</v>
      </c>
      <c r="AB1102" s="123"/>
      <c r="AC1102" s="123">
        <v>0.0</v>
      </c>
      <c r="AD1102" s="44">
        <f t="shared" si="7"/>
        <v>-6500</v>
      </c>
      <c r="AE1102" s="123">
        <v>0.0</v>
      </c>
    </row>
    <row r="1103">
      <c r="A1103" s="120">
        <v>2017.0</v>
      </c>
      <c r="B1103" s="121">
        <v>5.0</v>
      </c>
      <c r="C1103" s="122" t="s">
        <v>43</v>
      </c>
      <c r="D1103" s="123">
        <v>2500.0</v>
      </c>
      <c r="E1103" s="123">
        <v>12850.71</v>
      </c>
      <c r="F1103" s="123">
        <v>-6500.0</v>
      </c>
      <c r="G1103" s="44"/>
      <c r="H1103" s="123">
        <v>-2796.46</v>
      </c>
      <c r="I1103" s="44"/>
      <c r="J1103" s="44"/>
      <c r="K1103" s="44"/>
      <c r="L1103" s="123">
        <v>63618.84</v>
      </c>
      <c r="M1103" s="44"/>
      <c r="N1103" s="44"/>
      <c r="O1103" s="123">
        <v>1094521.0</v>
      </c>
      <c r="P1103" s="52">
        <f t="shared" si="23"/>
        <v>1094521.03</v>
      </c>
      <c r="Q1103" s="124">
        <f t="shared" si="2"/>
        <v>-0.03000000003</v>
      </c>
      <c r="R1103" s="52">
        <f t="array" ref="R1103">IFERROR(INDEX('Fund YTD Target Values'!$1:$1000, MATCH($C1103,'Fund YTD Target Values'!$A:$A,0), MATCH($A1103,'Fund YTD Target Values'!$1:$1,0)),0)</f>
        <v>1048370.982</v>
      </c>
      <c r="S1103" s="52">
        <f>IFERROR(__xludf.DUMMYFUNCTION("IFERROR(sum(FILTER('Fund Data'!$V:$V, 'Fund Data'!$C:$C = $C1103, 'Fund Data'!$A:$A &lt; $A1103)),0) + IFERROR(sum(FILTER('Fund Data'!$V:$V, 'Fund Data'!$C:$C = $C1103, 'Fund Data'!$A:$A = $A1103, 'Fund Data'!$B:$B &lt;= $B1103)),0)"),1004136.0)</f>
        <v>1004136</v>
      </c>
      <c r="T1103" s="123">
        <v>1004449.0</v>
      </c>
      <c r="U1103" s="44">
        <f t="shared" si="103"/>
        <v>-313</v>
      </c>
      <c r="V1103" s="44">
        <f t="shared" si="3"/>
        <v>2500</v>
      </c>
      <c r="W1103" s="123"/>
      <c r="X1103" s="123"/>
      <c r="Y1103" s="123">
        <v>0.0</v>
      </c>
      <c r="Z1103" s="123">
        <v>0.0</v>
      </c>
      <c r="AA1103" s="123">
        <v>0.0</v>
      </c>
      <c r="AB1103" s="123"/>
      <c r="AC1103" s="123">
        <v>0.0</v>
      </c>
      <c r="AD1103" s="44">
        <f t="shared" si="7"/>
        <v>-6500</v>
      </c>
      <c r="AE1103" s="123">
        <v>0.0</v>
      </c>
    </row>
    <row r="1104">
      <c r="A1104" s="120">
        <v>2017.0</v>
      </c>
      <c r="B1104" s="121">
        <v>4.0</v>
      </c>
      <c r="C1104" s="122" t="s">
        <v>43</v>
      </c>
      <c r="D1104" s="44"/>
      <c r="E1104" s="123">
        <v>12146.14</v>
      </c>
      <c r="F1104" s="44"/>
      <c r="G1104" s="44"/>
      <c r="H1104" s="123">
        <v>-2224.19</v>
      </c>
      <c r="I1104" s="44"/>
      <c r="J1104" s="44"/>
      <c r="K1104" s="44"/>
      <c r="L1104" s="123">
        <v>51430.68</v>
      </c>
      <c r="M1104" s="44"/>
      <c r="N1104" s="44"/>
      <c r="O1104" s="123">
        <v>1086201.0</v>
      </c>
      <c r="P1104" s="52">
        <f t="shared" si="23"/>
        <v>1086200.57</v>
      </c>
      <c r="Q1104" s="124">
        <f t="shared" si="2"/>
        <v>0.4300000002</v>
      </c>
      <c r="R1104" s="52">
        <f t="array" ref="R1104">IFERROR(INDEX('Fund YTD Target Values'!$1:$1000, MATCH($C1104,'Fund YTD Target Values'!$A:$A,0), MATCH($A1104,'Fund YTD Target Values'!$1:$1,0)),0)</f>
        <v>1048370.982</v>
      </c>
      <c r="S1104" s="52">
        <f>IFERROR(__xludf.DUMMYFUNCTION("IFERROR(sum(FILTER('Fund Data'!$V:$V, 'Fund Data'!$C:$C = $C1104, 'Fund Data'!$A:$A &lt; $A1104)),0) + IFERROR(sum(FILTER('Fund Data'!$V:$V, 'Fund Data'!$C:$C = $C1104, 'Fund Data'!$A:$A = $A1104, 'Fund Data'!$B:$B &lt;= $B1104)),0)"),1001636.0)</f>
        <v>1001636</v>
      </c>
      <c r="T1104" s="123">
        <v>1001949.0</v>
      </c>
      <c r="U1104" s="44">
        <f t="shared" si="103"/>
        <v>-313</v>
      </c>
      <c r="V1104" s="44">
        <f t="shared" si="3"/>
        <v>0</v>
      </c>
      <c r="W1104" s="123"/>
      <c r="X1104" s="123"/>
      <c r="Y1104" s="123">
        <v>0.0</v>
      </c>
      <c r="Z1104" s="123">
        <v>0.0</v>
      </c>
      <c r="AA1104" s="123">
        <v>0.0</v>
      </c>
      <c r="AB1104" s="123"/>
      <c r="AC1104" s="123">
        <v>0.0</v>
      </c>
      <c r="AD1104" s="44">
        <f t="shared" si="7"/>
        <v>0</v>
      </c>
      <c r="AE1104" s="123">
        <v>0.0</v>
      </c>
    </row>
    <row r="1105">
      <c r="A1105" s="120">
        <v>2017.0</v>
      </c>
      <c r="B1105" s="121">
        <v>3.0</v>
      </c>
      <c r="C1105" s="122" t="s">
        <v>43</v>
      </c>
      <c r="D1105" s="44"/>
      <c r="E1105" s="123">
        <v>9190.98</v>
      </c>
      <c r="F1105" s="44"/>
      <c r="G1105" s="44"/>
      <c r="H1105" s="123">
        <v>-1658.52</v>
      </c>
      <c r="I1105" s="44"/>
      <c r="J1105" s="44"/>
      <c r="K1105" s="44"/>
      <c r="L1105" s="123">
        <v>40611.98</v>
      </c>
      <c r="M1105" s="44"/>
      <c r="N1105" s="44"/>
      <c r="O1105" s="123">
        <v>1072993.0</v>
      </c>
      <c r="P1105" s="52">
        <f t="shared" si="23"/>
        <v>1072992.38</v>
      </c>
      <c r="Q1105" s="124">
        <f t="shared" si="2"/>
        <v>0.6200000001</v>
      </c>
      <c r="R1105" s="52">
        <f t="array" ref="R1105">IFERROR(INDEX('Fund YTD Target Values'!$1:$1000, MATCH($C1105,'Fund YTD Target Values'!$A:$A,0), MATCH($A1105,'Fund YTD Target Values'!$1:$1,0)),0)</f>
        <v>1048370.982</v>
      </c>
      <c r="S1105" s="52">
        <f>IFERROR(__xludf.DUMMYFUNCTION("IFERROR(sum(FILTER('Fund Data'!$V:$V, 'Fund Data'!$C:$C = $C1105, 'Fund Data'!$A:$A &lt; $A1105)),0) + IFERROR(sum(FILTER('Fund Data'!$V:$V, 'Fund Data'!$C:$C = $C1105, 'Fund Data'!$A:$A = $A1105, 'Fund Data'!$B:$B &lt;= $B1105)),0)"),1001636.0)</f>
        <v>1001636</v>
      </c>
      <c r="T1105" s="123">
        <v>1001949.0</v>
      </c>
      <c r="U1105" s="44">
        <f t="shared" si="103"/>
        <v>-313</v>
      </c>
      <c r="V1105" s="44">
        <f t="shared" si="3"/>
        <v>0</v>
      </c>
      <c r="W1105" s="123"/>
      <c r="X1105" s="123"/>
      <c r="Y1105" s="123">
        <v>0.0</v>
      </c>
      <c r="Z1105" s="123">
        <v>0.0</v>
      </c>
      <c r="AA1105" s="123">
        <v>0.0</v>
      </c>
      <c r="AB1105" s="123"/>
      <c r="AC1105" s="123">
        <v>0.0</v>
      </c>
      <c r="AD1105" s="44">
        <f t="shared" si="7"/>
        <v>0</v>
      </c>
      <c r="AE1105" s="123">
        <v>0.0</v>
      </c>
    </row>
    <row r="1106">
      <c r="A1106" s="120">
        <v>2017.0</v>
      </c>
      <c r="B1106" s="121">
        <v>2.0</v>
      </c>
      <c r="C1106" s="122" t="s">
        <v>43</v>
      </c>
      <c r="D1106" s="44"/>
      <c r="E1106" s="123">
        <v>8475.9</v>
      </c>
      <c r="F1106" s="44"/>
      <c r="G1106" s="44"/>
      <c r="H1106" s="123">
        <v>-1094.83</v>
      </c>
      <c r="I1106" s="44"/>
      <c r="J1106" s="44"/>
      <c r="K1106" s="44"/>
      <c r="L1106" s="123">
        <v>36807.94</v>
      </c>
      <c r="M1106" s="44"/>
      <c r="N1106" s="44"/>
      <c r="O1106" s="123">
        <v>1069037.0</v>
      </c>
      <c r="P1106" s="52">
        <f t="shared" si="23"/>
        <v>1069036.95</v>
      </c>
      <c r="Q1106" s="124">
        <f t="shared" si="2"/>
        <v>0.05000000005</v>
      </c>
      <c r="R1106" s="52">
        <f t="array" ref="R1106">IFERROR(INDEX('Fund YTD Target Values'!$1:$1000, MATCH($C1106,'Fund YTD Target Values'!$A:$A,0), MATCH($A1106,'Fund YTD Target Values'!$1:$1,0)),0)</f>
        <v>1048370.982</v>
      </c>
      <c r="S1106" s="52">
        <f>IFERROR(__xludf.DUMMYFUNCTION("IFERROR(sum(FILTER('Fund Data'!$V:$V, 'Fund Data'!$C:$C = $C1106, 'Fund Data'!$A:$A &lt; $A1106)),0) + IFERROR(sum(FILTER('Fund Data'!$V:$V, 'Fund Data'!$C:$C = $C1106, 'Fund Data'!$A:$A = $A1106, 'Fund Data'!$B:$B &lt;= $B1106)),0)"),1001636.0)</f>
        <v>1001636</v>
      </c>
      <c r="T1106" s="123">
        <v>1001949.0</v>
      </c>
      <c r="U1106" s="44">
        <f t="shared" si="103"/>
        <v>-313</v>
      </c>
      <c r="V1106" s="44">
        <f t="shared" si="3"/>
        <v>0</v>
      </c>
      <c r="W1106" s="123"/>
      <c r="X1106" s="123"/>
      <c r="Y1106" s="123">
        <v>0.0</v>
      </c>
      <c r="Z1106" s="123">
        <v>0.0</v>
      </c>
      <c r="AA1106" s="123">
        <v>0.0</v>
      </c>
      <c r="AB1106" s="123"/>
      <c r="AC1106" s="123">
        <v>0.0</v>
      </c>
      <c r="AD1106" s="44">
        <f t="shared" si="7"/>
        <v>0</v>
      </c>
      <c r="AE1106" s="123">
        <v>0.0</v>
      </c>
    </row>
    <row r="1107">
      <c r="A1107" s="120">
        <v>2017.0</v>
      </c>
      <c r="B1107" s="121">
        <v>1.0</v>
      </c>
      <c r="C1107" s="122" t="s">
        <v>43</v>
      </c>
      <c r="D1107" s="44"/>
      <c r="E1107" s="123">
        <v>7739.71</v>
      </c>
      <c r="F1107" s="44"/>
      <c r="G1107" s="44"/>
      <c r="H1107" s="123">
        <v>-541.59</v>
      </c>
      <c r="I1107" s="44"/>
      <c r="J1107" s="44"/>
      <c r="K1107" s="44"/>
      <c r="L1107" s="123">
        <v>16091.11</v>
      </c>
      <c r="M1107" s="44"/>
      <c r="N1107" s="44"/>
      <c r="O1107" s="123">
        <v>1048137.0</v>
      </c>
      <c r="P1107" s="52">
        <f t="shared" si="23"/>
        <v>1048137.17</v>
      </c>
      <c r="Q1107" s="124">
        <f t="shared" si="2"/>
        <v>-0.1699999999</v>
      </c>
      <c r="R1107" s="52">
        <f t="array" ref="R1107">IFERROR(INDEX('Fund YTD Target Values'!$1:$1000, MATCH($C1107,'Fund YTD Target Values'!$A:$A,0), MATCH($A1107,'Fund YTD Target Values'!$1:$1,0)),0)</f>
        <v>1048370.982</v>
      </c>
      <c r="S1107" s="52">
        <f>IFERROR(__xludf.DUMMYFUNCTION("IFERROR(sum(FILTER('Fund Data'!$V:$V, 'Fund Data'!$C:$C = $C1107, 'Fund Data'!$A:$A &lt; $A1107)),0) + IFERROR(sum(FILTER('Fund Data'!$V:$V, 'Fund Data'!$C:$C = $C1107, 'Fund Data'!$A:$A = $A1107, 'Fund Data'!$B:$B &lt;= $B1107)),0)"),1001636.0)</f>
        <v>1001636</v>
      </c>
      <c r="T1107" s="123">
        <v>1001949.0</v>
      </c>
      <c r="U1107" s="44">
        <f t="shared" si="103"/>
        <v>-313</v>
      </c>
      <c r="V1107" s="44">
        <f t="shared" si="3"/>
        <v>0</v>
      </c>
      <c r="W1107" s="123"/>
      <c r="X1107" s="123"/>
      <c r="Y1107" s="123">
        <v>0.0</v>
      </c>
      <c r="Z1107" s="123">
        <v>0.0</v>
      </c>
      <c r="AA1107" s="123">
        <v>0.0</v>
      </c>
      <c r="AB1107" s="123"/>
      <c r="AC1107" s="123">
        <v>0.0</v>
      </c>
      <c r="AD1107" s="44">
        <f t="shared" si="7"/>
        <v>0</v>
      </c>
      <c r="AE1107" s="123">
        <v>0.0</v>
      </c>
    </row>
    <row r="1108">
      <c r="A1108" s="120">
        <v>2016.0</v>
      </c>
      <c r="B1108" s="121">
        <v>12.0</v>
      </c>
      <c r="C1108" s="122" t="s">
        <v>43</v>
      </c>
      <c r="D1108" s="123">
        <v>1000.0</v>
      </c>
      <c r="E1108" s="123">
        <v>18394.39</v>
      </c>
      <c r="F1108" s="123">
        <v>-25000.0</v>
      </c>
      <c r="G1108" s="123"/>
      <c r="H1108" s="123">
        <v>-6418.25</v>
      </c>
      <c r="I1108" s="44"/>
      <c r="J1108" s="44"/>
      <c r="K1108" s="44"/>
      <c r="L1108" s="123">
        <v>43723.7</v>
      </c>
      <c r="M1108" s="44"/>
      <c r="N1108" s="44"/>
      <c r="O1108" s="123">
        <v>1024848.0</v>
      </c>
      <c r="P1108" s="52">
        <f t="shared" si="23"/>
        <v>1024847.94</v>
      </c>
      <c r="Q1108" s="124">
        <f t="shared" si="2"/>
        <v>0.06000000006</v>
      </c>
      <c r="R1108" s="52">
        <f t="array" ref="R1108">IFERROR(INDEX('Fund YTD Target Values'!$1:$1000, MATCH($C1108,'Fund YTD Target Values'!$A:$A,0), MATCH($A1108,'Fund YTD Target Values'!$1:$1,0)),0)</f>
        <v>1023063.214</v>
      </c>
      <c r="S1108" s="52">
        <f>IFERROR(__xludf.DUMMYFUNCTION("IFERROR(sum(FILTER('Fund Data'!$V:$V, 'Fund Data'!$C:$C = $C1108, 'Fund Data'!$A:$A &lt; $A1108)),0) + IFERROR(sum(FILTER('Fund Data'!$V:$V, 'Fund Data'!$C:$C = $C1108, 'Fund Data'!$A:$A = $A1108, 'Fund Data'!$B:$B &lt;= $B1108)),0)"),1001636.0)</f>
        <v>1001636</v>
      </c>
      <c r="T1108" s="123">
        <v>1001948.0</v>
      </c>
      <c r="U1108" s="44">
        <f t="shared" si="103"/>
        <v>-312</v>
      </c>
      <c r="V1108" s="44">
        <f t="shared" si="3"/>
        <v>1000</v>
      </c>
      <c r="W1108" s="123"/>
      <c r="X1108" s="123"/>
      <c r="Y1108" s="123">
        <v>0.0</v>
      </c>
      <c r="Z1108" s="123">
        <v>0.0</v>
      </c>
      <c r="AA1108" s="123">
        <v>0.0</v>
      </c>
      <c r="AB1108" s="123"/>
      <c r="AC1108" s="123">
        <v>0.0</v>
      </c>
      <c r="AD1108" s="44">
        <f t="shared" si="7"/>
        <v>-25000</v>
      </c>
      <c r="AE1108" s="123">
        <v>0.0</v>
      </c>
    </row>
    <row r="1109">
      <c r="A1109" s="120">
        <v>2015.0</v>
      </c>
      <c r="B1109" s="121">
        <v>12.0</v>
      </c>
      <c r="C1109" s="122" t="s">
        <v>43</v>
      </c>
      <c r="D1109" s="123">
        <v>501000.0</v>
      </c>
      <c r="E1109" s="123">
        <v>11664.71</v>
      </c>
      <c r="F1109" s="44"/>
      <c r="G1109" s="123"/>
      <c r="H1109" s="123">
        <v>-3412.08</v>
      </c>
      <c r="I1109" s="44"/>
      <c r="J1109" s="44"/>
      <c r="K1109" s="44"/>
      <c r="L1109" s="123">
        <v>-21676.7</v>
      </c>
      <c r="M1109" s="44"/>
      <c r="N1109" s="44"/>
      <c r="O1109" s="123">
        <v>993148.0</v>
      </c>
      <c r="P1109" s="52">
        <f t="shared" si="23"/>
        <v>993148.1</v>
      </c>
      <c r="Q1109" s="124">
        <f t="shared" si="2"/>
        <v>-0.09999999998</v>
      </c>
      <c r="R1109" s="52">
        <f t="array" ref="R1109">IFERROR(INDEX('Fund YTD Target Values'!$1:$1000, MATCH($C1109,'Fund YTD Target Values'!$A:$A,0), MATCH($A1109,'Fund YTD Target Values'!$1:$1,0)),0)</f>
        <v>1009327.082</v>
      </c>
      <c r="S1109" s="52">
        <f>IFERROR(__xludf.DUMMYFUNCTION("IFERROR(sum(FILTER('Fund Data'!$V:$V, 'Fund Data'!$C:$C = $C1109, 'Fund Data'!$A:$A &lt; $A1109)),0) + IFERROR(sum(FILTER('Fund Data'!$V:$V, 'Fund Data'!$C:$C = $C1109, 'Fund Data'!$A:$A = $A1109, 'Fund Data'!$B:$B &lt;= $B1109)),0)"),1000636.0)</f>
        <v>1000636</v>
      </c>
      <c r="T1109" s="123">
        <v>1000813.0</v>
      </c>
      <c r="U1109" s="44">
        <f t="shared" si="103"/>
        <v>-177</v>
      </c>
      <c r="V1109" s="44">
        <f t="shared" si="3"/>
        <v>501000</v>
      </c>
      <c r="W1109" s="123"/>
      <c r="X1109" s="123"/>
      <c r="Y1109" s="123">
        <v>0.0</v>
      </c>
      <c r="Z1109" s="123">
        <v>0.0</v>
      </c>
      <c r="AA1109" s="123">
        <v>0.0</v>
      </c>
      <c r="AB1109" s="123"/>
      <c r="AC1109" s="123">
        <v>0.0</v>
      </c>
      <c r="AD1109" s="44">
        <f t="shared" si="7"/>
        <v>0</v>
      </c>
      <c r="AE1109" s="123">
        <v>0.0</v>
      </c>
    </row>
    <row r="1110">
      <c r="A1110" s="120">
        <v>2014.0</v>
      </c>
      <c r="B1110" s="121">
        <v>12.0</v>
      </c>
      <c r="C1110" s="122" t="s">
        <v>43</v>
      </c>
      <c r="D1110" s="123">
        <v>1000.0</v>
      </c>
      <c r="E1110" s="123">
        <v>7103.06</v>
      </c>
      <c r="F1110" s="44"/>
      <c r="G1110" s="123"/>
      <c r="H1110" s="123">
        <v>-3136.75</v>
      </c>
      <c r="I1110" s="44"/>
      <c r="J1110" s="44"/>
      <c r="K1110" s="44"/>
      <c r="L1110" s="123">
        <v>2043.86</v>
      </c>
      <c r="M1110" s="44"/>
      <c r="N1110" s="44"/>
      <c r="O1110" s="123">
        <v>505572.0</v>
      </c>
      <c r="P1110" s="52">
        <f t="shared" si="23"/>
        <v>505572.17</v>
      </c>
      <c r="Q1110" s="124">
        <f t="shared" si="2"/>
        <v>-0.17</v>
      </c>
      <c r="R1110" s="52">
        <f t="array" ref="R1110">IFERROR(INDEX('Fund YTD Target Values'!$1:$1000, MATCH($C1110,'Fund YTD Target Values'!$A:$A,0), MATCH($A1110,'Fund YTD Target Values'!$1:$1,0)),0)</f>
        <v>507723.4013</v>
      </c>
      <c r="S1110" s="52">
        <f>IFERROR(__xludf.DUMMYFUNCTION("IFERROR(sum(FILTER('Fund Data'!$V:$V, 'Fund Data'!$C:$C = $C1110, 'Fund Data'!$A:$A &lt; $A1110)),0) + IFERROR(sum(FILTER('Fund Data'!$V:$V, 'Fund Data'!$C:$C = $C1110, 'Fund Data'!$A:$A = $A1110, 'Fund Data'!$B:$B &lt;= $B1110)),0)"),499636.0)</f>
        <v>499636</v>
      </c>
      <c r="T1110" s="123">
        <v>499636.0</v>
      </c>
      <c r="U1110" s="44">
        <f t="shared" si="103"/>
        <v>0</v>
      </c>
      <c r="V1110" s="44">
        <f t="shared" si="3"/>
        <v>1000</v>
      </c>
      <c r="W1110" s="123"/>
      <c r="X1110" s="123"/>
      <c r="Y1110" s="123">
        <v>0.0</v>
      </c>
      <c r="Z1110" s="123">
        <v>0.0</v>
      </c>
      <c r="AA1110" s="123">
        <v>0.0</v>
      </c>
      <c r="AB1110" s="123"/>
      <c r="AC1110" s="123">
        <v>0.0</v>
      </c>
      <c r="AD1110" s="44">
        <f t="shared" si="7"/>
        <v>0</v>
      </c>
      <c r="AE1110" s="123">
        <v>0.0</v>
      </c>
    </row>
    <row r="1111">
      <c r="A1111" s="120">
        <v>2013.0</v>
      </c>
      <c r="B1111" s="121">
        <v>12.0</v>
      </c>
      <c r="C1111" s="122" t="s">
        <v>43</v>
      </c>
      <c r="D1111" s="123">
        <v>498636.0</v>
      </c>
      <c r="E1111" s="44"/>
      <c r="F1111" s="44"/>
      <c r="G1111" s="44">
        <v>-74.0</v>
      </c>
      <c r="H1111" s="44"/>
      <c r="I1111" s="44"/>
      <c r="J1111" s="44"/>
      <c r="K1111" s="44"/>
      <c r="L1111" s="44"/>
      <c r="M1111" s="44"/>
      <c r="N1111" s="44"/>
      <c r="O1111" s="123">
        <v>498562.0</v>
      </c>
      <c r="P1111" s="52">
        <f t="shared" si="23"/>
        <v>498562</v>
      </c>
      <c r="Q1111" s="124">
        <f t="shared" si="2"/>
        <v>0</v>
      </c>
      <c r="R1111" s="52">
        <f t="array" ref="R1111">IFERROR(INDEX('Fund YTD Target Values'!$1:$1000, MATCH($C1111,'Fund YTD Target Values'!$A:$A,0), MATCH($A1111,'Fund YTD Target Values'!$1:$1,0)),0)</f>
        <v>498636</v>
      </c>
      <c r="S1111" s="52">
        <f>IFERROR(__xludf.DUMMYFUNCTION("IFERROR(sum(FILTER('Fund Data'!$V:$V, 'Fund Data'!$C:$C = $C1111, 'Fund Data'!$A:$A &lt; $A1111)),0) + IFERROR(sum(FILTER('Fund Data'!$V:$V, 'Fund Data'!$C:$C = $C1111, 'Fund Data'!$A:$A = $A1111, 'Fund Data'!$B:$B &lt;= $B1111)),0)"),498636.0)</f>
        <v>498636</v>
      </c>
      <c r="T1111" s="123">
        <v>498636.0</v>
      </c>
      <c r="U1111" s="44">
        <f t="shared" si="103"/>
        <v>0</v>
      </c>
      <c r="V1111" s="44">
        <f t="shared" si="3"/>
        <v>498636</v>
      </c>
      <c r="W1111" s="123"/>
      <c r="X1111" s="123"/>
      <c r="Y1111" s="123">
        <v>0.0</v>
      </c>
      <c r="Z1111" s="123">
        <v>0.0</v>
      </c>
      <c r="AA1111" s="123">
        <v>0.0</v>
      </c>
      <c r="AB1111" s="123"/>
      <c r="AC1111" s="123">
        <v>0.0</v>
      </c>
      <c r="AD1111" s="44">
        <f t="shared" si="7"/>
        <v>0</v>
      </c>
      <c r="AE1111" s="123">
        <v>0.0</v>
      </c>
    </row>
    <row r="1112">
      <c r="A1112" s="120">
        <v>2019.0</v>
      </c>
      <c r="B1112" s="121">
        <v>6.0</v>
      </c>
      <c r="C1112" s="122" t="s">
        <v>38</v>
      </c>
      <c r="D1112" s="44"/>
      <c r="E1112" s="123">
        <v>4175.35</v>
      </c>
      <c r="F1112" s="123">
        <v>-3500.0</v>
      </c>
      <c r="G1112" s="44"/>
      <c r="H1112" s="123">
        <v>-943.21</v>
      </c>
      <c r="I1112" s="44"/>
      <c r="J1112" s="44"/>
      <c r="K1112" s="44"/>
      <c r="L1112" s="123">
        <v>32752.58</v>
      </c>
      <c r="M1112" s="44"/>
      <c r="N1112" s="44"/>
      <c r="O1112" s="123">
        <v>345429.68</v>
      </c>
      <c r="P1112" s="52">
        <f t="shared" si="23"/>
        <v>345429.9</v>
      </c>
      <c r="Q1112" s="124">
        <f t="shared" si="2"/>
        <v>-0.22</v>
      </c>
      <c r="R1112" s="52">
        <f t="array" ref="R1112">IFERROR(INDEX('Fund YTD Target Values'!$1:$1000, MATCH($C1112,'Fund YTD Target Values'!$A:$A,0), MATCH($A1112,'Fund YTD Target Values'!$1:$1,0)),0)</f>
        <v>521874.6169</v>
      </c>
      <c r="S1112" s="52">
        <f>IFERROR(__xludf.DUMMYFUNCTION("IFERROR(sum(FILTER('Fund Data'!$V:$V, 'Fund Data'!$C:$C = $C1112, 'Fund Data'!$A:$A &lt; $A1112)),0) + IFERROR(sum(FILTER('Fund Data'!$V:$V, 'Fund Data'!$C:$C = $C1112, 'Fund Data'!$A:$A = $A1112, 'Fund Data'!$B:$B &lt;= $B1112)),0)"),325871.64)</f>
        <v>325871.64</v>
      </c>
      <c r="T1112" s="123">
        <v>326032.0</v>
      </c>
      <c r="U1112" s="44">
        <f t="shared" si="103"/>
        <v>-160.36</v>
      </c>
      <c r="V1112" s="44">
        <f t="shared" si="3"/>
        <v>0</v>
      </c>
      <c r="W1112" s="52">
        <f>IFERROR(__xludf.DUMMYFUNCTION("iFERROR((FILTER('Fund Data'!$Y:$Y, 'Fund Data'!$C:$C = $C1112, 'Fund Data'!$A:$A = $A1112 - 1, 'Fund Data'!$B:$B = 12) + FILTER('Fund Data'!$AA:$AA, 'Fund Data'!$C:$C = $C1112, 'Fund Data'!$A:$A = $A1112 - 1, 'Fund Data'!$B:$B = 12)) * (1 + AVERAGE(FILTER"&amp;"('Inflation Data'!$C:$C,'Inflation Data'!$A:$A = ($A1112 - 2)))) * 'Parameters and Distribution Sum'!$A$4,0)"),11487.702435867292)</f>
        <v>11487.70244</v>
      </c>
      <c r="X1112" s="52">
        <f>IFERROR(__xludf.DUMMYFUNCTION("IFERROR((IFERROR(FILTER('Fund Data'!$P:$P,'Fund Data'!$C:$C = $C1112,'Fund Data'!$A:$A = ($A1112 - 2), 'Fund Data'!$B:$B = 12),0) - SUM(FILTER('Fund Data'!$V:$V, 'Fund Data'!$C:$C = $C1112, 'Fund Data'!$A:$A = ($A1112 - 2), 'Fund Data'!$B:$B &gt; 3)))  * 'Pa"&amp;"rameters and Distribution Sum'!$B$4 * (1 - 'Parameters and Distribution Sum'!$A$4),0)"),4820.545575000002)</f>
        <v>4820.545575</v>
      </c>
      <c r="Y1112" s="52">
        <f t="shared" ref="Y1112:Y1117" si="104">sum($W1112:$X1112)</f>
        <v>16308.24801</v>
      </c>
      <c r="Z1112" s="52">
        <f>IFERROR(__xludf.DUMMYFUNCTION("((IFERROR((SUM(FILTER('Fund Data'!$V:$V, 'Fund Data'!$C:$C = $C1112, 'Fund Data'!$A:$A = $A1112 - 1, 'Fund Data'!$B:$B &gt;= 4, 'Fund Data'!$B:$B &lt;= ($B1112 + 5))) / 12) * ($B1112 - 3) * 'Parameters and Distribution Sum'!$B$4, 0) + IF($B1112 &gt;= 9, IFERROR(SU"&amp;"M(FILTER('Fund Data'!$V:$V, 'Fund Data'!$C:$C = $C1112, 'Fund Data'!$A:$A = $A1112, 'Fund Data'!$B:$B &lt;= 3)) * 'Parameters and Distribution Sum'!$B$4, 0),0)))"),0.0)</f>
        <v>0</v>
      </c>
      <c r="AA1112" s="44">
        <f>IFERROR(__xludf.DUMMYFUNCTION("IFERROR(((IFERROR(SUM(FILTER('Fund Data'!$V:$V, 'Fund Data'!$C:$C = $C1112, 'Fund Data'!$A:$A = $A1112 - 2, 'Fund Data'!$B:$B &gt;= 4)) * 'Parameters and Distribution Sum'!$B$4,0) + IFERROR(SUM(FILTER('Fund Data'!$V:$V, 'Fund Data'!$C:$C = $C1112, 'Fund Data"&amp;"'!$A:$A = $A1112 - 1, 'Fund Data'!$B:$B &lt;= 3)) * 'Parameters and Distribution Sum'!$B$4,0))),0)"),0.0)</f>
        <v>0</v>
      </c>
      <c r="AB1112" s="44">
        <f t="shared" ref="AB1112:AB1118" si="105">IFERROR(__xludf.DUMMYFUNCTION("IFERROR(FILTER($AE:$AE,$C:$C = $C1112,$A:$A = $A1112 - 1,$B:$B = 12),0)"),0.0)</f>
        <v>0</v>
      </c>
      <c r="AC1112" s="44">
        <f t="shared" ref="AC1112:AC1118" si="106">sum($Y1112:$AB1112)</f>
        <v>16308.24801</v>
      </c>
      <c r="AD1112" s="44">
        <f t="shared" si="7"/>
        <v>12808.24801</v>
      </c>
      <c r="AE1112" s="44"/>
    </row>
    <row r="1113">
      <c r="A1113" s="120">
        <v>2019.0</v>
      </c>
      <c r="B1113" s="121">
        <v>5.0</v>
      </c>
      <c r="C1113" s="122" t="s">
        <v>38</v>
      </c>
      <c r="D1113" s="44"/>
      <c r="E1113" s="123">
        <v>3809.62</v>
      </c>
      <c r="F1113" s="44"/>
      <c r="G1113" s="44"/>
      <c r="H1113" s="123">
        <v>-784.77</v>
      </c>
      <c r="I1113" s="44"/>
      <c r="J1113" s="44"/>
      <c r="K1113" s="44"/>
      <c r="L1113" s="123">
        <v>19574.9</v>
      </c>
      <c r="M1113" s="44"/>
      <c r="N1113" s="44"/>
      <c r="O1113" s="123">
        <v>335544.71</v>
      </c>
      <c r="P1113" s="52">
        <f t="shared" si="23"/>
        <v>335544.93</v>
      </c>
      <c r="Q1113" s="124">
        <f t="shared" si="2"/>
        <v>-0.22</v>
      </c>
      <c r="R1113" s="52">
        <f t="array" ref="R1113">IFERROR(INDEX('Fund YTD Target Values'!$1:$1000, MATCH($C1113,'Fund YTD Target Values'!$A:$A,0), MATCH($A1113,'Fund YTD Target Values'!$1:$1,0)),0)</f>
        <v>521874.6169</v>
      </c>
      <c r="S1113" s="52">
        <f>IFERROR(__xludf.DUMMYFUNCTION("IFERROR(sum(FILTER('Fund Data'!$V:$V, 'Fund Data'!$C:$C = $C1113, 'Fund Data'!$A:$A &lt; $A1113)),0) + IFERROR(sum(FILTER('Fund Data'!$V:$V, 'Fund Data'!$C:$C = $C1113, 'Fund Data'!$A:$A = $A1113, 'Fund Data'!$B:$B &lt;= $B1113)),0)"),325871.64)</f>
        <v>325871.64</v>
      </c>
      <c r="T1113" s="123">
        <v>326032.0</v>
      </c>
      <c r="U1113" s="44">
        <f t="shared" si="103"/>
        <v>-160.36</v>
      </c>
      <c r="V1113" s="44">
        <f t="shared" si="3"/>
        <v>0</v>
      </c>
      <c r="W1113" s="52">
        <f>IFERROR(__xludf.DUMMYFUNCTION("iFERROR((FILTER('Fund Data'!$Y:$Y, 'Fund Data'!$C:$C = $C1113, 'Fund Data'!$A:$A = $A1113 - 1, 'Fund Data'!$B:$B = 12) + FILTER('Fund Data'!$AA:$AA, 'Fund Data'!$C:$C = $C1113, 'Fund Data'!$A:$A = $A1113 - 1, 'Fund Data'!$B:$B = 12)) * (1 + AVERAGE(FILTER"&amp;"('Inflation Data'!$C:$C,'Inflation Data'!$A:$A = ($A1113 - 2)))) * 'Parameters and Distribution Sum'!$A$4,0)"),11487.702435867292)</f>
        <v>11487.70244</v>
      </c>
      <c r="X1113" s="52">
        <f>IFERROR(__xludf.DUMMYFUNCTION("IFERROR((IFERROR(FILTER('Fund Data'!$P:$P,'Fund Data'!$C:$C = $C1113,'Fund Data'!$A:$A = ($A1113 - 2), 'Fund Data'!$B:$B = 12),0) - SUM(FILTER('Fund Data'!$V:$V, 'Fund Data'!$C:$C = $C1113, 'Fund Data'!$A:$A = ($A1113 - 2), 'Fund Data'!$B:$B &gt; 3)))  * 'Pa"&amp;"rameters and Distribution Sum'!$B$4 * (1 - 'Parameters and Distribution Sum'!$A$4),0)"),4820.545575000002)</f>
        <v>4820.545575</v>
      </c>
      <c r="Y1113" s="52">
        <f t="shared" si="104"/>
        <v>16308.24801</v>
      </c>
      <c r="Z1113" s="52">
        <f>IFERROR(__xludf.DUMMYFUNCTION("((IFERROR((SUM(FILTER('Fund Data'!$V:$V, 'Fund Data'!$C:$C = $C1113, 'Fund Data'!$A:$A = $A1113 - 1, 'Fund Data'!$B:$B &gt;= 4, 'Fund Data'!$B:$B &lt;= ($B1113 + 5))) / 12) * ($B1113 - 3) * 'Parameters and Distribution Sum'!$B$4, 0) + IF($B1113 &gt;= 9, IFERROR(SU"&amp;"M(FILTER('Fund Data'!$V:$V, 'Fund Data'!$C:$C = $C1113, 'Fund Data'!$A:$A = $A1113, 'Fund Data'!$B:$B &lt;= 3)) * 'Parameters and Distribution Sum'!$B$4, 0),0)))"),0.0)</f>
        <v>0</v>
      </c>
      <c r="AA1113" s="44">
        <f>IFERROR(__xludf.DUMMYFUNCTION("IFERROR(((IFERROR(SUM(FILTER('Fund Data'!$V:$V, 'Fund Data'!$C:$C = $C1113, 'Fund Data'!$A:$A = $A1113 - 2, 'Fund Data'!$B:$B &gt;= 4)) * 'Parameters and Distribution Sum'!$B$4,0) + IFERROR(SUM(FILTER('Fund Data'!$V:$V, 'Fund Data'!$C:$C = $C1113, 'Fund Data"&amp;"'!$A:$A = $A1113 - 1, 'Fund Data'!$B:$B &lt;= 3)) * 'Parameters and Distribution Sum'!$B$4,0))),0)"),0.0)</f>
        <v>0</v>
      </c>
      <c r="AB1113" s="44">
        <f t="shared" si="105"/>
        <v>0</v>
      </c>
      <c r="AC1113" s="44">
        <f t="shared" si="106"/>
        <v>16308.24801</v>
      </c>
      <c r="AD1113" s="44">
        <f t="shared" si="7"/>
        <v>16308.24801</v>
      </c>
      <c r="AE1113" s="44"/>
    </row>
    <row r="1114">
      <c r="A1114" s="120">
        <v>2019.0</v>
      </c>
      <c r="B1114" s="121">
        <v>4.0</v>
      </c>
      <c r="C1114" s="122" t="s">
        <v>38</v>
      </c>
      <c r="D1114" s="44"/>
      <c r="E1114" s="123">
        <v>3511.18</v>
      </c>
      <c r="F1114" s="44"/>
      <c r="G1114" s="44"/>
      <c r="H1114" s="123">
        <v>-621.99</v>
      </c>
      <c r="I1114" s="44"/>
      <c r="J1114" s="44"/>
      <c r="K1114" s="44"/>
      <c r="L1114" s="123">
        <v>32888.64</v>
      </c>
      <c r="M1114" s="44"/>
      <c r="N1114" s="44"/>
      <c r="O1114" s="123">
        <v>348723.0</v>
      </c>
      <c r="P1114" s="52">
        <f t="shared" si="23"/>
        <v>348723.01</v>
      </c>
      <c r="Q1114" s="124">
        <f t="shared" si="2"/>
        <v>-0.01000000007</v>
      </c>
      <c r="R1114" s="52">
        <f t="array" ref="R1114">IFERROR(INDEX('Fund YTD Target Values'!$1:$1000, MATCH($C1114,'Fund YTD Target Values'!$A:$A,0), MATCH($A1114,'Fund YTD Target Values'!$1:$1,0)),0)</f>
        <v>521874.6169</v>
      </c>
      <c r="S1114" s="52">
        <f>IFERROR(__xludf.DUMMYFUNCTION("IFERROR(sum(FILTER('Fund Data'!$V:$V, 'Fund Data'!$C:$C = $C1114, 'Fund Data'!$A:$A &lt; $A1114)),0) + IFERROR(sum(FILTER('Fund Data'!$V:$V, 'Fund Data'!$C:$C = $C1114, 'Fund Data'!$A:$A = $A1114, 'Fund Data'!$B:$B &lt;= $B1114)),0)"),325871.64)</f>
        <v>325871.64</v>
      </c>
      <c r="T1114" s="123">
        <v>326032.0</v>
      </c>
      <c r="U1114" s="44">
        <f t="shared" si="103"/>
        <v>-160.36</v>
      </c>
      <c r="V1114" s="44">
        <f t="shared" si="3"/>
        <v>0</v>
      </c>
      <c r="W1114" s="52">
        <f>IFERROR(__xludf.DUMMYFUNCTION("iFERROR((FILTER('Fund Data'!$Y:$Y, 'Fund Data'!$C:$C = $C1114, 'Fund Data'!$A:$A = $A1114 - 1, 'Fund Data'!$B:$B = 12) + FILTER('Fund Data'!$AA:$AA, 'Fund Data'!$C:$C = $C1114, 'Fund Data'!$A:$A = $A1114 - 1, 'Fund Data'!$B:$B = 12)) * (1 + AVERAGE(FILTER"&amp;"('Inflation Data'!$C:$C,'Inflation Data'!$A:$A = ($A1114 - 2)))) * 'Parameters and Distribution Sum'!$A$4,0)"),11487.702435867292)</f>
        <v>11487.70244</v>
      </c>
      <c r="X1114" s="52">
        <f>IFERROR(__xludf.DUMMYFUNCTION("IFERROR((IFERROR(FILTER('Fund Data'!$P:$P,'Fund Data'!$C:$C = $C1114,'Fund Data'!$A:$A = ($A1114 - 2), 'Fund Data'!$B:$B = 12),0) - SUM(FILTER('Fund Data'!$V:$V, 'Fund Data'!$C:$C = $C1114, 'Fund Data'!$A:$A = ($A1114 - 2), 'Fund Data'!$B:$B &gt; 3)))  * 'Pa"&amp;"rameters and Distribution Sum'!$B$4 * (1 - 'Parameters and Distribution Sum'!$A$4),0)"),4820.545575000002)</f>
        <v>4820.545575</v>
      </c>
      <c r="Y1114" s="52">
        <f t="shared" si="104"/>
        <v>16308.24801</v>
      </c>
      <c r="Z1114" s="52">
        <f>IFERROR(__xludf.DUMMYFUNCTION("((IFERROR((SUM(FILTER('Fund Data'!$V:$V, 'Fund Data'!$C:$C = $C1114, 'Fund Data'!$A:$A = $A1114 - 1, 'Fund Data'!$B:$B &gt;= 4, 'Fund Data'!$B:$B &lt;= ($B1114 + 5))) / 12) * ($B1114 - 3) * 'Parameters and Distribution Sum'!$B$4, 0) + IF($B1114 &gt;= 9, IFERROR(SU"&amp;"M(FILTER('Fund Data'!$V:$V, 'Fund Data'!$C:$C = $C1114, 'Fund Data'!$A:$A = $A1114, 'Fund Data'!$B:$B &lt;= 3)) * 'Parameters and Distribution Sum'!$B$4, 0),0)))"),0.0)</f>
        <v>0</v>
      </c>
      <c r="AA1114" s="44">
        <f>IFERROR(__xludf.DUMMYFUNCTION("IFERROR(((IFERROR(SUM(FILTER('Fund Data'!$V:$V, 'Fund Data'!$C:$C = $C1114, 'Fund Data'!$A:$A = $A1114 - 2, 'Fund Data'!$B:$B &gt;= 4)) * 'Parameters and Distribution Sum'!$B$4,0) + IFERROR(SUM(FILTER('Fund Data'!$V:$V, 'Fund Data'!$C:$C = $C1114, 'Fund Data"&amp;"'!$A:$A = $A1114 - 1, 'Fund Data'!$B:$B &lt;= 3)) * 'Parameters and Distribution Sum'!$B$4,0))),0)"),0.0)</f>
        <v>0</v>
      </c>
      <c r="AB1114" s="44">
        <f t="shared" si="105"/>
        <v>0</v>
      </c>
      <c r="AC1114" s="44">
        <f t="shared" si="106"/>
        <v>16308.24801</v>
      </c>
      <c r="AD1114" s="44">
        <f t="shared" si="7"/>
        <v>16308.24801</v>
      </c>
      <c r="AE1114" s="44"/>
    </row>
    <row r="1115">
      <c r="A1115" s="120">
        <v>2019.0</v>
      </c>
      <c r="B1115" s="121">
        <v>3.0</v>
      </c>
      <c r="C1115" s="122" t="s">
        <v>38</v>
      </c>
      <c r="D1115" s="44"/>
      <c r="E1115" s="123">
        <v>2653.53</v>
      </c>
      <c r="F1115" s="44"/>
      <c r="G1115" s="44"/>
      <c r="H1115" s="123">
        <v>-462.44</v>
      </c>
      <c r="I1115" s="44"/>
      <c r="J1115" s="44"/>
      <c r="K1115" s="44"/>
      <c r="L1115" s="123">
        <v>26096.84</v>
      </c>
      <c r="M1115" s="44"/>
      <c r="N1115" s="44"/>
      <c r="O1115" s="123">
        <v>341233.0</v>
      </c>
      <c r="P1115" s="52">
        <f t="shared" si="23"/>
        <v>341233.11</v>
      </c>
      <c r="Q1115" s="124">
        <f t="shared" si="2"/>
        <v>-0.11</v>
      </c>
      <c r="R1115" s="52">
        <f t="array" ref="R1115">IFERROR(INDEX('Fund YTD Target Values'!$1:$1000, MATCH($C1115,'Fund YTD Target Values'!$A:$A,0), MATCH($A1115,'Fund YTD Target Values'!$1:$1,0)),0)</f>
        <v>521874.6169</v>
      </c>
      <c r="S1115" s="52">
        <f>IFERROR(__xludf.DUMMYFUNCTION("IFERROR(sum(FILTER('Fund Data'!$V:$V, 'Fund Data'!$C:$C = $C1115, 'Fund Data'!$A:$A &lt; $A1115)),0) + IFERROR(sum(FILTER('Fund Data'!$V:$V, 'Fund Data'!$C:$C = $C1115, 'Fund Data'!$A:$A = $A1115, 'Fund Data'!$B:$B &lt;= $B1115)),0)"),325871.64)</f>
        <v>325871.64</v>
      </c>
      <c r="T1115" s="123">
        <v>326032.0</v>
      </c>
      <c r="U1115" s="44">
        <f t="shared" si="103"/>
        <v>-160.36</v>
      </c>
      <c r="V1115" s="44">
        <f t="shared" si="3"/>
        <v>0</v>
      </c>
      <c r="W1115" s="52">
        <f>IFERROR(__xludf.DUMMYFUNCTION("iFERROR((FILTER('Fund Data'!$Y:$Y, 'Fund Data'!$C:$C = $C1115, 'Fund Data'!$A:$A = $A1115 - 1, 'Fund Data'!$B:$B = 12) + FILTER('Fund Data'!$AA:$AA, 'Fund Data'!$C:$C = $C1115, 'Fund Data'!$A:$A = $A1115 - 1, 'Fund Data'!$B:$B = 12)) * (1 + AVERAGE(FILTER"&amp;"('Inflation Data'!$C:$C,'Inflation Data'!$A:$A = ($A1115 - 2)))) * 'Parameters and Distribution Sum'!$A$4,0)"),11487.702435867292)</f>
        <v>11487.70244</v>
      </c>
      <c r="X1115" s="52">
        <f>IFERROR(__xludf.DUMMYFUNCTION("IFERROR((IFERROR(FILTER('Fund Data'!$P:$P,'Fund Data'!$C:$C = $C1115,'Fund Data'!$A:$A = ($A1115 - 2), 'Fund Data'!$B:$B = 12),0) - SUM(FILTER('Fund Data'!$V:$V, 'Fund Data'!$C:$C = $C1115, 'Fund Data'!$A:$A = ($A1115 - 2), 'Fund Data'!$B:$B &gt; 3)))  * 'Pa"&amp;"rameters and Distribution Sum'!$B$4 * (1 - 'Parameters and Distribution Sum'!$A$4),0)"),4820.545575000002)</f>
        <v>4820.545575</v>
      </c>
      <c r="Y1115" s="52">
        <f t="shared" si="104"/>
        <v>16308.24801</v>
      </c>
      <c r="Z1115" s="52">
        <f>IFERROR(__xludf.DUMMYFUNCTION("((IFERROR((SUM(FILTER('Fund Data'!$V:$V, 'Fund Data'!$C:$C = $C1115, 'Fund Data'!$A:$A = $A1115 - 1, 'Fund Data'!$B:$B &gt;= 4, 'Fund Data'!$B:$B &lt;= ($B1115 + 5))) / 12) * ($B1115 - 3) * 'Parameters and Distribution Sum'!$B$4, 0) + IF($B1115 &gt;= 9, IFERROR(SU"&amp;"M(FILTER('Fund Data'!$V:$V, 'Fund Data'!$C:$C = $C1115, 'Fund Data'!$A:$A = $A1115, 'Fund Data'!$B:$B &lt;= 3)) * 'Parameters and Distribution Sum'!$B$4, 0),0)))"),0.0)</f>
        <v>0</v>
      </c>
      <c r="AA1115" s="44">
        <f>IFERROR(__xludf.DUMMYFUNCTION("IFERROR(((IFERROR(SUM(FILTER('Fund Data'!$V:$V, 'Fund Data'!$C:$C = $C1115, 'Fund Data'!$A:$A = $A1115 - 2, 'Fund Data'!$B:$B &gt;= 4)) * 'Parameters and Distribution Sum'!$B$4,0) + IFERROR(SUM(FILTER('Fund Data'!$V:$V, 'Fund Data'!$C:$C = $C1115, 'Fund Data"&amp;"'!$A:$A = $A1115 - 1, 'Fund Data'!$B:$B &lt;= 3)) * 'Parameters and Distribution Sum'!$B$4,0))),0)"),0.0)</f>
        <v>0</v>
      </c>
      <c r="AB1115" s="44">
        <f t="shared" si="105"/>
        <v>0</v>
      </c>
      <c r="AC1115" s="44">
        <f t="shared" si="106"/>
        <v>16308.24801</v>
      </c>
      <c r="AD1115" s="44">
        <f t="shared" si="7"/>
        <v>16308.24801</v>
      </c>
      <c r="AE1115" s="44"/>
    </row>
    <row r="1116">
      <c r="A1116" s="120">
        <v>2019.0</v>
      </c>
      <c r="B1116" s="121">
        <v>2.0</v>
      </c>
      <c r="C1116" s="122" t="s">
        <v>38</v>
      </c>
      <c r="D1116" s="44"/>
      <c r="E1116" s="123">
        <v>2243.41</v>
      </c>
      <c r="F1116" s="44"/>
      <c r="G1116" s="44"/>
      <c r="H1116" s="123">
        <v>-303.91</v>
      </c>
      <c r="I1116" s="44"/>
      <c r="J1116" s="44"/>
      <c r="K1116" s="44"/>
      <c r="L1116" s="123">
        <v>24157.95</v>
      </c>
      <c r="M1116" s="44"/>
      <c r="N1116" s="44"/>
      <c r="O1116" s="123">
        <v>339042.0</v>
      </c>
      <c r="P1116" s="52">
        <f t="shared" si="23"/>
        <v>339042.63</v>
      </c>
      <c r="Q1116" s="124">
        <f t="shared" si="2"/>
        <v>-0.6300000001</v>
      </c>
      <c r="R1116" s="52">
        <f t="array" ref="R1116">IFERROR(INDEX('Fund YTD Target Values'!$1:$1000, MATCH($C1116,'Fund YTD Target Values'!$A:$A,0), MATCH($A1116,'Fund YTD Target Values'!$1:$1,0)),0)</f>
        <v>521874.6169</v>
      </c>
      <c r="S1116" s="52">
        <f>IFERROR(__xludf.DUMMYFUNCTION("IFERROR(sum(FILTER('Fund Data'!$V:$V, 'Fund Data'!$C:$C = $C1116, 'Fund Data'!$A:$A &lt; $A1116)),0) + IFERROR(sum(FILTER('Fund Data'!$V:$V, 'Fund Data'!$C:$C = $C1116, 'Fund Data'!$A:$A = $A1116, 'Fund Data'!$B:$B &lt;= $B1116)),0)"),325871.64)</f>
        <v>325871.64</v>
      </c>
      <c r="T1116" s="123">
        <v>326032.0</v>
      </c>
      <c r="U1116" s="44">
        <f t="shared" si="103"/>
        <v>-160.36</v>
      </c>
      <c r="V1116" s="44">
        <f t="shared" si="3"/>
        <v>0</v>
      </c>
      <c r="W1116" s="52">
        <f>IFERROR(__xludf.DUMMYFUNCTION("iFERROR((FILTER('Fund Data'!$Y:$Y, 'Fund Data'!$C:$C = $C1116, 'Fund Data'!$A:$A = $A1116 - 1, 'Fund Data'!$B:$B = 12) + FILTER('Fund Data'!$AA:$AA, 'Fund Data'!$C:$C = $C1116, 'Fund Data'!$A:$A = $A1116 - 1, 'Fund Data'!$B:$B = 12)) * (1 + AVERAGE(FILTER"&amp;"('Inflation Data'!$C:$C,'Inflation Data'!$A:$A = ($A1116 - 2)))) * 'Parameters and Distribution Sum'!$A$4,0)"),11487.702435867292)</f>
        <v>11487.70244</v>
      </c>
      <c r="X1116" s="52">
        <f>IFERROR(__xludf.DUMMYFUNCTION("IFERROR((IFERROR(FILTER('Fund Data'!$P:$P,'Fund Data'!$C:$C = $C1116,'Fund Data'!$A:$A = ($A1116 - 2), 'Fund Data'!$B:$B = 12),0) - SUM(FILTER('Fund Data'!$V:$V, 'Fund Data'!$C:$C = $C1116, 'Fund Data'!$A:$A = ($A1116 - 2), 'Fund Data'!$B:$B &gt; 3)))  * 'Pa"&amp;"rameters and Distribution Sum'!$B$4 * (1 - 'Parameters and Distribution Sum'!$A$4),0)"),4820.545575000002)</f>
        <v>4820.545575</v>
      </c>
      <c r="Y1116" s="52">
        <f t="shared" si="104"/>
        <v>16308.24801</v>
      </c>
      <c r="Z1116" s="52">
        <f>IFERROR(__xludf.DUMMYFUNCTION("((IFERROR((SUM(FILTER('Fund Data'!$V:$V, 'Fund Data'!$C:$C = $C1116, 'Fund Data'!$A:$A = $A1116 - 1, 'Fund Data'!$B:$B &gt;= 4, 'Fund Data'!$B:$B &lt;= ($B1116 + 5))) / 12) * ($B1116 - 3) * 'Parameters and Distribution Sum'!$B$4, 0) + IF($B1116 &gt;= 9, IFERROR(SU"&amp;"M(FILTER('Fund Data'!$V:$V, 'Fund Data'!$C:$C = $C1116, 'Fund Data'!$A:$A = $A1116, 'Fund Data'!$B:$B &lt;= 3)) * 'Parameters and Distribution Sum'!$B$4, 0),0)))"),0.0)</f>
        <v>0</v>
      </c>
      <c r="AA1116" s="44">
        <f>IFERROR(__xludf.DUMMYFUNCTION("IFERROR(((IFERROR(SUM(FILTER('Fund Data'!$V:$V, 'Fund Data'!$C:$C = $C1116, 'Fund Data'!$A:$A = $A1116 - 2, 'Fund Data'!$B:$B &gt;= 4)) * 'Parameters and Distribution Sum'!$B$4,0) + IFERROR(SUM(FILTER('Fund Data'!$V:$V, 'Fund Data'!$C:$C = $C1116, 'Fund Data"&amp;"'!$A:$A = $A1116 - 1, 'Fund Data'!$B:$B &lt;= 3)) * 'Parameters and Distribution Sum'!$B$4,0))),0)"),0.0)</f>
        <v>0</v>
      </c>
      <c r="AB1116" s="44">
        <f t="shared" si="105"/>
        <v>0</v>
      </c>
      <c r="AC1116" s="44">
        <f t="shared" si="106"/>
        <v>16308.24801</v>
      </c>
      <c r="AD1116" s="44">
        <f t="shared" si="7"/>
        <v>16308.24801</v>
      </c>
      <c r="AE1116" s="44"/>
    </row>
    <row r="1117">
      <c r="A1117" s="120">
        <v>2019.0</v>
      </c>
      <c r="B1117" s="121">
        <v>1.0</v>
      </c>
      <c r="C1117" s="122" t="s">
        <v>38</v>
      </c>
      <c r="D1117" s="44"/>
      <c r="E1117" s="123">
        <v>2074.94</v>
      </c>
      <c r="F1117" s="44"/>
      <c r="G1117" s="44"/>
      <c r="H1117" s="123">
        <v>-147.66</v>
      </c>
      <c r="I1117" s="44"/>
      <c r="J1117" s="44"/>
      <c r="K1117" s="44"/>
      <c r="L1117" s="123">
        <v>18688.22</v>
      </c>
      <c r="M1117" s="44"/>
      <c r="N1117" s="44"/>
      <c r="O1117" s="123">
        <v>333560.0</v>
      </c>
      <c r="P1117" s="52">
        <f t="shared" si="23"/>
        <v>333560.68</v>
      </c>
      <c r="Q1117" s="124">
        <f t="shared" si="2"/>
        <v>-0.6800000001</v>
      </c>
      <c r="R1117" s="52">
        <f t="array" ref="R1117">IFERROR(INDEX('Fund YTD Target Values'!$1:$1000, MATCH($C1117,'Fund YTD Target Values'!$A:$A,0), MATCH($A1117,'Fund YTD Target Values'!$1:$1,0)),0)</f>
        <v>521874.6169</v>
      </c>
      <c r="S1117" s="52">
        <f>IFERROR(__xludf.DUMMYFUNCTION("IFERROR(sum(FILTER('Fund Data'!$V:$V, 'Fund Data'!$C:$C = $C1117, 'Fund Data'!$A:$A &lt; $A1117)),0) + IFERROR(sum(FILTER('Fund Data'!$V:$V, 'Fund Data'!$C:$C = $C1117, 'Fund Data'!$A:$A = $A1117, 'Fund Data'!$B:$B &lt;= $B1117)),0)"),325871.64)</f>
        <v>325871.64</v>
      </c>
      <c r="T1117" s="123">
        <v>326032.0</v>
      </c>
      <c r="U1117" s="44">
        <f t="shared" si="103"/>
        <v>-160.36</v>
      </c>
      <c r="V1117" s="44">
        <f t="shared" si="3"/>
        <v>0</v>
      </c>
      <c r="W1117" s="52">
        <f>IFERROR(__xludf.DUMMYFUNCTION("iFERROR((FILTER('Fund Data'!$Y:$Y, 'Fund Data'!$C:$C = $C1117, 'Fund Data'!$A:$A = $A1117 - 1, 'Fund Data'!$B:$B = 12) + FILTER('Fund Data'!$AA:$AA, 'Fund Data'!$C:$C = $C1117, 'Fund Data'!$A:$A = $A1117 - 1, 'Fund Data'!$B:$B = 12)) * (1 + AVERAGE(FILTER"&amp;"('Inflation Data'!$C:$C,'Inflation Data'!$A:$A = ($A1117 - 2)))) * 'Parameters and Distribution Sum'!$A$4,0)"),11487.702435867292)</f>
        <v>11487.70244</v>
      </c>
      <c r="X1117" s="52">
        <f>IFERROR(__xludf.DUMMYFUNCTION("IFERROR((IFERROR(FILTER('Fund Data'!$P:$P,'Fund Data'!$C:$C = $C1117,'Fund Data'!$A:$A = ($A1117 - 2), 'Fund Data'!$B:$B = 12),0) - SUM(FILTER('Fund Data'!$V:$V, 'Fund Data'!$C:$C = $C1117, 'Fund Data'!$A:$A = ($A1117 - 2), 'Fund Data'!$B:$B &gt; 3)))  * 'Pa"&amp;"rameters and Distribution Sum'!$B$4 * (1 - 'Parameters and Distribution Sum'!$A$4),0)"),4820.545575000002)</f>
        <v>4820.545575</v>
      </c>
      <c r="Y1117" s="52">
        <f t="shared" si="104"/>
        <v>16308.24801</v>
      </c>
      <c r="Z1117" s="52">
        <f>IFERROR(__xludf.DUMMYFUNCTION("((IFERROR((SUM(FILTER('Fund Data'!$V:$V, 'Fund Data'!$C:$C = $C1117, 'Fund Data'!$A:$A = $A1117 - 1, 'Fund Data'!$B:$B &gt;= 4, 'Fund Data'!$B:$B &lt;= ($B1117 + 5))) / 12) * ($B1117 - 3) * 'Parameters and Distribution Sum'!$B$4, 0) + IF($B1117 &gt;= 9, IFERROR(SU"&amp;"M(FILTER('Fund Data'!$V:$V, 'Fund Data'!$C:$C = $C1117, 'Fund Data'!$A:$A = $A1117, 'Fund Data'!$B:$B &lt;= 3)) * 'Parameters and Distribution Sum'!$B$4, 0),0)))"),0.0)</f>
        <v>0</v>
      </c>
      <c r="AA1117" s="44">
        <f>IFERROR(__xludf.DUMMYFUNCTION("IFERROR(((IFERROR(SUM(FILTER('Fund Data'!$V:$V, 'Fund Data'!$C:$C = $C1117, 'Fund Data'!$A:$A = $A1117 - 2, 'Fund Data'!$B:$B &gt;= 4)) * 'Parameters and Distribution Sum'!$B$4,0) + IFERROR(SUM(FILTER('Fund Data'!$V:$V, 'Fund Data'!$C:$C = $C1117, 'Fund Data"&amp;"'!$A:$A = $A1117 - 1, 'Fund Data'!$B:$B &lt;= 3)) * 'Parameters and Distribution Sum'!$B$4,0))),0)"),0.0)</f>
        <v>0</v>
      </c>
      <c r="AB1117" s="44">
        <f t="shared" si="105"/>
        <v>0</v>
      </c>
      <c r="AC1117" s="44">
        <f t="shared" si="106"/>
        <v>16308.24801</v>
      </c>
      <c r="AD1117" s="44">
        <f t="shared" si="7"/>
        <v>16308.24801</v>
      </c>
      <c r="AE1117" s="44"/>
    </row>
    <row r="1118">
      <c r="A1118" s="120">
        <v>2018.0</v>
      </c>
      <c r="B1118" s="121">
        <v>12.0</v>
      </c>
      <c r="C1118" s="122" t="s">
        <v>38</v>
      </c>
      <c r="D1118" s="44"/>
      <c r="E1118" s="123">
        <v>7548.61</v>
      </c>
      <c r="F1118" s="123">
        <v>-18000.0</v>
      </c>
      <c r="G1118" s="44"/>
      <c r="H1118" s="123">
        <v>-2076.04</v>
      </c>
      <c r="I1118" s="44"/>
      <c r="J1118" s="123">
        <v>4546.35</v>
      </c>
      <c r="K1118" s="44"/>
      <c r="L1118" s="123">
        <v>-36151.19</v>
      </c>
      <c r="M1118" s="44"/>
      <c r="N1118" s="44"/>
      <c r="O1118" s="123">
        <v>312945.0</v>
      </c>
      <c r="P1118" s="52">
        <f t="shared" si="23"/>
        <v>312945.18</v>
      </c>
      <c r="Q1118" s="124">
        <f t="shared" si="2"/>
        <v>-0.1800000001</v>
      </c>
      <c r="R1118" s="52">
        <f t="array" ref="R1118">IFERROR(INDEX('Fund YTD Target Values'!$1:$1000, MATCH($C1118,'Fund YTD Target Values'!$A:$A,0), MATCH($A1118,'Fund YTD Target Values'!$1:$1,0)),0)</f>
        <v>512928.5668</v>
      </c>
      <c r="S1118" s="52">
        <f>IFERROR(__xludf.DUMMYFUNCTION("IFERROR(sum(FILTER('Fund Data'!$V:$V, 'Fund Data'!$C:$C = $C1118, 'Fund Data'!$A:$A &lt; $A1118)),0) + IFERROR(sum(FILTER('Fund Data'!$V:$V, 'Fund Data'!$C:$C = $C1118, 'Fund Data'!$A:$A = $A1118, 'Fund Data'!$B:$B &lt;= $B1118)),0)"),325871.64)</f>
        <v>325871.64</v>
      </c>
      <c r="T1118" s="123">
        <v>326032.0</v>
      </c>
      <c r="U1118" s="44">
        <f t="shared" si="103"/>
        <v>-160.36</v>
      </c>
      <c r="V1118" s="44">
        <f t="shared" si="3"/>
        <v>0</v>
      </c>
      <c r="W1118" s="52"/>
      <c r="X1118" s="52"/>
      <c r="Y1118" s="52">
        <v>16068.485249999992</v>
      </c>
      <c r="Z1118" s="123">
        <v>0.0</v>
      </c>
      <c r="AA1118" s="123">
        <v>0.0</v>
      </c>
      <c r="AB1118" s="44">
        <f t="shared" si="105"/>
        <v>0</v>
      </c>
      <c r="AC1118" s="44">
        <f t="shared" si="106"/>
        <v>16068.48525</v>
      </c>
      <c r="AD1118" s="44">
        <f t="shared" si="7"/>
        <v>-1931.51475</v>
      </c>
      <c r="AE1118" s="123">
        <v>0.0</v>
      </c>
    </row>
    <row r="1119">
      <c r="A1119" s="120">
        <v>2018.0</v>
      </c>
      <c r="B1119" s="121">
        <v>11.0</v>
      </c>
      <c r="C1119" s="122" t="s">
        <v>38</v>
      </c>
      <c r="D1119" s="44"/>
      <c r="E1119" s="123">
        <v>7107.61</v>
      </c>
      <c r="F1119" s="123">
        <v>-18000.0</v>
      </c>
      <c r="G1119" s="44"/>
      <c r="H1119" s="123">
        <v>-1920.7</v>
      </c>
      <c r="I1119" s="44"/>
      <c r="J1119" s="123">
        <v>4546.35</v>
      </c>
      <c r="K1119" s="44"/>
      <c r="L1119" s="123">
        <v>-17660.26</v>
      </c>
      <c r="M1119" s="44"/>
      <c r="N1119" s="44"/>
      <c r="O1119" s="123">
        <v>331150.0</v>
      </c>
      <c r="P1119" s="52">
        <f t="shared" si="23"/>
        <v>331150.45</v>
      </c>
      <c r="Q1119" s="124">
        <f t="shared" si="2"/>
        <v>-0.4500000001</v>
      </c>
      <c r="R1119" s="52">
        <f t="array" ref="R1119">IFERROR(INDEX('Fund YTD Target Values'!$1:$1000, MATCH($C1119,'Fund YTD Target Values'!$A:$A,0), MATCH($A1119,'Fund YTD Target Values'!$1:$1,0)),0)</f>
        <v>512928.5668</v>
      </c>
      <c r="S1119" s="52">
        <f>IFERROR(__xludf.DUMMYFUNCTION("IFERROR(sum(FILTER('Fund Data'!$V:$V, 'Fund Data'!$C:$C = $C1119, 'Fund Data'!$A:$A &lt; $A1119)),0) + IFERROR(sum(FILTER('Fund Data'!$V:$V, 'Fund Data'!$C:$C = $C1119, 'Fund Data'!$A:$A = $A1119, 'Fund Data'!$B:$B &lt;= $B1119)),0)"),325871.64)</f>
        <v>325871.64</v>
      </c>
      <c r="T1119" s="123">
        <v>326032.0</v>
      </c>
      <c r="U1119" s="44">
        <f t="shared" si="103"/>
        <v>-160.36</v>
      </c>
      <c r="V1119" s="44">
        <f t="shared" si="3"/>
        <v>0</v>
      </c>
      <c r="W1119" s="123"/>
      <c r="X1119" s="123"/>
      <c r="Y1119" s="123">
        <v>0.0</v>
      </c>
      <c r="Z1119" s="123">
        <v>0.0</v>
      </c>
      <c r="AA1119" s="123">
        <v>0.0</v>
      </c>
      <c r="AB1119" s="123"/>
      <c r="AC1119" s="123">
        <v>0.0</v>
      </c>
      <c r="AD1119" s="44">
        <f t="shared" si="7"/>
        <v>-18000</v>
      </c>
      <c r="AE1119" s="123">
        <v>0.0</v>
      </c>
    </row>
    <row r="1120">
      <c r="A1120" s="120">
        <v>2018.0</v>
      </c>
      <c r="B1120" s="121">
        <v>10.0</v>
      </c>
      <c r="C1120" s="135" t="s">
        <v>38</v>
      </c>
      <c r="D1120" s="138"/>
      <c r="E1120" s="137">
        <v>6813.38</v>
      </c>
      <c r="F1120" s="136">
        <v>-18000.0</v>
      </c>
      <c r="G1120" s="138"/>
      <c r="H1120" s="137">
        <v>-1605.51</v>
      </c>
      <c r="I1120" s="138"/>
      <c r="J1120" s="136">
        <v>4546.35</v>
      </c>
      <c r="K1120" s="138"/>
      <c r="L1120" s="136">
        <v>-20517.58</v>
      </c>
      <c r="M1120" s="44"/>
      <c r="N1120" s="44"/>
      <c r="O1120" s="136">
        <v>328314.0</v>
      </c>
      <c r="P1120" s="52">
        <f t="shared" si="23"/>
        <v>328314.09</v>
      </c>
      <c r="Q1120" s="124">
        <f t="shared" si="2"/>
        <v>-0.09000000008</v>
      </c>
      <c r="R1120" s="52">
        <f t="array" ref="R1120">IFERROR(INDEX('Fund YTD Target Values'!$1:$1000, MATCH($C1120,'Fund YTD Target Values'!$A:$A,0), MATCH($A1120,'Fund YTD Target Values'!$1:$1,0)),0)</f>
        <v>512928.5668</v>
      </c>
      <c r="S1120" s="52">
        <f>IFERROR(__xludf.DUMMYFUNCTION("IFERROR(sum(FILTER('Fund Data'!$V:$V, 'Fund Data'!$C:$C = $C1120, 'Fund Data'!$A:$A &lt; $A1120)),0) + IFERROR(sum(FILTER('Fund Data'!$V:$V, 'Fund Data'!$C:$C = $C1120, 'Fund Data'!$A:$A = $A1120, 'Fund Data'!$B:$B &lt;= $B1120)),0)"),325871.64)</f>
        <v>325871.64</v>
      </c>
      <c r="T1120" s="123">
        <v>326032.0</v>
      </c>
      <c r="U1120" s="44">
        <f t="shared" si="103"/>
        <v>-160.36</v>
      </c>
      <c r="V1120" s="44">
        <f t="shared" si="3"/>
        <v>0</v>
      </c>
      <c r="W1120" s="123"/>
      <c r="X1120" s="123"/>
      <c r="Y1120" s="123">
        <v>0.0</v>
      </c>
      <c r="Z1120" s="123">
        <v>0.0</v>
      </c>
      <c r="AA1120" s="123">
        <v>0.0</v>
      </c>
      <c r="AB1120" s="123"/>
      <c r="AC1120" s="123">
        <v>0.0</v>
      </c>
      <c r="AD1120" s="44">
        <f t="shared" si="7"/>
        <v>-18000</v>
      </c>
      <c r="AE1120" s="123">
        <v>0.0</v>
      </c>
    </row>
    <row r="1121">
      <c r="A1121" s="120">
        <v>2018.0</v>
      </c>
      <c r="B1121" s="121">
        <v>9.0</v>
      </c>
      <c r="C1121" s="122" t="s">
        <v>38</v>
      </c>
      <c r="D1121" s="44"/>
      <c r="E1121" s="123">
        <v>5826.2</v>
      </c>
      <c r="F1121" s="123">
        <v>-18000.0</v>
      </c>
      <c r="G1121" s="44"/>
      <c r="H1121" s="123">
        <v>-1605.51</v>
      </c>
      <c r="I1121" s="44"/>
      <c r="J1121" s="123">
        <v>4546.35</v>
      </c>
      <c r="K1121" s="44"/>
      <c r="L1121" s="123">
        <v>-2904.25</v>
      </c>
      <c r="M1121" s="44"/>
      <c r="N1121" s="44"/>
      <c r="O1121" s="123">
        <v>344940.0</v>
      </c>
      <c r="P1121" s="52">
        <f t="shared" si="23"/>
        <v>344940.24</v>
      </c>
      <c r="Q1121" s="124">
        <f t="shared" si="2"/>
        <v>-0.24</v>
      </c>
      <c r="R1121" s="52">
        <f t="array" ref="R1121">IFERROR(INDEX('Fund YTD Target Values'!$1:$1000, MATCH($C1121,'Fund YTD Target Values'!$A:$A,0), MATCH($A1121,'Fund YTD Target Values'!$1:$1,0)),0)</f>
        <v>512928.5668</v>
      </c>
      <c r="S1121" s="52">
        <f>IFERROR(__xludf.DUMMYFUNCTION("IFERROR(sum(FILTER('Fund Data'!$V:$V, 'Fund Data'!$C:$C = $C1121, 'Fund Data'!$A:$A &lt; $A1121)),0) + IFERROR(sum(FILTER('Fund Data'!$V:$V, 'Fund Data'!$C:$C = $C1121, 'Fund Data'!$A:$A = $A1121, 'Fund Data'!$B:$B &lt;= $B1121)),0)"),325871.64)</f>
        <v>325871.64</v>
      </c>
      <c r="T1121" s="123">
        <v>326032.0</v>
      </c>
      <c r="U1121" s="44">
        <f t="shared" si="103"/>
        <v>-160.36</v>
      </c>
      <c r="V1121" s="44">
        <f t="shared" si="3"/>
        <v>0</v>
      </c>
      <c r="W1121" s="123"/>
      <c r="X1121" s="123"/>
      <c r="Y1121" s="123">
        <v>0.0</v>
      </c>
      <c r="Z1121" s="123">
        <v>0.0</v>
      </c>
      <c r="AA1121" s="123">
        <v>0.0</v>
      </c>
      <c r="AB1121" s="123"/>
      <c r="AC1121" s="123">
        <v>0.0</v>
      </c>
      <c r="AD1121" s="44">
        <f t="shared" si="7"/>
        <v>-18000</v>
      </c>
      <c r="AE1121" s="123">
        <v>0.0</v>
      </c>
    </row>
    <row r="1122">
      <c r="A1122" s="120">
        <v>2018.0</v>
      </c>
      <c r="B1122" s="121">
        <v>8.0</v>
      </c>
      <c r="C1122" s="122" t="s">
        <v>38</v>
      </c>
      <c r="D1122" s="44"/>
      <c r="E1122" s="123">
        <v>5527.54</v>
      </c>
      <c r="F1122" s="123">
        <v>-16000.0</v>
      </c>
      <c r="G1122" s="44"/>
      <c r="H1122" s="123">
        <v>-1431.45</v>
      </c>
      <c r="I1122" s="44"/>
      <c r="J1122" s="123">
        <v>3904.5</v>
      </c>
      <c r="K1122" s="44"/>
      <c r="L1122" s="123">
        <v>-993.78</v>
      </c>
      <c r="M1122" s="44"/>
      <c r="N1122" s="44"/>
      <c r="O1122" s="123">
        <v>348084.0</v>
      </c>
      <c r="P1122" s="52">
        <f t="shared" si="23"/>
        <v>348084.26</v>
      </c>
      <c r="Q1122" s="124">
        <f t="shared" si="2"/>
        <v>-0.2600000001</v>
      </c>
      <c r="R1122" s="52">
        <f t="array" ref="R1122">IFERROR(INDEX('Fund YTD Target Values'!$1:$1000, MATCH($C1122,'Fund YTD Target Values'!$A:$A,0), MATCH($A1122,'Fund YTD Target Values'!$1:$1,0)),0)</f>
        <v>512928.5668</v>
      </c>
      <c r="S1122" s="52">
        <f>IFERROR(__xludf.DUMMYFUNCTION("IFERROR(sum(FILTER('Fund Data'!$V:$V, 'Fund Data'!$C:$C = $C1122, 'Fund Data'!$A:$A &lt; $A1122)),0) + IFERROR(sum(FILTER('Fund Data'!$V:$V, 'Fund Data'!$C:$C = $C1122, 'Fund Data'!$A:$A = $A1122, 'Fund Data'!$B:$B &lt;= $B1122)),0)"),325871.64)</f>
        <v>325871.64</v>
      </c>
      <c r="T1122" s="123">
        <v>326032.0</v>
      </c>
      <c r="U1122" s="44">
        <f t="shared" si="103"/>
        <v>-160.36</v>
      </c>
      <c r="V1122" s="44">
        <f t="shared" si="3"/>
        <v>0</v>
      </c>
      <c r="W1122" s="123"/>
      <c r="X1122" s="123"/>
      <c r="Y1122" s="123">
        <v>0.0</v>
      </c>
      <c r="Z1122" s="123">
        <v>0.0</v>
      </c>
      <c r="AA1122" s="123">
        <v>0.0</v>
      </c>
      <c r="AB1122" s="123"/>
      <c r="AC1122" s="123">
        <v>0.0</v>
      </c>
      <c r="AD1122" s="44">
        <f t="shared" si="7"/>
        <v>-16000</v>
      </c>
      <c r="AE1122" s="123">
        <v>0.0</v>
      </c>
    </row>
    <row r="1123">
      <c r="A1123" s="120">
        <v>2018.0</v>
      </c>
      <c r="B1123" s="121">
        <v>7.0</v>
      </c>
      <c r="C1123" s="122" t="s">
        <v>38</v>
      </c>
      <c r="D1123" s="44"/>
      <c r="E1123" s="123">
        <v>5235.27</v>
      </c>
      <c r="F1123" s="123">
        <v>-8000.0</v>
      </c>
      <c r="G1123" s="44"/>
      <c r="H1123" s="123">
        <v>-1253.98</v>
      </c>
      <c r="I1123" s="44"/>
      <c r="J1123" s="123">
        <v>1553.89</v>
      </c>
      <c r="K1123" s="44"/>
      <c r="L1123" s="123">
        <v>330.81</v>
      </c>
      <c r="M1123" s="44"/>
      <c r="N1123" s="44"/>
      <c r="O1123" s="123">
        <v>354943.0</v>
      </c>
      <c r="P1123" s="52">
        <f t="shared" si="23"/>
        <v>354943.44</v>
      </c>
      <c r="Q1123" s="124">
        <f t="shared" si="2"/>
        <v>-0.4400000001</v>
      </c>
      <c r="R1123" s="52">
        <f t="array" ref="R1123">IFERROR(INDEX('Fund YTD Target Values'!$1:$1000, MATCH($C1123,'Fund YTD Target Values'!$A:$A,0), MATCH($A1123,'Fund YTD Target Values'!$1:$1,0)),0)</f>
        <v>512928.5668</v>
      </c>
      <c r="S1123" s="52">
        <f>IFERROR(__xludf.DUMMYFUNCTION("IFERROR(sum(FILTER('Fund Data'!$V:$V, 'Fund Data'!$C:$C = $C1123, 'Fund Data'!$A:$A &lt; $A1123)),0) + IFERROR(sum(FILTER('Fund Data'!$V:$V, 'Fund Data'!$C:$C = $C1123, 'Fund Data'!$A:$A = $A1123, 'Fund Data'!$B:$B &lt;= $B1123)),0)"),325871.64)</f>
        <v>325871.64</v>
      </c>
      <c r="T1123" s="123">
        <v>326032.0</v>
      </c>
      <c r="U1123" s="44">
        <f t="shared" si="103"/>
        <v>-160.36</v>
      </c>
      <c r="V1123" s="44">
        <f t="shared" si="3"/>
        <v>0</v>
      </c>
      <c r="W1123" s="123"/>
      <c r="X1123" s="123"/>
      <c r="Y1123" s="123">
        <v>0.0</v>
      </c>
      <c r="Z1123" s="123">
        <v>0.0</v>
      </c>
      <c r="AA1123" s="123">
        <v>0.0</v>
      </c>
      <c r="AB1123" s="123"/>
      <c r="AC1123" s="123">
        <v>0.0</v>
      </c>
      <c r="AD1123" s="44">
        <f t="shared" si="7"/>
        <v>-8000</v>
      </c>
      <c r="AE1123" s="123">
        <v>0.0</v>
      </c>
    </row>
    <row r="1124">
      <c r="A1124" s="120">
        <v>2018.0</v>
      </c>
      <c r="B1124" s="121">
        <v>6.0</v>
      </c>
      <c r="C1124" s="122" t="s">
        <v>38</v>
      </c>
      <c r="D1124" s="44"/>
      <c r="E1124" s="123">
        <v>4441.78</v>
      </c>
      <c r="F1124" s="123">
        <v>-8000.0</v>
      </c>
      <c r="G1124" s="44"/>
      <c r="H1124" s="123">
        <v>-1079.7</v>
      </c>
      <c r="I1124" s="44"/>
      <c r="J1124" s="123">
        <v>1553.89</v>
      </c>
      <c r="K1124" s="44"/>
      <c r="L1124" s="123">
        <v>-5438.21</v>
      </c>
      <c r="M1124" s="44"/>
      <c r="N1124" s="44"/>
      <c r="O1124" s="123">
        <v>348555.0</v>
      </c>
      <c r="P1124" s="52">
        <f t="shared" si="23"/>
        <v>348555.21</v>
      </c>
      <c r="Q1124" s="124">
        <f t="shared" si="2"/>
        <v>-0.2100000001</v>
      </c>
      <c r="R1124" s="52">
        <f t="array" ref="R1124">IFERROR(INDEX('Fund YTD Target Values'!$1:$1000, MATCH($C1124,'Fund YTD Target Values'!$A:$A,0), MATCH($A1124,'Fund YTD Target Values'!$1:$1,0)),0)</f>
        <v>512928.5668</v>
      </c>
      <c r="S1124" s="52">
        <f>IFERROR(__xludf.DUMMYFUNCTION("IFERROR(sum(FILTER('Fund Data'!$V:$V, 'Fund Data'!$C:$C = $C1124, 'Fund Data'!$A:$A &lt; $A1124)),0) + IFERROR(sum(FILTER('Fund Data'!$V:$V, 'Fund Data'!$C:$C = $C1124, 'Fund Data'!$A:$A = $A1124, 'Fund Data'!$B:$B &lt;= $B1124)),0)"),325871.64)</f>
        <v>325871.64</v>
      </c>
      <c r="T1124" s="123">
        <v>326032.0</v>
      </c>
      <c r="U1124" s="44">
        <f t="shared" si="103"/>
        <v>-160.36</v>
      </c>
      <c r="V1124" s="44">
        <f t="shared" si="3"/>
        <v>0</v>
      </c>
      <c r="W1124" s="123"/>
      <c r="X1124" s="123"/>
      <c r="Y1124" s="123">
        <v>0.0</v>
      </c>
      <c r="Z1124" s="123">
        <v>0.0</v>
      </c>
      <c r="AA1124" s="123">
        <v>0.0</v>
      </c>
      <c r="AB1124" s="123"/>
      <c r="AC1124" s="123">
        <v>0.0</v>
      </c>
      <c r="AD1124" s="44">
        <f t="shared" si="7"/>
        <v>-8000</v>
      </c>
      <c r="AE1124" s="123">
        <v>0.0</v>
      </c>
    </row>
    <row r="1125">
      <c r="A1125" s="120">
        <v>2018.0</v>
      </c>
      <c r="B1125" s="121">
        <v>5.0</v>
      </c>
      <c r="C1125" s="122" t="s">
        <v>38</v>
      </c>
      <c r="D1125" s="44"/>
      <c r="E1125" s="123">
        <v>3931.77</v>
      </c>
      <c r="F1125" s="44"/>
      <c r="G1125" s="44"/>
      <c r="H1125" s="123">
        <v>-900.29</v>
      </c>
      <c r="I1125" s="44"/>
      <c r="J1125" s="44"/>
      <c r="K1125" s="44"/>
      <c r="L1125" s="123">
        <v>-1291.66</v>
      </c>
      <c r="M1125" s="44"/>
      <c r="N1125" s="44"/>
      <c r="O1125" s="123">
        <v>358817.0</v>
      </c>
      <c r="P1125" s="52">
        <f t="shared" si="23"/>
        <v>358817.27</v>
      </c>
      <c r="Q1125" s="124">
        <f t="shared" si="2"/>
        <v>-0.2700000001</v>
      </c>
      <c r="R1125" s="52">
        <f t="array" ref="R1125">IFERROR(INDEX('Fund YTD Target Values'!$1:$1000, MATCH($C1125,'Fund YTD Target Values'!$A:$A,0), MATCH($A1125,'Fund YTD Target Values'!$1:$1,0)),0)</f>
        <v>512928.5668</v>
      </c>
      <c r="S1125" s="52">
        <f>IFERROR(__xludf.DUMMYFUNCTION("IFERROR(sum(FILTER('Fund Data'!$V:$V, 'Fund Data'!$C:$C = $C1125, 'Fund Data'!$A:$A &lt; $A1125)),0) + IFERROR(sum(FILTER('Fund Data'!$V:$V, 'Fund Data'!$C:$C = $C1125, 'Fund Data'!$A:$A = $A1125, 'Fund Data'!$B:$B &lt;= $B1125)),0)"),325871.64)</f>
        <v>325871.64</v>
      </c>
      <c r="T1125" s="123">
        <v>326032.0</v>
      </c>
      <c r="U1125" s="44">
        <f t="shared" si="103"/>
        <v>-160.36</v>
      </c>
      <c r="V1125" s="44">
        <f t="shared" si="3"/>
        <v>0</v>
      </c>
      <c r="W1125" s="123"/>
      <c r="X1125" s="123"/>
      <c r="Y1125" s="123">
        <v>0.0</v>
      </c>
      <c r="Z1125" s="123">
        <v>0.0</v>
      </c>
      <c r="AA1125" s="123">
        <v>0.0</v>
      </c>
      <c r="AB1125" s="123"/>
      <c r="AC1125" s="123">
        <v>0.0</v>
      </c>
      <c r="AD1125" s="44">
        <f t="shared" si="7"/>
        <v>0</v>
      </c>
      <c r="AE1125" s="123">
        <v>0.0</v>
      </c>
    </row>
    <row r="1126">
      <c r="A1126" s="120">
        <v>2018.0</v>
      </c>
      <c r="B1126" s="121">
        <v>4.0</v>
      </c>
      <c r="C1126" s="122" t="s">
        <v>38</v>
      </c>
      <c r="D1126" s="44"/>
      <c r="E1126" s="123">
        <v>3649.44</v>
      </c>
      <c r="F1126" s="44"/>
      <c r="G1126" s="44"/>
      <c r="H1126" s="123">
        <v>-721.31</v>
      </c>
      <c r="I1126" s="44"/>
      <c r="J1126" s="44"/>
      <c r="K1126" s="44"/>
      <c r="L1126" s="123">
        <v>-2043.56</v>
      </c>
      <c r="M1126" s="44"/>
      <c r="N1126" s="44"/>
      <c r="O1126" s="123">
        <v>357962.0</v>
      </c>
      <c r="P1126" s="52">
        <f t="shared" si="23"/>
        <v>357962.02</v>
      </c>
      <c r="Q1126" s="124">
        <f t="shared" si="2"/>
        <v>-0.02000000008</v>
      </c>
      <c r="R1126" s="52">
        <f t="array" ref="R1126">IFERROR(INDEX('Fund YTD Target Values'!$1:$1000, MATCH($C1126,'Fund YTD Target Values'!$A:$A,0), MATCH($A1126,'Fund YTD Target Values'!$1:$1,0)),0)</f>
        <v>512928.5668</v>
      </c>
      <c r="S1126" s="52">
        <f>IFERROR(__xludf.DUMMYFUNCTION("IFERROR(sum(FILTER('Fund Data'!$V:$V, 'Fund Data'!$C:$C = $C1126, 'Fund Data'!$A:$A &lt; $A1126)),0) + IFERROR(sum(FILTER('Fund Data'!$V:$V, 'Fund Data'!$C:$C = $C1126, 'Fund Data'!$A:$A = $A1126, 'Fund Data'!$B:$B &lt;= $B1126)),0)"),325871.64)</f>
        <v>325871.64</v>
      </c>
      <c r="T1126" s="123">
        <v>326032.0</v>
      </c>
      <c r="U1126" s="44">
        <f t="shared" si="103"/>
        <v>-160.36</v>
      </c>
      <c r="V1126" s="44">
        <f t="shared" si="3"/>
        <v>0</v>
      </c>
      <c r="W1126" s="123"/>
      <c r="X1126" s="123"/>
      <c r="Y1126" s="123">
        <v>0.0</v>
      </c>
      <c r="Z1126" s="123">
        <v>0.0</v>
      </c>
      <c r="AA1126" s="123">
        <v>0.0</v>
      </c>
      <c r="AB1126" s="123"/>
      <c r="AC1126" s="123">
        <v>0.0</v>
      </c>
      <c r="AD1126" s="44">
        <f t="shared" si="7"/>
        <v>0</v>
      </c>
      <c r="AE1126" s="123">
        <v>0.0</v>
      </c>
    </row>
    <row r="1127">
      <c r="A1127" s="120">
        <v>2018.0</v>
      </c>
      <c r="B1127" s="121">
        <v>3.0</v>
      </c>
      <c r="C1127" s="122" t="s">
        <v>38</v>
      </c>
      <c r="D1127" s="44"/>
      <c r="E1127" s="123">
        <v>2788.04</v>
      </c>
      <c r="F1127" s="44"/>
      <c r="G1127" s="44"/>
      <c r="H1127" s="123">
        <v>-542.82</v>
      </c>
      <c r="I1127" s="44"/>
      <c r="J1127" s="44"/>
      <c r="K1127" s="44"/>
      <c r="L1127" s="123">
        <v>-2335.83</v>
      </c>
      <c r="M1127" s="44"/>
      <c r="N1127" s="44"/>
      <c r="O1127" s="123">
        <v>356987.0</v>
      </c>
      <c r="P1127" s="52">
        <f t="shared" si="23"/>
        <v>356986.84</v>
      </c>
      <c r="Q1127" s="124">
        <f t="shared" si="2"/>
        <v>0.1599999999</v>
      </c>
      <c r="R1127" s="52">
        <f t="array" ref="R1127">IFERROR(INDEX('Fund YTD Target Values'!$1:$1000, MATCH($C1127,'Fund YTD Target Values'!$A:$A,0), MATCH($A1127,'Fund YTD Target Values'!$1:$1,0)),0)</f>
        <v>512928.5668</v>
      </c>
      <c r="S1127" s="52">
        <f>IFERROR(__xludf.DUMMYFUNCTION("IFERROR(sum(FILTER('Fund Data'!$V:$V, 'Fund Data'!$C:$C = $C1127, 'Fund Data'!$A:$A &lt; $A1127)),0) + IFERROR(sum(FILTER('Fund Data'!$V:$V, 'Fund Data'!$C:$C = $C1127, 'Fund Data'!$A:$A = $A1127, 'Fund Data'!$B:$B &lt;= $B1127)),0)"),325871.64)</f>
        <v>325871.64</v>
      </c>
      <c r="T1127" s="123">
        <v>326032.0</v>
      </c>
      <c r="U1127" s="44">
        <f t="shared" si="103"/>
        <v>-160.36</v>
      </c>
      <c r="V1127" s="44">
        <f t="shared" si="3"/>
        <v>0</v>
      </c>
      <c r="W1127" s="123"/>
      <c r="X1127" s="123"/>
      <c r="Y1127" s="123">
        <v>0.0</v>
      </c>
      <c r="Z1127" s="123">
        <v>0.0</v>
      </c>
      <c r="AA1127" s="123">
        <v>0.0</v>
      </c>
      <c r="AB1127" s="123"/>
      <c r="AC1127" s="123">
        <v>0.0</v>
      </c>
      <c r="AD1127" s="44">
        <f t="shared" si="7"/>
        <v>0</v>
      </c>
      <c r="AE1127" s="123">
        <v>0.0</v>
      </c>
    </row>
    <row r="1128">
      <c r="A1128" s="120">
        <v>2018.0</v>
      </c>
      <c r="B1128" s="121">
        <v>2.0</v>
      </c>
      <c r="C1128" s="122" t="s">
        <v>38</v>
      </c>
      <c r="D1128" s="44"/>
      <c r="E1128" s="123">
        <v>2473.87</v>
      </c>
      <c r="F1128" s="44"/>
      <c r="G1128" s="44"/>
      <c r="H1128" s="123">
        <v>-886.25</v>
      </c>
      <c r="I1128" s="44"/>
      <c r="J1128" s="44"/>
      <c r="K1128" s="44"/>
      <c r="L1128" s="123">
        <v>153.21</v>
      </c>
      <c r="M1128" s="44"/>
      <c r="N1128" s="44"/>
      <c r="O1128" s="123">
        <v>358818.0</v>
      </c>
      <c r="P1128" s="52">
        <f t="shared" si="23"/>
        <v>358818.28</v>
      </c>
      <c r="Q1128" s="124">
        <f t="shared" si="2"/>
        <v>-0.2800000001</v>
      </c>
      <c r="R1128" s="52">
        <f t="array" ref="R1128">IFERROR(INDEX('Fund YTD Target Values'!$1:$1000, MATCH($C1128,'Fund YTD Target Values'!$A:$A,0), MATCH($A1128,'Fund YTD Target Values'!$1:$1,0)),0)</f>
        <v>512928.5668</v>
      </c>
      <c r="S1128" s="52">
        <f>IFERROR(__xludf.DUMMYFUNCTION("IFERROR(sum(FILTER('Fund Data'!$V:$V, 'Fund Data'!$C:$C = $C1128, 'Fund Data'!$A:$A &lt; $A1128)),0) + IFERROR(sum(FILTER('Fund Data'!$V:$V, 'Fund Data'!$C:$C = $C1128, 'Fund Data'!$A:$A = $A1128, 'Fund Data'!$B:$B &lt;= $B1128)),0)"),325871.64)</f>
        <v>325871.64</v>
      </c>
      <c r="T1128" s="123">
        <v>326032.0</v>
      </c>
      <c r="U1128" s="44">
        <f t="shared" si="103"/>
        <v>-160.36</v>
      </c>
      <c r="V1128" s="44">
        <f t="shared" si="3"/>
        <v>0</v>
      </c>
      <c r="W1128" s="123"/>
      <c r="X1128" s="123"/>
      <c r="Y1128" s="123">
        <v>0.0</v>
      </c>
      <c r="Z1128" s="123">
        <v>0.0</v>
      </c>
      <c r="AA1128" s="123">
        <v>0.0</v>
      </c>
      <c r="AB1128" s="123"/>
      <c r="AC1128" s="123">
        <v>0.0</v>
      </c>
      <c r="AD1128" s="44">
        <f t="shared" si="7"/>
        <v>0</v>
      </c>
      <c r="AE1128" s="123">
        <v>0.0</v>
      </c>
    </row>
    <row r="1129">
      <c r="A1129" s="120">
        <v>2018.0</v>
      </c>
      <c r="B1129" s="121">
        <v>1.0</v>
      </c>
      <c r="C1129" s="122" t="s">
        <v>38</v>
      </c>
      <c r="D1129" s="44"/>
      <c r="E1129" s="123">
        <v>2208.44</v>
      </c>
      <c r="F1129" s="44"/>
      <c r="G1129" s="44"/>
      <c r="H1129" s="123">
        <v>-701.38</v>
      </c>
      <c r="I1129" s="44"/>
      <c r="J1129" s="44"/>
      <c r="K1129" s="44"/>
      <c r="L1129" s="123">
        <v>11146.47</v>
      </c>
      <c r="M1129" s="44"/>
      <c r="N1129" s="44"/>
      <c r="O1129" s="123">
        <v>369731.0</v>
      </c>
      <c r="P1129" s="52">
        <f t="shared" si="23"/>
        <v>369730.98</v>
      </c>
      <c r="Q1129" s="124">
        <f t="shared" si="2"/>
        <v>0.0199999999</v>
      </c>
      <c r="R1129" s="52">
        <f t="array" ref="R1129">IFERROR(INDEX('Fund YTD Target Values'!$1:$1000, MATCH($C1129,'Fund YTD Target Values'!$A:$A,0), MATCH($A1129,'Fund YTD Target Values'!$1:$1,0)),0)</f>
        <v>512928.5668</v>
      </c>
      <c r="S1129" s="52">
        <f>IFERROR(__xludf.DUMMYFUNCTION("IFERROR(sum(FILTER('Fund Data'!$V:$V, 'Fund Data'!$C:$C = $C1129, 'Fund Data'!$A:$A &lt; $A1129)),0) + IFERROR(sum(FILTER('Fund Data'!$V:$V, 'Fund Data'!$C:$C = $C1129, 'Fund Data'!$A:$A = $A1129, 'Fund Data'!$B:$B &lt;= $B1129)),0)"),325871.64)</f>
        <v>325871.64</v>
      </c>
      <c r="T1129" s="123">
        <v>326032.0</v>
      </c>
      <c r="U1129" s="44">
        <f t="shared" si="103"/>
        <v>-160.36</v>
      </c>
      <c r="V1129" s="44">
        <f t="shared" si="3"/>
        <v>0</v>
      </c>
      <c r="W1129" s="123"/>
      <c r="X1129" s="123"/>
      <c r="Y1129" s="123">
        <v>0.0</v>
      </c>
      <c r="Z1129" s="123">
        <v>0.0</v>
      </c>
      <c r="AA1129" s="123">
        <v>0.0</v>
      </c>
      <c r="AB1129" s="123"/>
      <c r="AC1129" s="123">
        <v>0.0</v>
      </c>
      <c r="AD1129" s="44">
        <f t="shared" si="7"/>
        <v>0</v>
      </c>
      <c r="AE1129" s="123">
        <v>0.0</v>
      </c>
    </row>
    <row r="1130">
      <c r="A1130" s="120">
        <v>2017.0</v>
      </c>
      <c r="B1130" s="121">
        <v>12.0</v>
      </c>
      <c r="C1130" s="122" t="s">
        <v>38</v>
      </c>
      <c r="D1130" s="44"/>
      <c r="E1130" s="123">
        <v>8077.52</v>
      </c>
      <c r="F1130" s="123">
        <v>-40000.0</v>
      </c>
      <c r="G1130" s="123"/>
      <c r="H1130" s="123">
        <v>-2200.35</v>
      </c>
      <c r="I1130" s="44"/>
      <c r="J1130" s="123">
        <v>11040.09</v>
      </c>
      <c r="K1130" s="44"/>
      <c r="L1130" s="123">
        <v>34375.22</v>
      </c>
      <c r="M1130" s="44"/>
      <c r="N1130" s="44"/>
      <c r="O1130" s="123">
        <v>357077.0</v>
      </c>
      <c r="P1130" s="52">
        <f t="shared" si="23"/>
        <v>357077.45</v>
      </c>
      <c r="Q1130" s="124">
        <f t="shared" si="2"/>
        <v>-0.4500000001</v>
      </c>
      <c r="R1130" s="52">
        <f t="array" ref="R1130">IFERROR(INDEX('Fund YTD Target Values'!$1:$1000, MATCH($C1130,'Fund YTD Target Values'!$A:$A,0), MATCH($A1130,'Fund YTD Target Values'!$1:$1,0)),0)</f>
        <v>500698.0917</v>
      </c>
      <c r="S1130" s="52">
        <f>IFERROR(__xludf.DUMMYFUNCTION("IFERROR(sum(FILTER('Fund Data'!$V:$V, 'Fund Data'!$C:$C = $C1130, 'Fund Data'!$A:$A &lt; $A1130)),0) + IFERROR(sum(FILTER('Fund Data'!$V:$V, 'Fund Data'!$C:$C = $C1130, 'Fund Data'!$A:$A = $A1130, 'Fund Data'!$B:$B &lt;= $B1130)),0)"),325871.64)</f>
        <v>325871.64</v>
      </c>
      <c r="T1130" s="123">
        <v>326032.0</v>
      </c>
      <c r="U1130" s="44">
        <f t="shared" si="103"/>
        <v>-160.36</v>
      </c>
      <c r="V1130" s="44">
        <f t="shared" si="3"/>
        <v>0</v>
      </c>
      <c r="W1130" s="123"/>
      <c r="X1130" s="123"/>
      <c r="Y1130" s="123">
        <v>0.0</v>
      </c>
      <c r="Z1130" s="123">
        <v>0.0</v>
      </c>
      <c r="AA1130" s="123">
        <v>0.0</v>
      </c>
      <c r="AB1130" s="123"/>
      <c r="AC1130" s="123">
        <v>0.0</v>
      </c>
      <c r="AD1130" s="44">
        <f t="shared" si="7"/>
        <v>-40000</v>
      </c>
      <c r="AE1130" s="123">
        <v>0.0</v>
      </c>
    </row>
    <row r="1131">
      <c r="A1131" s="120">
        <v>2017.0</v>
      </c>
      <c r="B1131" s="121">
        <v>11.0</v>
      </c>
      <c r="C1131" s="122" t="s">
        <v>38</v>
      </c>
      <c r="D1131" s="44"/>
      <c r="E1131" s="123">
        <v>7573.55</v>
      </c>
      <c r="F1131" s="123">
        <v>-40000.0</v>
      </c>
      <c r="G1131" s="44"/>
      <c r="H1131" s="123">
        <v>-2022.79</v>
      </c>
      <c r="I1131" s="44"/>
      <c r="J1131" s="123">
        <v>11040.09</v>
      </c>
      <c r="K1131" s="44"/>
      <c r="L1131" s="123">
        <v>32659.29</v>
      </c>
      <c r="M1131" s="44"/>
      <c r="N1131" s="44"/>
      <c r="O1131" s="123">
        <v>355035.0</v>
      </c>
      <c r="P1131" s="52">
        <f t="shared" si="23"/>
        <v>355035.11</v>
      </c>
      <c r="Q1131" s="124">
        <f t="shared" si="2"/>
        <v>-0.1100000001</v>
      </c>
      <c r="R1131" s="52">
        <f t="array" ref="R1131">IFERROR(INDEX('Fund YTD Target Values'!$1:$1000, MATCH($C1131,'Fund YTD Target Values'!$A:$A,0), MATCH($A1131,'Fund YTD Target Values'!$1:$1,0)),0)</f>
        <v>500698.0917</v>
      </c>
      <c r="S1131" s="52">
        <f>IFERROR(__xludf.DUMMYFUNCTION("IFERROR(sum(FILTER('Fund Data'!$V:$V, 'Fund Data'!$C:$C = $C1131, 'Fund Data'!$A:$A &lt; $A1131)),0) + IFERROR(sum(FILTER('Fund Data'!$V:$V, 'Fund Data'!$C:$C = $C1131, 'Fund Data'!$A:$A = $A1131, 'Fund Data'!$B:$B &lt;= $B1131)),0)"),325871.64)</f>
        <v>325871.64</v>
      </c>
      <c r="T1131" s="123">
        <v>326032.0</v>
      </c>
      <c r="U1131" s="44">
        <f t="shared" si="103"/>
        <v>-160.36</v>
      </c>
      <c r="V1131" s="44">
        <f t="shared" si="3"/>
        <v>0</v>
      </c>
      <c r="W1131" s="123"/>
      <c r="X1131" s="123"/>
      <c r="Y1131" s="123">
        <v>0.0</v>
      </c>
      <c r="Z1131" s="123">
        <v>0.0</v>
      </c>
      <c r="AA1131" s="123">
        <v>0.0</v>
      </c>
      <c r="AB1131" s="123"/>
      <c r="AC1131" s="123">
        <v>0.0</v>
      </c>
      <c r="AD1131" s="44">
        <f t="shared" si="7"/>
        <v>-40000</v>
      </c>
      <c r="AE1131" s="123">
        <v>0.0</v>
      </c>
    </row>
    <row r="1132">
      <c r="A1132" s="120">
        <v>2017.0</v>
      </c>
      <c r="B1132" s="121">
        <v>10.0</v>
      </c>
      <c r="C1132" s="122" t="s">
        <v>38</v>
      </c>
      <c r="D1132" s="44"/>
      <c r="E1132" s="123">
        <v>7318.0</v>
      </c>
      <c r="F1132" s="123">
        <v>-15000.0</v>
      </c>
      <c r="G1132" s="44"/>
      <c r="H1132" s="123">
        <v>-1834.67</v>
      </c>
      <c r="I1132" s="44"/>
      <c r="J1132" s="123">
        <v>2891.51</v>
      </c>
      <c r="K1132" s="44"/>
      <c r="L1132" s="123">
        <v>36925.46</v>
      </c>
      <c r="M1132" s="44"/>
      <c r="N1132" s="44"/>
      <c r="O1132" s="123">
        <v>376085.0</v>
      </c>
      <c r="P1132" s="52">
        <f t="shared" si="23"/>
        <v>376085.27</v>
      </c>
      <c r="Q1132" s="124">
        <f t="shared" si="2"/>
        <v>-0.2700000001</v>
      </c>
      <c r="R1132" s="52">
        <f t="array" ref="R1132">IFERROR(INDEX('Fund YTD Target Values'!$1:$1000, MATCH($C1132,'Fund YTD Target Values'!$A:$A,0), MATCH($A1132,'Fund YTD Target Values'!$1:$1,0)),0)</f>
        <v>500698.0917</v>
      </c>
      <c r="S1132" s="52">
        <f>IFERROR(__xludf.DUMMYFUNCTION("IFERROR(sum(FILTER('Fund Data'!$V:$V, 'Fund Data'!$C:$C = $C1132, 'Fund Data'!$A:$A &lt; $A1132)),0) + IFERROR(sum(FILTER('Fund Data'!$V:$V, 'Fund Data'!$C:$C = $C1132, 'Fund Data'!$A:$A = $A1132, 'Fund Data'!$B:$B &lt;= $B1132)),0)"),325871.64)</f>
        <v>325871.64</v>
      </c>
      <c r="T1132" s="123">
        <v>326032.0</v>
      </c>
      <c r="U1132" s="44">
        <f t="shared" si="103"/>
        <v>-160.36</v>
      </c>
      <c r="V1132" s="44">
        <f t="shared" si="3"/>
        <v>0</v>
      </c>
      <c r="W1132" s="123"/>
      <c r="X1132" s="123"/>
      <c r="Y1132" s="123">
        <v>0.0</v>
      </c>
      <c r="Z1132" s="123">
        <v>0.0</v>
      </c>
      <c r="AA1132" s="123">
        <v>0.0</v>
      </c>
      <c r="AB1132" s="123"/>
      <c r="AC1132" s="123">
        <v>0.0</v>
      </c>
      <c r="AD1132" s="44">
        <f t="shared" si="7"/>
        <v>-15000</v>
      </c>
      <c r="AE1132" s="123">
        <v>0.0</v>
      </c>
    </row>
    <row r="1133">
      <c r="A1133" s="120">
        <v>2017.0</v>
      </c>
      <c r="B1133" s="121">
        <v>9.0</v>
      </c>
      <c r="C1133" s="122" t="s">
        <v>38</v>
      </c>
      <c r="D1133" s="44"/>
      <c r="E1133" s="123">
        <v>6526.36</v>
      </c>
      <c r="F1133" s="123">
        <v>-5000.0</v>
      </c>
      <c r="G1133" s="44"/>
      <c r="H1133" s="123">
        <v>-1644.39</v>
      </c>
      <c r="I1133" s="44"/>
      <c r="J1133" s="44"/>
      <c r="K1133" s="44"/>
      <c r="L1133" s="123">
        <v>34885.49</v>
      </c>
      <c r="M1133" s="44"/>
      <c r="N1133" s="44"/>
      <c r="O1133" s="123">
        <v>380552.0</v>
      </c>
      <c r="P1133" s="52">
        <f t="shared" si="23"/>
        <v>380552.43</v>
      </c>
      <c r="Q1133" s="124">
        <f t="shared" si="2"/>
        <v>-0.4300000001</v>
      </c>
      <c r="R1133" s="52">
        <f t="array" ref="R1133">IFERROR(INDEX('Fund YTD Target Values'!$1:$1000, MATCH($C1133,'Fund YTD Target Values'!$A:$A,0), MATCH($A1133,'Fund YTD Target Values'!$1:$1,0)),0)</f>
        <v>500698.0917</v>
      </c>
      <c r="S1133" s="52">
        <f>IFERROR(__xludf.DUMMYFUNCTION("IFERROR(sum(FILTER('Fund Data'!$V:$V, 'Fund Data'!$C:$C = $C1133, 'Fund Data'!$A:$A &lt; $A1133)),0) + IFERROR(sum(FILTER('Fund Data'!$V:$V, 'Fund Data'!$C:$C = $C1133, 'Fund Data'!$A:$A = $A1133, 'Fund Data'!$B:$B &lt;= $B1133)),0)"),325871.64)</f>
        <v>325871.64</v>
      </c>
      <c r="T1133" s="123">
        <v>326032.0</v>
      </c>
      <c r="U1133" s="44">
        <f t="shared" si="103"/>
        <v>-160.36</v>
      </c>
      <c r="V1133" s="44">
        <f t="shared" si="3"/>
        <v>0</v>
      </c>
      <c r="W1133" s="123"/>
      <c r="X1133" s="123"/>
      <c r="Y1133" s="123">
        <v>0.0</v>
      </c>
      <c r="Z1133" s="123">
        <v>0.0</v>
      </c>
      <c r="AA1133" s="123">
        <v>0.0</v>
      </c>
      <c r="AB1133" s="123"/>
      <c r="AC1133" s="123">
        <v>0.0</v>
      </c>
      <c r="AD1133" s="44">
        <f t="shared" si="7"/>
        <v>-5000</v>
      </c>
      <c r="AE1133" s="123">
        <v>0.0</v>
      </c>
    </row>
    <row r="1134">
      <c r="A1134" s="120">
        <v>2017.0</v>
      </c>
      <c r="B1134" s="121">
        <v>8.0</v>
      </c>
      <c r="C1134" s="122" t="s">
        <v>38</v>
      </c>
      <c r="D1134" s="44"/>
      <c r="E1134" s="123">
        <v>6052.55</v>
      </c>
      <c r="F1134" s="123">
        <v>-5000.0</v>
      </c>
      <c r="G1134" s="44"/>
      <c r="H1134" s="123">
        <v>-1456.12</v>
      </c>
      <c r="I1134" s="44"/>
      <c r="J1134" s="44"/>
      <c r="K1134" s="44"/>
      <c r="L1134" s="123">
        <v>31156.34</v>
      </c>
      <c r="M1134" s="44"/>
      <c r="N1134" s="44"/>
      <c r="O1134" s="123">
        <v>376538.0</v>
      </c>
      <c r="P1134" s="52">
        <f t="shared" si="23"/>
        <v>376537.74</v>
      </c>
      <c r="Q1134" s="124">
        <f t="shared" si="2"/>
        <v>0.2599999999</v>
      </c>
      <c r="R1134" s="52">
        <f t="array" ref="R1134">IFERROR(INDEX('Fund YTD Target Values'!$1:$1000, MATCH($C1134,'Fund YTD Target Values'!$A:$A,0), MATCH($A1134,'Fund YTD Target Values'!$1:$1,0)),0)</f>
        <v>500698.0917</v>
      </c>
      <c r="S1134" s="52">
        <f>IFERROR(__xludf.DUMMYFUNCTION("IFERROR(sum(FILTER('Fund Data'!$V:$V, 'Fund Data'!$C:$C = $C1134, 'Fund Data'!$A:$A &lt; $A1134)),0) + IFERROR(sum(FILTER('Fund Data'!$V:$V, 'Fund Data'!$C:$C = $C1134, 'Fund Data'!$A:$A = $A1134, 'Fund Data'!$B:$B &lt;= $B1134)),0)"),325871.64)</f>
        <v>325871.64</v>
      </c>
      <c r="T1134" s="123">
        <v>326032.0</v>
      </c>
      <c r="U1134" s="44">
        <f t="shared" si="103"/>
        <v>-160.36</v>
      </c>
      <c r="V1134" s="44">
        <f t="shared" si="3"/>
        <v>0</v>
      </c>
      <c r="W1134" s="123"/>
      <c r="X1134" s="123"/>
      <c r="Y1134" s="123">
        <v>0.0</v>
      </c>
      <c r="Z1134" s="123">
        <v>0.0</v>
      </c>
      <c r="AA1134" s="123">
        <v>0.0</v>
      </c>
      <c r="AB1134" s="123"/>
      <c r="AC1134" s="123">
        <v>0.0</v>
      </c>
      <c r="AD1134" s="44">
        <f t="shared" si="7"/>
        <v>-5000</v>
      </c>
      <c r="AE1134" s="123">
        <v>0.0</v>
      </c>
    </row>
    <row r="1135">
      <c r="A1135" s="120">
        <v>2017.0</v>
      </c>
      <c r="B1135" s="121">
        <v>7.0</v>
      </c>
      <c r="C1135" s="122" t="s">
        <v>38</v>
      </c>
      <c r="D1135" s="44"/>
      <c r="E1135" s="123">
        <v>5792.54</v>
      </c>
      <c r="F1135" s="44"/>
      <c r="G1135" s="44"/>
      <c r="H1135" s="123">
        <v>-1265.88</v>
      </c>
      <c r="I1135" s="44"/>
      <c r="J1135" s="44"/>
      <c r="K1135" s="44"/>
      <c r="L1135" s="123">
        <v>30174.3</v>
      </c>
      <c r="M1135" s="44"/>
      <c r="N1135" s="44"/>
      <c r="O1135" s="123">
        <v>380486.0</v>
      </c>
      <c r="P1135" s="52">
        <f t="shared" si="23"/>
        <v>380485.93</v>
      </c>
      <c r="Q1135" s="124">
        <f t="shared" si="2"/>
        <v>0.06999999989</v>
      </c>
      <c r="R1135" s="52">
        <f t="array" ref="R1135">IFERROR(INDEX('Fund YTD Target Values'!$1:$1000, MATCH($C1135,'Fund YTD Target Values'!$A:$A,0), MATCH($A1135,'Fund YTD Target Values'!$1:$1,0)),0)</f>
        <v>500698.0917</v>
      </c>
      <c r="S1135" s="52">
        <f>IFERROR(__xludf.DUMMYFUNCTION("IFERROR(sum(FILTER('Fund Data'!$V:$V, 'Fund Data'!$C:$C = $C1135, 'Fund Data'!$A:$A &lt; $A1135)),0) + IFERROR(sum(FILTER('Fund Data'!$V:$V, 'Fund Data'!$C:$C = $C1135, 'Fund Data'!$A:$A = $A1135, 'Fund Data'!$B:$B &lt;= $B1135)),0)"),325871.64)</f>
        <v>325871.64</v>
      </c>
      <c r="T1135" s="123">
        <v>326032.0</v>
      </c>
      <c r="U1135" s="44">
        <f t="shared" si="103"/>
        <v>-160.36</v>
      </c>
      <c r="V1135" s="44">
        <f t="shared" si="3"/>
        <v>0</v>
      </c>
      <c r="W1135" s="123"/>
      <c r="X1135" s="123"/>
      <c r="Y1135" s="123">
        <v>0.0</v>
      </c>
      <c r="Z1135" s="123">
        <v>0.0</v>
      </c>
      <c r="AA1135" s="123">
        <v>0.0</v>
      </c>
      <c r="AB1135" s="123"/>
      <c r="AC1135" s="123">
        <v>0.0</v>
      </c>
      <c r="AD1135" s="44">
        <f t="shared" si="7"/>
        <v>0</v>
      </c>
      <c r="AE1135" s="123">
        <v>0.0</v>
      </c>
    </row>
    <row r="1136">
      <c r="A1136" s="120">
        <v>2017.0</v>
      </c>
      <c r="B1136" s="121">
        <v>6.0</v>
      </c>
      <c r="C1136" s="122" t="s">
        <v>38</v>
      </c>
      <c r="D1136" s="44"/>
      <c r="E1136" s="123">
        <v>4608.44</v>
      </c>
      <c r="F1136" s="44"/>
      <c r="G1136" s="44"/>
      <c r="H1136" s="123">
        <v>-1080.02</v>
      </c>
      <c r="I1136" s="44"/>
      <c r="J1136" s="44"/>
      <c r="K1136" s="44"/>
      <c r="L1136" s="123">
        <v>22408.48</v>
      </c>
      <c r="M1136" s="44"/>
      <c r="N1136" s="44"/>
      <c r="O1136" s="123">
        <v>371722.0</v>
      </c>
      <c r="P1136" s="52">
        <f t="shared" si="23"/>
        <v>371721.87</v>
      </c>
      <c r="Q1136" s="124">
        <f t="shared" si="2"/>
        <v>0.1299999999</v>
      </c>
      <c r="R1136" s="52">
        <f t="array" ref="R1136">IFERROR(INDEX('Fund YTD Target Values'!$1:$1000, MATCH($C1136,'Fund YTD Target Values'!$A:$A,0), MATCH($A1136,'Fund YTD Target Values'!$1:$1,0)),0)</f>
        <v>500698.0917</v>
      </c>
      <c r="S1136" s="52">
        <f>IFERROR(__xludf.DUMMYFUNCTION("IFERROR(sum(FILTER('Fund Data'!$V:$V, 'Fund Data'!$C:$C = $C1136, 'Fund Data'!$A:$A &lt; $A1136)),0) + IFERROR(sum(FILTER('Fund Data'!$V:$V, 'Fund Data'!$C:$C = $C1136, 'Fund Data'!$A:$A = $A1136, 'Fund Data'!$B:$B &lt;= $B1136)),0)"),325871.64)</f>
        <v>325871.64</v>
      </c>
      <c r="T1136" s="123">
        <v>326032.0</v>
      </c>
      <c r="U1136" s="44">
        <f t="shared" si="103"/>
        <v>-160.36</v>
      </c>
      <c r="V1136" s="44">
        <f t="shared" si="3"/>
        <v>0</v>
      </c>
      <c r="W1136" s="123"/>
      <c r="X1136" s="123"/>
      <c r="Y1136" s="123">
        <v>0.0</v>
      </c>
      <c r="Z1136" s="123">
        <v>0.0</v>
      </c>
      <c r="AA1136" s="123">
        <v>0.0</v>
      </c>
      <c r="AB1136" s="123"/>
      <c r="AC1136" s="123">
        <v>0.0</v>
      </c>
      <c r="AD1136" s="44">
        <f t="shared" si="7"/>
        <v>0</v>
      </c>
      <c r="AE1136" s="123">
        <v>0.0</v>
      </c>
    </row>
    <row r="1137">
      <c r="A1137" s="120">
        <v>2017.0</v>
      </c>
      <c r="B1137" s="121">
        <v>5.0</v>
      </c>
      <c r="C1137" s="122" t="s">
        <v>38</v>
      </c>
      <c r="D1137" s="44"/>
      <c r="E1137" s="123">
        <v>4361.11</v>
      </c>
      <c r="F1137" s="44"/>
      <c r="G1137" s="44"/>
      <c r="H1137" s="123">
        <v>-894.59</v>
      </c>
      <c r="I1137" s="44"/>
      <c r="J1137" s="44"/>
      <c r="K1137" s="44"/>
      <c r="L1137" s="123">
        <v>21609.93</v>
      </c>
      <c r="M1137" s="44"/>
      <c r="N1137" s="44"/>
      <c r="O1137" s="123">
        <v>370861.0</v>
      </c>
      <c r="P1137" s="52">
        <f t="shared" si="23"/>
        <v>370861.42</v>
      </c>
      <c r="Q1137" s="124">
        <f t="shared" si="2"/>
        <v>-0.4200000001</v>
      </c>
      <c r="R1137" s="52">
        <f t="array" ref="R1137">IFERROR(INDEX('Fund YTD Target Values'!$1:$1000, MATCH($C1137,'Fund YTD Target Values'!$A:$A,0), MATCH($A1137,'Fund YTD Target Values'!$1:$1,0)),0)</f>
        <v>500698.0917</v>
      </c>
      <c r="S1137" s="52">
        <f>IFERROR(__xludf.DUMMYFUNCTION("IFERROR(sum(FILTER('Fund Data'!$V:$V, 'Fund Data'!$C:$C = $C1137, 'Fund Data'!$A:$A &lt; $A1137)),0) + IFERROR(sum(FILTER('Fund Data'!$V:$V, 'Fund Data'!$C:$C = $C1137, 'Fund Data'!$A:$A = $A1137, 'Fund Data'!$B:$B &lt;= $B1137)),0)"),325871.64)</f>
        <v>325871.64</v>
      </c>
      <c r="T1137" s="123">
        <v>326032.0</v>
      </c>
      <c r="U1137" s="44">
        <f t="shared" si="103"/>
        <v>-160.36</v>
      </c>
      <c r="V1137" s="44">
        <f t="shared" si="3"/>
        <v>0</v>
      </c>
      <c r="W1137" s="123"/>
      <c r="X1137" s="123"/>
      <c r="Y1137" s="123">
        <v>0.0</v>
      </c>
      <c r="Z1137" s="123">
        <v>0.0</v>
      </c>
      <c r="AA1137" s="123">
        <v>0.0</v>
      </c>
      <c r="AB1137" s="123"/>
      <c r="AC1137" s="123">
        <v>0.0</v>
      </c>
      <c r="AD1137" s="44">
        <f t="shared" si="7"/>
        <v>0</v>
      </c>
      <c r="AE1137" s="123">
        <v>0.0</v>
      </c>
    </row>
    <row r="1138">
      <c r="A1138" s="120">
        <v>2017.0</v>
      </c>
      <c r="B1138" s="121">
        <v>4.0</v>
      </c>
      <c r="C1138" s="122" t="s">
        <v>38</v>
      </c>
      <c r="D1138" s="44"/>
      <c r="E1138" s="123">
        <v>4122.91</v>
      </c>
      <c r="F1138" s="44"/>
      <c r="G1138" s="44"/>
      <c r="H1138" s="123">
        <v>-711.25</v>
      </c>
      <c r="I1138" s="44"/>
      <c r="J1138" s="44"/>
      <c r="K1138" s="44"/>
      <c r="L1138" s="123">
        <v>17469.88</v>
      </c>
      <c r="M1138" s="44"/>
      <c r="N1138" s="44"/>
      <c r="O1138" s="123">
        <v>366666.0</v>
      </c>
      <c r="P1138" s="52">
        <f t="shared" si="23"/>
        <v>366666.51</v>
      </c>
      <c r="Q1138" s="124">
        <f t="shared" si="2"/>
        <v>-0.5100000001</v>
      </c>
      <c r="R1138" s="52">
        <f t="array" ref="R1138">IFERROR(INDEX('Fund YTD Target Values'!$1:$1000, MATCH($C1138,'Fund YTD Target Values'!$A:$A,0), MATCH($A1138,'Fund YTD Target Values'!$1:$1,0)),0)</f>
        <v>500698.0917</v>
      </c>
      <c r="S1138" s="52">
        <f>IFERROR(__xludf.DUMMYFUNCTION("IFERROR(sum(FILTER('Fund Data'!$V:$V, 'Fund Data'!$C:$C = $C1138, 'Fund Data'!$A:$A &lt; $A1138)),0) + IFERROR(sum(FILTER('Fund Data'!$V:$V, 'Fund Data'!$C:$C = $C1138, 'Fund Data'!$A:$A = $A1138, 'Fund Data'!$B:$B &lt;= $B1138)),0)"),325871.64)</f>
        <v>325871.64</v>
      </c>
      <c r="T1138" s="123">
        <v>326032.0</v>
      </c>
      <c r="U1138" s="44">
        <f t="shared" si="103"/>
        <v>-160.36</v>
      </c>
      <c r="V1138" s="44">
        <f t="shared" si="3"/>
        <v>0</v>
      </c>
      <c r="W1138" s="123"/>
      <c r="X1138" s="123"/>
      <c r="Y1138" s="123">
        <v>0.0</v>
      </c>
      <c r="Z1138" s="123">
        <v>0.0</v>
      </c>
      <c r="AA1138" s="123">
        <v>0.0</v>
      </c>
      <c r="AB1138" s="123"/>
      <c r="AC1138" s="123">
        <v>0.0</v>
      </c>
      <c r="AD1138" s="44">
        <f t="shared" si="7"/>
        <v>0</v>
      </c>
      <c r="AE1138" s="123">
        <v>0.0</v>
      </c>
    </row>
    <row r="1139">
      <c r="A1139" s="120">
        <v>2017.0</v>
      </c>
      <c r="B1139" s="121">
        <v>3.0</v>
      </c>
      <c r="C1139" s="122" t="s">
        <v>38</v>
      </c>
      <c r="D1139" s="44"/>
      <c r="E1139" s="123">
        <v>3120.1</v>
      </c>
      <c r="F1139" s="44"/>
      <c r="G1139" s="44"/>
      <c r="H1139" s="123">
        <v>-530.16</v>
      </c>
      <c r="I1139" s="44"/>
      <c r="J1139" s="44"/>
      <c r="K1139" s="44"/>
      <c r="L1139" s="123">
        <v>13795.0</v>
      </c>
      <c r="M1139" s="44"/>
      <c r="N1139" s="44"/>
      <c r="O1139" s="123">
        <v>362170.0</v>
      </c>
      <c r="P1139" s="52">
        <f t="shared" si="23"/>
        <v>362169.91</v>
      </c>
      <c r="Q1139" s="124">
        <f t="shared" si="2"/>
        <v>0.08999999991</v>
      </c>
      <c r="R1139" s="52">
        <f t="array" ref="R1139">IFERROR(INDEX('Fund YTD Target Values'!$1:$1000, MATCH($C1139,'Fund YTD Target Values'!$A:$A,0), MATCH($A1139,'Fund YTD Target Values'!$1:$1,0)),0)</f>
        <v>500698.0917</v>
      </c>
      <c r="S1139" s="52">
        <f>IFERROR(__xludf.DUMMYFUNCTION("IFERROR(sum(FILTER('Fund Data'!$V:$V, 'Fund Data'!$C:$C = $C1139, 'Fund Data'!$A:$A &lt; $A1139)),0) + IFERROR(sum(FILTER('Fund Data'!$V:$V, 'Fund Data'!$C:$C = $C1139, 'Fund Data'!$A:$A = $A1139, 'Fund Data'!$B:$B &lt;= $B1139)),0)"),325871.64)</f>
        <v>325871.64</v>
      </c>
      <c r="T1139" s="123">
        <v>326032.0</v>
      </c>
      <c r="U1139" s="44">
        <f t="shared" si="103"/>
        <v>-160.36</v>
      </c>
      <c r="V1139" s="44">
        <f t="shared" si="3"/>
        <v>0</v>
      </c>
      <c r="W1139" s="123"/>
      <c r="X1139" s="123"/>
      <c r="Y1139" s="123">
        <v>0.0</v>
      </c>
      <c r="Z1139" s="123">
        <v>0.0</v>
      </c>
      <c r="AA1139" s="123">
        <v>0.0</v>
      </c>
      <c r="AB1139" s="123"/>
      <c r="AC1139" s="123">
        <v>0.0</v>
      </c>
      <c r="AD1139" s="44">
        <f t="shared" si="7"/>
        <v>0</v>
      </c>
      <c r="AE1139" s="123">
        <v>0.0</v>
      </c>
    </row>
    <row r="1140">
      <c r="A1140" s="120">
        <v>2017.0</v>
      </c>
      <c r="B1140" s="121">
        <v>2.0</v>
      </c>
      <c r="C1140" s="122" t="s">
        <v>38</v>
      </c>
      <c r="D1140" s="44"/>
      <c r="E1140" s="123">
        <v>2877.99</v>
      </c>
      <c r="F1140" s="44"/>
      <c r="G1140" s="44"/>
      <c r="H1140" s="123">
        <v>-349.75</v>
      </c>
      <c r="I1140" s="44"/>
      <c r="J1140" s="44"/>
      <c r="K1140" s="44"/>
      <c r="L1140" s="123">
        <v>12502.85</v>
      </c>
      <c r="M1140" s="44"/>
      <c r="N1140" s="44"/>
      <c r="O1140" s="123">
        <v>360816.0</v>
      </c>
      <c r="P1140" s="52">
        <f t="shared" si="23"/>
        <v>360816.06</v>
      </c>
      <c r="Q1140" s="124">
        <f t="shared" si="2"/>
        <v>-0.06000000011</v>
      </c>
      <c r="R1140" s="52">
        <f t="array" ref="R1140">IFERROR(INDEX('Fund YTD Target Values'!$1:$1000, MATCH($C1140,'Fund YTD Target Values'!$A:$A,0), MATCH($A1140,'Fund YTD Target Values'!$1:$1,0)),0)</f>
        <v>500698.0917</v>
      </c>
      <c r="S1140" s="52">
        <f>IFERROR(__xludf.DUMMYFUNCTION("IFERROR(sum(FILTER('Fund Data'!$V:$V, 'Fund Data'!$C:$C = $C1140, 'Fund Data'!$A:$A &lt; $A1140)),0) + IFERROR(sum(FILTER('Fund Data'!$V:$V, 'Fund Data'!$C:$C = $C1140, 'Fund Data'!$A:$A = $A1140, 'Fund Data'!$B:$B &lt;= $B1140)),0)"),325871.64)</f>
        <v>325871.64</v>
      </c>
      <c r="T1140" s="123">
        <v>326032.0</v>
      </c>
      <c r="U1140" s="44">
        <f t="shared" si="103"/>
        <v>-160.36</v>
      </c>
      <c r="V1140" s="44">
        <f t="shared" si="3"/>
        <v>0</v>
      </c>
      <c r="W1140" s="123"/>
      <c r="X1140" s="123"/>
      <c r="Y1140" s="123">
        <v>0.0</v>
      </c>
      <c r="Z1140" s="123">
        <v>0.0</v>
      </c>
      <c r="AA1140" s="123">
        <v>0.0</v>
      </c>
      <c r="AB1140" s="123"/>
      <c r="AC1140" s="123">
        <v>0.0</v>
      </c>
      <c r="AD1140" s="44">
        <f t="shared" si="7"/>
        <v>0</v>
      </c>
      <c r="AE1140" s="123">
        <v>0.0</v>
      </c>
    </row>
    <row r="1141">
      <c r="A1141" s="120">
        <v>2017.0</v>
      </c>
      <c r="B1141" s="121">
        <v>1.0</v>
      </c>
      <c r="C1141" s="122" t="s">
        <v>38</v>
      </c>
      <c r="D1141" s="44"/>
      <c r="E1141" s="123">
        <v>2628.48</v>
      </c>
      <c r="F1141" s="44"/>
      <c r="G1141" s="44"/>
      <c r="H1141" s="123">
        <v>-172.89</v>
      </c>
      <c r="I1141" s="44"/>
      <c r="J1141" s="44"/>
      <c r="K1141" s="44"/>
      <c r="L1141" s="123">
        <v>5465.8</v>
      </c>
      <c r="M1141" s="44"/>
      <c r="N1141" s="44"/>
      <c r="O1141" s="123">
        <v>353706.0</v>
      </c>
      <c r="P1141" s="52">
        <f t="shared" si="23"/>
        <v>353706.36</v>
      </c>
      <c r="Q1141" s="124">
        <f t="shared" si="2"/>
        <v>-0.3600000001</v>
      </c>
      <c r="R1141" s="52">
        <f t="array" ref="R1141">IFERROR(INDEX('Fund YTD Target Values'!$1:$1000, MATCH($C1141,'Fund YTD Target Values'!$A:$A,0), MATCH($A1141,'Fund YTD Target Values'!$1:$1,0)),0)</f>
        <v>500698.0917</v>
      </c>
      <c r="S1141" s="52">
        <f>IFERROR(__xludf.DUMMYFUNCTION("IFERROR(sum(FILTER('Fund Data'!$V:$V, 'Fund Data'!$C:$C = $C1141, 'Fund Data'!$A:$A &lt; $A1141)),0) + IFERROR(sum(FILTER('Fund Data'!$V:$V, 'Fund Data'!$C:$C = $C1141, 'Fund Data'!$A:$A = $A1141, 'Fund Data'!$B:$B &lt;= $B1141)),0)"),325871.64)</f>
        <v>325871.64</v>
      </c>
      <c r="T1141" s="123">
        <v>326032.0</v>
      </c>
      <c r="U1141" s="44">
        <f t="shared" si="103"/>
        <v>-160.36</v>
      </c>
      <c r="V1141" s="44">
        <f t="shared" si="3"/>
        <v>0</v>
      </c>
      <c r="W1141" s="123"/>
      <c r="X1141" s="123"/>
      <c r="Y1141" s="123">
        <v>0.0</v>
      </c>
      <c r="Z1141" s="123">
        <v>0.0</v>
      </c>
      <c r="AA1141" s="123">
        <v>0.0</v>
      </c>
      <c r="AB1141" s="123"/>
      <c r="AC1141" s="123">
        <v>0.0</v>
      </c>
      <c r="AD1141" s="44">
        <f t="shared" si="7"/>
        <v>0</v>
      </c>
      <c r="AE1141" s="123">
        <v>0.0</v>
      </c>
    </row>
    <row r="1142">
      <c r="A1142" s="120">
        <v>2016.0</v>
      </c>
      <c r="B1142" s="121">
        <v>12.0</v>
      </c>
      <c r="C1142" s="122" t="s">
        <v>38</v>
      </c>
      <c r="D1142" s="44"/>
      <c r="E1142" s="123">
        <v>7610.23</v>
      </c>
      <c r="F1142" s="123">
        <v>-19500.0</v>
      </c>
      <c r="G1142" s="123"/>
      <c r="H1142" s="123">
        <v>-2081.57</v>
      </c>
      <c r="I1142" s="44"/>
      <c r="J1142" s="123">
        <v>3363.78</v>
      </c>
      <c r="K1142" s="44"/>
      <c r="L1142" s="123">
        <v>12067.51</v>
      </c>
      <c r="M1142" s="44"/>
      <c r="N1142" s="44"/>
      <c r="O1142" s="123">
        <v>345785.0</v>
      </c>
      <c r="P1142" s="52">
        <f t="shared" si="23"/>
        <v>345784.97</v>
      </c>
      <c r="Q1142" s="124">
        <f t="shared" si="2"/>
        <v>0.02999999985</v>
      </c>
      <c r="R1142" s="52">
        <f t="array" ref="R1142">IFERROR(INDEX('Fund YTD Target Values'!$1:$1000, MATCH($C1142,'Fund YTD Target Values'!$A:$A,0), MATCH($A1142,'Fund YTD Target Values'!$1:$1,0)),0)</f>
        <v>490247.8944</v>
      </c>
      <c r="S1142" s="52">
        <f>IFERROR(__xludf.DUMMYFUNCTION("IFERROR(sum(FILTER('Fund Data'!$V:$V, 'Fund Data'!$C:$C = $C1142, 'Fund Data'!$A:$A &lt; $A1142)),0) + IFERROR(sum(FILTER('Fund Data'!$V:$V, 'Fund Data'!$C:$C = $C1142, 'Fund Data'!$A:$A = $A1142, 'Fund Data'!$B:$B &lt;= $B1142)),0)"),325871.64)</f>
        <v>325871.64</v>
      </c>
      <c r="T1142" s="123">
        <v>326032.0</v>
      </c>
      <c r="U1142" s="44">
        <f t="shared" si="103"/>
        <v>-160.36</v>
      </c>
      <c r="V1142" s="44">
        <f t="shared" si="3"/>
        <v>0</v>
      </c>
      <c r="W1142" s="123"/>
      <c r="X1142" s="123"/>
      <c r="Y1142" s="123">
        <v>0.0</v>
      </c>
      <c r="Z1142" s="123">
        <v>0.0</v>
      </c>
      <c r="AA1142" s="123">
        <v>0.0</v>
      </c>
      <c r="AB1142" s="123"/>
      <c r="AC1142" s="123">
        <v>0.0</v>
      </c>
      <c r="AD1142" s="44">
        <f t="shared" si="7"/>
        <v>-19500</v>
      </c>
      <c r="AE1142" s="123">
        <v>0.0</v>
      </c>
    </row>
    <row r="1143">
      <c r="A1143" s="120">
        <v>2015.0</v>
      </c>
      <c r="B1143" s="121">
        <v>12.0</v>
      </c>
      <c r="C1143" s="122" t="s">
        <v>38</v>
      </c>
      <c r="D1143" s="44"/>
      <c r="E1143" s="123">
        <v>9062.65</v>
      </c>
      <c r="F1143" s="123">
        <v>-41000.0</v>
      </c>
      <c r="G1143" s="123"/>
      <c r="H1143" s="123">
        <v>-2301.37</v>
      </c>
      <c r="I1143" s="44"/>
      <c r="J1143" s="123">
        <v>8521.22</v>
      </c>
      <c r="K1143" s="44"/>
      <c r="L1143" s="123">
        <v>-24717.48</v>
      </c>
      <c r="M1143" s="44"/>
      <c r="N1143" s="44"/>
      <c r="O1143" s="123">
        <v>344325.0</v>
      </c>
      <c r="P1143" s="52">
        <f t="shared" si="23"/>
        <v>344325.02</v>
      </c>
      <c r="Q1143" s="124">
        <f t="shared" si="2"/>
        <v>-0.02000000002</v>
      </c>
      <c r="R1143" s="52">
        <f t="array" ref="R1143">IFERROR(INDEX('Fund YTD Target Values'!$1:$1000, MATCH($C1143,'Fund YTD Target Values'!$A:$A,0), MATCH($A1143,'Fund YTD Target Values'!$1:$1,0)),0)</f>
        <v>484138.8186</v>
      </c>
      <c r="S1143" s="52">
        <f>IFERROR(__xludf.DUMMYFUNCTION("IFERROR(sum(FILTER('Fund Data'!$V:$V, 'Fund Data'!$C:$C = $C1143, 'Fund Data'!$A:$A &lt; $A1143)),0) + IFERROR(sum(FILTER('Fund Data'!$V:$V, 'Fund Data'!$C:$C = $C1143, 'Fund Data'!$A:$A = $A1143, 'Fund Data'!$B:$B &lt;= $B1143)),0)"),325871.64)</f>
        <v>325871.64</v>
      </c>
      <c r="T1143" s="123">
        <v>326032.0</v>
      </c>
      <c r="U1143" s="44">
        <f t="shared" si="103"/>
        <v>-160.36</v>
      </c>
      <c r="V1143" s="44">
        <f t="shared" si="3"/>
        <v>0</v>
      </c>
      <c r="W1143" s="123"/>
      <c r="X1143" s="123"/>
      <c r="Y1143" s="123">
        <v>0.0</v>
      </c>
      <c r="Z1143" s="123">
        <v>0.0</v>
      </c>
      <c r="AA1143" s="123">
        <v>0.0</v>
      </c>
      <c r="AB1143" s="123"/>
      <c r="AC1143" s="123">
        <v>0.0</v>
      </c>
      <c r="AD1143" s="44">
        <f t="shared" si="7"/>
        <v>-41000</v>
      </c>
      <c r="AE1143" s="123">
        <v>0.0</v>
      </c>
    </row>
    <row r="1144">
      <c r="A1144" s="120">
        <v>2014.0</v>
      </c>
      <c r="B1144" s="121">
        <v>12.0</v>
      </c>
      <c r="C1144" s="122" t="s">
        <v>38</v>
      </c>
      <c r="D1144" s="44"/>
      <c r="E1144" s="123">
        <v>7681.72</v>
      </c>
      <c r="F1144" s="123">
        <v>-19000.0</v>
      </c>
      <c r="G1144" s="123"/>
      <c r="H1144" s="123">
        <v>-2472.46</v>
      </c>
      <c r="I1144" s="44"/>
      <c r="J1144" s="123">
        <v>3417.72</v>
      </c>
      <c r="K1144" s="44"/>
      <c r="L1144" s="123">
        <v>-1330.54</v>
      </c>
      <c r="M1144" s="44"/>
      <c r="N1144" s="44"/>
      <c r="O1144" s="123">
        <v>394760.0</v>
      </c>
      <c r="P1144" s="52">
        <f t="shared" si="23"/>
        <v>394760</v>
      </c>
      <c r="Q1144" s="124">
        <f t="shared" si="2"/>
        <v>0</v>
      </c>
      <c r="R1144" s="52">
        <f t="array" ref="R1144">IFERROR(INDEX('Fund YTD Target Values'!$1:$1000, MATCH($C1144,'Fund YTD Target Values'!$A:$A,0), MATCH($A1144,'Fund YTD Target Values'!$1:$1,0)),0)</f>
        <v>483563.8633</v>
      </c>
      <c r="S1144" s="52">
        <f>IFERROR(__xludf.DUMMYFUNCTION("IFERROR(sum(FILTER('Fund Data'!$V:$V, 'Fund Data'!$C:$C = $C1144, 'Fund Data'!$A:$A &lt; $A1144)),0) + IFERROR(sum(FILTER('Fund Data'!$V:$V, 'Fund Data'!$C:$C = $C1144, 'Fund Data'!$A:$A = $A1144, 'Fund Data'!$B:$B &lt;= $B1144)),0)"),325871.64)</f>
        <v>325871.64</v>
      </c>
      <c r="T1144" s="123">
        <v>326032.0</v>
      </c>
      <c r="U1144" s="44">
        <f t="shared" si="103"/>
        <v>-160.36</v>
      </c>
      <c r="V1144" s="44">
        <f t="shared" si="3"/>
        <v>0</v>
      </c>
      <c r="W1144" s="123"/>
      <c r="X1144" s="123"/>
      <c r="Y1144" s="123">
        <v>0.0</v>
      </c>
      <c r="Z1144" s="123">
        <v>0.0</v>
      </c>
      <c r="AA1144" s="123">
        <v>0.0</v>
      </c>
      <c r="AB1144" s="123"/>
      <c r="AC1144" s="123">
        <v>0.0</v>
      </c>
      <c r="AD1144" s="44">
        <f t="shared" si="7"/>
        <v>-19000</v>
      </c>
      <c r="AE1144" s="123">
        <v>0.0</v>
      </c>
    </row>
    <row r="1145">
      <c r="A1145" s="120">
        <v>2013.0</v>
      </c>
      <c r="B1145" s="121">
        <v>12.0</v>
      </c>
      <c r="C1145" s="122" t="s">
        <v>38</v>
      </c>
      <c r="D1145" s="44"/>
      <c r="E1145" s="123">
        <v>8573.46</v>
      </c>
      <c r="F1145" s="123">
        <v>-40000.0</v>
      </c>
      <c r="G1145" s="123"/>
      <c r="H1145" s="123">
        <v>-2453.32</v>
      </c>
      <c r="I1145" s="44"/>
      <c r="J1145" s="123">
        <v>8123.24</v>
      </c>
      <c r="K1145" s="44"/>
      <c r="L1145" s="123">
        <v>28694.99</v>
      </c>
      <c r="M1145" s="44"/>
      <c r="N1145" s="44"/>
      <c r="O1145" s="123">
        <v>406463.0</v>
      </c>
      <c r="P1145" s="52">
        <f t="shared" si="23"/>
        <v>406463.56</v>
      </c>
      <c r="Q1145" s="124">
        <f t="shared" si="2"/>
        <v>-0.5600000001</v>
      </c>
      <c r="R1145" s="52">
        <f t="array" ref="R1145">IFERROR(INDEX('Fund YTD Target Values'!$1:$1000, MATCH($C1145,'Fund YTD Target Values'!$A:$A,0), MATCH($A1145,'Fund YTD Target Values'!$1:$1,0)),0)</f>
        <v>475846.0926</v>
      </c>
      <c r="S1145" s="52">
        <f>IFERROR(__xludf.DUMMYFUNCTION("IFERROR(sum(FILTER('Fund Data'!$V:$V, 'Fund Data'!$C:$C = $C1145, 'Fund Data'!$A:$A &lt; $A1145)),0) + IFERROR(sum(FILTER('Fund Data'!$V:$V, 'Fund Data'!$C:$C = $C1145, 'Fund Data'!$A:$A = $A1145, 'Fund Data'!$B:$B &lt;= $B1145)),0)"),325871.64)</f>
        <v>325871.64</v>
      </c>
      <c r="T1145" s="123">
        <v>326032.0</v>
      </c>
      <c r="U1145" s="44">
        <f t="shared" si="103"/>
        <v>-160.36</v>
      </c>
      <c r="V1145" s="44">
        <f t="shared" si="3"/>
        <v>0</v>
      </c>
      <c r="W1145" s="123"/>
      <c r="X1145" s="123"/>
      <c r="Y1145" s="123">
        <v>0.0</v>
      </c>
      <c r="Z1145" s="123">
        <v>0.0</v>
      </c>
      <c r="AA1145" s="123">
        <v>0.0</v>
      </c>
      <c r="AB1145" s="123"/>
      <c r="AC1145" s="123">
        <v>0.0</v>
      </c>
      <c r="AD1145" s="44">
        <f t="shared" si="7"/>
        <v>-40000</v>
      </c>
      <c r="AE1145" s="123">
        <v>0.0</v>
      </c>
    </row>
    <row r="1146">
      <c r="A1146" s="120">
        <v>2012.0</v>
      </c>
      <c r="B1146" s="121">
        <v>12.0</v>
      </c>
      <c r="C1146" s="122" t="s">
        <v>38</v>
      </c>
      <c r="D1146" s="44"/>
      <c r="E1146" s="123">
        <v>8164.14</v>
      </c>
      <c r="F1146" s="123">
        <v>-18500.0</v>
      </c>
      <c r="G1146" s="123"/>
      <c r="H1146" s="123">
        <v>-2402.61</v>
      </c>
      <c r="I1146" s="44"/>
      <c r="J1146" s="123">
        <v>687.67</v>
      </c>
      <c r="K1146" s="123">
        <v>-19.0</v>
      </c>
      <c r="L1146" s="123">
        <v>39058.37</v>
      </c>
      <c r="M1146" s="44"/>
      <c r="N1146" s="44"/>
      <c r="O1146" s="123">
        <v>403525.0</v>
      </c>
      <c r="P1146" s="52">
        <f t="shared" si="23"/>
        <v>403525.19</v>
      </c>
      <c r="Q1146" s="124">
        <f t="shared" si="2"/>
        <v>-0.19</v>
      </c>
      <c r="R1146" s="52">
        <f t="array" ref="R1146">IFERROR(INDEX('Fund YTD Target Values'!$1:$1000, MATCH($C1146,'Fund YTD Target Values'!$A:$A,0), MATCH($A1146,'Fund YTD Target Values'!$1:$1,0)),0)</f>
        <v>468970.7676</v>
      </c>
      <c r="S1146" s="52">
        <f>IFERROR(__xludf.DUMMYFUNCTION("IFERROR(sum(FILTER('Fund Data'!$V:$V, 'Fund Data'!$C:$C = $C1146, 'Fund Data'!$A:$A &lt; $A1146)),0) + IFERROR(sum(FILTER('Fund Data'!$V:$V, 'Fund Data'!$C:$C = $C1146, 'Fund Data'!$A:$A = $A1146, 'Fund Data'!$B:$B &lt;= $B1146)),0)"),325871.64)</f>
        <v>325871.64</v>
      </c>
      <c r="T1146" s="123">
        <v>326032.0</v>
      </c>
      <c r="U1146" s="44">
        <f t="shared" si="103"/>
        <v>-160.36</v>
      </c>
      <c r="V1146" s="44">
        <f t="shared" si="3"/>
        <v>0</v>
      </c>
      <c r="W1146" s="123"/>
      <c r="X1146" s="123"/>
      <c r="Y1146" s="123">
        <v>0.0</v>
      </c>
      <c r="Z1146" s="123">
        <v>0.0</v>
      </c>
      <c r="AA1146" s="123">
        <v>0.0</v>
      </c>
      <c r="AB1146" s="123"/>
      <c r="AC1146" s="123">
        <v>0.0</v>
      </c>
      <c r="AD1146" s="44">
        <f t="shared" si="7"/>
        <v>-18500</v>
      </c>
      <c r="AE1146" s="123">
        <v>0.0</v>
      </c>
    </row>
    <row r="1147">
      <c r="A1147" s="120">
        <v>2011.0</v>
      </c>
      <c r="B1147" s="121">
        <v>12.0</v>
      </c>
      <c r="C1147" s="122" t="s">
        <v>38</v>
      </c>
      <c r="D1147" s="44"/>
      <c r="E1147" s="123">
        <v>7107.0</v>
      </c>
      <c r="F1147" s="123">
        <v>-30000.0</v>
      </c>
      <c r="G1147" s="123"/>
      <c r="H1147" s="123">
        <v>-2524.93</v>
      </c>
      <c r="I1147" s="44"/>
      <c r="J1147" s="123">
        <v>4389.27</v>
      </c>
      <c r="K1147" s="44"/>
      <c r="L1147" s="123">
        <v>-29503.34</v>
      </c>
      <c r="M1147" s="44"/>
      <c r="N1147" s="44"/>
      <c r="O1147" s="123">
        <v>376536.0</v>
      </c>
      <c r="P1147" s="52">
        <f t="shared" si="23"/>
        <v>376536.62</v>
      </c>
      <c r="Q1147" s="124">
        <f t="shared" si="2"/>
        <v>-0.62</v>
      </c>
      <c r="R1147" s="52">
        <f t="array" ref="R1147">IFERROR(INDEX('Fund YTD Target Values'!$1:$1000, MATCH($C1147,'Fund YTD Target Values'!$A:$A,0), MATCH($A1147,'Fund YTD Target Values'!$1:$1,0)),0)</f>
        <v>459445.5754</v>
      </c>
      <c r="S1147" s="52">
        <f>IFERROR(__xludf.DUMMYFUNCTION("IFERROR(sum(FILTER('Fund Data'!$V:$V, 'Fund Data'!$C:$C = $C1147, 'Fund Data'!$A:$A &lt; $A1147)),0) + IFERROR(sum(FILTER('Fund Data'!$V:$V, 'Fund Data'!$C:$C = $C1147, 'Fund Data'!$A:$A = $A1147, 'Fund Data'!$B:$B &lt;= $B1147)),0)"),325871.64)</f>
        <v>325871.64</v>
      </c>
      <c r="T1147" s="123">
        <v>326032.0</v>
      </c>
      <c r="U1147" s="44">
        <f t="shared" si="103"/>
        <v>-160.36</v>
      </c>
      <c r="V1147" s="44">
        <f t="shared" si="3"/>
        <v>0</v>
      </c>
      <c r="W1147" s="123"/>
      <c r="X1147" s="123"/>
      <c r="Y1147" s="123">
        <v>0.0</v>
      </c>
      <c r="Z1147" s="123">
        <v>0.0</v>
      </c>
      <c r="AA1147" s="123">
        <v>0.0</v>
      </c>
      <c r="AB1147" s="123"/>
      <c r="AC1147" s="123">
        <v>0.0</v>
      </c>
      <c r="AD1147" s="44">
        <f t="shared" si="7"/>
        <v>-30000</v>
      </c>
      <c r="AE1147" s="123">
        <v>0.0</v>
      </c>
    </row>
    <row r="1148">
      <c r="A1148" s="120">
        <v>2010.0</v>
      </c>
      <c r="B1148" s="121">
        <v>12.0</v>
      </c>
      <c r="C1148" s="122" t="s">
        <v>38</v>
      </c>
      <c r="D1148" s="44"/>
      <c r="E1148" s="123">
        <v>8197.58</v>
      </c>
      <c r="F1148" s="123">
        <v>-15000.0</v>
      </c>
      <c r="G1148" s="123"/>
      <c r="H1148" s="123">
        <v>-2328.85</v>
      </c>
      <c r="I1148" s="44"/>
      <c r="J1148" s="123">
        <v>1038.46</v>
      </c>
      <c r="K1148" s="44"/>
      <c r="L1148" s="123">
        <v>44135.03</v>
      </c>
      <c r="M1148" s="44"/>
      <c r="N1148" s="44"/>
      <c r="O1148" s="123">
        <v>427068.0</v>
      </c>
      <c r="P1148" s="52">
        <f t="shared" si="23"/>
        <v>427068.62</v>
      </c>
      <c r="Q1148" s="124">
        <f t="shared" si="2"/>
        <v>-0.62</v>
      </c>
      <c r="R1148" s="52">
        <f t="array" ref="R1148">IFERROR(INDEX('Fund YTD Target Values'!$1:$1000, MATCH($C1148,'Fund YTD Target Values'!$A:$A,0), MATCH($A1148,'Fund YTD Target Values'!$1:$1,0)),0)</f>
        <v>445392.5435</v>
      </c>
      <c r="S1148" s="52">
        <f>IFERROR(__xludf.DUMMYFUNCTION("IFERROR(sum(FILTER('Fund Data'!$V:$V, 'Fund Data'!$C:$C = $C1148, 'Fund Data'!$A:$A &lt; $A1148)),0) + IFERROR(sum(FILTER('Fund Data'!$V:$V, 'Fund Data'!$C:$C = $C1148, 'Fund Data'!$A:$A = $A1148, 'Fund Data'!$B:$B &lt;= $B1148)),0)"),325871.64)</f>
        <v>325871.64</v>
      </c>
      <c r="T1148" s="123">
        <v>326032.0</v>
      </c>
      <c r="U1148" s="44">
        <f t="shared" si="103"/>
        <v>-160.36</v>
      </c>
      <c r="V1148" s="44">
        <f t="shared" si="3"/>
        <v>0</v>
      </c>
      <c r="W1148" s="123"/>
      <c r="X1148" s="123"/>
      <c r="Y1148" s="123">
        <v>0.0</v>
      </c>
      <c r="Z1148" s="123">
        <v>0.0</v>
      </c>
      <c r="AA1148" s="123">
        <v>0.0</v>
      </c>
      <c r="AB1148" s="123"/>
      <c r="AC1148" s="123">
        <v>0.0</v>
      </c>
      <c r="AD1148" s="44">
        <f t="shared" si="7"/>
        <v>-15000</v>
      </c>
      <c r="AE1148" s="123">
        <v>0.0</v>
      </c>
    </row>
    <row r="1149">
      <c r="A1149" s="120">
        <v>2009.0</v>
      </c>
      <c r="B1149" s="121">
        <v>12.0</v>
      </c>
      <c r="C1149" s="122" t="s">
        <v>38</v>
      </c>
      <c r="D1149" s="44"/>
      <c r="E1149" s="123">
        <v>10539.87</v>
      </c>
      <c r="F1149" s="123">
        <v>-23000.0</v>
      </c>
      <c r="G1149" s="123"/>
      <c r="H1149" s="123">
        <v>-2127.51</v>
      </c>
      <c r="I1149" s="44"/>
      <c r="J1149" s="44"/>
      <c r="K1149" s="123">
        <v>-566.19</v>
      </c>
      <c r="L1149" s="123">
        <v>62853.28</v>
      </c>
      <c r="M1149" s="44"/>
      <c r="N1149" s="44"/>
      <c r="O1149" s="123">
        <v>391026.0</v>
      </c>
      <c r="P1149" s="52">
        <f t="shared" si="23"/>
        <v>391026.4</v>
      </c>
      <c r="Q1149" s="124">
        <f t="shared" si="2"/>
        <v>-0.4000000001</v>
      </c>
      <c r="R1149" s="52">
        <f t="array" ref="R1149">IFERROR(INDEX('Fund YTD Target Values'!$1:$1000, MATCH($C1149,'Fund YTD Target Values'!$A:$A,0), MATCH($A1149,'Fund YTD Target Values'!$1:$1,0)),0)</f>
        <v>438187.3435</v>
      </c>
      <c r="S1149" s="52">
        <f>IFERROR(__xludf.DUMMYFUNCTION("IFERROR(sum(FILTER('Fund Data'!$V:$V, 'Fund Data'!$C:$C = $C1149, 'Fund Data'!$A:$A &lt; $A1149)),0) + IFERROR(sum(FILTER('Fund Data'!$V:$V, 'Fund Data'!$C:$C = $C1149, 'Fund Data'!$A:$A = $A1149, 'Fund Data'!$B:$B &lt;= $B1149)),0)"),325871.64)</f>
        <v>325871.64</v>
      </c>
      <c r="T1149" s="123">
        <v>326032.0</v>
      </c>
      <c r="U1149" s="44">
        <f t="shared" si="103"/>
        <v>-160.36</v>
      </c>
      <c r="V1149" s="44">
        <f t="shared" si="3"/>
        <v>0</v>
      </c>
      <c r="W1149" s="123"/>
      <c r="X1149" s="123"/>
      <c r="Y1149" s="123">
        <v>0.0</v>
      </c>
      <c r="Z1149" s="123">
        <v>0.0</v>
      </c>
      <c r="AA1149" s="123">
        <v>0.0</v>
      </c>
      <c r="AB1149" s="123"/>
      <c r="AC1149" s="123">
        <v>0.0</v>
      </c>
      <c r="AD1149" s="44">
        <f t="shared" si="7"/>
        <v>-23000</v>
      </c>
      <c r="AE1149" s="123">
        <v>0.0</v>
      </c>
    </row>
    <row r="1150">
      <c r="A1150" s="120">
        <v>2008.0</v>
      </c>
      <c r="B1150" s="121">
        <v>12.0</v>
      </c>
      <c r="C1150" s="122" t="s">
        <v>38</v>
      </c>
      <c r="D1150" s="44"/>
      <c r="E1150" s="123">
        <v>11313.58</v>
      </c>
      <c r="F1150" s="123">
        <v>-35000.0</v>
      </c>
      <c r="G1150" s="123"/>
      <c r="H1150" s="123">
        <v>-2543.39</v>
      </c>
      <c r="I1150" s="44"/>
      <c r="J1150" s="123">
        <v>3436.26</v>
      </c>
      <c r="K1150" s="44"/>
      <c r="L1150" s="123">
        <v>-118037.39</v>
      </c>
      <c r="M1150" s="44"/>
      <c r="N1150" s="44"/>
      <c r="O1150" s="123">
        <v>343327.0</v>
      </c>
      <c r="P1150" s="52">
        <f t="shared" si="23"/>
        <v>343326.95</v>
      </c>
      <c r="Q1150" s="124">
        <f t="shared" si="2"/>
        <v>0.04999999999</v>
      </c>
      <c r="R1150" s="52">
        <f t="array" ref="R1150">IFERROR(INDEX('Fund YTD Target Values'!$1:$1000, MATCH($C1150,'Fund YTD Target Values'!$A:$A,0), MATCH($A1150,'Fund YTD Target Values'!$1:$1,0)),0)</f>
        <v>439672.5574</v>
      </c>
      <c r="S1150" s="52">
        <f>IFERROR(__xludf.DUMMYFUNCTION("IFERROR(sum(FILTER('Fund Data'!$V:$V, 'Fund Data'!$C:$C = $C1150, 'Fund Data'!$A:$A &lt; $A1150)),0) + IFERROR(sum(FILTER('Fund Data'!$V:$V, 'Fund Data'!$C:$C = $C1150, 'Fund Data'!$A:$A = $A1150, 'Fund Data'!$B:$B &lt;= $B1150)),0)"),325871.64)</f>
        <v>325871.64</v>
      </c>
      <c r="T1150" s="123">
        <v>326032.0</v>
      </c>
      <c r="U1150" s="44">
        <f t="shared" si="103"/>
        <v>-160.36</v>
      </c>
      <c r="V1150" s="44">
        <f t="shared" si="3"/>
        <v>0</v>
      </c>
      <c r="W1150" s="123"/>
      <c r="X1150" s="123"/>
      <c r="Y1150" s="123">
        <v>0.0</v>
      </c>
      <c r="Z1150" s="123">
        <v>0.0</v>
      </c>
      <c r="AA1150" s="123">
        <v>0.0</v>
      </c>
      <c r="AB1150" s="123"/>
      <c r="AC1150" s="123">
        <v>0.0</v>
      </c>
      <c r="AD1150" s="44">
        <f t="shared" si="7"/>
        <v>-35000</v>
      </c>
      <c r="AE1150" s="123">
        <v>0.0</v>
      </c>
    </row>
    <row r="1151">
      <c r="A1151" s="120">
        <v>2007.0</v>
      </c>
      <c r="B1151" s="121">
        <v>12.0</v>
      </c>
      <c r="C1151" s="122" t="s">
        <v>38</v>
      </c>
      <c r="D1151" s="44"/>
      <c r="E1151" s="123">
        <v>7858.11</v>
      </c>
      <c r="F1151" s="123">
        <v>-55000.0</v>
      </c>
      <c r="G1151" s="123"/>
      <c r="H1151" s="123">
        <v>-3026.74</v>
      </c>
      <c r="I1151" s="44"/>
      <c r="J1151" s="123">
        <v>6001.04</v>
      </c>
      <c r="K1151" s="44"/>
      <c r="L1151" s="123">
        <v>37511.33</v>
      </c>
      <c r="M1151" s="123">
        <v>-3.0</v>
      </c>
      <c r="N1151" s="44"/>
      <c r="O1151" s="123">
        <v>484158.0</v>
      </c>
      <c r="P1151" s="52">
        <f t="shared" si="23"/>
        <v>484157.89</v>
      </c>
      <c r="Q1151" s="124">
        <f t="shared" si="2"/>
        <v>0.11</v>
      </c>
      <c r="R1151" s="52">
        <f t="array" ref="R1151">IFERROR(INDEX('Fund YTD Target Values'!$1:$1000, MATCH($C1151,'Fund YTD Target Values'!$A:$A,0), MATCH($A1151,'Fund YTD Target Values'!$1:$1,0)),0)</f>
        <v>423390.5125</v>
      </c>
      <c r="S1151" s="52">
        <f>IFERROR(__xludf.DUMMYFUNCTION("IFERROR(sum(FILTER('Fund Data'!$V:$V, 'Fund Data'!$C:$C = $C1151, 'Fund Data'!$A:$A &lt; $A1151)),0) + IFERROR(sum(FILTER('Fund Data'!$V:$V, 'Fund Data'!$C:$C = $C1151, 'Fund Data'!$A:$A = $A1151, 'Fund Data'!$B:$B &lt;= $B1151)),0)"),325871.64)</f>
        <v>325871.64</v>
      </c>
      <c r="T1151" s="123">
        <v>326032.0</v>
      </c>
      <c r="U1151" s="44">
        <f t="shared" si="103"/>
        <v>-160.36</v>
      </c>
      <c r="V1151" s="44">
        <f t="shared" si="3"/>
        <v>0</v>
      </c>
      <c r="W1151" s="123"/>
      <c r="X1151" s="123"/>
      <c r="Y1151" s="123">
        <v>0.0</v>
      </c>
      <c r="Z1151" s="123">
        <v>0.0</v>
      </c>
      <c r="AA1151" s="123">
        <v>0.0</v>
      </c>
      <c r="AB1151" s="123"/>
      <c r="AC1151" s="123">
        <v>0.0</v>
      </c>
      <c r="AD1151" s="44">
        <f t="shared" si="7"/>
        <v>-55000</v>
      </c>
      <c r="AE1151" s="123">
        <v>0.0</v>
      </c>
    </row>
    <row r="1152">
      <c r="A1152" s="120">
        <v>2006.0</v>
      </c>
      <c r="B1152" s="121">
        <v>12.0</v>
      </c>
      <c r="C1152" s="122" t="s">
        <v>38</v>
      </c>
      <c r="D1152" s="123">
        <v>-524300.0</v>
      </c>
      <c r="E1152" s="123">
        <v>16754.46</v>
      </c>
      <c r="F1152" s="123">
        <v>-40000.0</v>
      </c>
      <c r="G1152" s="123"/>
      <c r="H1152" s="123">
        <v>-6462.98</v>
      </c>
      <c r="I1152" s="44"/>
      <c r="J1152" s="123">
        <v>651.51</v>
      </c>
      <c r="K1152" s="44"/>
      <c r="L1152" s="123">
        <v>37602.51</v>
      </c>
      <c r="M1152" s="123">
        <v>-2859.18</v>
      </c>
      <c r="N1152" s="44"/>
      <c r="O1152" s="123">
        <v>490817.0</v>
      </c>
      <c r="P1152" s="52">
        <f t="shared" si="23"/>
        <v>490817.15</v>
      </c>
      <c r="Q1152" s="124">
        <f t="shared" si="2"/>
        <v>-0.1499999997</v>
      </c>
      <c r="R1152" s="52">
        <f t="array" ref="R1152">IFERROR(INDEX('Fund YTD Target Values'!$1:$1000, MATCH($C1152,'Fund YTD Target Values'!$A:$A,0), MATCH($A1152,'Fund YTD Target Values'!$1:$1,0)),0)</f>
        <v>411648.8358</v>
      </c>
      <c r="S1152" s="52">
        <f>IFERROR(__xludf.DUMMYFUNCTION("IFERROR(sum(FILTER('Fund Data'!$V:$V, 'Fund Data'!$C:$C = $C1152, 'Fund Data'!$A:$A &lt; $A1152)),0) + IFERROR(sum(FILTER('Fund Data'!$V:$V, 'Fund Data'!$C:$C = $C1152, 'Fund Data'!$A:$A = $A1152, 'Fund Data'!$B:$B &lt;= $B1152)),0)"),325871.6399999999)</f>
        <v>325871.64</v>
      </c>
      <c r="T1152" s="123">
        <v>326032.0</v>
      </c>
      <c r="U1152" s="44">
        <f t="shared" si="103"/>
        <v>-160.36</v>
      </c>
      <c r="V1152" s="44">
        <f t="shared" si="3"/>
        <v>-524300</v>
      </c>
      <c r="W1152" s="123"/>
      <c r="X1152" s="123"/>
      <c r="Y1152" s="123">
        <v>0.0</v>
      </c>
      <c r="Z1152" s="123">
        <v>0.0</v>
      </c>
      <c r="AA1152" s="123">
        <v>0.0</v>
      </c>
      <c r="AB1152" s="123"/>
      <c r="AC1152" s="123">
        <v>0.0</v>
      </c>
      <c r="AD1152" s="44">
        <f t="shared" si="7"/>
        <v>-40000</v>
      </c>
      <c r="AE1152" s="123">
        <v>0.0</v>
      </c>
    </row>
    <row r="1153">
      <c r="A1153" s="120">
        <v>2005.0</v>
      </c>
      <c r="B1153" s="121">
        <v>12.0</v>
      </c>
      <c r="C1153" s="122" t="s">
        <v>38</v>
      </c>
      <c r="D1153" s="123">
        <v>138883.18</v>
      </c>
      <c r="E1153" s="123">
        <v>19594.2</v>
      </c>
      <c r="F1153" s="123">
        <v>-18500.0</v>
      </c>
      <c r="G1153" s="123"/>
      <c r="H1153" s="123">
        <v>-5148.74</v>
      </c>
      <c r="I1153" s="44"/>
      <c r="J1153" s="123">
        <v>116949.06</v>
      </c>
      <c r="K1153" s="44"/>
      <c r="L1153" s="123">
        <v>-73358.12</v>
      </c>
      <c r="M1153" s="123">
        <v>2809.95</v>
      </c>
      <c r="N1153" s="44"/>
      <c r="O1153" s="123">
        <v>1009431.0</v>
      </c>
      <c r="P1153" s="52">
        <f t="shared" si="23"/>
        <v>1009430.83</v>
      </c>
      <c r="Q1153" s="124">
        <f t="shared" si="2"/>
        <v>0.1700000002</v>
      </c>
      <c r="R1153" s="52">
        <f t="array" ref="R1153">IFERROR(INDEX('Fund YTD Target Values'!$1:$1000, MATCH($C1153,'Fund YTD Target Values'!$A:$A,0), MATCH($A1153,'Fund YTD Target Values'!$1:$1,0)),0)</f>
        <v>906617.7561</v>
      </c>
      <c r="S1153" s="52">
        <f>IFERROR(__xludf.DUMMYFUNCTION("IFERROR(sum(FILTER('Fund Data'!$V:$V, 'Fund Data'!$C:$C = $C1153, 'Fund Data'!$A:$A &lt; $A1153)),0) + IFERROR(sum(FILTER('Fund Data'!$V:$V, 'Fund Data'!$C:$C = $C1153, 'Fund Data'!$A:$A = $A1153, 'Fund Data'!$B:$B &lt;= $B1153)),0)"),850171.6399999999)</f>
        <v>850171.64</v>
      </c>
      <c r="T1153" s="123">
        <v>850332.0</v>
      </c>
      <c r="U1153" s="44">
        <f t="shared" si="103"/>
        <v>-160.36</v>
      </c>
      <c r="V1153" s="44">
        <f t="shared" si="3"/>
        <v>138883.18</v>
      </c>
      <c r="W1153" s="123"/>
      <c r="X1153" s="123"/>
      <c r="Y1153" s="123">
        <v>0.0</v>
      </c>
      <c r="Z1153" s="123">
        <v>0.0</v>
      </c>
      <c r="AA1153" s="123">
        <v>0.0</v>
      </c>
      <c r="AB1153" s="123"/>
      <c r="AC1153" s="123">
        <v>0.0</v>
      </c>
      <c r="AD1153" s="44">
        <f t="shared" si="7"/>
        <v>-18500</v>
      </c>
      <c r="AE1153" s="123">
        <v>0.0</v>
      </c>
    </row>
    <row r="1154">
      <c r="A1154" s="120">
        <v>2004.0</v>
      </c>
      <c r="B1154" s="121">
        <v>12.0</v>
      </c>
      <c r="C1154" s="122" t="s">
        <v>38</v>
      </c>
      <c r="D1154" s="123">
        <v>184063.45</v>
      </c>
      <c r="E1154" s="123">
        <v>21183.97</v>
      </c>
      <c r="F1154" s="123">
        <v>-13500.0</v>
      </c>
      <c r="G1154" s="123"/>
      <c r="H1154" s="123">
        <v>-3098.18</v>
      </c>
      <c r="I1154" s="123"/>
      <c r="J1154" s="123">
        <v>9904.33</v>
      </c>
      <c r="K1154" s="123">
        <v>-7900.87</v>
      </c>
      <c r="L1154" s="123">
        <v>41390.34</v>
      </c>
      <c r="M1154" s="123">
        <v>-2.02</v>
      </c>
      <c r="N1154" s="123">
        <v>8477.31</v>
      </c>
      <c r="O1154" s="123">
        <v>828201.0</v>
      </c>
      <c r="P1154" s="52">
        <f t="shared" si="23"/>
        <v>828201.3</v>
      </c>
      <c r="Q1154" s="124">
        <f t="shared" si="2"/>
        <v>-0.3</v>
      </c>
      <c r="R1154" s="52">
        <f t="array" ref="R1154">IFERROR(INDEX('Fund YTD Target Values'!$1:$1000, MATCH($C1154,'Fund YTD Target Values'!$A:$A,0), MATCH($A1154,'Fund YTD Target Values'!$1:$1,0)),0)</f>
        <v>742559.3119</v>
      </c>
      <c r="S1154" s="52">
        <f>IFERROR(__xludf.DUMMYFUNCTION("IFERROR(sum(FILTER('Fund Data'!$V:$V, 'Fund Data'!$C:$C = $C1154, 'Fund Data'!$A:$A &lt; $A1154)),0) + IFERROR(sum(FILTER('Fund Data'!$V:$V, 'Fund Data'!$C:$C = $C1154, 'Fund Data'!$A:$A = $A1154, 'Fund Data'!$B:$B &lt;= $B1154)),0)"),711288.46)</f>
        <v>711288.46</v>
      </c>
      <c r="T1154" s="123">
        <v>711449.0</v>
      </c>
      <c r="U1154" s="44">
        <f t="shared" si="103"/>
        <v>-160.54</v>
      </c>
      <c r="V1154" s="44">
        <f t="shared" si="3"/>
        <v>184063.45</v>
      </c>
      <c r="W1154" s="123"/>
      <c r="X1154" s="123"/>
      <c r="Y1154" s="123">
        <v>0.0</v>
      </c>
      <c r="Z1154" s="123">
        <v>0.0</v>
      </c>
      <c r="AA1154" s="123">
        <v>0.0</v>
      </c>
      <c r="AB1154" s="123"/>
      <c r="AC1154" s="123">
        <v>0.0</v>
      </c>
      <c r="AD1154" s="44">
        <f t="shared" si="7"/>
        <v>-13500</v>
      </c>
      <c r="AE1154" s="123">
        <v>0.0</v>
      </c>
    </row>
    <row r="1155">
      <c r="A1155" s="120">
        <v>2003.0</v>
      </c>
      <c r="B1155" s="121">
        <v>12.0</v>
      </c>
      <c r="C1155" s="122" t="s">
        <v>38</v>
      </c>
      <c r="D1155" s="123">
        <v>120026.7</v>
      </c>
      <c r="E1155" s="123">
        <v>12425.69</v>
      </c>
      <c r="F1155" s="123">
        <v>-10000.0</v>
      </c>
      <c r="G1155" s="123"/>
      <c r="H1155" s="123">
        <v>-1983.18</v>
      </c>
      <c r="I1155" s="123"/>
      <c r="J1155" s="123">
        <v>49892.54</v>
      </c>
      <c r="K1155" s="123">
        <v>-1689.68</v>
      </c>
      <c r="L1155" s="123">
        <v>61759.26</v>
      </c>
      <c r="M1155" s="123">
        <v>41.34</v>
      </c>
      <c r="N1155" s="123">
        <v>4981.15</v>
      </c>
      <c r="O1155" s="123">
        <v>587683.0</v>
      </c>
      <c r="P1155" s="52">
        <f t="shared" si="23"/>
        <v>587682.97</v>
      </c>
      <c r="Q1155" s="124">
        <f t="shared" si="2"/>
        <v>0.03000000003</v>
      </c>
      <c r="R1155" s="52">
        <f t="array" ref="R1155">IFERROR(INDEX('Fund YTD Target Values'!$1:$1000, MATCH($C1155,'Fund YTD Target Values'!$A:$A,0), MATCH($A1155,'Fund YTD Target Values'!$1:$1,0)),0)</f>
        <v>543940.7581</v>
      </c>
      <c r="S1155" s="52">
        <f>IFERROR(__xludf.DUMMYFUNCTION("IFERROR(sum(FILTER('Fund Data'!$V:$V, 'Fund Data'!$C:$C = $C1155, 'Fund Data'!$A:$A &lt; $A1155)),0) + IFERROR(sum(FILTER('Fund Data'!$V:$V, 'Fund Data'!$C:$C = $C1155, 'Fund Data'!$A:$A = $A1155, 'Fund Data'!$B:$B &lt;= $B1155)),0)"),527225.0099999999)</f>
        <v>527225.01</v>
      </c>
      <c r="T1155" s="123">
        <v>527386.0</v>
      </c>
      <c r="U1155" s="44">
        <f t="shared" si="103"/>
        <v>-160.99</v>
      </c>
      <c r="V1155" s="44">
        <f t="shared" si="3"/>
        <v>120026.7</v>
      </c>
      <c r="W1155" s="123"/>
      <c r="X1155" s="123"/>
      <c r="Y1155" s="123">
        <v>0.0</v>
      </c>
      <c r="Z1155" s="123">
        <v>0.0</v>
      </c>
      <c r="AA1155" s="123">
        <v>0.0</v>
      </c>
      <c r="AB1155" s="123"/>
      <c r="AC1155" s="123">
        <v>0.0</v>
      </c>
      <c r="AD1155" s="44">
        <f t="shared" si="7"/>
        <v>-10000</v>
      </c>
      <c r="AE1155" s="123">
        <v>0.0</v>
      </c>
    </row>
    <row r="1156">
      <c r="A1156" s="120">
        <v>2002.0</v>
      </c>
      <c r="B1156" s="121">
        <v>12.0</v>
      </c>
      <c r="C1156" s="122" t="s">
        <v>38</v>
      </c>
      <c r="D1156" s="123">
        <v>120067.76</v>
      </c>
      <c r="E1156" s="123">
        <v>8977.66</v>
      </c>
      <c r="F1156" s="44"/>
      <c r="G1156" s="123"/>
      <c r="H1156" s="123">
        <v>-1208.57</v>
      </c>
      <c r="I1156" s="123"/>
      <c r="J1156" s="123">
        <v>1218.42</v>
      </c>
      <c r="K1156" s="123">
        <v>-45481.87</v>
      </c>
      <c r="L1156" s="123">
        <v>-14443.66</v>
      </c>
      <c r="M1156" s="123">
        <v>-10.04</v>
      </c>
      <c r="N1156" s="123">
        <v>5393.06</v>
      </c>
      <c r="O1156" s="123">
        <v>352229.0</v>
      </c>
      <c r="P1156" s="52">
        <f t="shared" si="23"/>
        <v>352229.15</v>
      </c>
      <c r="Q1156" s="124">
        <f t="shared" si="2"/>
        <v>-0.15</v>
      </c>
      <c r="R1156" s="52">
        <f t="array" ref="R1156">IFERROR(INDEX('Fund YTD Target Values'!$1:$1000, MATCH($C1156,'Fund YTD Target Values'!$A:$A,0), MATCH($A1156,'Fund YTD Target Values'!$1:$1,0)),0)</f>
        <v>414495.6033</v>
      </c>
      <c r="S1156" s="52">
        <f>IFERROR(__xludf.DUMMYFUNCTION("IFERROR(sum(FILTER('Fund Data'!$V:$V, 'Fund Data'!$C:$C = $C1156, 'Fund Data'!$A:$A &lt; $A1156)),0) + IFERROR(sum(FILTER('Fund Data'!$V:$V, 'Fund Data'!$C:$C = $C1156, 'Fund Data'!$A:$A = $A1156, 'Fund Data'!$B:$B &lt;= $B1156)),0)"),407198.31)</f>
        <v>407198.31</v>
      </c>
      <c r="T1156" s="123">
        <v>407359.0</v>
      </c>
      <c r="U1156" s="44">
        <f t="shared" si="103"/>
        <v>-160.69</v>
      </c>
      <c r="V1156" s="44">
        <f t="shared" si="3"/>
        <v>120067.76</v>
      </c>
      <c r="W1156" s="123"/>
      <c r="X1156" s="123"/>
      <c r="Y1156" s="123">
        <v>0.0</v>
      </c>
      <c r="Z1156" s="123">
        <v>0.0</v>
      </c>
      <c r="AA1156" s="123">
        <v>0.0</v>
      </c>
      <c r="AB1156" s="123"/>
      <c r="AC1156" s="123">
        <v>0.0</v>
      </c>
      <c r="AD1156" s="44">
        <f t="shared" si="7"/>
        <v>0</v>
      </c>
      <c r="AE1156" s="123">
        <v>0.0</v>
      </c>
    </row>
    <row r="1157">
      <c r="A1157" s="120">
        <v>2001.0</v>
      </c>
      <c r="B1157" s="121">
        <v>12.0</v>
      </c>
      <c r="C1157" s="122" t="s">
        <v>38</v>
      </c>
      <c r="D1157" s="123">
        <v>191720.71</v>
      </c>
      <c r="E1157" s="123">
        <v>6597.08</v>
      </c>
      <c r="F1157" s="44"/>
      <c r="G1157" s="123"/>
      <c r="H1157" s="123">
        <v>-690.21</v>
      </c>
      <c r="I1157" s="123"/>
      <c r="J1157" s="123">
        <v>23.16</v>
      </c>
      <c r="K1157" s="123">
        <v>-9367.31</v>
      </c>
      <c r="L1157" s="123">
        <v>-5625.04</v>
      </c>
      <c r="M1157" s="123">
        <v>-190.56</v>
      </c>
      <c r="N1157" s="123">
        <v>784.34</v>
      </c>
      <c r="O1157" s="123">
        <v>277716.0</v>
      </c>
      <c r="P1157" s="52">
        <f t="shared" si="23"/>
        <v>277716.39</v>
      </c>
      <c r="Q1157" s="124">
        <f t="shared" si="2"/>
        <v>-0.39</v>
      </c>
      <c r="R1157" s="52">
        <f t="array" ref="R1157">IFERROR(INDEX('Fund YTD Target Values'!$1:$1000, MATCH($C1157,'Fund YTD Target Values'!$A:$A,0), MATCH($A1157,'Fund YTD Target Values'!$1:$1,0)),0)</f>
        <v>289832.2846</v>
      </c>
      <c r="S1157" s="52">
        <f>IFERROR(__xludf.DUMMYFUNCTION("IFERROR(sum(FILTER('Fund Data'!$V:$V, 'Fund Data'!$C:$C = $C1157, 'Fund Data'!$A:$A &lt; $A1157)),0) + IFERROR(sum(FILTER('Fund Data'!$V:$V, 'Fund Data'!$C:$C = $C1157, 'Fund Data'!$A:$A = $A1157, 'Fund Data'!$B:$B &lt;= $B1157)),0)"),287130.55)</f>
        <v>287130.55</v>
      </c>
      <c r="T1157" s="44"/>
      <c r="U1157" s="44"/>
      <c r="V1157" s="44">
        <f t="shared" si="3"/>
        <v>191720.71</v>
      </c>
      <c r="W1157" s="123"/>
      <c r="X1157" s="123"/>
      <c r="Y1157" s="123">
        <v>0.0</v>
      </c>
      <c r="Z1157" s="123">
        <v>0.0</v>
      </c>
      <c r="AA1157" s="123">
        <v>0.0</v>
      </c>
      <c r="AB1157" s="123"/>
      <c r="AC1157" s="123">
        <v>0.0</v>
      </c>
      <c r="AD1157" s="44">
        <f t="shared" si="7"/>
        <v>0</v>
      </c>
      <c r="AE1157" s="123">
        <v>0.0</v>
      </c>
    </row>
    <row r="1158">
      <c r="A1158" s="120">
        <v>2000.0</v>
      </c>
      <c r="B1158" s="121">
        <v>12.0</v>
      </c>
      <c r="C1158" s="122" t="s">
        <v>38</v>
      </c>
      <c r="D1158" s="123">
        <v>95409.84</v>
      </c>
      <c r="E1158" s="123">
        <v>1438.52</v>
      </c>
      <c r="F1158" s="44"/>
      <c r="G1158" s="123"/>
      <c r="H1158" s="123">
        <v>-146.06</v>
      </c>
      <c r="I1158" s="123"/>
      <c r="J1158" s="123">
        <v>19.08</v>
      </c>
      <c r="K1158" s="123">
        <v>-41.65</v>
      </c>
      <c r="L1158" s="123">
        <v>-10254.9</v>
      </c>
      <c r="M1158" s="123">
        <v>213.83</v>
      </c>
      <c r="N1158" s="123">
        <v>7825.56</v>
      </c>
      <c r="O1158" s="123">
        <v>94464.0</v>
      </c>
      <c r="P1158" s="52">
        <f t="shared" si="23"/>
        <v>94464.22</v>
      </c>
      <c r="Q1158" s="124">
        <f t="shared" si="2"/>
        <v>-0.22</v>
      </c>
      <c r="R1158" s="52">
        <f t="array" ref="R1158">IFERROR(INDEX('Fund YTD Target Values'!$1:$1000, MATCH($C1158,'Fund YTD Target Values'!$A:$A,0), MATCH($A1158,'Fund YTD Target Values'!$1:$1,0)),0)</f>
        <v>95409.84</v>
      </c>
      <c r="S1158" s="52">
        <f>IFERROR(__xludf.DUMMYFUNCTION("IFERROR(sum(FILTER('Fund Data'!$V:$V, 'Fund Data'!$C:$C = $C1158, 'Fund Data'!$A:$A &lt; $A1158)),0) + IFERROR(sum(FILTER('Fund Data'!$V:$V, 'Fund Data'!$C:$C = $C1158, 'Fund Data'!$A:$A = $A1158, 'Fund Data'!$B:$B &lt;= $B1158)),0)"),95409.84)</f>
        <v>95409.84</v>
      </c>
      <c r="T1158" s="44"/>
      <c r="U1158" s="44"/>
      <c r="V1158" s="44">
        <f t="shared" si="3"/>
        <v>95409.84</v>
      </c>
      <c r="W1158" s="123"/>
      <c r="X1158" s="123"/>
      <c r="Y1158" s="123">
        <v>0.0</v>
      </c>
      <c r="Z1158" s="123">
        <v>0.0</v>
      </c>
      <c r="AA1158" s="123">
        <v>0.0</v>
      </c>
      <c r="AB1158" s="123"/>
      <c r="AC1158" s="123">
        <v>0.0</v>
      </c>
      <c r="AD1158" s="44">
        <f t="shared" si="7"/>
        <v>0</v>
      </c>
      <c r="AE1158" s="123">
        <v>0.0</v>
      </c>
    </row>
    <row r="1159">
      <c r="A1159" s="120">
        <v>2019.0</v>
      </c>
      <c r="B1159" s="121">
        <v>6.0</v>
      </c>
      <c r="C1159" s="122" t="s">
        <v>73</v>
      </c>
      <c r="D1159" s="44"/>
      <c r="E1159" s="123">
        <v>27040.21</v>
      </c>
      <c r="F1159" s="123">
        <v>-68000.0</v>
      </c>
      <c r="G1159" s="44"/>
      <c r="H1159" s="123">
        <v>-6123.83</v>
      </c>
      <c r="I1159" s="44"/>
      <c r="J1159" s="44"/>
      <c r="K1159" s="44"/>
      <c r="L1159" s="123">
        <v>209636.11</v>
      </c>
      <c r="M1159" s="44"/>
      <c r="N1159" s="44"/>
      <c r="O1159" s="123">
        <v>2209087.37</v>
      </c>
      <c r="P1159" s="52">
        <f t="shared" si="23"/>
        <v>2209087.37</v>
      </c>
      <c r="Q1159" s="124">
        <f t="shared" si="2"/>
        <v>0</v>
      </c>
      <c r="R1159" s="52">
        <f t="array" ref="R1159">IFERROR(INDEX('Fund YTD Target Values'!$1:$1000, MATCH($C1159,'Fund YTD Target Values'!$A:$A,0), MATCH($A1159,'Fund YTD Target Values'!$1:$1,0)),0)</f>
        <v>2263556.989</v>
      </c>
      <c r="S1159" s="52">
        <f>IFERROR(__xludf.DUMMYFUNCTION("IFERROR(sum(FILTER('Fund Data'!$V:$V, 'Fund Data'!$C:$C = $C1159, 'Fund Data'!$A:$A &lt; $A1159)),0) + IFERROR(sum(FILTER('Fund Data'!$V:$V, 'Fund Data'!$C:$C = $C1159, 'Fund Data'!$A:$A = $A1159, 'Fund Data'!$B:$B &lt;= $B1159)),0)"),2005500.0)</f>
        <v>2005500</v>
      </c>
      <c r="T1159" s="123">
        <v>2005500.0</v>
      </c>
      <c r="U1159" s="44">
        <f t="shared" ref="U1159:U1196" si="107">S1159-T1159</f>
        <v>0</v>
      </c>
      <c r="V1159" s="44">
        <f t="shared" si="3"/>
        <v>0</v>
      </c>
      <c r="W1159" s="52">
        <f>IFERROR(__xludf.DUMMYFUNCTION("iFERROR((FILTER('Fund Data'!$Y:$Y, 'Fund Data'!$C:$C = $C1159, 'Fund Data'!$A:$A = $A1159 - 1, 'Fund Data'!$B:$B = 12) + FILTER('Fund Data'!$AA:$AA, 'Fund Data'!$C:$C = $C1159, 'Fund Data'!$A:$A = $A1159 - 1, 'Fund Data'!$B:$B = 12)) * (1 + AVERAGE(FILTER"&amp;"('Inflation Data'!$C:$C,'Inflation Data'!$A:$A = ($A1159 - 2)))) * 'Parameters and Distribution Sum'!$A$4,0)"),69866.97627398264)</f>
        <v>69866.97627</v>
      </c>
      <c r="X1159" s="52">
        <f>IFERROR(__xludf.DUMMYFUNCTION("IFERROR((IFERROR(FILTER('Fund Data'!$P:$P,'Fund Data'!$C:$C = $C1159,'Fund Data'!$A:$A = ($A1159 - 2), 'Fund Data'!$B:$B = 12),0) - SUM(FILTER('Fund Data'!$V:$V, 'Fund Data'!$C:$C = $C1159, 'Fund Data'!$A:$A = ($A1159 - 2), 'Fund Data'!$B:$B &gt; 3)))  * 'Pa"&amp;"rameters and Distribution Sum'!$B$4 * (1 - 'Parameters and Distribution Sum'!$A$4),0)"),30716.748180000006)</f>
        <v>30716.74818</v>
      </c>
      <c r="Y1159" s="52">
        <f t="shared" ref="Y1159:Y1164" si="108">sum($W1159:$X1159)</f>
        <v>100583.7245</v>
      </c>
      <c r="Z1159" s="52">
        <f>IFERROR(__xludf.DUMMYFUNCTION("((IFERROR((SUM(FILTER('Fund Data'!$V:$V, 'Fund Data'!$C:$C = $C1159, 'Fund Data'!$A:$A = $A1159 - 1, 'Fund Data'!$B:$B &gt;= 4, 'Fund Data'!$B:$B &lt;= ($B1159 + 5))) / 12) * ($B1159 - 3) * 'Parameters and Distribution Sum'!$B$4, 0) + IF($B1159 &gt;= 9, IFERROR(SU"&amp;"M(FILTER('Fund Data'!$V:$V, 'Fund Data'!$C:$C = $C1159, 'Fund Data'!$A:$A = $A1159, 'Fund Data'!$B:$B &lt;= 3)) * 'Parameters and Distribution Sum'!$B$4, 0),0)))"),0.0)</f>
        <v>0</v>
      </c>
      <c r="AA1159" s="44">
        <f>IFERROR(__xludf.DUMMYFUNCTION("IFERROR(((IFERROR(SUM(FILTER('Fund Data'!$V:$V, 'Fund Data'!$C:$C = $C1159, 'Fund Data'!$A:$A = $A1159 - 2, 'Fund Data'!$B:$B &gt;= 4)) * 'Parameters and Distribution Sum'!$B$4,0) + IFERROR(SUM(FILTER('Fund Data'!$V:$V, 'Fund Data'!$C:$C = $C1159, 'Fund Data"&amp;"'!$A:$A = $A1159 - 1, 'Fund Data'!$B:$B &lt;= 3)) * 'Parameters and Distribution Sum'!$B$4,0))),0)"),0.0)</f>
        <v>0</v>
      </c>
      <c r="AB1159" s="44">
        <f t="shared" ref="AB1159:AB1165" si="109">IFERROR(__xludf.DUMMYFUNCTION("IFERROR(FILTER($AE:$AE,$C:$C = $C1159,$A:$A = $A1159 - 1,$B:$B = 12),0)"),43500.0)</f>
        <v>43500</v>
      </c>
      <c r="AC1159" s="44">
        <f t="shared" ref="AC1159:AC1165" si="110">sum($Y1159:$AB1159)</f>
        <v>144083.7245</v>
      </c>
      <c r="AD1159" s="44">
        <f t="shared" si="7"/>
        <v>76083.72445</v>
      </c>
      <c r="AE1159" s="44"/>
    </row>
    <row r="1160">
      <c r="A1160" s="120">
        <v>2019.0</v>
      </c>
      <c r="B1160" s="121">
        <v>5.0</v>
      </c>
      <c r="C1160" s="122" t="s">
        <v>73</v>
      </c>
      <c r="D1160" s="44"/>
      <c r="E1160" s="123">
        <v>24677.37</v>
      </c>
      <c r="F1160" s="123">
        <v>-32700.0</v>
      </c>
      <c r="G1160" s="44"/>
      <c r="H1160" s="123">
        <v>-5104.53</v>
      </c>
      <c r="I1160" s="44"/>
      <c r="J1160" s="44"/>
      <c r="K1160" s="44"/>
      <c r="L1160" s="123">
        <v>125291.07</v>
      </c>
      <c r="M1160" s="44"/>
      <c r="N1160" s="44"/>
      <c r="O1160" s="123">
        <v>2158698.79</v>
      </c>
      <c r="P1160" s="52">
        <f t="shared" si="23"/>
        <v>2158698.79</v>
      </c>
      <c r="Q1160" s="124">
        <f t="shared" si="2"/>
        <v>0</v>
      </c>
      <c r="R1160" s="52">
        <f t="array" ref="R1160">IFERROR(INDEX('Fund YTD Target Values'!$1:$1000, MATCH($C1160,'Fund YTD Target Values'!$A:$A,0), MATCH($A1160,'Fund YTD Target Values'!$1:$1,0)),0)</f>
        <v>2263556.989</v>
      </c>
      <c r="S1160" s="52">
        <f>IFERROR(__xludf.DUMMYFUNCTION("IFERROR(sum(FILTER('Fund Data'!$V:$V, 'Fund Data'!$C:$C = $C1160, 'Fund Data'!$A:$A &lt; $A1160)),0) + IFERROR(sum(FILTER('Fund Data'!$V:$V, 'Fund Data'!$C:$C = $C1160, 'Fund Data'!$A:$A = $A1160, 'Fund Data'!$B:$B &lt;= $B1160)),0)"),2005500.0)</f>
        <v>2005500</v>
      </c>
      <c r="T1160" s="123">
        <v>2005500.0</v>
      </c>
      <c r="U1160" s="44">
        <f t="shared" si="107"/>
        <v>0</v>
      </c>
      <c r="V1160" s="44">
        <f t="shared" si="3"/>
        <v>0</v>
      </c>
      <c r="W1160" s="52">
        <f>IFERROR(__xludf.DUMMYFUNCTION("iFERROR((FILTER('Fund Data'!$Y:$Y, 'Fund Data'!$C:$C = $C1160, 'Fund Data'!$A:$A = $A1160 - 1, 'Fund Data'!$B:$B = 12) + FILTER('Fund Data'!$AA:$AA, 'Fund Data'!$C:$C = $C1160, 'Fund Data'!$A:$A = $A1160 - 1, 'Fund Data'!$B:$B = 12)) * (1 + AVERAGE(FILTER"&amp;"('Inflation Data'!$C:$C,'Inflation Data'!$A:$A = ($A1160 - 2)))) * 'Parameters and Distribution Sum'!$A$4,0)"),69866.97627398264)</f>
        <v>69866.97627</v>
      </c>
      <c r="X1160" s="52">
        <f>IFERROR(__xludf.DUMMYFUNCTION("IFERROR((IFERROR(FILTER('Fund Data'!$P:$P,'Fund Data'!$C:$C = $C1160,'Fund Data'!$A:$A = ($A1160 - 2), 'Fund Data'!$B:$B = 12),0) - SUM(FILTER('Fund Data'!$V:$V, 'Fund Data'!$C:$C = $C1160, 'Fund Data'!$A:$A = ($A1160 - 2), 'Fund Data'!$B:$B &gt; 3)))  * 'Pa"&amp;"rameters and Distribution Sum'!$B$4 * (1 - 'Parameters and Distribution Sum'!$A$4),0)"),30716.748180000006)</f>
        <v>30716.74818</v>
      </c>
      <c r="Y1160" s="52">
        <f t="shared" si="108"/>
        <v>100583.7245</v>
      </c>
      <c r="Z1160" s="52">
        <f>IFERROR(__xludf.DUMMYFUNCTION("((IFERROR((SUM(FILTER('Fund Data'!$V:$V, 'Fund Data'!$C:$C = $C1160, 'Fund Data'!$A:$A = $A1160 - 1, 'Fund Data'!$B:$B &gt;= 4, 'Fund Data'!$B:$B &lt;= ($B1160 + 5))) / 12) * ($B1160 - 3) * 'Parameters and Distribution Sum'!$B$4, 0) + IF($B1160 &gt;= 9, IFERROR(SU"&amp;"M(FILTER('Fund Data'!$V:$V, 'Fund Data'!$C:$C = $C1160, 'Fund Data'!$A:$A = $A1160, 'Fund Data'!$B:$B &lt;= 3)) * 'Parameters and Distribution Sum'!$B$4, 0),0)))"),0.0)</f>
        <v>0</v>
      </c>
      <c r="AA1160" s="44">
        <f>IFERROR(__xludf.DUMMYFUNCTION("IFERROR(((IFERROR(SUM(FILTER('Fund Data'!$V:$V, 'Fund Data'!$C:$C = $C1160, 'Fund Data'!$A:$A = $A1160 - 2, 'Fund Data'!$B:$B &gt;= 4)) * 'Parameters and Distribution Sum'!$B$4,0) + IFERROR(SUM(FILTER('Fund Data'!$V:$V, 'Fund Data'!$C:$C = $C1160, 'Fund Data"&amp;"'!$A:$A = $A1160 - 1, 'Fund Data'!$B:$B &lt;= 3)) * 'Parameters and Distribution Sum'!$B$4,0))),0)"),0.0)</f>
        <v>0</v>
      </c>
      <c r="AB1160" s="44">
        <f t="shared" si="109"/>
        <v>43500</v>
      </c>
      <c r="AC1160" s="44">
        <f t="shared" si="110"/>
        <v>144083.7245</v>
      </c>
      <c r="AD1160" s="44">
        <f t="shared" si="7"/>
        <v>111383.7245</v>
      </c>
      <c r="AE1160" s="44"/>
    </row>
    <row r="1161">
      <c r="A1161" s="120">
        <v>2019.0</v>
      </c>
      <c r="B1161" s="121">
        <v>4.0</v>
      </c>
      <c r="C1161" s="122" t="s">
        <v>73</v>
      </c>
      <c r="D1161" s="44"/>
      <c r="E1161" s="123">
        <v>22724.4</v>
      </c>
      <c r="F1161" s="123">
        <v>-28200.0</v>
      </c>
      <c r="G1161" s="44"/>
      <c r="H1161" s="123">
        <v>-4055.42</v>
      </c>
      <c r="I1161" s="44"/>
      <c r="J1161" s="44"/>
      <c r="K1161" s="44"/>
      <c r="L1161" s="123">
        <v>210506.99</v>
      </c>
      <c r="M1161" s="44"/>
      <c r="N1161" s="44"/>
      <c r="O1161" s="123">
        <v>2247511.0</v>
      </c>
      <c r="P1161" s="52">
        <f t="shared" si="23"/>
        <v>2247510.85</v>
      </c>
      <c r="Q1161" s="124">
        <f t="shared" si="2"/>
        <v>0.1499999999</v>
      </c>
      <c r="R1161" s="52">
        <f t="array" ref="R1161">IFERROR(INDEX('Fund YTD Target Values'!$1:$1000, MATCH($C1161,'Fund YTD Target Values'!$A:$A,0), MATCH($A1161,'Fund YTD Target Values'!$1:$1,0)),0)</f>
        <v>2263556.989</v>
      </c>
      <c r="S1161" s="52">
        <f>IFERROR(__xludf.DUMMYFUNCTION("IFERROR(sum(FILTER('Fund Data'!$V:$V, 'Fund Data'!$C:$C = $C1161, 'Fund Data'!$A:$A &lt; $A1161)),0) + IFERROR(sum(FILTER('Fund Data'!$V:$V, 'Fund Data'!$C:$C = $C1161, 'Fund Data'!$A:$A = $A1161, 'Fund Data'!$B:$B &lt;= $B1161)),0)"),2005500.0)</f>
        <v>2005500</v>
      </c>
      <c r="T1161" s="123">
        <v>2005500.0</v>
      </c>
      <c r="U1161" s="44">
        <f t="shared" si="107"/>
        <v>0</v>
      </c>
      <c r="V1161" s="44">
        <f t="shared" si="3"/>
        <v>0</v>
      </c>
      <c r="W1161" s="52">
        <f>IFERROR(__xludf.DUMMYFUNCTION("iFERROR((FILTER('Fund Data'!$Y:$Y, 'Fund Data'!$C:$C = $C1161, 'Fund Data'!$A:$A = $A1161 - 1, 'Fund Data'!$B:$B = 12) + FILTER('Fund Data'!$AA:$AA, 'Fund Data'!$C:$C = $C1161, 'Fund Data'!$A:$A = $A1161 - 1, 'Fund Data'!$B:$B = 12)) * (1 + AVERAGE(FILTER"&amp;"('Inflation Data'!$C:$C,'Inflation Data'!$A:$A = ($A1161 - 2)))) * 'Parameters and Distribution Sum'!$A$4,0)"),69866.97627398264)</f>
        <v>69866.97627</v>
      </c>
      <c r="X1161" s="52">
        <f>IFERROR(__xludf.DUMMYFUNCTION("IFERROR((IFERROR(FILTER('Fund Data'!$P:$P,'Fund Data'!$C:$C = $C1161,'Fund Data'!$A:$A = ($A1161 - 2), 'Fund Data'!$B:$B = 12),0) - SUM(FILTER('Fund Data'!$V:$V, 'Fund Data'!$C:$C = $C1161, 'Fund Data'!$A:$A = ($A1161 - 2), 'Fund Data'!$B:$B &gt; 3)))  * 'Pa"&amp;"rameters and Distribution Sum'!$B$4 * (1 - 'Parameters and Distribution Sum'!$A$4),0)"),30716.748180000006)</f>
        <v>30716.74818</v>
      </c>
      <c r="Y1161" s="52">
        <f t="shared" si="108"/>
        <v>100583.7245</v>
      </c>
      <c r="Z1161" s="52">
        <f>IFERROR(__xludf.DUMMYFUNCTION("((IFERROR((SUM(FILTER('Fund Data'!$V:$V, 'Fund Data'!$C:$C = $C1161, 'Fund Data'!$A:$A = $A1161 - 1, 'Fund Data'!$B:$B &gt;= 4, 'Fund Data'!$B:$B &lt;= ($B1161 + 5))) / 12) * ($B1161 - 3) * 'Parameters and Distribution Sum'!$B$4, 0) + IF($B1161 &gt;= 9, IFERROR(SU"&amp;"M(FILTER('Fund Data'!$V:$V, 'Fund Data'!$C:$C = $C1161, 'Fund Data'!$A:$A = $A1161, 'Fund Data'!$B:$B &lt;= 3)) * 'Parameters and Distribution Sum'!$B$4, 0),0)))"),0.0)</f>
        <v>0</v>
      </c>
      <c r="AA1161" s="44">
        <f>IFERROR(__xludf.DUMMYFUNCTION("IFERROR(((IFERROR(SUM(FILTER('Fund Data'!$V:$V, 'Fund Data'!$C:$C = $C1161, 'Fund Data'!$A:$A = $A1161 - 2, 'Fund Data'!$B:$B &gt;= 4)) * 'Parameters and Distribution Sum'!$B$4,0) + IFERROR(SUM(FILTER('Fund Data'!$V:$V, 'Fund Data'!$C:$C = $C1161, 'Fund Data"&amp;"'!$A:$A = $A1161 - 1, 'Fund Data'!$B:$B &lt;= 3)) * 'Parameters and Distribution Sum'!$B$4,0))),0)"),0.0)</f>
        <v>0</v>
      </c>
      <c r="AB1161" s="44">
        <f t="shared" si="109"/>
        <v>43500</v>
      </c>
      <c r="AC1161" s="44">
        <f t="shared" si="110"/>
        <v>144083.7245</v>
      </c>
      <c r="AD1161" s="44">
        <f t="shared" si="7"/>
        <v>115883.7245</v>
      </c>
      <c r="AE1161" s="44"/>
    </row>
    <row r="1162">
      <c r="A1162" s="120">
        <v>2019.0</v>
      </c>
      <c r="B1162" s="121">
        <v>3.0</v>
      </c>
      <c r="C1162" s="122" t="s">
        <v>73</v>
      </c>
      <c r="D1162" s="44"/>
      <c r="E1162" s="123">
        <v>17160.77</v>
      </c>
      <c r="F1162" s="123">
        <v>-15700.0</v>
      </c>
      <c r="G1162" s="44"/>
      <c r="H1162" s="123">
        <v>-3021.17</v>
      </c>
      <c r="I1162" s="44"/>
      <c r="J1162" s="44"/>
      <c r="K1162" s="44"/>
      <c r="L1162" s="123">
        <v>167035.4</v>
      </c>
      <c r="M1162" s="44"/>
      <c r="N1162" s="44"/>
      <c r="O1162" s="123">
        <v>2212010.0</v>
      </c>
      <c r="P1162" s="52">
        <f t="shared" si="23"/>
        <v>2212009.88</v>
      </c>
      <c r="Q1162" s="124">
        <f t="shared" si="2"/>
        <v>0.1200000001</v>
      </c>
      <c r="R1162" s="52">
        <f t="array" ref="R1162">IFERROR(INDEX('Fund YTD Target Values'!$1:$1000, MATCH($C1162,'Fund YTD Target Values'!$A:$A,0), MATCH($A1162,'Fund YTD Target Values'!$1:$1,0)),0)</f>
        <v>2263556.989</v>
      </c>
      <c r="S1162" s="52">
        <f>IFERROR(__xludf.DUMMYFUNCTION("IFERROR(sum(FILTER('Fund Data'!$V:$V, 'Fund Data'!$C:$C = $C1162, 'Fund Data'!$A:$A &lt; $A1162)),0) + IFERROR(sum(FILTER('Fund Data'!$V:$V, 'Fund Data'!$C:$C = $C1162, 'Fund Data'!$A:$A = $A1162, 'Fund Data'!$B:$B &lt;= $B1162)),0)"),2005500.0)</f>
        <v>2005500</v>
      </c>
      <c r="T1162" s="123">
        <v>2005500.0</v>
      </c>
      <c r="U1162" s="44">
        <f t="shared" si="107"/>
        <v>0</v>
      </c>
      <c r="V1162" s="44">
        <f t="shared" si="3"/>
        <v>0</v>
      </c>
      <c r="W1162" s="52">
        <f>IFERROR(__xludf.DUMMYFUNCTION("iFERROR((FILTER('Fund Data'!$Y:$Y, 'Fund Data'!$C:$C = $C1162, 'Fund Data'!$A:$A = $A1162 - 1, 'Fund Data'!$B:$B = 12) + FILTER('Fund Data'!$AA:$AA, 'Fund Data'!$C:$C = $C1162, 'Fund Data'!$A:$A = $A1162 - 1, 'Fund Data'!$B:$B = 12)) * (1 + AVERAGE(FILTER"&amp;"('Inflation Data'!$C:$C,'Inflation Data'!$A:$A = ($A1162 - 2)))) * 'Parameters and Distribution Sum'!$A$4,0)"),69866.97627398264)</f>
        <v>69866.97627</v>
      </c>
      <c r="X1162" s="52">
        <f>IFERROR(__xludf.DUMMYFUNCTION("IFERROR((IFERROR(FILTER('Fund Data'!$P:$P,'Fund Data'!$C:$C = $C1162,'Fund Data'!$A:$A = ($A1162 - 2), 'Fund Data'!$B:$B = 12),0) - SUM(FILTER('Fund Data'!$V:$V, 'Fund Data'!$C:$C = $C1162, 'Fund Data'!$A:$A = ($A1162 - 2), 'Fund Data'!$B:$B &gt; 3)))  * 'Pa"&amp;"rameters and Distribution Sum'!$B$4 * (1 - 'Parameters and Distribution Sum'!$A$4),0)"),30716.748180000006)</f>
        <v>30716.74818</v>
      </c>
      <c r="Y1162" s="52">
        <f t="shared" si="108"/>
        <v>100583.7245</v>
      </c>
      <c r="Z1162" s="52">
        <f>IFERROR(__xludf.DUMMYFUNCTION("((IFERROR((SUM(FILTER('Fund Data'!$V:$V, 'Fund Data'!$C:$C = $C1162, 'Fund Data'!$A:$A = $A1162 - 1, 'Fund Data'!$B:$B &gt;= 4, 'Fund Data'!$B:$B &lt;= ($B1162 + 5))) / 12) * ($B1162 - 3) * 'Parameters and Distribution Sum'!$B$4, 0) + IF($B1162 &gt;= 9, IFERROR(SU"&amp;"M(FILTER('Fund Data'!$V:$V, 'Fund Data'!$C:$C = $C1162, 'Fund Data'!$A:$A = $A1162, 'Fund Data'!$B:$B &lt;= 3)) * 'Parameters and Distribution Sum'!$B$4, 0),0)))"),0.0)</f>
        <v>0</v>
      </c>
      <c r="AA1162" s="44">
        <f>IFERROR(__xludf.DUMMYFUNCTION("IFERROR(((IFERROR(SUM(FILTER('Fund Data'!$V:$V, 'Fund Data'!$C:$C = $C1162, 'Fund Data'!$A:$A = $A1162 - 2, 'Fund Data'!$B:$B &gt;= 4)) * 'Parameters and Distribution Sum'!$B$4,0) + IFERROR(SUM(FILTER('Fund Data'!$V:$V, 'Fund Data'!$C:$C = $C1162, 'Fund Data"&amp;"'!$A:$A = $A1162 - 1, 'Fund Data'!$B:$B &lt;= 3)) * 'Parameters and Distribution Sum'!$B$4,0))),0)"),0.0)</f>
        <v>0</v>
      </c>
      <c r="AB1162" s="44">
        <f t="shared" si="109"/>
        <v>43500</v>
      </c>
      <c r="AC1162" s="44">
        <f t="shared" si="110"/>
        <v>144083.7245</v>
      </c>
      <c r="AD1162" s="44">
        <f t="shared" si="7"/>
        <v>128383.7245</v>
      </c>
      <c r="AE1162" s="44"/>
    </row>
    <row r="1163">
      <c r="A1163" s="120">
        <v>2019.0</v>
      </c>
      <c r="B1163" s="121">
        <v>2.0</v>
      </c>
      <c r="C1163" s="122" t="s">
        <v>73</v>
      </c>
      <c r="D1163" s="44"/>
      <c r="E1163" s="123">
        <v>14459.45</v>
      </c>
      <c r="F1163" s="44"/>
      <c r="G1163" s="44"/>
      <c r="H1163" s="123">
        <v>-1986.09</v>
      </c>
      <c r="I1163" s="44"/>
      <c r="J1163" s="44"/>
      <c r="K1163" s="44"/>
      <c r="L1163" s="123">
        <v>154625.32</v>
      </c>
      <c r="M1163" s="44"/>
      <c r="N1163" s="44"/>
      <c r="O1163" s="123">
        <v>2213634.0</v>
      </c>
      <c r="P1163" s="52">
        <f t="shared" si="23"/>
        <v>2213633.56</v>
      </c>
      <c r="Q1163" s="124">
        <f t="shared" si="2"/>
        <v>0.4399999999</v>
      </c>
      <c r="R1163" s="52">
        <f t="array" ref="R1163">IFERROR(INDEX('Fund YTD Target Values'!$1:$1000, MATCH($C1163,'Fund YTD Target Values'!$A:$A,0), MATCH($A1163,'Fund YTD Target Values'!$1:$1,0)),0)</f>
        <v>2263556.989</v>
      </c>
      <c r="S1163" s="52">
        <f>IFERROR(__xludf.DUMMYFUNCTION("IFERROR(sum(FILTER('Fund Data'!$V:$V, 'Fund Data'!$C:$C = $C1163, 'Fund Data'!$A:$A &lt; $A1163)),0) + IFERROR(sum(FILTER('Fund Data'!$V:$V, 'Fund Data'!$C:$C = $C1163, 'Fund Data'!$A:$A = $A1163, 'Fund Data'!$B:$B &lt;= $B1163)),0)"),2005500.0)</f>
        <v>2005500</v>
      </c>
      <c r="T1163" s="123">
        <v>2005500.0</v>
      </c>
      <c r="U1163" s="44">
        <f t="shared" si="107"/>
        <v>0</v>
      </c>
      <c r="V1163" s="44">
        <f t="shared" si="3"/>
        <v>0</v>
      </c>
      <c r="W1163" s="52">
        <f>IFERROR(__xludf.DUMMYFUNCTION("iFERROR((FILTER('Fund Data'!$Y:$Y, 'Fund Data'!$C:$C = $C1163, 'Fund Data'!$A:$A = $A1163 - 1, 'Fund Data'!$B:$B = 12) + FILTER('Fund Data'!$AA:$AA, 'Fund Data'!$C:$C = $C1163, 'Fund Data'!$A:$A = $A1163 - 1, 'Fund Data'!$B:$B = 12)) * (1 + AVERAGE(FILTER"&amp;"('Inflation Data'!$C:$C,'Inflation Data'!$A:$A = ($A1163 - 2)))) * 'Parameters and Distribution Sum'!$A$4,0)"),69866.97627398264)</f>
        <v>69866.97627</v>
      </c>
      <c r="X1163" s="52">
        <f>IFERROR(__xludf.DUMMYFUNCTION("IFERROR((IFERROR(FILTER('Fund Data'!$P:$P,'Fund Data'!$C:$C = $C1163,'Fund Data'!$A:$A = ($A1163 - 2), 'Fund Data'!$B:$B = 12),0) - SUM(FILTER('Fund Data'!$V:$V, 'Fund Data'!$C:$C = $C1163, 'Fund Data'!$A:$A = ($A1163 - 2), 'Fund Data'!$B:$B &gt; 3)))  * 'Pa"&amp;"rameters and Distribution Sum'!$B$4 * (1 - 'Parameters and Distribution Sum'!$A$4),0)"),30716.748180000006)</f>
        <v>30716.74818</v>
      </c>
      <c r="Y1163" s="52">
        <f t="shared" si="108"/>
        <v>100583.7245</v>
      </c>
      <c r="Z1163" s="52">
        <f>IFERROR(__xludf.DUMMYFUNCTION("((IFERROR((SUM(FILTER('Fund Data'!$V:$V, 'Fund Data'!$C:$C = $C1163, 'Fund Data'!$A:$A = $A1163 - 1, 'Fund Data'!$B:$B &gt;= 4, 'Fund Data'!$B:$B &lt;= ($B1163 + 5))) / 12) * ($B1163 - 3) * 'Parameters and Distribution Sum'!$B$4, 0) + IF($B1163 &gt;= 9, IFERROR(SU"&amp;"M(FILTER('Fund Data'!$V:$V, 'Fund Data'!$C:$C = $C1163, 'Fund Data'!$A:$A = $A1163, 'Fund Data'!$B:$B &lt;= 3)) * 'Parameters and Distribution Sum'!$B$4, 0),0)))"),0.0)</f>
        <v>0</v>
      </c>
      <c r="AA1163" s="44">
        <f>IFERROR(__xludf.DUMMYFUNCTION("IFERROR(((IFERROR(SUM(FILTER('Fund Data'!$V:$V, 'Fund Data'!$C:$C = $C1163, 'Fund Data'!$A:$A = $A1163 - 2, 'Fund Data'!$B:$B &gt;= 4)) * 'Parameters and Distribution Sum'!$B$4,0) + IFERROR(SUM(FILTER('Fund Data'!$V:$V, 'Fund Data'!$C:$C = $C1163, 'Fund Data"&amp;"'!$A:$A = $A1163 - 1, 'Fund Data'!$B:$B &lt;= 3)) * 'Parameters and Distribution Sum'!$B$4,0))),0)"),0.0)</f>
        <v>0</v>
      </c>
      <c r="AB1163" s="44">
        <f t="shared" si="109"/>
        <v>43500</v>
      </c>
      <c r="AC1163" s="44">
        <f t="shared" si="110"/>
        <v>144083.7245</v>
      </c>
      <c r="AD1163" s="44">
        <f t="shared" si="7"/>
        <v>144083.7245</v>
      </c>
      <c r="AE1163" s="44"/>
    </row>
    <row r="1164">
      <c r="A1164" s="120">
        <v>2019.0</v>
      </c>
      <c r="B1164" s="121">
        <v>1.0</v>
      </c>
      <c r="C1164" s="122" t="s">
        <v>73</v>
      </c>
      <c r="D1164" s="44"/>
      <c r="E1164" s="123">
        <v>13297.03</v>
      </c>
      <c r="F1164" s="44"/>
      <c r="G1164" s="44"/>
      <c r="H1164" s="123">
        <v>-965.6</v>
      </c>
      <c r="I1164" s="44"/>
      <c r="J1164" s="44"/>
      <c r="K1164" s="44"/>
      <c r="L1164" s="123">
        <v>119615.81</v>
      </c>
      <c r="M1164" s="44"/>
      <c r="N1164" s="44"/>
      <c r="O1164" s="123">
        <v>2178482.0</v>
      </c>
      <c r="P1164" s="52">
        <f t="shared" si="23"/>
        <v>2178482.12</v>
      </c>
      <c r="Q1164" s="124">
        <f t="shared" si="2"/>
        <v>-0.1200000001</v>
      </c>
      <c r="R1164" s="52">
        <f t="array" ref="R1164">IFERROR(INDEX('Fund YTD Target Values'!$1:$1000, MATCH($C1164,'Fund YTD Target Values'!$A:$A,0), MATCH($A1164,'Fund YTD Target Values'!$1:$1,0)),0)</f>
        <v>2263556.989</v>
      </c>
      <c r="S1164" s="52">
        <f>IFERROR(__xludf.DUMMYFUNCTION("IFERROR(sum(FILTER('Fund Data'!$V:$V, 'Fund Data'!$C:$C = $C1164, 'Fund Data'!$A:$A &lt; $A1164)),0) + IFERROR(sum(FILTER('Fund Data'!$V:$V, 'Fund Data'!$C:$C = $C1164, 'Fund Data'!$A:$A = $A1164, 'Fund Data'!$B:$B &lt;= $B1164)),0)"),2005500.0)</f>
        <v>2005500</v>
      </c>
      <c r="T1164" s="123">
        <v>2005500.0</v>
      </c>
      <c r="U1164" s="44">
        <f t="shared" si="107"/>
        <v>0</v>
      </c>
      <c r="V1164" s="44">
        <f t="shared" si="3"/>
        <v>0</v>
      </c>
      <c r="W1164" s="52">
        <f>IFERROR(__xludf.DUMMYFUNCTION("iFERROR((FILTER('Fund Data'!$Y:$Y, 'Fund Data'!$C:$C = $C1164, 'Fund Data'!$A:$A = $A1164 - 1, 'Fund Data'!$B:$B = 12) + FILTER('Fund Data'!$AA:$AA, 'Fund Data'!$C:$C = $C1164, 'Fund Data'!$A:$A = $A1164 - 1, 'Fund Data'!$B:$B = 12)) * (1 + AVERAGE(FILTER"&amp;"('Inflation Data'!$C:$C,'Inflation Data'!$A:$A = ($A1164 - 2)))) * 'Parameters and Distribution Sum'!$A$4,0)"),69866.97627398264)</f>
        <v>69866.97627</v>
      </c>
      <c r="X1164" s="52">
        <f>IFERROR(__xludf.DUMMYFUNCTION("IFERROR((IFERROR(FILTER('Fund Data'!$P:$P,'Fund Data'!$C:$C = $C1164,'Fund Data'!$A:$A = ($A1164 - 2), 'Fund Data'!$B:$B = 12),0) - SUM(FILTER('Fund Data'!$V:$V, 'Fund Data'!$C:$C = $C1164, 'Fund Data'!$A:$A = ($A1164 - 2), 'Fund Data'!$B:$B &gt; 3)))  * 'Pa"&amp;"rameters and Distribution Sum'!$B$4 * (1 - 'Parameters and Distribution Sum'!$A$4),0)"),30716.748180000006)</f>
        <v>30716.74818</v>
      </c>
      <c r="Y1164" s="52">
        <f t="shared" si="108"/>
        <v>100583.7245</v>
      </c>
      <c r="Z1164" s="52">
        <f>IFERROR(__xludf.DUMMYFUNCTION("((IFERROR((SUM(FILTER('Fund Data'!$V:$V, 'Fund Data'!$C:$C = $C1164, 'Fund Data'!$A:$A = $A1164 - 1, 'Fund Data'!$B:$B &gt;= 4, 'Fund Data'!$B:$B &lt;= ($B1164 + 5))) / 12) * ($B1164 - 3) * 'Parameters and Distribution Sum'!$B$4, 0) + IF($B1164 &gt;= 9, IFERROR(SU"&amp;"M(FILTER('Fund Data'!$V:$V, 'Fund Data'!$C:$C = $C1164, 'Fund Data'!$A:$A = $A1164, 'Fund Data'!$B:$B &lt;= 3)) * 'Parameters and Distribution Sum'!$B$4, 0),0)))"),0.0)</f>
        <v>0</v>
      </c>
      <c r="AA1164" s="44">
        <f>IFERROR(__xludf.DUMMYFUNCTION("IFERROR(((IFERROR(SUM(FILTER('Fund Data'!$V:$V, 'Fund Data'!$C:$C = $C1164, 'Fund Data'!$A:$A = $A1164 - 2, 'Fund Data'!$B:$B &gt;= 4)) * 'Parameters and Distribution Sum'!$B$4,0) + IFERROR(SUM(FILTER('Fund Data'!$V:$V, 'Fund Data'!$C:$C = $C1164, 'Fund Data"&amp;"'!$A:$A = $A1164 - 1, 'Fund Data'!$B:$B &lt;= 3)) * 'Parameters and Distribution Sum'!$B$4,0))),0)"),0.0)</f>
        <v>0</v>
      </c>
      <c r="AB1164" s="44">
        <f t="shared" si="109"/>
        <v>43500</v>
      </c>
      <c r="AC1164" s="44">
        <f t="shared" si="110"/>
        <v>144083.7245</v>
      </c>
      <c r="AD1164" s="44">
        <f t="shared" si="7"/>
        <v>144083.7245</v>
      </c>
      <c r="AE1164" s="44"/>
    </row>
    <row r="1165">
      <c r="A1165" s="120">
        <v>2018.0</v>
      </c>
      <c r="B1165" s="121">
        <v>12.0</v>
      </c>
      <c r="C1165" s="122" t="s">
        <v>73</v>
      </c>
      <c r="D1165" s="44"/>
      <c r="E1165" s="123">
        <v>48145.81</v>
      </c>
      <c r="F1165" s="123">
        <v>-105000.0</v>
      </c>
      <c r="G1165" s="123">
        <v>43500.0</v>
      </c>
      <c r="H1165" s="123">
        <v>-13241.03</v>
      </c>
      <c r="I1165" s="44"/>
      <c r="J1165" s="123">
        <v>10901.79</v>
      </c>
      <c r="K1165" s="44"/>
      <c r="L1165" s="123">
        <v>-213086.37</v>
      </c>
      <c r="M1165" s="44"/>
      <c r="N1165" s="44"/>
      <c r="O1165" s="123">
        <v>2046535.0</v>
      </c>
      <c r="P1165" s="52">
        <f t="shared" si="23"/>
        <v>2046534.88</v>
      </c>
      <c r="Q1165" s="124">
        <f t="shared" si="2"/>
        <v>0.1200000003</v>
      </c>
      <c r="R1165" s="52">
        <f t="array" ref="R1165">IFERROR(INDEX('Fund YTD Target Values'!$1:$1000, MATCH($C1165,'Fund YTD Target Values'!$A:$A,0), MATCH($A1165,'Fund YTD Target Values'!$1:$1,0)),0)</f>
        <v>2224754.768</v>
      </c>
      <c r="S1165" s="52">
        <f>IFERROR(__xludf.DUMMYFUNCTION("IFERROR(sum(FILTER('Fund Data'!$V:$V, 'Fund Data'!$C:$C = $C1165, 'Fund Data'!$A:$A &lt; $A1165)),0) + IFERROR(sum(FILTER('Fund Data'!$V:$V, 'Fund Data'!$C:$C = $C1165, 'Fund Data'!$A:$A = $A1165, 'Fund Data'!$B:$B &lt;= $B1165)),0)"),2005500.0)</f>
        <v>2005500</v>
      </c>
      <c r="T1165" s="123">
        <v>2005500.0</v>
      </c>
      <c r="U1165" s="44">
        <f t="shared" si="107"/>
        <v>0</v>
      </c>
      <c r="V1165" s="44">
        <f t="shared" si="3"/>
        <v>0</v>
      </c>
      <c r="W1165" s="52"/>
      <c r="X1165" s="52"/>
      <c r="Y1165" s="52">
        <v>97726.80690399795</v>
      </c>
      <c r="Z1165" s="123">
        <v>0.0</v>
      </c>
      <c r="AA1165" s="123">
        <v>0.0</v>
      </c>
      <c r="AB1165" s="44">
        <f t="shared" si="109"/>
        <v>0</v>
      </c>
      <c r="AC1165" s="44">
        <f t="shared" si="110"/>
        <v>97726.8069</v>
      </c>
      <c r="AD1165" s="44">
        <f t="shared" si="7"/>
        <v>-7273.193096</v>
      </c>
      <c r="AE1165" s="123">
        <v>43500.0</v>
      </c>
    </row>
    <row r="1166">
      <c r="A1166" s="120">
        <v>2018.0</v>
      </c>
      <c r="B1166" s="121">
        <v>11.0</v>
      </c>
      <c r="C1166" s="122" t="s">
        <v>73</v>
      </c>
      <c r="D1166" s="44"/>
      <c r="E1166" s="123">
        <v>45323.17</v>
      </c>
      <c r="F1166" s="123">
        <v>-105000.0</v>
      </c>
      <c r="G1166" s="44"/>
      <c r="H1166" s="123">
        <v>-12246.73</v>
      </c>
      <c r="I1166" s="44"/>
      <c r="J1166" s="123">
        <v>10901.79</v>
      </c>
      <c r="K1166" s="44"/>
      <c r="L1166" s="123">
        <v>-94733.34</v>
      </c>
      <c r="M1166" s="44"/>
      <c r="N1166" s="44"/>
      <c r="O1166" s="123">
        <v>2119560.0</v>
      </c>
      <c r="P1166" s="52">
        <f t="shared" si="23"/>
        <v>2119559.57</v>
      </c>
      <c r="Q1166" s="124">
        <f t="shared" si="2"/>
        <v>0.4300000002</v>
      </c>
      <c r="R1166" s="52">
        <f t="array" ref="R1166">IFERROR(INDEX('Fund YTD Target Values'!$1:$1000, MATCH($C1166,'Fund YTD Target Values'!$A:$A,0), MATCH($A1166,'Fund YTD Target Values'!$1:$1,0)),0)</f>
        <v>2224754.768</v>
      </c>
      <c r="S1166" s="52">
        <f>IFERROR(__xludf.DUMMYFUNCTION("IFERROR(sum(FILTER('Fund Data'!$V:$V, 'Fund Data'!$C:$C = $C1166, 'Fund Data'!$A:$A &lt; $A1166)),0) + IFERROR(sum(FILTER('Fund Data'!$V:$V, 'Fund Data'!$C:$C = $C1166, 'Fund Data'!$A:$A = $A1166, 'Fund Data'!$B:$B &lt;= $B1166)),0)"),2005500.0)</f>
        <v>2005500</v>
      </c>
      <c r="T1166" s="123">
        <v>2005500.0</v>
      </c>
      <c r="U1166" s="44">
        <f t="shared" si="107"/>
        <v>0</v>
      </c>
      <c r="V1166" s="44">
        <f t="shared" si="3"/>
        <v>0</v>
      </c>
      <c r="W1166" s="123"/>
      <c r="X1166" s="123"/>
      <c r="Y1166" s="123">
        <v>0.0</v>
      </c>
      <c r="Z1166" s="123">
        <v>0.0</v>
      </c>
      <c r="AA1166" s="123">
        <v>0.0</v>
      </c>
      <c r="AB1166" s="123"/>
      <c r="AC1166" s="123">
        <v>0.0</v>
      </c>
      <c r="AD1166" s="44">
        <f t="shared" si="7"/>
        <v>-105000</v>
      </c>
      <c r="AE1166" s="123">
        <v>0.0</v>
      </c>
    </row>
    <row r="1167">
      <c r="A1167" s="120">
        <v>2018.0</v>
      </c>
      <c r="B1167" s="121">
        <v>10.0</v>
      </c>
      <c r="C1167" s="135" t="s">
        <v>73</v>
      </c>
      <c r="D1167" s="138"/>
      <c r="E1167" s="137">
        <v>43439.94</v>
      </c>
      <c r="F1167" s="136">
        <v>-105000.0</v>
      </c>
      <c r="G1167" s="138"/>
      <c r="H1167" s="137">
        <v>-10229.3</v>
      </c>
      <c r="I1167" s="138"/>
      <c r="J1167" s="136">
        <v>10901.79</v>
      </c>
      <c r="K1167" s="138"/>
      <c r="L1167" s="136">
        <v>-113021.89</v>
      </c>
      <c r="M1167" s="44"/>
      <c r="N1167" s="44"/>
      <c r="O1167" s="136">
        <v>2101405.0</v>
      </c>
      <c r="P1167" s="52">
        <f t="shared" si="23"/>
        <v>2101405.22</v>
      </c>
      <c r="Q1167" s="124">
        <f t="shared" si="2"/>
        <v>-0.2199999997</v>
      </c>
      <c r="R1167" s="52">
        <f t="array" ref="R1167">IFERROR(INDEX('Fund YTD Target Values'!$1:$1000, MATCH($C1167,'Fund YTD Target Values'!$A:$A,0), MATCH($A1167,'Fund YTD Target Values'!$1:$1,0)),0)</f>
        <v>2224754.768</v>
      </c>
      <c r="S1167" s="52">
        <f>IFERROR(__xludf.DUMMYFUNCTION("IFERROR(sum(FILTER('Fund Data'!$V:$V, 'Fund Data'!$C:$C = $C1167, 'Fund Data'!$A:$A &lt; $A1167)),0) + IFERROR(sum(FILTER('Fund Data'!$V:$V, 'Fund Data'!$C:$C = $C1167, 'Fund Data'!$A:$A = $A1167, 'Fund Data'!$B:$B &lt;= $B1167)),0)"),2005500.0)</f>
        <v>2005500</v>
      </c>
      <c r="T1167" s="123">
        <v>2005500.0</v>
      </c>
      <c r="U1167" s="44">
        <f t="shared" si="107"/>
        <v>0</v>
      </c>
      <c r="V1167" s="44">
        <f t="shared" si="3"/>
        <v>0</v>
      </c>
      <c r="W1167" s="123"/>
      <c r="X1167" s="123"/>
      <c r="Y1167" s="123">
        <v>0.0</v>
      </c>
      <c r="Z1167" s="123">
        <v>0.0</v>
      </c>
      <c r="AA1167" s="123">
        <v>0.0</v>
      </c>
      <c r="AB1167" s="123"/>
      <c r="AC1167" s="123">
        <v>0.0</v>
      </c>
      <c r="AD1167" s="44">
        <f t="shared" si="7"/>
        <v>-105000</v>
      </c>
      <c r="AE1167" s="123">
        <v>0.0</v>
      </c>
    </row>
    <row r="1168">
      <c r="A1168" s="120">
        <v>2018.0</v>
      </c>
      <c r="B1168" s="121">
        <v>9.0</v>
      </c>
      <c r="C1168" s="122" t="s">
        <v>73</v>
      </c>
      <c r="D1168" s="44"/>
      <c r="E1168" s="123">
        <v>37121.11</v>
      </c>
      <c r="F1168" s="123">
        <v>-105000.0</v>
      </c>
      <c r="G1168" s="44"/>
      <c r="H1168" s="123">
        <v>-10229.3</v>
      </c>
      <c r="I1168" s="44"/>
      <c r="J1168" s="123">
        <v>10901.79</v>
      </c>
      <c r="K1168" s="44"/>
      <c r="L1168" s="123">
        <v>-286.05</v>
      </c>
      <c r="M1168" s="44"/>
      <c r="N1168" s="44"/>
      <c r="O1168" s="123">
        <v>2207822.0</v>
      </c>
      <c r="P1168" s="52">
        <f t="shared" si="23"/>
        <v>2207822.23</v>
      </c>
      <c r="Q1168" s="124">
        <f t="shared" si="2"/>
        <v>-0.2299999995</v>
      </c>
      <c r="R1168" s="52">
        <f t="array" ref="R1168">IFERROR(INDEX('Fund YTD Target Values'!$1:$1000, MATCH($C1168,'Fund YTD Target Values'!$A:$A,0), MATCH($A1168,'Fund YTD Target Values'!$1:$1,0)),0)</f>
        <v>2224754.768</v>
      </c>
      <c r="S1168" s="52">
        <f>IFERROR(__xludf.DUMMYFUNCTION("IFERROR(sum(FILTER('Fund Data'!$V:$V, 'Fund Data'!$C:$C = $C1168, 'Fund Data'!$A:$A &lt; $A1168)),0) + IFERROR(sum(FILTER('Fund Data'!$V:$V, 'Fund Data'!$C:$C = $C1168, 'Fund Data'!$A:$A = $A1168, 'Fund Data'!$B:$B &lt;= $B1168)),0)"),2005500.0)</f>
        <v>2005500</v>
      </c>
      <c r="T1168" s="123">
        <v>2005500.0</v>
      </c>
      <c r="U1168" s="44">
        <f t="shared" si="107"/>
        <v>0</v>
      </c>
      <c r="V1168" s="44">
        <f t="shared" si="3"/>
        <v>0</v>
      </c>
      <c r="W1168" s="123"/>
      <c r="X1168" s="123"/>
      <c r="Y1168" s="123">
        <v>0.0</v>
      </c>
      <c r="Z1168" s="123">
        <v>0.0</v>
      </c>
      <c r="AA1168" s="123">
        <v>0.0</v>
      </c>
      <c r="AB1168" s="123"/>
      <c r="AC1168" s="123">
        <v>0.0</v>
      </c>
      <c r="AD1168" s="44">
        <f t="shared" si="7"/>
        <v>-105000</v>
      </c>
      <c r="AE1168" s="123">
        <v>0.0</v>
      </c>
    </row>
    <row r="1169">
      <c r="A1169" s="120">
        <v>2018.0</v>
      </c>
      <c r="B1169" s="121">
        <v>8.0</v>
      </c>
      <c r="C1169" s="122" t="s">
        <v>73</v>
      </c>
      <c r="D1169" s="44"/>
      <c r="E1169" s="123">
        <v>35211.59</v>
      </c>
      <c r="F1169" s="123">
        <v>-87100.0</v>
      </c>
      <c r="G1169" s="44"/>
      <c r="H1169" s="123">
        <v>-9112.64</v>
      </c>
      <c r="I1169" s="44"/>
      <c r="J1169" s="123">
        <v>8371.56</v>
      </c>
      <c r="K1169" s="44"/>
      <c r="L1169" s="123">
        <v>10391.33</v>
      </c>
      <c r="M1169" s="44"/>
      <c r="N1169" s="44"/>
      <c r="O1169" s="123">
        <v>2233077.0</v>
      </c>
      <c r="P1169" s="52">
        <f t="shared" si="23"/>
        <v>2233076.52</v>
      </c>
      <c r="Q1169" s="124">
        <f t="shared" si="2"/>
        <v>0.4800000004</v>
      </c>
      <c r="R1169" s="52">
        <f t="array" ref="R1169">IFERROR(INDEX('Fund YTD Target Values'!$1:$1000, MATCH($C1169,'Fund YTD Target Values'!$A:$A,0), MATCH($A1169,'Fund YTD Target Values'!$1:$1,0)),0)</f>
        <v>2224754.768</v>
      </c>
      <c r="S1169" s="52">
        <f>IFERROR(__xludf.DUMMYFUNCTION("IFERROR(sum(FILTER('Fund Data'!$V:$V, 'Fund Data'!$C:$C = $C1169, 'Fund Data'!$A:$A &lt; $A1169)),0) + IFERROR(sum(FILTER('Fund Data'!$V:$V, 'Fund Data'!$C:$C = $C1169, 'Fund Data'!$A:$A = $A1169, 'Fund Data'!$B:$B &lt;= $B1169)),0)"),2005500.0)</f>
        <v>2005500</v>
      </c>
      <c r="T1169" s="123">
        <v>2005500.0</v>
      </c>
      <c r="U1169" s="44">
        <f t="shared" si="107"/>
        <v>0</v>
      </c>
      <c r="V1169" s="44">
        <f t="shared" si="3"/>
        <v>0</v>
      </c>
      <c r="W1169" s="123"/>
      <c r="X1169" s="123"/>
      <c r="Y1169" s="123">
        <v>0.0</v>
      </c>
      <c r="Z1169" s="123">
        <v>0.0</v>
      </c>
      <c r="AA1169" s="123">
        <v>0.0</v>
      </c>
      <c r="AB1169" s="123"/>
      <c r="AC1169" s="123">
        <v>0.0</v>
      </c>
      <c r="AD1169" s="44">
        <f t="shared" si="7"/>
        <v>-87100</v>
      </c>
      <c r="AE1169" s="123">
        <v>0.0</v>
      </c>
    </row>
    <row r="1170">
      <c r="A1170" s="120">
        <v>2018.0</v>
      </c>
      <c r="B1170" s="121">
        <v>7.0</v>
      </c>
      <c r="C1170" s="122" t="s">
        <v>73</v>
      </c>
      <c r="D1170" s="44"/>
      <c r="E1170" s="123">
        <v>33347.45</v>
      </c>
      <c r="F1170" s="123">
        <v>-52100.0</v>
      </c>
      <c r="G1170" s="44"/>
      <c r="H1170" s="123">
        <v>-7982.34</v>
      </c>
      <c r="I1170" s="44"/>
      <c r="J1170" s="123">
        <v>3707.69</v>
      </c>
      <c r="K1170" s="44"/>
      <c r="L1170" s="123">
        <v>8306.67</v>
      </c>
      <c r="M1170" s="44"/>
      <c r="N1170" s="44"/>
      <c r="O1170" s="123">
        <v>2260594.0</v>
      </c>
      <c r="P1170" s="52">
        <f t="shared" si="23"/>
        <v>2260594.15</v>
      </c>
      <c r="Q1170" s="124">
        <f t="shared" si="2"/>
        <v>-0.1499999999</v>
      </c>
      <c r="R1170" s="52">
        <f t="array" ref="R1170">IFERROR(INDEX('Fund YTD Target Values'!$1:$1000, MATCH($C1170,'Fund YTD Target Values'!$A:$A,0), MATCH($A1170,'Fund YTD Target Values'!$1:$1,0)),0)</f>
        <v>2224754.768</v>
      </c>
      <c r="S1170" s="52">
        <f>IFERROR(__xludf.DUMMYFUNCTION("IFERROR(sum(FILTER('Fund Data'!$V:$V, 'Fund Data'!$C:$C = $C1170, 'Fund Data'!$A:$A &lt; $A1170)),0) + IFERROR(sum(FILTER('Fund Data'!$V:$V, 'Fund Data'!$C:$C = $C1170, 'Fund Data'!$A:$A = $A1170, 'Fund Data'!$B:$B &lt;= $B1170)),0)"),2005500.0)</f>
        <v>2005500</v>
      </c>
      <c r="T1170" s="123">
        <v>2005500.0</v>
      </c>
      <c r="U1170" s="44">
        <f t="shared" si="107"/>
        <v>0</v>
      </c>
      <c r="V1170" s="44">
        <f t="shared" si="3"/>
        <v>0</v>
      </c>
      <c r="W1170" s="123"/>
      <c r="X1170" s="123"/>
      <c r="Y1170" s="123">
        <v>0.0</v>
      </c>
      <c r="Z1170" s="123">
        <v>0.0</v>
      </c>
      <c r="AA1170" s="123">
        <v>0.0</v>
      </c>
      <c r="AB1170" s="123"/>
      <c r="AC1170" s="123">
        <v>0.0</v>
      </c>
      <c r="AD1170" s="44">
        <f t="shared" si="7"/>
        <v>-52100</v>
      </c>
      <c r="AE1170" s="123">
        <v>0.0</v>
      </c>
    </row>
    <row r="1171">
      <c r="A1171" s="120">
        <v>2018.0</v>
      </c>
      <c r="B1171" s="121">
        <v>6.0</v>
      </c>
      <c r="C1171" s="122" t="s">
        <v>73</v>
      </c>
      <c r="D1171" s="44"/>
      <c r="E1171" s="123">
        <v>28294.43</v>
      </c>
      <c r="F1171" s="123">
        <v>-47000.0</v>
      </c>
      <c r="G1171" s="44"/>
      <c r="H1171" s="123">
        <v>-6869.87</v>
      </c>
      <c r="I1171" s="44"/>
      <c r="J1171" s="123">
        <v>3707.69</v>
      </c>
      <c r="K1171" s="44"/>
      <c r="L1171" s="123">
        <v>-28518.52</v>
      </c>
      <c r="M1171" s="44"/>
      <c r="N1171" s="44"/>
      <c r="O1171" s="123">
        <v>2224928.0</v>
      </c>
      <c r="P1171" s="52">
        <f t="shared" si="23"/>
        <v>2224928.41</v>
      </c>
      <c r="Q1171" s="124">
        <f t="shared" si="2"/>
        <v>-0.4099999997</v>
      </c>
      <c r="R1171" s="52">
        <f t="array" ref="R1171">IFERROR(INDEX('Fund YTD Target Values'!$1:$1000, MATCH($C1171,'Fund YTD Target Values'!$A:$A,0), MATCH($A1171,'Fund YTD Target Values'!$1:$1,0)),0)</f>
        <v>2224754.768</v>
      </c>
      <c r="S1171" s="52">
        <f>IFERROR(__xludf.DUMMYFUNCTION("IFERROR(sum(FILTER('Fund Data'!$V:$V, 'Fund Data'!$C:$C = $C1171, 'Fund Data'!$A:$A &lt; $A1171)),0) + IFERROR(sum(FILTER('Fund Data'!$V:$V, 'Fund Data'!$C:$C = $C1171, 'Fund Data'!$A:$A = $A1171, 'Fund Data'!$B:$B &lt;= $B1171)),0)"),2005500.0)</f>
        <v>2005500</v>
      </c>
      <c r="T1171" s="123">
        <v>2005500.0</v>
      </c>
      <c r="U1171" s="44">
        <f t="shared" si="107"/>
        <v>0</v>
      </c>
      <c r="V1171" s="44">
        <f t="shared" si="3"/>
        <v>0</v>
      </c>
      <c r="W1171" s="123"/>
      <c r="X1171" s="123"/>
      <c r="Y1171" s="123">
        <v>0.0</v>
      </c>
      <c r="Z1171" s="123">
        <v>0.0</v>
      </c>
      <c r="AA1171" s="123">
        <v>0.0</v>
      </c>
      <c r="AB1171" s="123"/>
      <c r="AC1171" s="123">
        <v>0.0</v>
      </c>
      <c r="AD1171" s="44">
        <f t="shared" si="7"/>
        <v>-47000</v>
      </c>
      <c r="AE1171" s="123">
        <v>0.0</v>
      </c>
    </row>
    <row r="1172">
      <c r="A1172" s="120">
        <v>2018.0</v>
      </c>
      <c r="B1172" s="121">
        <v>5.0</v>
      </c>
      <c r="C1172" s="122" t="s">
        <v>73</v>
      </c>
      <c r="D1172" s="44"/>
      <c r="E1172" s="123">
        <v>25053.59</v>
      </c>
      <c r="F1172" s="123">
        <v>-20000.0</v>
      </c>
      <c r="G1172" s="44"/>
      <c r="H1172" s="123">
        <v>-5736.67</v>
      </c>
      <c r="I1172" s="44"/>
      <c r="J1172" s="44"/>
      <c r="K1172" s="44"/>
      <c r="L1172" s="123">
        <v>-8230.54</v>
      </c>
      <c r="M1172" s="44"/>
      <c r="N1172" s="44"/>
      <c r="O1172" s="123">
        <v>2266401.0</v>
      </c>
      <c r="P1172" s="52">
        <f t="shared" si="23"/>
        <v>2266401.06</v>
      </c>
      <c r="Q1172" s="124">
        <f t="shared" si="2"/>
        <v>-0.05999999959</v>
      </c>
      <c r="R1172" s="52">
        <f t="array" ref="R1172">IFERROR(INDEX('Fund YTD Target Values'!$1:$1000, MATCH($C1172,'Fund YTD Target Values'!$A:$A,0), MATCH($A1172,'Fund YTD Target Values'!$1:$1,0)),0)</f>
        <v>2224754.768</v>
      </c>
      <c r="S1172" s="52">
        <f>IFERROR(__xludf.DUMMYFUNCTION("IFERROR(sum(FILTER('Fund Data'!$V:$V, 'Fund Data'!$C:$C = $C1172, 'Fund Data'!$A:$A &lt; $A1172)),0) + IFERROR(sum(FILTER('Fund Data'!$V:$V, 'Fund Data'!$C:$C = $C1172, 'Fund Data'!$A:$A = $A1172, 'Fund Data'!$B:$B &lt;= $B1172)),0)"),2005500.0)</f>
        <v>2005500</v>
      </c>
      <c r="T1172" s="123">
        <v>2005500.0</v>
      </c>
      <c r="U1172" s="44">
        <f t="shared" si="107"/>
        <v>0</v>
      </c>
      <c r="V1172" s="44">
        <f t="shared" si="3"/>
        <v>0</v>
      </c>
      <c r="W1172" s="123"/>
      <c r="X1172" s="123"/>
      <c r="Y1172" s="123">
        <v>0.0</v>
      </c>
      <c r="Z1172" s="123">
        <v>0.0</v>
      </c>
      <c r="AA1172" s="123">
        <v>0.0</v>
      </c>
      <c r="AB1172" s="123"/>
      <c r="AC1172" s="123">
        <v>0.0</v>
      </c>
      <c r="AD1172" s="44">
        <f t="shared" si="7"/>
        <v>-20000</v>
      </c>
      <c r="AE1172" s="123">
        <v>0.0</v>
      </c>
    </row>
    <row r="1173">
      <c r="A1173" s="120">
        <v>2018.0</v>
      </c>
      <c r="B1173" s="121">
        <v>4.0</v>
      </c>
      <c r="C1173" s="122" t="s">
        <v>73</v>
      </c>
      <c r="D1173" s="44"/>
      <c r="E1173" s="123">
        <v>23254.54</v>
      </c>
      <c r="F1173" s="44"/>
      <c r="G1173" s="44"/>
      <c r="H1173" s="123">
        <v>-4596.2</v>
      </c>
      <c r="I1173" s="44"/>
      <c r="J1173" s="44"/>
      <c r="K1173" s="44"/>
      <c r="L1173" s="123">
        <v>-13021.67</v>
      </c>
      <c r="M1173" s="44"/>
      <c r="N1173" s="44"/>
      <c r="O1173" s="123">
        <v>2280951.0</v>
      </c>
      <c r="P1173" s="52">
        <f t="shared" si="23"/>
        <v>2280951.35</v>
      </c>
      <c r="Q1173" s="124">
        <f t="shared" si="2"/>
        <v>-0.3499999996</v>
      </c>
      <c r="R1173" s="52">
        <f t="array" ref="R1173">IFERROR(INDEX('Fund YTD Target Values'!$1:$1000, MATCH($C1173,'Fund YTD Target Values'!$A:$A,0), MATCH($A1173,'Fund YTD Target Values'!$1:$1,0)),0)</f>
        <v>2224754.768</v>
      </c>
      <c r="S1173" s="52">
        <f>IFERROR(__xludf.DUMMYFUNCTION("IFERROR(sum(FILTER('Fund Data'!$V:$V, 'Fund Data'!$C:$C = $C1173, 'Fund Data'!$A:$A &lt; $A1173)),0) + IFERROR(sum(FILTER('Fund Data'!$V:$V, 'Fund Data'!$C:$C = $C1173, 'Fund Data'!$A:$A = $A1173, 'Fund Data'!$B:$B &lt;= $B1173)),0)"),2005500.0)</f>
        <v>2005500</v>
      </c>
      <c r="T1173" s="123">
        <v>2005500.0</v>
      </c>
      <c r="U1173" s="44">
        <f t="shared" si="107"/>
        <v>0</v>
      </c>
      <c r="V1173" s="44">
        <f t="shared" si="3"/>
        <v>0</v>
      </c>
      <c r="W1173" s="123"/>
      <c r="X1173" s="123"/>
      <c r="Y1173" s="123">
        <v>0.0</v>
      </c>
      <c r="Z1173" s="123">
        <v>0.0</v>
      </c>
      <c r="AA1173" s="123">
        <v>0.0</v>
      </c>
      <c r="AB1173" s="123"/>
      <c r="AC1173" s="123">
        <v>0.0</v>
      </c>
      <c r="AD1173" s="44">
        <f t="shared" si="7"/>
        <v>0</v>
      </c>
      <c r="AE1173" s="123">
        <v>0.0</v>
      </c>
    </row>
    <row r="1174">
      <c r="A1174" s="120">
        <v>2018.0</v>
      </c>
      <c r="B1174" s="121">
        <v>3.0</v>
      </c>
      <c r="C1174" s="122" t="s">
        <v>73</v>
      </c>
      <c r="D1174" s="44"/>
      <c r="E1174" s="123">
        <v>17765.64</v>
      </c>
      <c r="F1174" s="44"/>
      <c r="G1174" s="44"/>
      <c r="H1174" s="123">
        <v>-3458.83</v>
      </c>
      <c r="I1174" s="44"/>
      <c r="J1174" s="44"/>
      <c r="K1174" s="44"/>
      <c r="L1174" s="123">
        <v>-14884.06</v>
      </c>
      <c r="M1174" s="44"/>
      <c r="N1174" s="44"/>
      <c r="O1174" s="123">
        <v>2274737.0</v>
      </c>
      <c r="P1174" s="52">
        <f t="shared" si="23"/>
        <v>2274737.43</v>
      </c>
      <c r="Q1174" s="124">
        <f t="shared" si="2"/>
        <v>-0.4299999997</v>
      </c>
      <c r="R1174" s="52">
        <f t="array" ref="R1174">IFERROR(INDEX('Fund YTD Target Values'!$1:$1000, MATCH($C1174,'Fund YTD Target Values'!$A:$A,0), MATCH($A1174,'Fund YTD Target Values'!$1:$1,0)),0)</f>
        <v>2224754.768</v>
      </c>
      <c r="S1174" s="52">
        <f>IFERROR(__xludf.DUMMYFUNCTION("IFERROR(sum(FILTER('Fund Data'!$V:$V, 'Fund Data'!$C:$C = $C1174, 'Fund Data'!$A:$A &lt; $A1174)),0) + IFERROR(sum(FILTER('Fund Data'!$V:$V, 'Fund Data'!$C:$C = $C1174, 'Fund Data'!$A:$A = $A1174, 'Fund Data'!$B:$B &lt;= $B1174)),0)"),2005500.0)</f>
        <v>2005500</v>
      </c>
      <c r="T1174" s="123">
        <v>2005500.0</v>
      </c>
      <c r="U1174" s="44">
        <f t="shared" si="107"/>
        <v>0</v>
      </c>
      <c r="V1174" s="44">
        <f t="shared" si="3"/>
        <v>0</v>
      </c>
      <c r="W1174" s="123"/>
      <c r="X1174" s="123"/>
      <c r="Y1174" s="123">
        <v>0.0</v>
      </c>
      <c r="Z1174" s="123">
        <v>0.0</v>
      </c>
      <c r="AA1174" s="123">
        <v>0.0</v>
      </c>
      <c r="AB1174" s="123"/>
      <c r="AC1174" s="123">
        <v>0.0</v>
      </c>
      <c r="AD1174" s="44">
        <f t="shared" si="7"/>
        <v>0</v>
      </c>
      <c r="AE1174" s="123">
        <v>0.0</v>
      </c>
    </row>
    <row r="1175">
      <c r="A1175" s="120">
        <v>2018.0</v>
      </c>
      <c r="B1175" s="121">
        <v>2.0</v>
      </c>
      <c r="C1175" s="122" t="s">
        <v>73</v>
      </c>
      <c r="D1175" s="44"/>
      <c r="E1175" s="123">
        <v>15763.66</v>
      </c>
      <c r="F1175" s="44"/>
      <c r="G1175" s="44"/>
      <c r="H1175" s="123">
        <v>-5647.2</v>
      </c>
      <c r="I1175" s="44"/>
      <c r="J1175" s="44"/>
      <c r="K1175" s="44"/>
      <c r="L1175" s="123">
        <v>976.25</v>
      </c>
      <c r="M1175" s="44"/>
      <c r="N1175" s="44"/>
      <c r="O1175" s="123">
        <v>2286407.0</v>
      </c>
      <c r="P1175" s="52">
        <f t="shared" si="23"/>
        <v>2286407.39</v>
      </c>
      <c r="Q1175" s="124">
        <f t="shared" si="2"/>
        <v>-0.3899999997</v>
      </c>
      <c r="R1175" s="52">
        <f t="array" ref="R1175">IFERROR(INDEX('Fund YTD Target Values'!$1:$1000, MATCH($C1175,'Fund YTD Target Values'!$A:$A,0), MATCH($A1175,'Fund YTD Target Values'!$1:$1,0)),0)</f>
        <v>2224754.768</v>
      </c>
      <c r="S1175" s="52">
        <f>IFERROR(__xludf.DUMMYFUNCTION("IFERROR(sum(FILTER('Fund Data'!$V:$V, 'Fund Data'!$C:$C = $C1175, 'Fund Data'!$A:$A &lt; $A1175)),0) + IFERROR(sum(FILTER('Fund Data'!$V:$V, 'Fund Data'!$C:$C = $C1175, 'Fund Data'!$A:$A = $A1175, 'Fund Data'!$B:$B &lt;= $B1175)),0)"),2005500.0)</f>
        <v>2005500</v>
      </c>
      <c r="T1175" s="123">
        <v>2005500.0</v>
      </c>
      <c r="U1175" s="44">
        <f t="shared" si="107"/>
        <v>0</v>
      </c>
      <c r="V1175" s="44">
        <f t="shared" si="3"/>
        <v>0</v>
      </c>
      <c r="W1175" s="123"/>
      <c r="X1175" s="123"/>
      <c r="Y1175" s="123">
        <v>0.0</v>
      </c>
      <c r="Z1175" s="123">
        <v>0.0</v>
      </c>
      <c r="AA1175" s="123">
        <v>0.0</v>
      </c>
      <c r="AB1175" s="123"/>
      <c r="AC1175" s="123">
        <v>0.0</v>
      </c>
      <c r="AD1175" s="44">
        <f t="shared" si="7"/>
        <v>0</v>
      </c>
      <c r="AE1175" s="123">
        <v>0.0</v>
      </c>
    </row>
    <row r="1176">
      <c r="A1176" s="120">
        <v>2018.0</v>
      </c>
      <c r="B1176" s="121">
        <v>1.0</v>
      </c>
      <c r="C1176" s="122" t="s">
        <v>73</v>
      </c>
      <c r="D1176" s="44"/>
      <c r="E1176" s="123">
        <v>14072.28</v>
      </c>
      <c r="F1176" s="44"/>
      <c r="G1176" s="44"/>
      <c r="H1176" s="123">
        <v>-4469.23</v>
      </c>
      <c r="I1176" s="44"/>
      <c r="J1176" s="44"/>
      <c r="K1176" s="44"/>
      <c r="L1176" s="123">
        <v>71025.95</v>
      </c>
      <c r="M1176" s="44"/>
      <c r="N1176" s="44"/>
      <c r="O1176" s="123">
        <v>2355944.0</v>
      </c>
      <c r="P1176" s="52">
        <f t="shared" si="23"/>
        <v>2355943.68</v>
      </c>
      <c r="Q1176" s="124">
        <f t="shared" si="2"/>
        <v>0.3200000003</v>
      </c>
      <c r="R1176" s="52">
        <f t="array" ref="R1176">IFERROR(INDEX('Fund YTD Target Values'!$1:$1000, MATCH($C1176,'Fund YTD Target Values'!$A:$A,0), MATCH($A1176,'Fund YTD Target Values'!$1:$1,0)),0)</f>
        <v>2224754.768</v>
      </c>
      <c r="S1176" s="52">
        <f>IFERROR(__xludf.DUMMYFUNCTION("IFERROR(sum(FILTER('Fund Data'!$V:$V, 'Fund Data'!$C:$C = $C1176, 'Fund Data'!$A:$A &lt; $A1176)),0) + IFERROR(sum(FILTER('Fund Data'!$V:$V, 'Fund Data'!$C:$C = $C1176, 'Fund Data'!$A:$A = $A1176, 'Fund Data'!$B:$B &lt;= $B1176)),0)"),2005500.0)</f>
        <v>2005500</v>
      </c>
      <c r="T1176" s="123">
        <v>2005500.0</v>
      </c>
      <c r="U1176" s="44">
        <f t="shared" si="107"/>
        <v>0</v>
      </c>
      <c r="V1176" s="44">
        <f t="shared" si="3"/>
        <v>0</v>
      </c>
      <c r="W1176" s="123"/>
      <c r="X1176" s="123"/>
      <c r="Y1176" s="123">
        <v>0.0</v>
      </c>
      <c r="Z1176" s="123">
        <v>0.0</v>
      </c>
      <c r="AA1176" s="123">
        <v>0.0</v>
      </c>
      <c r="AB1176" s="123"/>
      <c r="AC1176" s="123">
        <v>0.0</v>
      </c>
      <c r="AD1176" s="44">
        <f t="shared" si="7"/>
        <v>0</v>
      </c>
      <c r="AE1176" s="123">
        <v>0.0</v>
      </c>
    </row>
    <row r="1177">
      <c r="A1177" s="120">
        <v>2017.0</v>
      </c>
      <c r="B1177" s="121">
        <v>12.0</v>
      </c>
      <c r="C1177" s="122" t="s">
        <v>73</v>
      </c>
      <c r="D1177" s="44"/>
      <c r="E1177" s="123">
        <v>47705.94</v>
      </c>
      <c r="F1177" s="123">
        <v>-63500.0</v>
      </c>
      <c r="G1177" s="123"/>
      <c r="H1177" s="123">
        <v>-13002.59</v>
      </c>
      <c r="I1177" s="44"/>
      <c r="J1177" s="123">
        <v>3378.62</v>
      </c>
      <c r="K1177" s="44"/>
      <c r="L1177" s="123">
        <v>266819.43</v>
      </c>
      <c r="M1177" s="44"/>
      <c r="N1177" s="44"/>
      <c r="O1177" s="123">
        <v>2275315.0</v>
      </c>
      <c r="P1177" s="52">
        <f t="shared" si="23"/>
        <v>2275314.68</v>
      </c>
      <c r="Q1177" s="124">
        <f t="shared" si="2"/>
        <v>0.3199999998</v>
      </c>
      <c r="R1177" s="52">
        <f t="array" ref="R1177">IFERROR(INDEX('Fund YTD Target Values'!$1:$1000, MATCH($C1177,'Fund YTD Target Values'!$A:$A,0), MATCH($A1177,'Fund YTD Target Values'!$1:$1,0)),0)</f>
        <v>2171706.82</v>
      </c>
      <c r="S1177" s="52">
        <f>IFERROR(__xludf.DUMMYFUNCTION("IFERROR(sum(FILTER('Fund Data'!$V:$V, 'Fund Data'!$C:$C = $C1177, 'Fund Data'!$A:$A &lt; $A1177)),0) + IFERROR(sum(FILTER('Fund Data'!$V:$V, 'Fund Data'!$C:$C = $C1177, 'Fund Data'!$A:$A = $A1177, 'Fund Data'!$B:$B &lt;= $B1177)),0)"),2005500.0)</f>
        <v>2005500</v>
      </c>
      <c r="T1177" s="123">
        <v>2005500.0</v>
      </c>
      <c r="U1177" s="44">
        <f t="shared" si="107"/>
        <v>0</v>
      </c>
      <c r="V1177" s="44">
        <f t="shared" si="3"/>
        <v>0</v>
      </c>
      <c r="W1177" s="123"/>
      <c r="X1177" s="123"/>
      <c r="Y1177" s="123">
        <v>0.0</v>
      </c>
      <c r="Z1177" s="123">
        <v>0.0</v>
      </c>
      <c r="AA1177" s="123">
        <v>0.0</v>
      </c>
      <c r="AB1177" s="123"/>
      <c r="AC1177" s="123">
        <v>0.0</v>
      </c>
      <c r="AD1177" s="44">
        <f t="shared" si="7"/>
        <v>-63500</v>
      </c>
      <c r="AE1177" s="123">
        <v>0.0</v>
      </c>
    </row>
    <row r="1178">
      <c r="A1178" s="120">
        <v>2017.0</v>
      </c>
      <c r="B1178" s="121">
        <v>11.0</v>
      </c>
      <c r="C1178" s="122" t="s">
        <v>73</v>
      </c>
      <c r="D1178" s="44"/>
      <c r="E1178" s="123">
        <v>44510.8</v>
      </c>
      <c r="F1178" s="123">
        <v>-63500.0</v>
      </c>
      <c r="G1178" s="44"/>
      <c r="H1178" s="123">
        <v>-11871.18</v>
      </c>
      <c r="I1178" s="44"/>
      <c r="J1178" s="123">
        <v>3378.62</v>
      </c>
      <c r="K1178" s="44"/>
      <c r="L1178" s="123">
        <v>255885.43</v>
      </c>
      <c r="M1178" s="44"/>
      <c r="N1178" s="44"/>
      <c r="O1178" s="123">
        <v>2262317.0</v>
      </c>
      <c r="P1178" s="52">
        <f t="shared" si="23"/>
        <v>2262316.95</v>
      </c>
      <c r="Q1178" s="124">
        <f t="shared" si="2"/>
        <v>0.04999999981</v>
      </c>
      <c r="R1178" s="52">
        <f t="array" ref="R1178">IFERROR(INDEX('Fund YTD Target Values'!$1:$1000, MATCH($C1178,'Fund YTD Target Values'!$A:$A,0), MATCH($A1178,'Fund YTD Target Values'!$1:$1,0)),0)</f>
        <v>2171706.82</v>
      </c>
      <c r="S1178" s="52">
        <f>IFERROR(__xludf.DUMMYFUNCTION("IFERROR(sum(FILTER('Fund Data'!$V:$V, 'Fund Data'!$C:$C = $C1178, 'Fund Data'!$A:$A &lt; $A1178)),0) + IFERROR(sum(FILTER('Fund Data'!$V:$V, 'Fund Data'!$C:$C = $C1178, 'Fund Data'!$A:$A = $A1178, 'Fund Data'!$B:$B &lt;= $B1178)),0)"),2005500.0)</f>
        <v>2005500</v>
      </c>
      <c r="T1178" s="123">
        <v>2005500.0</v>
      </c>
      <c r="U1178" s="44">
        <f t="shared" si="107"/>
        <v>0</v>
      </c>
      <c r="V1178" s="44">
        <f t="shared" si="3"/>
        <v>0</v>
      </c>
      <c r="W1178" s="123"/>
      <c r="X1178" s="123"/>
      <c r="Y1178" s="123">
        <v>0.0</v>
      </c>
      <c r="Z1178" s="123">
        <v>0.0</v>
      </c>
      <c r="AA1178" s="123">
        <v>0.0</v>
      </c>
      <c r="AB1178" s="123"/>
      <c r="AC1178" s="123">
        <v>0.0</v>
      </c>
      <c r="AD1178" s="44">
        <f t="shared" si="7"/>
        <v>-63500</v>
      </c>
      <c r="AE1178" s="123">
        <v>0.0</v>
      </c>
    </row>
    <row r="1179">
      <c r="A1179" s="120">
        <v>2017.0</v>
      </c>
      <c r="B1179" s="121">
        <v>10.0</v>
      </c>
      <c r="C1179" s="122" t="s">
        <v>73</v>
      </c>
      <c r="D1179" s="44"/>
      <c r="E1179" s="123">
        <v>42984.66</v>
      </c>
      <c r="F1179" s="123">
        <v>-37700.0</v>
      </c>
      <c r="G1179" s="44"/>
      <c r="H1179" s="123">
        <v>-10739.92</v>
      </c>
      <c r="I1179" s="44"/>
      <c r="J1179" s="123">
        <v>627.62</v>
      </c>
      <c r="K1179" s="44"/>
      <c r="L1179" s="123">
        <v>233432.22</v>
      </c>
      <c r="M1179" s="44"/>
      <c r="N1179" s="44"/>
      <c r="O1179" s="123">
        <v>2262518.0</v>
      </c>
      <c r="P1179" s="52">
        <f t="shared" si="23"/>
        <v>2262517.86</v>
      </c>
      <c r="Q1179" s="124">
        <f t="shared" si="2"/>
        <v>0.1400000001</v>
      </c>
      <c r="R1179" s="52">
        <f t="array" ref="R1179">IFERROR(INDEX('Fund YTD Target Values'!$1:$1000, MATCH($C1179,'Fund YTD Target Values'!$A:$A,0), MATCH($A1179,'Fund YTD Target Values'!$1:$1,0)),0)</f>
        <v>2171706.82</v>
      </c>
      <c r="S1179" s="52">
        <f>IFERROR(__xludf.DUMMYFUNCTION("IFERROR(sum(FILTER('Fund Data'!$V:$V, 'Fund Data'!$C:$C = $C1179, 'Fund Data'!$A:$A &lt; $A1179)),0) + IFERROR(sum(FILTER('Fund Data'!$V:$V, 'Fund Data'!$C:$C = $C1179, 'Fund Data'!$A:$A = $A1179, 'Fund Data'!$B:$B &lt;= $B1179)),0)"),2005500.0)</f>
        <v>2005500</v>
      </c>
      <c r="T1179" s="123">
        <v>2005500.0</v>
      </c>
      <c r="U1179" s="44">
        <f t="shared" si="107"/>
        <v>0</v>
      </c>
      <c r="V1179" s="44">
        <f t="shared" si="3"/>
        <v>0</v>
      </c>
      <c r="W1179" s="123"/>
      <c r="X1179" s="123"/>
      <c r="Y1179" s="123">
        <v>0.0</v>
      </c>
      <c r="Z1179" s="123">
        <v>0.0</v>
      </c>
      <c r="AA1179" s="123">
        <v>0.0</v>
      </c>
      <c r="AB1179" s="123"/>
      <c r="AC1179" s="123">
        <v>0.0</v>
      </c>
      <c r="AD1179" s="44">
        <f t="shared" si="7"/>
        <v>-37700</v>
      </c>
      <c r="AE1179" s="123">
        <v>0.0</v>
      </c>
    </row>
    <row r="1180">
      <c r="A1180" s="120">
        <v>2017.0</v>
      </c>
      <c r="B1180" s="121">
        <v>9.0</v>
      </c>
      <c r="C1180" s="122" t="s">
        <v>73</v>
      </c>
      <c r="D1180" s="44"/>
      <c r="E1180" s="123">
        <v>38340.39</v>
      </c>
      <c r="F1180" s="123">
        <v>-37700.0</v>
      </c>
      <c r="G1180" s="44"/>
      <c r="H1180" s="123">
        <v>-9624.9</v>
      </c>
      <c r="I1180" s="44"/>
      <c r="J1180" s="123">
        <v>627.62</v>
      </c>
      <c r="K1180" s="44"/>
      <c r="L1180" s="123">
        <v>204484.49</v>
      </c>
      <c r="M1180" s="44"/>
      <c r="N1180" s="44"/>
      <c r="O1180" s="123">
        <v>2230041.0</v>
      </c>
      <c r="P1180" s="52">
        <f t="shared" si="23"/>
        <v>2230040.88</v>
      </c>
      <c r="Q1180" s="124">
        <f t="shared" si="2"/>
        <v>0.1200000001</v>
      </c>
      <c r="R1180" s="52">
        <f t="array" ref="R1180">IFERROR(INDEX('Fund YTD Target Values'!$1:$1000, MATCH($C1180,'Fund YTD Target Values'!$A:$A,0), MATCH($A1180,'Fund YTD Target Values'!$1:$1,0)),0)</f>
        <v>2171706.82</v>
      </c>
      <c r="S1180" s="52">
        <f>IFERROR(__xludf.DUMMYFUNCTION("IFERROR(sum(FILTER('Fund Data'!$V:$V, 'Fund Data'!$C:$C = $C1180, 'Fund Data'!$A:$A &lt; $A1180)),0) + IFERROR(sum(FILTER('Fund Data'!$V:$V, 'Fund Data'!$C:$C = $C1180, 'Fund Data'!$A:$A = $A1180, 'Fund Data'!$B:$B &lt;= $B1180)),0)"),2005500.0)</f>
        <v>2005500</v>
      </c>
      <c r="T1180" s="123">
        <v>2005500.0</v>
      </c>
      <c r="U1180" s="44">
        <f t="shared" si="107"/>
        <v>0</v>
      </c>
      <c r="V1180" s="44">
        <f t="shared" si="3"/>
        <v>0</v>
      </c>
      <c r="W1180" s="123"/>
      <c r="X1180" s="123"/>
      <c r="Y1180" s="123">
        <v>0.0</v>
      </c>
      <c r="Z1180" s="123">
        <v>0.0</v>
      </c>
      <c r="AA1180" s="123">
        <v>0.0</v>
      </c>
      <c r="AB1180" s="123"/>
      <c r="AC1180" s="123">
        <v>0.0</v>
      </c>
      <c r="AD1180" s="44">
        <f t="shared" si="7"/>
        <v>-37700</v>
      </c>
      <c r="AE1180" s="123">
        <v>0.0</v>
      </c>
    </row>
    <row r="1181">
      <c r="A1181" s="120">
        <v>2017.0</v>
      </c>
      <c r="B1181" s="121">
        <v>8.0</v>
      </c>
      <c r="C1181" s="122" t="s">
        <v>73</v>
      </c>
      <c r="D1181" s="44"/>
      <c r="E1181" s="123">
        <v>35561.49</v>
      </c>
      <c r="F1181" s="123">
        <v>-35700.0</v>
      </c>
      <c r="G1181" s="44"/>
      <c r="H1181" s="123">
        <v>-8520.66</v>
      </c>
      <c r="I1181" s="44"/>
      <c r="J1181" s="123">
        <v>627.62</v>
      </c>
      <c r="K1181" s="44"/>
      <c r="L1181" s="123">
        <v>182603.09</v>
      </c>
      <c r="M1181" s="44"/>
      <c r="N1181" s="44"/>
      <c r="O1181" s="123">
        <v>2208485.0</v>
      </c>
      <c r="P1181" s="52">
        <f t="shared" si="23"/>
        <v>2208484.82</v>
      </c>
      <c r="Q1181" s="124">
        <f t="shared" si="2"/>
        <v>0.1800000002</v>
      </c>
      <c r="R1181" s="52">
        <f t="array" ref="R1181">IFERROR(INDEX('Fund YTD Target Values'!$1:$1000, MATCH($C1181,'Fund YTD Target Values'!$A:$A,0), MATCH($A1181,'Fund YTD Target Values'!$1:$1,0)),0)</f>
        <v>2171706.82</v>
      </c>
      <c r="S1181" s="52">
        <f>IFERROR(__xludf.DUMMYFUNCTION("IFERROR(sum(FILTER('Fund Data'!$V:$V, 'Fund Data'!$C:$C = $C1181, 'Fund Data'!$A:$A &lt; $A1181)),0) + IFERROR(sum(FILTER('Fund Data'!$V:$V, 'Fund Data'!$C:$C = $C1181, 'Fund Data'!$A:$A = $A1181, 'Fund Data'!$B:$B &lt;= $B1181)),0)"),2005500.0)</f>
        <v>2005500</v>
      </c>
      <c r="T1181" s="123">
        <v>2005500.0</v>
      </c>
      <c r="U1181" s="44">
        <f t="shared" si="107"/>
        <v>0</v>
      </c>
      <c r="V1181" s="44">
        <f t="shared" si="3"/>
        <v>0</v>
      </c>
      <c r="W1181" s="123"/>
      <c r="X1181" s="123"/>
      <c r="Y1181" s="123">
        <v>0.0</v>
      </c>
      <c r="Z1181" s="123">
        <v>0.0</v>
      </c>
      <c r="AA1181" s="123">
        <v>0.0</v>
      </c>
      <c r="AB1181" s="123"/>
      <c r="AC1181" s="123">
        <v>0.0</v>
      </c>
      <c r="AD1181" s="44">
        <f t="shared" si="7"/>
        <v>-35700</v>
      </c>
      <c r="AE1181" s="123">
        <v>0.0</v>
      </c>
    </row>
    <row r="1182">
      <c r="A1182" s="120">
        <v>2017.0</v>
      </c>
      <c r="B1182" s="121">
        <v>7.0</v>
      </c>
      <c r="C1182" s="122" t="s">
        <v>73</v>
      </c>
      <c r="D1182" s="44"/>
      <c r="E1182" s="123">
        <v>34053.59</v>
      </c>
      <c r="F1182" s="123">
        <v>-30000.0</v>
      </c>
      <c r="G1182" s="44"/>
      <c r="H1182" s="123">
        <v>-7416.65</v>
      </c>
      <c r="I1182" s="44"/>
      <c r="J1182" s="123">
        <v>627.62</v>
      </c>
      <c r="K1182" s="44"/>
      <c r="L1182" s="123">
        <v>176840.84</v>
      </c>
      <c r="M1182" s="44"/>
      <c r="N1182" s="44"/>
      <c r="O1182" s="123">
        <v>2208019.0</v>
      </c>
      <c r="P1182" s="52">
        <f t="shared" si="23"/>
        <v>2208018.68</v>
      </c>
      <c r="Q1182" s="124">
        <f t="shared" si="2"/>
        <v>0.3199999998</v>
      </c>
      <c r="R1182" s="52">
        <f t="array" ref="R1182">IFERROR(INDEX('Fund YTD Target Values'!$1:$1000, MATCH($C1182,'Fund YTD Target Values'!$A:$A,0), MATCH($A1182,'Fund YTD Target Values'!$1:$1,0)),0)</f>
        <v>2171706.82</v>
      </c>
      <c r="S1182" s="52">
        <f>IFERROR(__xludf.DUMMYFUNCTION("IFERROR(sum(FILTER('Fund Data'!$V:$V, 'Fund Data'!$C:$C = $C1182, 'Fund Data'!$A:$A &lt; $A1182)),0) + IFERROR(sum(FILTER('Fund Data'!$V:$V, 'Fund Data'!$C:$C = $C1182, 'Fund Data'!$A:$A = $A1182, 'Fund Data'!$B:$B &lt;= $B1182)),0)"),2005500.0)</f>
        <v>2005500</v>
      </c>
      <c r="T1182" s="123">
        <v>2005500.0</v>
      </c>
      <c r="U1182" s="44">
        <f t="shared" si="107"/>
        <v>0</v>
      </c>
      <c r="V1182" s="44">
        <f t="shared" si="3"/>
        <v>0</v>
      </c>
      <c r="W1182" s="123"/>
      <c r="X1182" s="123"/>
      <c r="Y1182" s="123">
        <v>0.0</v>
      </c>
      <c r="Z1182" s="123">
        <v>0.0</v>
      </c>
      <c r="AA1182" s="123">
        <v>0.0</v>
      </c>
      <c r="AB1182" s="123"/>
      <c r="AC1182" s="123">
        <v>0.0</v>
      </c>
      <c r="AD1182" s="44">
        <f t="shared" si="7"/>
        <v>-30000</v>
      </c>
      <c r="AE1182" s="123">
        <v>0.0</v>
      </c>
    </row>
    <row r="1183">
      <c r="A1183" s="120">
        <v>2017.0</v>
      </c>
      <c r="B1183" s="121">
        <v>6.0</v>
      </c>
      <c r="C1183" s="122" t="s">
        <v>73</v>
      </c>
      <c r="D1183" s="44"/>
      <c r="E1183" s="123">
        <v>27120.64</v>
      </c>
      <c r="F1183" s="123">
        <v>-30000.0</v>
      </c>
      <c r="G1183" s="44"/>
      <c r="H1183" s="123">
        <v>-6338.28</v>
      </c>
      <c r="I1183" s="44"/>
      <c r="J1183" s="123">
        <v>627.62</v>
      </c>
      <c r="K1183" s="44"/>
      <c r="L1183" s="123">
        <v>131273.55</v>
      </c>
      <c r="M1183" s="44"/>
      <c r="N1183" s="44"/>
      <c r="O1183" s="123">
        <v>2156597.0</v>
      </c>
      <c r="P1183" s="52">
        <f t="shared" si="23"/>
        <v>2156596.81</v>
      </c>
      <c r="Q1183" s="124">
        <f t="shared" si="2"/>
        <v>0.1899999999</v>
      </c>
      <c r="R1183" s="52">
        <f t="array" ref="R1183">IFERROR(INDEX('Fund YTD Target Values'!$1:$1000, MATCH($C1183,'Fund YTD Target Values'!$A:$A,0), MATCH($A1183,'Fund YTD Target Values'!$1:$1,0)),0)</f>
        <v>2171706.82</v>
      </c>
      <c r="S1183" s="52">
        <f>IFERROR(__xludf.DUMMYFUNCTION("IFERROR(sum(FILTER('Fund Data'!$V:$V, 'Fund Data'!$C:$C = $C1183, 'Fund Data'!$A:$A &lt; $A1183)),0) + IFERROR(sum(FILTER('Fund Data'!$V:$V, 'Fund Data'!$C:$C = $C1183, 'Fund Data'!$A:$A = $A1183, 'Fund Data'!$B:$B &lt;= $B1183)),0)"),2005500.0)</f>
        <v>2005500</v>
      </c>
      <c r="T1183" s="123">
        <v>2005500.0</v>
      </c>
      <c r="U1183" s="44">
        <f t="shared" si="107"/>
        <v>0</v>
      </c>
      <c r="V1183" s="44">
        <f t="shared" si="3"/>
        <v>0</v>
      </c>
      <c r="W1183" s="123"/>
      <c r="X1183" s="123"/>
      <c r="Y1183" s="123">
        <v>0.0</v>
      </c>
      <c r="Z1183" s="123">
        <v>0.0</v>
      </c>
      <c r="AA1183" s="123">
        <v>0.0</v>
      </c>
      <c r="AB1183" s="123"/>
      <c r="AC1183" s="123">
        <v>0.0</v>
      </c>
      <c r="AD1183" s="44">
        <f t="shared" si="7"/>
        <v>-30000</v>
      </c>
      <c r="AE1183" s="123">
        <v>0.0</v>
      </c>
    </row>
    <row r="1184">
      <c r="A1184" s="168">
        <v>2017.0</v>
      </c>
      <c r="B1184" s="169">
        <v>5.0</v>
      </c>
      <c r="C1184" s="122" t="s">
        <v>73</v>
      </c>
      <c r="D1184" s="44"/>
      <c r="E1184" s="123">
        <v>25673.16</v>
      </c>
      <c r="F1184" s="123">
        <v>-30000.0</v>
      </c>
      <c r="G1184" s="44"/>
      <c r="H1184" s="123">
        <v>-5262.06</v>
      </c>
      <c r="I1184" s="44"/>
      <c r="J1184" s="123">
        <v>627.62</v>
      </c>
      <c r="K1184" s="44"/>
      <c r="L1184" s="123">
        <v>126587.92</v>
      </c>
      <c r="M1184" s="44"/>
      <c r="N1184" s="44"/>
      <c r="O1184" s="123">
        <v>2151540.0</v>
      </c>
      <c r="P1184" s="52">
        <f t="shared" si="23"/>
        <v>2151539.92</v>
      </c>
      <c r="Q1184" s="124">
        <f t="shared" si="2"/>
        <v>0.08000000007</v>
      </c>
      <c r="R1184" s="52">
        <f t="array" ref="R1184">IFERROR(INDEX('Fund YTD Target Values'!$1:$1000, MATCH($C1184,'Fund YTD Target Values'!$A:$A,0), MATCH($A1184,'Fund YTD Target Values'!$1:$1,0)),0)</f>
        <v>2171706.82</v>
      </c>
      <c r="S1184" s="52">
        <f>IFERROR(__xludf.DUMMYFUNCTION("IFERROR(sum(FILTER('Fund Data'!$V:$V, 'Fund Data'!$C:$C = $C1184, 'Fund Data'!$A:$A &lt; $A1184)),0) + IFERROR(sum(FILTER('Fund Data'!$V:$V, 'Fund Data'!$C:$C = $C1184, 'Fund Data'!$A:$A = $A1184, 'Fund Data'!$B:$B &lt;= $B1184)),0)"),2005500.0)</f>
        <v>2005500</v>
      </c>
      <c r="T1184" s="123">
        <v>2005500.0</v>
      </c>
      <c r="U1184" s="44">
        <f t="shared" si="107"/>
        <v>0</v>
      </c>
      <c r="V1184" s="44">
        <f t="shared" si="3"/>
        <v>0</v>
      </c>
      <c r="W1184" s="123"/>
      <c r="X1184" s="123"/>
      <c r="Y1184" s="123">
        <v>0.0</v>
      </c>
      <c r="Z1184" s="123">
        <v>0.0</v>
      </c>
      <c r="AA1184" s="123">
        <v>0.0</v>
      </c>
      <c r="AB1184" s="123"/>
      <c r="AC1184" s="123">
        <v>0.0</v>
      </c>
      <c r="AD1184" s="44">
        <f t="shared" si="7"/>
        <v>-30000</v>
      </c>
      <c r="AE1184" s="123">
        <v>0.0</v>
      </c>
    </row>
    <row r="1185">
      <c r="A1185" s="120">
        <v>2017.0</v>
      </c>
      <c r="B1185" s="121">
        <v>4.0</v>
      </c>
      <c r="C1185" s="122" t="s">
        <v>73</v>
      </c>
      <c r="D1185" s="44"/>
      <c r="E1185" s="123">
        <v>24271.69</v>
      </c>
      <c r="F1185" s="44"/>
      <c r="G1185" s="44"/>
      <c r="H1185" s="123">
        <v>-4183.63</v>
      </c>
      <c r="I1185" s="44"/>
      <c r="J1185" s="44"/>
      <c r="K1185" s="44"/>
      <c r="L1185" s="123">
        <v>102854.89</v>
      </c>
      <c r="M1185" s="44"/>
      <c r="N1185" s="44"/>
      <c r="O1185" s="123">
        <v>2156856.0</v>
      </c>
      <c r="P1185" s="52">
        <f t="shared" si="23"/>
        <v>2156856.23</v>
      </c>
      <c r="Q1185" s="124">
        <f t="shared" si="2"/>
        <v>-0.23</v>
      </c>
      <c r="R1185" s="52">
        <f t="array" ref="R1185">IFERROR(INDEX('Fund YTD Target Values'!$1:$1000, MATCH($C1185,'Fund YTD Target Values'!$A:$A,0), MATCH($A1185,'Fund YTD Target Values'!$1:$1,0)),0)</f>
        <v>2171706.82</v>
      </c>
      <c r="S1185" s="52">
        <f>IFERROR(__xludf.DUMMYFUNCTION("IFERROR(sum(FILTER('Fund Data'!$V:$V, 'Fund Data'!$C:$C = $C1185, 'Fund Data'!$A:$A &lt; $A1185)),0) + IFERROR(sum(FILTER('Fund Data'!$V:$V, 'Fund Data'!$C:$C = $C1185, 'Fund Data'!$A:$A = $A1185, 'Fund Data'!$B:$B &lt;= $B1185)),0)"),2005500.0)</f>
        <v>2005500</v>
      </c>
      <c r="T1185" s="123">
        <v>2005500.0</v>
      </c>
      <c r="U1185" s="44">
        <f t="shared" si="107"/>
        <v>0</v>
      </c>
      <c r="V1185" s="44">
        <f t="shared" si="3"/>
        <v>0</v>
      </c>
      <c r="W1185" s="123"/>
      <c r="X1185" s="123"/>
      <c r="Y1185" s="123">
        <v>0.0</v>
      </c>
      <c r="Z1185" s="123">
        <v>0.0</v>
      </c>
      <c r="AA1185" s="123">
        <v>0.0</v>
      </c>
      <c r="AB1185" s="123"/>
      <c r="AC1185" s="123">
        <v>0.0</v>
      </c>
      <c r="AD1185" s="44">
        <f t="shared" si="7"/>
        <v>0</v>
      </c>
      <c r="AE1185" s="123">
        <v>0.0</v>
      </c>
    </row>
    <row r="1186">
      <c r="A1186" s="120">
        <v>2017.0</v>
      </c>
      <c r="B1186" s="121">
        <v>3.0</v>
      </c>
      <c r="C1186" s="122" t="s">
        <v>73</v>
      </c>
      <c r="D1186" s="44"/>
      <c r="E1186" s="123">
        <v>18368.38</v>
      </c>
      <c r="F1186" s="44"/>
      <c r="G1186" s="44"/>
      <c r="H1186" s="123">
        <v>-3118.44</v>
      </c>
      <c r="I1186" s="44"/>
      <c r="J1186" s="44"/>
      <c r="K1186" s="44"/>
      <c r="L1186" s="123">
        <v>81218.85</v>
      </c>
      <c r="M1186" s="44"/>
      <c r="N1186" s="44"/>
      <c r="O1186" s="123">
        <v>2130382.0</v>
      </c>
      <c r="P1186" s="52">
        <f t="shared" si="23"/>
        <v>2130382.07</v>
      </c>
      <c r="Q1186" s="124">
        <f t="shared" si="2"/>
        <v>-0.06999999983</v>
      </c>
      <c r="R1186" s="52">
        <f t="array" ref="R1186">IFERROR(INDEX('Fund YTD Target Values'!$1:$1000, MATCH($C1186,'Fund YTD Target Values'!$A:$A,0), MATCH($A1186,'Fund YTD Target Values'!$1:$1,0)),0)</f>
        <v>2171706.82</v>
      </c>
      <c r="S1186" s="52">
        <f>IFERROR(__xludf.DUMMYFUNCTION("IFERROR(sum(FILTER('Fund Data'!$V:$V, 'Fund Data'!$C:$C = $C1186, 'Fund Data'!$A:$A &lt; $A1186)),0) + IFERROR(sum(FILTER('Fund Data'!$V:$V, 'Fund Data'!$C:$C = $C1186, 'Fund Data'!$A:$A = $A1186, 'Fund Data'!$B:$B &lt;= $B1186)),0)"),2005500.0)</f>
        <v>2005500</v>
      </c>
      <c r="T1186" s="123">
        <v>2005500.0</v>
      </c>
      <c r="U1186" s="44">
        <f t="shared" si="107"/>
        <v>0</v>
      </c>
      <c r="V1186" s="44">
        <f t="shared" si="3"/>
        <v>0</v>
      </c>
      <c r="W1186" s="123"/>
      <c r="X1186" s="123"/>
      <c r="Y1186" s="123">
        <v>0.0</v>
      </c>
      <c r="Z1186" s="123">
        <v>0.0</v>
      </c>
      <c r="AA1186" s="123">
        <v>0.0</v>
      </c>
      <c r="AB1186" s="123"/>
      <c r="AC1186" s="123">
        <v>0.0</v>
      </c>
      <c r="AD1186" s="44">
        <f t="shared" si="7"/>
        <v>0</v>
      </c>
      <c r="AE1186" s="123">
        <v>0.0</v>
      </c>
    </row>
    <row r="1187">
      <c r="A1187" s="168">
        <v>2017.0</v>
      </c>
      <c r="B1187" s="169">
        <v>2.0</v>
      </c>
      <c r="C1187" s="122" t="s">
        <v>73</v>
      </c>
      <c r="D1187" s="44"/>
      <c r="E1187" s="123">
        <v>16943.66</v>
      </c>
      <c r="F1187" s="44"/>
      <c r="G1187" s="44"/>
      <c r="H1187" s="123">
        <v>-2057.23</v>
      </c>
      <c r="I1187" s="44"/>
      <c r="J1187" s="44"/>
      <c r="K1187" s="44"/>
      <c r="L1187" s="123">
        <v>73611.24</v>
      </c>
      <c r="M1187" s="44"/>
      <c r="N1187" s="44"/>
      <c r="O1187" s="123">
        <v>2122411.0</v>
      </c>
      <c r="P1187" s="52">
        <f t="shared" si="23"/>
        <v>2122410.95</v>
      </c>
      <c r="Q1187" s="124">
        <f t="shared" si="2"/>
        <v>0.04999999981</v>
      </c>
      <c r="R1187" s="52">
        <f t="array" ref="R1187">IFERROR(INDEX('Fund YTD Target Values'!$1:$1000, MATCH($C1187,'Fund YTD Target Values'!$A:$A,0), MATCH($A1187,'Fund YTD Target Values'!$1:$1,0)),0)</f>
        <v>2171706.82</v>
      </c>
      <c r="S1187" s="52">
        <f>IFERROR(__xludf.DUMMYFUNCTION("IFERROR(sum(FILTER('Fund Data'!$V:$V, 'Fund Data'!$C:$C = $C1187, 'Fund Data'!$A:$A &lt; $A1187)),0) + IFERROR(sum(FILTER('Fund Data'!$V:$V, 'Fund Data'!$C:$C = $C1187, 'Fund Data'!$A:$A = $A1187, 'Fund Data'!$B:$B &lt;= $B1187)),0)"),2005500.0)</f>
        <v>2005500</v>
      </c>
      <c r="T1187" s="123">
        <v>2005500.0</v>
      </c>
      <c r="U1187" s="44">
        <f t="shared" si="107"/>
        <v>0</v>
      </c>
      <c r="V1187" s="44">
        <f t="shared" si="3"/>
        <v>0</v>
      </c>
      <c r="W1187" s="123"/>
      <c r="X1187" s="123"/>
      <c r="Y1187" s="123">
        <v>0.0</v>
      </c>
      <c r="Z1187" s="123">
        <v>0.0</v>
      </c>
      <c r="AA1187" s="123">
        <v>0.0</v>
      </c>
      <c r="AB1187" s="123"/>
      <c r="AC1187" s="123">
        <v>0.0</v>
      </c>
      <c r="AD1187" s="44">
        <f t="shared" si="7"/>
        <v>0</v>
      </c>
      <c r="AE1187" s="123">
        <v>0.0</v>
      </c>
    </row>
    <row r="1188">
      <c r="A1188" s="168">
        <v>2017.0</v>
      </c>
      <c r="B1188" s="169">
        <v>1.0</v>
      </c>
      <c r="C1188" s="122" t="s">
        <v>73</v>
      </c>
      <c r="D1188" s="44"/>
      <c r="E1188" s="123">
        <v>15475.19</v>
      </c>
      <c r="F1188" s="44"/>
      <c r="G1188" s="44"/>
      <c r="H1188" s="123">
        <v>-1016.96</v>
      </c>
      <c r="I1188" s="44"/>
      <c r="J1188" s="44"/>
      <c r="K1188" s="44"/>
      <c r="L1188" s="123">
        <v>32180.19</v>
      </c>
      <c r="M1188" s="44"/>
      <c r="N1188" s="44"/>
      <c r="O1188" s="123">
        <v>2080552.0</v>
      </c>
      <c r="P1188" s="52">
        <f t="shared" si="23"/>
        <v>2080551.7</v>
      </c>
      <c r="Q1188" s="124">
        <f t="shared" si="2"/>
        <v>0.3</v>
      </c>
      <c r="R1188" s="52">
        <f t="array" ref="R1188">IFERROR(INDEX('Fund YTD Target Values'!$1:$1000, MATCH($C1188,'Fund YTD Target Values'!$A:$A,0), MATCH($A1188,'Fund YTD Target Values'!$1:$1,0)),0)</f>
        <v>2171706.82</v>
      </c>
      <c r="S1188" s="52">
        <f>IFERROR(__xludf.DUMMYFUNCTION("IFERROR(sum(FILTER('Fund Data'!$V:$V, 'Fund Data'!$C:$C = $C1188, 'Fund Data'!$A:$A &lt; $A1188)),0) + IFERROR(sum(FILTER('Fund Data'!$V:$V, 'Fund Data'!$C:$C = $C1188, 'Fund Data'!$A:$A = $A1188, 'Fund Data'!$B:$B &lt;= $B1188)),0)"),2005500.0)</f>
        <v>2005500</v>
      </c>
      <c r="T1188" s="123">
        <v>2005500.0</v>
      </c>
      <c r="U1188" s="44">
        <f t="shared" si="107"/>
        <v>0</v>
      </c>
      <c r="V1188" s="44">
        <f t="shared" si="3"/>
        <v>0</v>
      </c>
      <c r="W1188" s="123"/>
      <c r="X1188" s="123"/>
      <c r="Y1188" s="123">
        <v>0.0</v>
      </c>
      <c r="Z1188" s="123">
        <v>0.0</v>
      </c>
      <c r="AA1188" s="123">
        <v>0.0</v>
      </c>
      <c r="AB1188" s="123"/>
      <c r="AC1188" s="123">
        <v>0.0</v>
      </c>
      <c r="AD1188" s="44">
        <f t="shared" si="7"/>
        <v>0</v>
      </c>
      <c r="AE1188" s="123">
        <v>0.0</v>
      </c>
    </row>
    <row r="1189">
      <c r="A1189" s="120">
        <v>2016.0</v>
      </c>
      <c r="B1189" s="121">
        <v>12.0</v>
      </c>
      <c r="C1189" s="122" t="s">
        <v>73</v>
      </c>
      <c r="D1189" s="44"/>
      <c r="E1189" s="123">
        <v>44847.56</v>
      </c>
      <c r="F1189" s="123">
        <v>-112600.0</v>
      </c>
      <c r="G1189" s="123"/>
      <c r="H1189" s="123">
        <v>-12256.57</v>
      </c>
      <c r="I1189" s="44"/>
      <c r="J1189" s="123">
        <v>1050.21</v>
      </c>
      <c r="K1189" s="44"/>
      <c r="L1189" s="123">
        <v>89232.77</v>
      </c>
      <c r="M1189" s="44"/>
      <c r="N1189" s="44"/>
      <c r="O1189" s="123">
        <v>2033913.0</v>
      </c>
      <c r="P1189" s="52">
        <f t="shared" si="23"/>
        <v>2033913.28</v>
      </c>
      <c r="Q1189" s="124">
        <f t="shared" si="2"/>
        <v>-0.28</v>
      </c>
      <c r="R1189" s="52">
        <f t="array" ref="R1189">IFERROR(INDEX('Fund YTD Target Values'!$1:$1000, MATCH($C1189,'Fund YTD Target Values'!$A:$A,0), MATCH($A1189,'Fund YTD Target Values'!$1:$1,0)),0)</f>
        <v>2126380.574</v>
      </c>
      <c r="S1189" s="52">
        <f>IFERROR(__xludf.DUMMYFUNCTION("IFERROR(sum(FILTER('Fund Data'!$V:$V, 'Fund Data'!$C:$C = $C1189, 'Fund Data'!$A:$A &lt; $A1189)),0) + IFERROR(sum(FILTER('Fund Data'!$V:$V, 'Fund Data'!$C:$C = $C1189, 'Fund Data'!$A:$A = $A1189, 'Fund Data'!$B:$B &lt;= $B1189)),0)"),2005500.0)</f>
        <v>2005500</v>
      </c>
      <c r="T1189" s="123">
        <v>2005500.0</v>
      </c>
      <c r="U1189" s="44">
        <f t="shared" si="107"/>
        <v>0</v>
      </c>
      <c r="V1189" s="44">
        <f t="shared" si="3"/>
        <v>0</v>
      </c>
      <c r="W1189" s="123"/>
      <c r="X1189" s="123"/>
      <c r="Y1189" s="123">
        <v>0.0</v>
      </c>
      <c r="Z1189" s="123">
        <v>0.0</v>
      </c>
      <c r="AA1189" s="123">
        <v>0.0</v>
      </c>
      <c r="AB1189" s="123"/>
      <c r="AC1189" s="123">
        <v>0.0</v>
      </c>
      <c r="AD1189" s="44">
        <f t="shared" si="7"/>
        <v>-112600</v>
      </c>
      <c r="AE1189" s="123">
        <v>0.0</v>
      </c>
    </row>
    <row r="1190">
      <c r="A1190" s="120">
        <v>2015.0</v>
      </c>
      <c r="B1190" s="121">
        <v>12.0</v>
      </c>
      <c r="C1190" s="122" t="s">
        <v>73</v>
      </c>
      <c r="D1190" s="44"/>
      <c r="E1190" s="123">
        <v>50428.61</v>
      </c>
      <c r="F1190" s="123">
        <v>-66700.0</v>
      </c>
      <c r="G1190" s="123"/>
      <c r="H1190" s="123">
        <v>-12865.76</v>
      </c>
      <c r="I1190" s="44"/>
      <c r="J1190" s="44"/>
      <c r="K1190" s="123">
        <v>-388.86</v>
      </c>
      <c r="L1190" s="123">
        <v>-92933.98</v>
      </c>
      <c r="M1190" s="44"/>
      <c r="N1190" s="44"/>
      <c r="O1190" s="123">
        <v>2023639.0</v>
      </c>
      <c r="P1190" s="52">
        <f t="shared" si="23"/>
        <v>2023639.31</v>
      </c>
      <c r="Q1190" s="124">
        <f t="shared" si="2"/>
        <v>-0.3099999998</v>
      </c>
      <c r="R1190" s="52">
        <f t="array" ref="R1190">IFERROR(INDEX('Fund YTD Target Values'!$1:$1000, MATCH($C1190,'Fund YTD Target Values'!$A:$A,0), MATCH($A1190,'Fund YTD Target Values'!$1:$1,0)),0)</f>
        <v>2099883.326</v>
      </c>
      <c r="S1190" s="52">
        <f>IFERROR(__xludf.DUMMYFUNCTION("IFERROR(sum(FILTER('Fund Data'!$V:$V, 'Fund Data'!$C:$C = $C1190, 'Fund Data'!$A:$A &lt; $A1190)),0) + IFERROR(sum(FILTER('Fund Data'!$V:$V, 'Fund Data'!$C:$C = $C1190, 'Fund Data'!$A:$A = $A1190, 'Fund Data'!$B:$B &lt;= $B1190)),0)"),2005500.0)</f>
        <v>2005500</v>
      </c>
      <c r="T1190" s="123">
        <v>2005500.0</v>
      </c>
      <c r="U1190" s="44">
        <f t="shared" si="107"/>
        <v>0</v>
      </c>
      <c r="V1190" s="44">
        <f t="shared" si="3"/>
        <v>0</v>
      </c>
      <c r="W1190" s="123"/>
      <c r="X1190" s="123"/>
      <c r="Y1190" s="123">
        <v>0.0</v>
      </c>
      <c r="Z1190" s="123">
        <v>0.0</v>
      </c>
      <c r="AA1190" s="123">
        <v>0.0</v>
      </c>
      <c r="AB1190" s="123"/>
      <c r="AC1190" s="123">
        <v>0.0</v>
      </c>
      <c r="AD1190" s="44">
        <f t="shared" si="7"/>
        <v>-66700</v>
      </c>
      <c r="AE1190" s="123">
        <v>0.0</v>
      </c>
    </row>
    <row r="1191">
      <c r="A1191" s="120">
        <v>2014.0</v>
      </c>
      <c r="B1191" s="121">
        <v>12.0</v>
      </c>
      <c r="C1191" s="122" t="s">
        <v>73</v>
      </c>
      <c r="D1191" s="44"/>
      <c r="E1191" s="123">
        <v>41362.41</v>
      </c>
      <c r="F1191" s="123">
        <v>-78245.0</v>
      </c>
      <c r="G1191" s="123"/>
      <c r="H1191" s="123">
        <v>-13291.35</v>
      </c>
      <c r="I1191" s="44"/>
      <c r="J1191" s="123">
        <v>4128.44</v>
      </c>
      <c r="K1191" s="44"/>
      <c r="L1191" s="123">
        <v>5911.24</v>
      </c>
      <c r="M1191" s="44"/>
      <c r="N1191" s="44"/>
      <c r="O1191" s="123">
        <v>2146099.0</v>
      </c>
      <c r="P1191" s="52">
        <f t="shared" si="23"/>
        <v>2146099.3</v>
      </c>
      <c r="Q1191" s="124">
        <f t="shared" si="2"/>
        <v>-0.3000000003</v>
      </c>
      <c r="R1191" s="52">
        <f t="array" ref="R1191">IFERROR(INDEX('Fund YTD Target Values'!$1:$1000, MATCH($C1191,'Fund YTD Target Values'!$A:$A,0), MATCH($A1191,'Fund YTD Target Values'!$1:$1,0)),0)</f>
        <v>2097389.539</v>
      </c>
      <c r="S1191" s="52">
        <f>IFERROR(__xludf.DUMMYFUNCTION("IFERROR(sum(FILTER('Fund Data'!$V:$V, 'Fund Data'!$C:$C = $C1191, 'Fund Data'!$A:$A &lt; $A1191)),0) + IFERROR(sum(FILTER('Fund Data'!$V:$V, 'Fund Data'!$C:$C = $C1191, 'Fund Data'!$A:$A = $A1191, 'Fund Data'!$B:$B &lt;= $B1191)),0)"),2005500.0)</f>
        <v>2005500</v>
      </c>
      <c r="T1191" s="123">
        <v>2005500.0</v>
      </c>
      <c r="U1191" s="44">
        <f t="shared" si="107"/>
        <v>0</v>
      </c>
      <c r="V1191" s="44">
        <f t="shared" si="3"/>
        <v>0</v>
      </c>
      <c r="W1191" s="123"/>
      <c r="X1191" s="123"/>
      <c r="Y1191" s="123">
        <v>0.0</v>
      </c>
      <c r="Z1191" s="123">
        <v>0.0</v>
      </c>
      <c r="AA1191" s="123">
        <v>0.0</v>
      </c>
      <c r="AB1191" s="123"/>
      <c r="AC1191" s="123">
        <v>0.0</v>
      </c>
      <c r="AD1191" s="44">
        <f t="shared" si="7"/>
        <v>-78245</v>
      </c>
      <c r="AE1191" s="123">
        <v>0.0</v>
      </c>
    </row>
    <row r="1192">
      <c r="A1192" s="120">
        <v>2013.0</v>
      </c>
      <c r="B1192" s="121">
        <v>12.0</v>
      </c>
      <c r="C1192" s="122" t="s">
        <v>73</v>
      </c>
      <c r="D1192" s="123">
        <v>950000.0</v>
      </c>
      <c r="E1192" s="123">
        <v>23780.4</v>
      </c>
      <c r="F1192" s="123">
        <v>-30000.0</v>
      </c>
      <c r="G1192" s="123"/>
      <c r="H1192" s="123">
        <v>-6980.08</v>
      </c>
      <c r="I1192" s="44"/>
      <c r="J1192" s="123">
        <v>2180.71</v>
      </c>
      <c r="K1192" s="44"/>
      <c r="L1192" s="123">
        <v>126019.54</v>
      </c>
      <c r="M1192" s="44"/>
      <c r="N1192" s="44"/>
      <c r="O1192" s="123">
        <v>2186234.0</v>
      </c>
      <c r="P1192" s="52">
        <f t="shared" si="23"/>
        <v>2186233.56</v>
      </c>
      <c r="Q1192" s="124">
        <f t="shared" si="2"/>
        <v>0.4400000004</v>
      </c>
      <c r="R1192" s="52">
        <f t="array" ref="R1192">IFERROR(INDEX('Fund YTD Target Values'!$1:$1000, MATCH($C1192,'Fund YTD Target Values'!$A:$A,0), MATCH($A1192,'Fund YTD Target Values'!$1:$1,0)),0)</f>
        <v>2063914.806</v>
      </c>
      <c r="S1192" s="52">
        <f>IFERROR(__xludf.DUMMYFUNCTION("IFERROR(sum(FILTER('Fund Data'!$V:$V, 'Fund Data'!$C:$C = $C1192, 'Fund Data'!$A:$A &lt; $A1192)),0) + IFERROR(sum(FILTER('Fund Data'!$V:$V, 'Fund Data'!$C:$C = $C1192, 'Fund Data'!$A:$A = $A1192, 'Fund Data'!$B:$B &lt;= $B1192)),0)"),2005500.0)</f>
        <v>2005500</v>
      </c>
      <c r="T1192" s="123">
        <v>2005500.0</v>
      </c>
      <c r="U1192" s="44">
        <f t="shared" si="107"/>
        <v>0</v>
      </c>
      <c r="V1192" s="44">
        <f t="shared" si="3"/>
        <v>950000</v>
      </c>
      <c r="W1192" s="123"/>
      <c r="X1192" s="123"/>
      <c r="Y1192" s="123">
        <v>0.0</v>
      </c>
      <c r="Z1192" s="123">
        <v>0.0</v>
      </c>
      <c r="AA1192" s="123">
        <v>0.0</v>
      </c>
      <c r="AB1192" s="123"/>
      <c r="AC1192" s="123">
        <v>0.0</v>
      </c>
      <c r="AD1192" s="44">
        <f t="shared" si="7"/>
        <v>-30000</v>
      </c>
      <c r="AE1192" s="123">
        <v>0.0</v>
      </c>
    </row>
    <row r="1193">
      <c r="A1193" s="120">
        <v>2012.0</v>
      </c>
      <c r="B1193" s="121">
        <v>12.0</v>
      </c>
      <c r="C1193" s="122" t="s">
        <v>73</v>
      </c>
      <c r="D1193" s="123">
        <v>50000.0</v>
      </c>
      <c r="E1193" s="123">
        <v>22010.19</v>
      </c>
      <c r="F1193" s="123">
        <v>-35000.0</v>
      </c>
      <c r="G1193" s="123"/>
      <c r="H1193" s="123">
        <v>-6517.61</v>
      </c>
      <c r="I1193" s="44"/>
      <c r="J1193" s="44"/>
      <c r="K1193" s="123">
        <v>-324.18</v>
      </c>
      <c r="L1193" s="123">
        <v>106747.03</v>
      </c>
      <c r="M1193" s="44"/>
      <c r="N1193" s="44"/>
      <c r="O1193" s="123">
        <v>1121233.0</v>
      </c>
      <c r="P1193" s="52">
        <f t="shared" si="23"/>
        <v>1121232.99</v>
      </c>
      <c r="Q1193" s="124">
        <f t="shared" si="2"/>
        <v>0.009999999776</v>
      </c>
      <c r="R1193" s="52">
        <f t="array" ref="R1193">IFERROR(INDEX('Fund YTD Target Values'!$1:$1000, MATCH($C1193,'Fund YTD Target Values'!$A:$A,0), MATCH($A1193,'Fund YTD Target Values'!$1:$1,0)),0)</f>
        <v>1097820.261</v>
      </c>
      <c r="S1193" s="52">
        <f>IFERROR(__xludf.DUMMYFUNCTION("IFERROR(sum(FILTER('Fund Data'!$V:$V, 'Fund Data'!$C:$C = $C1193, 'Fund Data'!$A:$A &lt; $A1193)),0) + IFERROR(sum(FILTER('Fund Data'!$V:$V, 'Fund Data'!$C:$C = $C1193, 'Fund Data'!$A:$A = $A1193, 'Fund Data'!$B:$B &lt;= $B1193)),0)"),1055500.0)</f>
        <v>1055500</v>
      </c>
      <c r="T1193" s="123">
        <v>1055500.0</v>
      </c>
      <c r="U1193" s="44">
        <f t="shared" si="107"/>
        <v>0</v>
      </c>
      <c r="V1193" s="44">
        <f t="shared" si="3"/>
        <v>50000</v>
      </c>
      <c r="W1193" s="123"/>
      <c r="X1193" s="123"/>
      <c r="Y1193" s="123">
        <v>0.0</v>
      </c>
      <c r="Z1193" s="123">
        <v>0.0</v>
      </c>
      <c r="AA1193" s="123">
        <v>0.0</v>
      </c>
      <c r="AB1193" s="123"/>
      <c r="AC1193" s="123">
        <v>0.0</v>
      </c>
      <c r="AD1193" s="44">
        <f t="shared" si="7"/>
        <v>-35000</v>
      </c>
      <c r="AE1193" s="123">
        <v>0.0</v>
      </c>
    </row>
    <row r="1194">
      <c r="A1194" s="120">
        <v>2011.0</v>
      </c>
      <c r="B1194" s="121">
        <v>12.0</v>
      </c>
      <c r="C1194" s="122" t="s">
        <v>73</v>
      </c>
      <c r="D1194" s="123">
        <v>500000.0</v>
      </c>
      <c r="E1194" s="123">
        <v>15004.84</v>
      </c>
      <c r="F1194" s="44"/>
      <c r="G1194" s="123">
        <v>5000.0</v>
      </c>
      <c r="H1194" s="123">
        <v>-5786.67</v>
      </c>
      <c r="I1194" s="44"/>
      <c r="J1194" s="44"/>
      <c r="K1194" s="44"/>
      <c r="L1194" s="123">
        <v>-80231.8</v>
      </c>
      <c r="M1194" s="44"/>
      <c r="N1194" s="44"/>
      <c r="O1194" s="123">
        <v>984318.0</v>
      </c>
      <c r="P1194" s="52">
        <f t="shared" si="23"/>
        <v>984317.56</v>
      </c>
      <c r="Q1194" s="124">
        <f t="shared" si="2"/>
        <v>0.4399999999</v>
      </c>
      <c r="R1194" s="52">
        <f t="array" ref="R1194">IFERROR(INDEX('Fund YTD Target Values'!$1:$1000, MATCH($C1194,'Fund YTD Target Values'!$A:$A,0), MATCH($A1194,'Fund YTD Target Values'!$1:$1,0)),0)</f>
        <v>1026538.147</v>
      </c>
      <c r="S1194" s="52">
        <f>IFERROR(__xludf.DUMMYFUNCTION("IFERROR(sum(FILTER('Fund Data'!$V:$V, 'Fund Data'!$C:$C = $C1194, 'Fund Data'!$A:$A &lt; $A1194)),0) + IFERROR(sum(FILTER('Fund Data'!$V:$V, 'Fund Data'!$C:$C = $C1194, 'Fund Data'!$A:$A = $A1194, 'Fund Data'!$B:$B &lt;= $B1194)),0)"),1005500.0)</f>
        <v>1005500</v>
      </c>
      <c r="T1194" s="123">
        <v>1005500.0</v>
      </c>
      <c r="U1194" s="44">
        <f t="shared" si="107"/>
        <v>0</v>
      </c>
      <c r="V1194" s="44">
        <f t="shared" si="3"/>
        <v>500000</v>
      </c>
      <c r="W1194" s="123"/>
      <c r="X1194" s="123"/>
      <c r="Y1194" s="123">
        <v>0.0</v>
      </c>
      <c r="Z1194" s="123">
        <v>0.0</v>
      </c>
      <c r="AA1194" s="123">
        <v>0.0</v>
      </c>
      <c r="AB1194" s="123"/>
      <c r="AC1194" s="123">
        <v>0.0</v>
      </c>
      <c r="AD1194" s="44">
        <f t="shared" si="7"/>
        <v>0</v>
      </c>
      <c r="AE1194" s="123">
        <v>0.0</v>
      </c>
    </row>
    <row r="1195">
      <c r="A1195" s="120">
        <v>2010.0</v>
      </c>
      <c r="B1195" s="121">
        <v>12.0</v>
      </c>
      <c r="C1195" s="122" t="s">
        <v>73</v>
      </c>
      <c r="D1195" s="123">
        <v>205500.0</v>
      </c>
      <c r="E1195" s="123">
        <v>5847.31</v>
      </c>
      <c r="F1195" s="44"/>
      <c r="G1195" s="123">
        <v>-5000.0</v>
      </c>
      <c r="H1195" s="123">
        <v>-2029.28</v>
      </c>
      <c r="I1195" s="44"/>
      <c r="J1195" s="44"/>
      <c r="K1195" s="44"/>
      <c r="L1195" s="123">
        <v>46013.16</v>
      </c>
      <c r="M1195" s="44"/>
      <c r="N1195" s="44"/>
      <c r="O1195" s="123">
        <v>550331.0</v>
      </c>
      <c r="P1195" s="52">
        <f t="shared" si="23"/>
        <v>550331.19</v>
      </c>
      <c r="Q1195" s="124">
        <f t="shared" si="2"/>
        <v>-0.1899999999</v>
      </c>
      <c r="R1195" s="52">
        <f t="array" ref="R1195">IFERROR(INDEX('Fund YTD Target Values'!$1:$1000, MATCH($C1195,'Fund YTD Target Values'!$A:$A,0), MATCH($A1195,'Fund YTD Target Values'!$1:$1,0)),0)</f>
        <v>510432.9586</v>
      </c>
      <c r="S1195" s="52">
        <f>IFERROR(__xludf.DUMMYFUNCTION("IFERROR(sum(FILTER('Fund Data'!$V:$V, 'Fund Data'!$C:$C = $C1195, 'Fund Data'!$A:$A &lt; $A1195)),0) + IFERROR(sum(FILTER('Fund Data'!$V:$V, 'Fund Data'!$C:$C = $C1195, 'Fund Data'!$A:$A = $A1195, 'Fund Data'!$B:$B &lt;= $B1195)),0)"),505500.0)</f>
        <v>505500</v>
      </c>
      <c r="T1195" s="123">
        <v>505500.0</v>
      </c>
      <c r="U1195" s="44">
        <f t="shared" si="107"/>
        <v>0</v>
      </c>
      <c r="V1195" s="44">
        <f t="shared" si="3"/>
        <v>205500</v>
      </c>
      <c r="W1195" s="123"/>
      <c r="X1195" s="123"/>
      <c r="Y1195" s="123">
        <v>0.0</v>
      </c>
      <c r="Z1195" s="123">
        <v>0.0</v>
      </c>
      <c r="AA1195" s="123">
        <v>0.0</v>
      </c>
      <c r="AB1195" s="123"/>
      <c r="AC1195" s="123">
        <v>0.0</v>
      </c>
      <c r="AD1195" s="44">
        <f t="shared" si="7"/>
        <v>0</v>
      </c>
      <c r="AE1195" s="123">
        <v>0.0</v>
      </c>
    </row>
    <row r="1196">
      <c r="A1196" s="120">
        <v>2009.0</v>
      </c>
      <c r="B1196" s="121">
        <v>12.0</v>
      </c>
      <c r="C1196" s="122" t="s">
        <v>73</v>
      </c>
      <c r="D1196" s="123">
        <v>300000.0</v>
      </c>
      <c r="E1196" s="44"/>
      <c r="F1196" s="44"/>
      <c r="G1196" s="123"/>
      <c r="H1196" s="44"/>
      <c r="I1196" s="44"/>
      <c r="J1196" s="44"/>
      <c r="K1196" s="44"/>
      <c r="L1196" s="44"/>
      <c r="M1196" s="44"/>
      <c r="N1196" s="44"/>
      <c r="O1196" s="123">
        <v>300000.0</v>
      </c>
      <c r="P1196" s="52">
        <f t="shared" si="23"/>
        <v>300000</v>
      </c>
      <c r="Q1196" s="124">
        <f t="shared" si="2"/>
        <v>0</v>
      </c>
      <c r="R1196" s="52">
        <f t="array" ref="R1196">IFERROR(INDEX('Fund YTD Target Values'!$1:$1000, MATCH($C1196,'Fund YTD Target Values'!$A:$A,0), MATCH($A1196,'Fund YTD Target Values'!$1:$1,0)),0)</f>
        <v>300000</v>
      </c>
      <c r="S1196" s="52">
        <f>IFERROR(__xludf.DUMMYFUNCTION("IFERROR(sum(FILTER('Fund Data'!$V:$V, 'Fund Data'!$C:$C = $C1196, 'Fund Data'!$A:$A &lt; $A1196)),0) + IFERROR(sum(FILTER('Fund Data'!$V:$V, 'Fund Data'!$C:$C = $C1196, 'Fund Data'!$A:$A = $A1196, 'Fund Data'!$B:$B &lt;= $B1196)),0)"),300000.0)</f>
        <v>300000</v>
      </c>
      <c r="T1196" s="123">
        <v>300000.0</v>
      </c>
      <c r="U1196" s="44">
        <f t="shared" si="107"/>
        <v>0</v>
      </c>
      <c r="V1196" s="44">
        <f t="shared" si="3"/>
        <v>300000</v>
      </c>
      <c r="W1196" s="123"/>
      <c r="X1196" s="123"/>
      <c r="Y1196" s="123">
        <v>0.0</v>
      </c>
      <c r="Z1196" s="123">
        <v>0.0</v>
      </c>
      <c r="AA1196" s="123">
        <v>0.0</v>
      </c>
      <c r="AB1196" s="123"/>
      <c r="AC1196" s="123">
        <v>0.0</v>
      </c>
      <c r="AD1196" s="44">
        <f t="shared" si="7"/>
        <v>0</v>
      </c>
      <c r="AE1196" s="123">
        <v>0.0</v>
      </c>
    </row>
    <row r="1197">
      <c r="A1197" s="120">
        <v>2019.0</v>
      </c>
      <c r="B1197" s="121">
        <v>6.0</v>
      </c>
      <c r="C1197" s="122" t="s">
        <v>45</v>
      </c>
      <c r="D1197" s="44"/>
      <c r="E1197" s="123">
        <v>1753.72</v>
      </c>
      <c r="F1197" s="123">
        <v>-6400.0</v>
      </c>
      <c r="G1197" s="44"/>
      <c r="H1197" s="123">
        <v>-396.15</v>
      </c>
      <c r="I1197" s="44"/>
      <c r="J1197" s="123">
        <v>28.92</v>
      </c>
      <c r="K1197" s="44"/>
      <c r="L1197" s="123">
        <v>13664.89</v>
      </c>
      <c r="M1197" s="44"/>
      <c r="N1197" s="44"/>
      <c r="O1197" s="123">
        <v>140090.65</v>
      </c>
      <c r="P1197" s="52">
        <f t="shared" si="23"/>
        <v>140090.65</v>
      </c>
      <c r="Q1197" s="124">
        <f t="shared" si="2"/>
        <v>0</v>
      </c>
      <c r="R1197" s="52">
        <f t="array" ref="R1197">IFERROR(INDEX('Fund YTD Target Values'!$1:$1000, MATCH($C1197,'Fund YTD Target Values'!$A:$A,0), MATCH($A1197,'Fund YTD Target Values'!$1:$1,0)),0)</f>
        <v>137687.9257</v>
      </c>
      <c r="S1197" s="52">
        <f>IFERROR(__xludf.DUMMYFUNCTION("IFERROR(sum(FILTER('Fund Data'!$V:$V, 'Fund Data'!$C:$C = $C1197, 'Fund Data'!$A:$A &lt; $A1197)),0) + IFERROR(sum(FILTER('Fund Data'!$V:$V, 'Fund Data'!$C:$C = $C1197, 'Fund Data'!$A:$A = $A1197, 'Fund Data'!$B:$B &lt;= $B1197)),0)"),125000.0)</f>
        <v>125000</v>
      </c>
      <c r="T1197" s="44"/>
      <c r="U1197" s="44"/>
      <c r="V1197" s="44">
        <f t="shared" si="3"/>
        <v>0</v>
      </c>
      <c r="W1197" s="52">
        <f>IFERROR(__xludf.DUMMYFUNCTION("iFERROR((FILTER('Fund Data'!$Y:$Y, 'Fund Data'!$C:$C = $C1197, 'Fund Data'!$A:$A = $A1197 - 1, 'Fund Data'!$B:$B = 12) + FILTER('Fund Data'!$AA:$AA, 'Fund Data'!$C:$C = $C1197, 'Fund Data'!$A:$A = $A1197 - 1, 'Fund Data'!$B:$B = 12)) * (1 + AVERAGE(FILTER"&amp;"('Inflation Data'!$C:$C,'Inflation Data'!$A:$A = ($A1197 - 2)))) * 'Parameters and Distribution Sum'!$A$4,0)"),4414.569951711041)</f>
        <v>4414.569952</v>
      </c>
      <c r="X1197" s="52">
        <f>IFERROR(__xludf.DUMMYFUNCTION("IFERROR((IFERROR(FILTER('Fund Data'!$P:$P,'Fund Data'!$C:$C = $C1197,'Fund Data'!$A:$A = ($A1197 - 2), 'Fund Data'!$B:$B = 12),0) - SUM(FILTER('Fund Data'!$V:$V, 'Fund Data'!$C:$C = $C1197, 'Fund Data'!$A:$A = ($A1197 - 2), 'Fund Data'!$B:$B &gt; 3)))  * 'Pa"&amp;"rameters and Distribution Sum'!$B$4 * (1 - 'Parameters and Distribution Sum'!$A$4),0)"),1947.8901600000004)</f>
        <v>1947.89016</v>
      </c>
      <c r="Y1197" s="52">
        <f t="shared" ref="Y1197:Y1202" si="111">sum($W1197:$X1197)</f>
        <v>6362.460112</v>
      </c>
      <c r="Z1197" s="52">
        <f>IFERROR(__xludf.DUMMYFUNCTION("((IFERROR((SUM(FILTER('Fund Data'!$V:$V, 'Fund Data'!$C:$C = $C1197, 'Fund Data'!$A:$A = $A1197 - 1, 'Fund Data'!$B:$B &gt;= 4, 'Fund Data'!$B:$B &lt;= ($B1197 + 5))) / 12) * ($B1197 - 3) * 'Parameters and Distribution Sum'!$B$4, 0) + IF($B1197 &gt;= 9, IFERROR(SU"&amp;"M(FILTER('Fund Data'!$V:$V, 'Fund Data'!$C:$C = $C1197, 'Fund Data'!$A:$A = $A1197, 'Fund Data'!$B:$B &lt;= 3)) * 'Parameters and Distribution Sum'!$B$4, 0),0)))"),56.25)</f>
        <v>56.25</v>
      </c>
      <c r="AA1197" s="44">
        <f>IFERROR(__xludf.DUMMYFUNCTION("IFERROR(((IFERROR(SUM(FILTER('Fund Data'!$V:$V, 'Fund Data'!$C:$C = $C1197, 'Fund Data'!$A:$A = $A1197 - 2, 'Fund Data'!$B:$B &gt;= 4)) * 'Parameters and Distribution Sum'!$B$4,0) + IFERROR(SUM(FILTER('Fund Data'!$V:$V, 'Fund Data'!$C:$C = $C1197, 'Fund Data"&amp;"'!$A:$A = $A1197 - 1, 'Fund Data'!$B:$B &lt;= 3)) * 'Parameters and Distribution Sum'!$B$4,0))),0)"),0.0)</f>
        <v>0</v>
      </c>
      <c r="AB1197" s="44">
        <f t="shared" ref="AB1197:AB1203" si="112">IFERROR(__xludf.DUMMYFUNCTION("IFERROR(FILTER($AE:$AE,$C:$C = $C1197,$A:$A = $A1197 - 1,$B:$B = 12),0)"),0.0)</f>
        <v>0</v>
      </c>
      <c r="AC1197" s="44">
        <f t="shared" ref="AC1197:AC1203" si="113">sum($Y1197:$AB1197)</f>
        <v>6418.710112</v>
      </c>
      <c r="AD1197" s="44">
        <f t="shared" si="7"/>
        <v>18.71011171</v>
      </c>
      <c r="AE1197" s="44"/>
    </row>
    <row r="1198">
      <c r="A1198" s="120">
        <v>2019.0</v>
      </c>
      <c r="B1198" s="121">
        <v>5.0</v>
      </c>
      <c r="C1198" s="122" t="s">
        <v>45</v>
      </c>
      <c r="D1198" s="44"/>
      <c r="E1198" s="123">
        <v>1600.12</v>
      </c>
      <c r="F1198" s="44"/>
      <c r="G1198" s="44"/>
      <c r="H1198" s="123">
        <v>-329.61</v>
      </c>
      <c r="I1198" s="44"/>
      <c r="J1198" s="44"/>
      <c r="K1198" s="44"/>
      <c r="L1198" s="123">
        <v>8222.48</v>
      </c>
      <c r="M1198" s="44"/>
      <c r="N1198" s="44"/>
      <c r="O1198" s="123">
        <v>140932.26</v>
      </c>
      <c r="P1198" s="52">
        <f t="shared" si="23"/>
        <v>140932.26</v>
      </c>
      <c r="Q1198" s="124">
        <f t="shared" si="2"/>
        <v>0</v>
      </c>
      <c r="R1198" s="52">
        <f t="array" ref="R1198">IFERROR(INDEX('Fund YTD Target Values'!$1:$1000, MATCH($C1198,'Fund YTD Target Values'!$A:$A,0), MATCH($A1198,'Fund YTD Target Values'!$1:$1,0)),0)</f>
        <v>137687.9257</v>
      </c>
      <c r="S1198" s="52">
        <f>IFERROR(__xludf.DUMMYFUNCTION("IFERROR(sum(FILTER('Fund Data'!$V:$V, 'Fund Data'!$C:$C = $C1198, 'Fund Data'!$A:$A &lt; $A1198)),0) + IFERROR(sum(FILTER('Fund Data'!$V:$V, 'Fund Data'!$C:$C = $C1198, 'Fund Data'!$A:$A = $A1198, 'Fund Data'!$B:$B &lt;= $B1198)),0)"),125000.0)</f>
        <v>125000</v>
      </c>
      <c r="T1198" s="44"/>
      <c r="U1198" s="44"/>
      <c r="V1198" s="44">
        <f t="shared" si="3"/>
        <v>0</v>
      </c>
      <c r="W1198" s="52">
        <f>IFERROR(__xludf.DUMMYFUNCTION("iFERROR((FILTER('Fund Data'!$Y:$Y, 'Fund Data'!$C:$C = $C1198, 'Fund Data'!$A:$A = $A1198 - 1, 'Fund Data'!$B:$B = 12) + FILTER('Fund Data'!$AA:$AA, 'Fund Data'!$C:$C = $C1198, 'Fund Data'!$A:$A = $A1198 - 1, 'Fund Data'!$B:$B = 12)) * (1 + AVERAGE(FILTER"&amp;"('Inflation Data'!$C:$C,'Inflation Data'!$A:$A = ($A1198 - 2)))) * 'Parameters and Distribution Sum'!$A$4,0)"),4414.569951711041)</f>
        <v>4414.569952</v>
      </c>
      <c r="X1198" s="52">
        <f>IFERROR(__xludf.DUMMYFUNCTION("IFERROR((IFERROR(FILTER('Fund Data'!$P:$P,'Fund Data'!$C:$C = $C1198,'Fund Data'!$A:$A = ($A1198 - 2), 'Fund Data'!$B:$B = 12),0) - SUM(FILTER('Fund Data'!$V:$V, 'Fund Data'!$C:$C = $C1198, 'Fund Data'!$A:$A = ($A1198 - 2), 'Fund Data'!$B:$B &gt; 3)))  * 'Pa"&amp;"rameters and Distribution Sum'!$B$4 * (1 - 'Parameters and Distribution Sum'!$A$4),0)"),1947.8901600000004)</f>
        <v>1947.89016</v>
      </c>
      <c r="Y1198" s="52">
        <f t="shared" si="111"/>
        <v>6362.460112</v>
      </c>
      <c r="Z1198" s="52">
        <f>IFERROR(__xludf.DUMMYFUNCTION("((IFERROR((SUM(FILTER('Fund Data'!$V:$V, 'Fund Data'!$C:$C = $C1198, 'Fund Data'!$A:$A = $A1198 - 1, 'Fund Data'!$B:$B &gt;= 4, 'Fund Data'!$B:$B &lt;= ($B1198 + 5))) / 12) * ($B1198 - 3) * 'Parameters and Distribution Sum'!$B$4, 0) + IF($B1198 &gt;= 9, IFERROR(SU"&amp;"M(FILTER('Fund Data'!$V:$V, 'Fund Data'!$C:$C = $C1198, 'Fund Data'!$A:$A = $A1198, 'Fund Data'!$B:$B &lt;= 3)) * 'Parameters and Distribution Sum'!$B$4, 0),0)))"),37.5)</f>
        <v>37.5</v>
      </c>
      <c r="AA1198" s="44">
        <f>IFERROR(__xludf.DUMMYFUNCTION("IFERROR(((IFERROR(SUM(FILTER('Fund Data'!$V:$V, 'Fund Data'!$C:$C = $C1198, 'Fund Data'!$A:$A = $A1198 - 2, 'Fund Data'!$B:$B &gt;= 4)) * 'Parameters and Distribution Sum'!$B$4,0) + IFERROR(SUM(FILTER('Fund Data'!$V:$V, 'Fund Data'!$C:$C = $C1198, 'Fund Data"&amp;"'!$A:$A = $A1198 - 1, 'Fund Data'!$B:$B &lt;= 3)) * 'Parameters and Distribution Sum'!$B$4,0))),0)"),0.0)</f>
        <v>0</v>
      </c>
      <c r="AB1198" s="44">
        <f t="shared" si="112"/>
        <v>0</v>
      </c>
      <c r="AC1198" s="44">
        <f t="shared" si="113"/>
        <v>6399.960112</v>
      </c>
      <c r="AD1198" s="44">
        <f t="shared" si="7"/>
        <v>6399.960112</v>
      </c>
      <c r="AE1198" s="44"/>
    </row>
    <row r="1199">
      <c r="A1199" s="120">
        <v>2019.0</v>
      </c>
      <c r="B1199" s="121">
        <v>4.0</v>
      </c>
      <c r="C1199" s="122" t="s">
        <v>45</v>
      </c>
      <c r="D1199" s="44"/>
      <c r="E1199" s="123">
        <v>1474.78</v>
      </c>
      <c r="F1199" s="44"/>
      <c r="G1199" s="44"/>
      <c r="H1199" s="123">
        <v>-261.24</v>
      </c>
      <c r="I1199" s="44"/>
      <c r="J1199" s="44"/>
      <c r="K1199" s="44"/>
      <c r="L1199" s="123">
        <v>13814.95</v>
      </c>
      <c r="M1199" s="44"/>
      <c r="N1199" s="44"/>
      <c r="O1199" s="123">
        <v>146468.0</v>
      </c>
      <c r="P1199" s="52">
        <f t="shared" si="23"/>
        <v>146467.76</v>
      </c>
      <c r="Q1199" s="124">
        <f t="shared" si="2"/>
        <v>0.24</v>
      </c>
      <c r="R1199" s="52">
        <f t="array" ref="R1199">IFERROR(INDEX('Fund YTD Target Values'!$1:$1000, MATCH($C1199,'Fund YTD Target Values'!$A:$A,0), MATCH($A1199,'Fund YTD Target Values'!$1:$1,0)),0)</f>
        <v>137687.9257</v>
      </c>
      <c r="S1199" s="52">
        <f>IFERROR(__xludf.DUMMYFUNCTION("IFERROR(sum(FILTER('Fund Data'!$V:$V, 'Fund Data'!$C:$C = $C1199, 'Fund Data'!$A:$A &lt; $A1199)),0) + IFERROR(sum(FILTER('Fund Data'!$V:$V, 'Fund Data'!$C:$C = $C1199, 'Fund Data'!$A:$A = $A1199, 'Fund Data'!$B:$B &lt;= $B1199)),0)"),125000.0)</f>
        <v>125000</v>
      </c>
      <c r="T1199" s="44"/>
      <c r="U1199" s="44"/>
      <c r="V1199" s="44">
        <f t="shared" si="3"/>
        <v>0</v>
      </c>
      <c r="W1199" s="52">
        <f>IFERROR(__xludf.DUMMYFUNCTION("iFERROR((FILTER('Fund Data'!$Y:$Y, 'Fund Data'!$C:$C = $C1199, 'Fund Data'!$A:$A = $A1199 - 1, 'Fund Data'!$B:$B = 12) + FILTER('Fund Data'!$AA:$AA, 'Fund Data'!$C:$C = $C1199, 'Fund Data'!$A:$A = $A1199 - 1, 'Fund Data'!$B:$B = 12)) * (1 + AVERAGE(FILTER"&amp;"('Inflation Data'!$C:$C,'Inflation Data'!$A:$A = ($A1199 - 2)))) * 'Parameters and Distribution Sum'!$A$4,0)"),4414.569951711041)</f>
        <v>4414.569952</v>
      </c>
      <c r="X1199" s="52">
        <f>IFERROR(__xludf.DUMMYFUNCTION("IFERROR((IFERROR(FILTER('Fund Data'!$P:$P,'Fund Data'!$C:$C = $C1199,'Fund Data'!$A:$A = ($A1199 - 2), 'Fund Data'!$B:$B = 12),0) - SUM(FILTER('Fund Data'!$V:$V, 'Fund Data'!$C:$C = $C1199, 'Fund Data'!$A:$A = ($A1199 - 2), 'Fund Data'!$B:$B &gt; 3)))  * 'Pa"&amp;"rameters and Distribution Sum'!$B$4 * (1 - 'Parameters and Distribution Sum'!$A$4),0)"),1947.8901600000004)</f>
        <v>1947.89016</v>
      </c>
      <c r="Y1199" s="52">
        <f t="shared" si="111"/>
        <v>6362.460112</v>
      </c>
      <c r="Z1199" s="52">
        <f>IFERROR(__xludf.DUMMYFUNCTION("((IFERROR((SUM(FILTER('Fund Data'!$V:$V, 'Fund Data'!$C:$C = $C1199, 'Fund Data'!$A:$A = $A1199 - 1, 'Fund Data'!$B:$B &gt;= 4, 'Fund Data'!$B:$B &lt;= ($B1199 + 5))) / 12) * ($B1199 - 3) * 'Parameters and Distribution Sum'!$B$4, 0) + IF($B1199 &gt;= 9, IFERROR(SU"&amp;"M(FILTER('Fund Data'!$V:$V, 'Fund Data'!$C:$C = $C1199, 'Fund Data'!$A:$A = $A1199, 'Fund Data'!$B:$B &lt;= 3)) * 'Parameters and Distribution Sum'!$B$4, 0),0)))"),0.0)</f>
        <v>0</v>
      </c>
      <c r="AA1199" s="44">
        <f>IFERROR(__xludf.DUMMYFUNCTION("IFERROR(((IFERROR(SUM(FILTER('Fund Data'!$V:$V, 'Fund Data'!$C:$C = $C1199, 'Fund Data'!$A:$A = $A1199 - 2, 'Fund Data'!$B:$B &gt;= 4)) * 'Parameters and Distribution Sum'!$B$4,0) + IFERROR(SUM(FILTER('Fund Data'!$V:$V, 'Fund Data'!$C:$C = $C1199, 'Fund Data"&amp;"'!$A:$A = $A1199 - 1, 'Fund Data'!$B:$B &lt;= 3)) * 'Parameters and Distribution Sum'!$B$4,0))),0)"),0.0)</f>
        <v>0</v>
      </c>
      <c r="AB1199" s="44">
        <f t="shared" si="112"/>
        <v>0</v>
      </c>
      <c r="AC1199" s="44">
        <f t="shared" si="113"/>
        <v>6362.460112</v>
      </c>
      <c r="AD1199" s="44">
        <f t="shared" si="7"/>
        <v>6362.460112</v>
      </c>
      <c r="AE1199" s="44"/>
    </row>
    <row r="1200">
      <c r="A1200" s="120">
        <v>2019.0</v>
      </c>
      <c r="B1200" s="121">
        <v>3.0</v>
      </c>
      <c r="C1200" s="122" t="s">
        <v>45</v>
      </c>
      <c r="D1200" s="44"/>
      <c r="E1200" s="123">
        <v>1114.54</v>
      </c>
      <c r="F1200" s="44"/>
      <c r="G1200" s="44"/>
      <c r="H1200" s="123">
        <v>-194.23</v>
      </c>
      <c r="I1200" s="44"/>
      <c r="J1200" s="44"/>
      <c r="K1200" s="44"/>
      <c r="L1200" s="123">
        <v>10962.04</v>
      </c>
      <c r="M1200" s="44"/>
      <c r="N1200" s="44"/>
      <c r="O1200" s="123">
        <v>143322.0</v>
      </c>
      <c r="P1200" s="52">
        <f t="shared" si="23"/>
        <v>143321.62</v>
      </c>
      <c r="Q1200" s="124">
        <f t="shared" si="2"/>
        <v>0.38</v>
      </c>
      <c r="R1200" s="52">
        <f t="array" ref="R1200">IFERROR(INDEX('Fund YTD Target Values'!$1:$1000, MATCH($C1200,'Fund YTD Target Values'!$A:$A,0), MATCH($A1200,'Fund YTD Target Values'!$1:$1,0)),0)</f>
        <v>137687.9257</v>
      </c>
      <c r="S1200" s="52">
        <f>IFERROR(__xludf.DUMMYFUNCTION("IFERROR(sum(FILTER('Fund Data'!$V:$V, 'Fund Data'!$C:$C = $C1200, 'Fund Data'!$A:$A &lt; $A1200)),0) + IFERROR(sum(FILTER('Fund Data'!$V:$V, 'Fund Data'!$C:$C = $C1200, 'Fund Data'!$A:$A = $A1200, 'Fund Data'!$B:$B &lt;= $B1200)),0)"),125000.0)</f>
        <v>125000</v>
      </c>
      <c r="T1200" s="123">
        <v>125000.0</v>
      </c>
      <c r="U1200" s="44">
        <f>S1200-T1200</f>
        <v>0</v>
      </c>
      <c r="V1200" s="44">
        <f t="shared" si="3"/>
        <v>0</v>
      </c>
      <c r="W1200" s="52">
        <f>IFERROR(__xludf.DUMMYFUNCTION("iFERROR((FILTER('Fund Data'!$Y:$Y, 'Fund Data'!$C:$C = $C1200, 'Fund Data'!$A:$A = $A1200 - 1, 'Fund Data'!$B:$B = 12) + FILTER('Fund Data'!$AA:$AA, 'Fund Data'!$C:$C = $C1200, 'Fund Data'!$A:$A = $A1200 - 1, 'Fund Data'!$B:$B = 12)) * (1 + AVERAGE(FILTER"&amp;"('Inflation Data'!$C:$C,'Inflation Data'!$A:$A = ($A1200 - 2)))) * 'Parameters and Distribution Sum'!$A$4,0)"),4414.569951711041)</f>
        <v>4414.569952</v>
      </c>
      <c r="X1200" s="52">
        <f>IFERROR(__xludf.DUMMYFUNCTION("IFERROR((IFERROR(FILTER('Fund Data'!$P:$P,'Fund Data'!$C:$C = $C1200,'Fund Data'!$A:$A = ($A1200 - 2), 'Fund Data'!$B:$B = 12),0) - SUM(FILTER('Fund Data'!$V:$V, 'Fund Data'!$C:$C = $C1200, 'Fund Data'!$A:$A = ($A1200 - 2), 'Fund Data'!$B:$B &gt; 3)))  * 'Pa"&amp;"rameters and Distribution Sum'!$B$4 * (1 - 'Parameters and Distribution Sum'!$A$4),0)"),1947.8901600000004)</f>
        <v>1947.89016</v>
      </c>
      <c r="Y1200" s="52">
        <f t="shared" si="111"/>
        <v>6362.460112</v>
      </c>
      <c r="Z1200" s="52">
        <f>IFERROR(__xludf.DUMMYFUNCTION("((IFERROR((SUM(FILTER('Fund Data'!$V:$V, 'Fund Data'!$C:$C = $C1200, 'Fund Data'!$A:$A = $A1200 - 1, 'Fund Data'!$B:$B &gt;= 4, 'Fund Data'!$B:$B &lt;= ($B1200 + 5))) / 12) * ($B1200 - 3) * 'Parameters and Distribution Sum'!$B$4, 0) + IF($B1200 &gt;= 9, IFERROR(SU"&amp;"M(FILTER('Fund Data'!$V:$V, 'Fund Data'!$C:$C = $C1200, 'Fund Data'!$A:$A = $A1200, 'Fund Data'!$B:$B &lt;= 3)) * 'Parameters and Distribution Sum'!$B$4, 0),0)))"),0.0)</f>
        <v>0</v>
      </c>
      <c r="AA1200" s="44">
        <f>IFERROR(__xludf.DUMMYFUNCTION("IFERROR(((IFERROR(SUM(FILTER('Fund Data'!$V:$V, 'Fund Data'!$C:$C = $C1200, 'Fund Data'!$A:$A = $A1200 - 2, 'Fund Data'!$B:$B &gt;= 4)) * 'Parameters and Distribution Sum'!$B$4,0) + IFERROR(SUM(FILTER('Fund Data'!$V:$V, 'Fund Data'!$C:$C = $C1200, 'Fund Data"&amp;"'!$A:$A = $A1200 - 1, 'Fund Data'!$B:$B &lt;= 3)) * 'Parameters and Distribution Sum'!$B$4,0))),0)"),0.0)</f>
        <v>0</v>
      </c>
      <c r="AB1200" s="44">
        <f t="shared" si="112"/>
        <v>0</v>
      </c>
      <c r="AC1200" s="44">
        <f t="shared" si="113"/>
        <v>6362.460112</v>
      </c>
      <c r="AD1200" s="44">
        <f t="shared" si="7"/>
        <v>6362.460112</v>
      </c>
      <c r="AE1200" s="44"/>
    </row>
    <row r="1201">
      <c r="A1201" s="120">
        <v>2019.0</v>
      </c>
      <c r="B1201" s="121">
        <v>2.0</v>
      </c>
      <c r="C1201" s="122" t="s">
        <v>45</v>
      </c>
      <c r="D1201" s="44"/>
      <c r="E1201" s="123">
        <v>942.3</v>
      </c>
      <c r="F1201" s="44"/>
      <c r="G1201" s="44"/>
      <c r="H1201" s="123">
        <v>-127.64</v>
      </c>
      <c r="I1201" s="44"/>
      <c r="J1201" s="44"/>
      <c r="K1201" s="44"/>
      <c r="L1201" s="123">
        <v>10147.6</v>
      </c>
      <c r="M1201" s="44"/>
      <c r="N1201" s="44"/>
      <c r="O1201" s="123">
        <v>142402.0</v>
      </c>
      <c r="P1201" s="52">
        <f t="shared" si="23"/>
        <v>142401.53</v>
      </c>
      <c r="Q1201" s="124">
        <f t="shared" si="2"/>
        <v>0.47</v>
      </c>
      <c r="R1201" s="52">
        <f t="array" ref="R1201">IFERROR(INDEX('Fund YTD Target Values'!$1:$1000, MATCH($C1201,'Fund YTD Target Values'!$A:$A,0), MATCH($A1201,'Fund YTD Target Values'!$1:$1,0)),0)</f>
        <v>137687.9257</v>
      </c>
      <c r="S1201" s="52">
        <f>IFERROR(__xludf.DUMMYFUNCTION("IFERROR(sum(FILTER('Fund Data'!$V:$V, 'Fund Data'!$C:$C = $C1201, 'Fund Data'!$A:$A &lt; $A1201)),0) + IFERROR(sum(FILTER('Fund Data'!$V:$V, 'Fund Data'!$C:$C = $C1201, 'Fund Data'!$A:$A = $A1201, 'Fund Data'!$B:$B &lt;= $B1201)),0)"),125000.0)</f>
        <v>125000</v>
      </c>
      <c r="T1201" s="44"/>
      <c r="U1201" s="44"/>
      <c r="V1201" s="44">
        <f t="shared" si="3"/>
        <v>0</v>
      </c>
      <c r="W1201" s="52">
        <f>IFERROR(__xludf.DUMMYFUNCTION("iFERROR((FILTER('Fund Data'!$Y:$Y, 'Fund Data'!$C:$C = $C1201, 'Fund Data'!$A:$A = $A1201 - 1, 'Fund Data'!$B:$B = 12) + FILTER('Fund Data'!$AA:$AA, 'Fund Data'!$C:$C = $C1201, 'Fund Data'!$A:$A = $A1201 - 1, 'Fund Data'!$B:$B = 12)) * (1 + AVERAGE(FILTER"&amp;"('Inflation Data'!$C:$C,'Inflation Data'!$A:$A = ($A1201 - 2)))) * 'Parameters and Distribution Sum'!$A$4,0)"),4414.569951711041)</f>
        <v>4414.569952</v>
      </c>
      <c r="X1201" s="52">
        <f>IFERROR(__xludf.DUMMYFUNCTION("IFERROR((IFERROR(FILTER('Fund Data'!$P:$P,'Fund Data'!$C:$C = $C1201,'Fund Data'!$A:$A = ($A1201 - 2), 'Fund Data'!$B:$B = 12),0) - SUM(FILTER('Fund Data'!$V:$V, 'Fund Data'!$C:$C = $C1201, 'Fund Data'!$A:$A = ($A1201 - 2), 'Fund Data'!$B:$B &gt; 3)))  * 'Pa"&amp;"rameters and Distribution Sum'!$B$4 * (1 - 'Parameters and Distribution Sum'!$A$4),0)"),1947.8901600000004)</f>
        <v>1947.89016</v>
      </c>
      <c r="Y1201" s="52">
        <f t="shared" si="111"/>
        <v>6362.460112</v>
      </c>
      <c r="Z1201" s="52">
        <f>IFERROR(__xludf.DUMMYFUNCTION("((IFERROR((SUM(FILTER('Fund Data'!$V:$V, 'Fund Data'!$C:$C = $C1201, 'Fund Data'!$A:$A = $A1201 - 1, 'Fund Data'!$B:$B &gt;= 4, 'Fund Data'!$B:$B &lt;= ($B1201 + 5))) / 12) * ($B1201 - 3) * 'Parameters and Distribution Sum'!$B$4, 0) + IF($B1201 &gt;= 9, IFERROR(SU"&amp;"M(FILTER('Fund Data'!$V:$V, 'Fund Data'!$C:$C = $C1201, 'Fund Data'!$A:$A = $A1201, 'Fund Data'!$B:$B &lt;= 3)) * 'Parameters and Distribution Sum'!$B$4, 0),0)))"),0.0)</f>
        <v>0</v>
      </c>
      <c r="AA1201" s="44">
        <f>IFERROR(__xludf.DUMMYFUNCTION("IFERROR(((IFERROR(SUM(FILTER('Fund Data'!$V:$V, 'Fund Data'!$C:$C = $C1201, 'Fund Data'!$A:$A = $A1201 - 2, 'Fund Data'!$B:$B &gt;= 4)) * 'Parameters and Distribution Sum'!$B$4,0) + IFERROR(SUM(FILTER('Fund Data'!$V:$V, 'Fund Data'!$C:$C = $C1201, 'Fund Data"&amp;"'!$A:$A = $A1201 - 1, 'Fund Data'!$B:$B &lt;= 3)) * 'Parameters and Distribution Sum'!$B$4,0))),0)"),0.0)</f>
        <v>0</v>
      </c>
      <c r="AB1201" s="44">
        <f t="shared" si="112"/>
        <v>0</v>
      </c>
      <c r="AC1201" s="44">
        <f t="shared" si="113"/>
        <v>6362.460112</v>
      </c>
      <c r="AD1201" s="44">
        <f t="shared" si="7"/>
        <v>6362.460112</v>
      </c>
      <c r="AE1201" s="44"/>
    </row>
    <row r="1202">
      <c r="A1202" s="120">
        <v>2019.0</v>
      </c>
      <c r="B1202" s="121">
        <v>1.0</v>
      </c>
      <c r="C1202" s="122" t="s">
        <v>45</v>
      </c>
      <c r="D1202" s="44"/>
      <c r="E1202" s="123">
        <v>871.56</v>
      </c>
      <c r="F1202" s="44"/>
      <c r="G1202" s="44"/>
      <c r="H1202" s="123">
        <v>-62.01</v>
      </c>
      <c r="I1202" s="44"/>
      <c r="J1202" s="44"/>
      <c r="K1202" s="44"/>
      <c r="L1202" s="123">
        <v>7850.03</v>
      </c>
      <c r="M1202" s="44"/>
      <c r="N1202" s="44"/>
      <c r="O1202" s="123">
        <v>140099.0</v>
      </c>
      <c r="P1202" s="52">
        <f t="shared" si="23"/>
        <v>140098.85</v>
      </c>
      <c r="Q1202" s="124">
        <f t="shared" si="2"/>
        <v>0.15</v>
      </c>
      <c r="R1202" s="52">
        <f t="array" ref="R1202">IFERROR(INDEX('Fund YTD Target Values'!$1:$1000, MATCH($C1202,'Fund YTD Target Values'!$A:$A,0), MATCH($A1202,'Fund YTD Target Values'!$1:$1,0)),0)</f>
        <v>137687.9257</v>
      </c>
      <c r="S1202" s="52">
        <f>IFERROR(__xludf.DUMMYFUNCTION("IFERROR(sum(FILTER('Fund Data'!$V:$V, 'Fund Data'!$C:$C = $C1202, 'Fund Data'!$A:$A &lt; $A1202)),0) + IFERROR(sum(FILTER('Fund Data'!$V:$V, 'Fund Data'!$C:$C = $C1202, 'Fund Data'!$A:$A = $A1202, 'Fund Data'!$B:$B &lt;= $B1202)),0)"),125000.0)</f>
        <v>125000</v>
      </c>
      <c r="T1202" s="44"/>
      <c r="U1202" s="44"/>
      <c r="V1202" s="44">
        <f t="shared" si="3"/>
        <v>0</v>
      </c>
      <c r="W1202" s="52">
        <f>IFERROR(__xludf.DUMMYFUNCTION("iFERROR((FILTER('Fund Data'!$Y:$Y, 'Fund Data'!$C:$C = $C1202, 'Fund Data'!$A:$A = $A1202 - 1, 'Fund Data'!$B:$B = 12) + FILTER('Fund Data'!$AA:$AA, 'Fund Data'!$C:$C = $C1202, 'Fund Data'!$A:$A = $A1202 - 1, 'Fund Data'!$B:$B = 12)) * (1 + AVERAGE(FILTER"&amp;"('Inflation Data'!$C:$C,'Inflation Data'!$A:$A = ($A1202 - 2)))) * 'Parameters and Distribution Sum'!$A$4,0)"),4414.569951711041)</f>
        <v>4414.569952</v>
      </c>
      <c r="X1202" s="52">
        <f>IFERROR(__xludf.DUMMYFUNCTION("IFERROR((IFERROR(FILTER('Fund Data'!$P:$P,'Fund Data'!$C:$C = $C1202,'Fund Data'!$A:$A = ($A1202 - 2), 'Fund Data'!$B:$B = 12),0) - SUM(FILTER('Fund Data'!$V:$V, 'Fund Data'!$C:$C = $C1202, 'Fund Data'!$A:$A = ($A1202 - 2), 'Fund Data'!$B:$B &gt; 3)))  * 'Pa"&amp;"rameters and Distribution Sum'!$B$4 * (1 - 'Parameters and Distribution Sum'!$A$4),0)"),1947.8901600000004)</f>
        <v>1947.89016</v>
      </c>
      <c r="Y1202" s="52">
        <f t="shared" si="111"/>
        <v>6362.460112</v>
      </c>
      <c r="Z1202" s="52">
        <f>IFERROR(__xludf.DUMMYFUNCTION("((IFERROR((SUM(FILTER('Fund Data'!$V:$V, 'Fund Data'!$C:$C = $C1202, 'Fund Data'!$A:$A = $A1202 - 1, 'Fund Data'!$B:$B &gt;= 4, 'Fund Data'!$B:$B &lt;= ($B1202 + 5))) / 12) * ($B1202 - 3) * 'Parameters and Distribution Sum'!$B$4, 0) + IF($B1202 &gt;= 9, IFERROR(SU"&amp;"M(FILTER('Fund Data'!$V:$V, 'Fund Data'!$C:$C = $C1202, 'Fund Data'!$A:$A = $A1202, 'Fund Data'!$B:$B &lt;= 3)) * 'Parameters and Distribution Sum'!$B$4, 0),0)))"),0.0)</f>
        <v>0</v>
      </c>
      <c r="AA1202" s="44">
        <f>IFERROR(__xludf.DUMMYFUNCTION("IFERROR(((IFERROR(SUM(FILTER('Fund Data'!$V:$V, 'Fund Data'!$C:$C = $C1202, 'Fund Data'!$A:$A = $A1202 - 2, 'Fund Data'!$B:$B &gt;= 4)) * 'Parameters and Distribution Sum'!$B$4,0) + IFERROR(SUM(FILTER('Fund Data'!$V:$V, 'Fund Data'!$C:$C = $C1202, 'Fund Data"&amp;"'!$A:$A = $A1202 - 1, 'Fund Data'!$B:$B &lt;= 3)) * 'Parameters and Distribution Sum'!$B$4,0))),0)"),0.0)</f>
        <v>0</v>
      </c>
      <c r="AB1202" s="44">
        <f t="shared" si="112"/>
        <v>0</v>
      </c>
      <c r="AC1202" s="44">
        <f t="shared" si="113"/>
        <v>6362.460112</v>
      </c>
      <c r="AD1202" s="44">
        <f t="shared" si="7"/>
        <v>6362.460112</v>
      </c>
      <c r="AE1202" s="44"/>
    </row>
    <row r="1203">
      <c r="A1203" s="120">
        <v>2018.0</v>
      </c>
      <c r="B1203" s="121">
        <v>12.0</v>
      </c>
      <c r="C1203" s="122" t="s">
        <v>45</v>
      </c>
      <c r="D1203" s="123">
        <v>5000.0</v>
      </c>
      <c r="E1203" s="123">
        <v>3048.21</v>
      </c>
      <c r="F1203" s="123">
        <v>-7000.0</v>
      </c>
      <c r="G1203" s="44"/>
      <c r="H1203" s="123">
        <v>-845.73</v>
      </c>
      <c r="I1203" s="44"/>
      <c r="J1203" s="123">
        <v>581.33</v>
      </c>
      <c r="K1203" s="44"/>
      <c r="L1203" s="123">
        <v>-13632.7</v>
      </c>
      <c r="M1203" s="44"/>
      <c r="N1203" s="44"/>
      <c r="O1203" s="123">
        <v>131439.0</v>
      </c>
      <c r="P1203" s="52">
        <f t="shared" si="23"/>
        <v>131439.27</v>
      </c>
      <c r="Q1203" s="124">
        <f t="shared" si="2"/>
        <v>-0.27</v>
      </c>
      <c r="R1203" s="52">
        <f t="array" ref="R1203">IFERROR(INDEX('Fund YTD Target Values'!$1:$1000, MATCH($C1203,'Fund YTD Target Values'!$A:$A,0), MATCH($A1203,'Fund YTD Target Values'!$1:$1,0)),0)</f>
        <v>135327.6594</v>
      </c>
      <c r="S1203" s="52">
        <f>IFERROR(__xludf.DUMMYFUNCTION("IFERROR(sum(FILTER('Fund Data'!$V:$V, 'Fund Data'!$C:$C = $C1203, 'Fund Data'!$A:$A &lt; $A1203)),0) + IFERROR(sum(FILTER('Fund Data'!$V:$V, 'Fund Data'!$C:$C = $C1203, 'Fund Data'!$A:$A = $A1203, 'Fund Data'!$B:$B &lt;= $B1203)),0)"),125000.0)</f>
        <v>125000</v>
      </c>
      <c r="T1203" s="123">
        <v>125000.0</v>
      </c>
      <c r="U1203" s="44">
        <f>S1203-T1203</f>
        <v>0</v>
      </c>
      <c r="V1203" s="44">
        <f t="shared" si="3"/>
        <v>0</v>
      </c>
      <c r="W1203" s="52"/>
      <c r="X1203" s="52"/>
      <c r="Y1203" s="52">
        <v>5724.9033412186045</v>
      </c>
      <c r="Z1203" s="123">
        <v>0.0</v>
      </c>
      <c r="AA1203" s="123">
        <v>450.0</v>
      </c>
      <c r="AB1203" s="44">
        <f t="shared" si="112"/>
        <v>0</v>
      </c>
      <c r="AC1203" s="44">
        <f t="shared" si="113"/>
        <v>6174.903341</v>
      </c>
      <c r="AD1203" s="44">
        <f t="shared" si="7"/>
        <v>-825.0966588</v>
      </c>
      <c r="AE1203" s="123">
        <v>0.0</v>
      </c>
    </row>
    <row r="1204">
      <c r="A1204" s="120">
        <v>2018.0</v>
      </c>
      <c r="B1204" s="121">
        <v>11.0</v>
      </c>
      <c r="C1204" s="122" t="s">
        <v>45</v>
      </c>
      <c r="D1204" s="123">
        <v>5000.0</v>
      </c>
      <c r="E1204" s="123">
        <v>2862.7</v>
      </c>
      <c r="F1204" s="123">
        <v>-7000.0</v>
      </c>
      <c r="G1204" s="44"/>
      <c r="H1204" s="123">
        <v>-780.49</v>
      </c>
      <c r="I1204" s="44"/>
      <c r="J1204" s="123">
        <v>581.33</v>
      </c>
      <c r="K1204" s="44"/>
      <c r="L1204" s="123">
        <v>-5865.54</v>
      </c>
      <c r="M1204" s="44"/>
      <c r="N1204" s="44"/>
      <c r="O1204" s="123">
        <v>139086.0</v>
      </c>
      <c r="P1204" s="52">
        <f t="shared" si="23"/>
        <v>139086.16</v>
      </c>
      <c r="Q1204" s="124">
        <f t="shared" si="2"/>
        <v>-0.16</v>
      </c>
      <c r="R1204" s="52">
        <f t="array" ref="R1204">IFERROR(INDEX('Fund YTD Target Values'!$1:$1000, MATCH($C1204,'Fund YTD Target Values'!$A:$A,0), MATCH($A1204,'Fund YTD Target Values'!$1:$1,0)),0)</f>
        <v>135327.6594</v>
      </c>
      <c r="S1204" s="52">
        <f>IFERROR(__xludf.DUMMYFUNCTION("IFERROR(sum(FILTER('Fund Data'!$V:$V, 'Fund Data'!$C:$C = $C1204, 'Fund Data'!$A:$A &lt; $A1204)),0) + IFERROR(sum(FILTER('Fund Data'!$V:$V, 'Fund Data'!$C:$C = $C1204, 'Fund Data'!$A:$A = $A1204, 'Fund Data'!$B:$B &lt;= $B1204)),0)"),125000.0)</f>
        <v>125000</v>
      </c>
      <c r="T1204" s="44"/>
      <c r="U1204" s="44"/>
      <c r="V1204" s="44">
        <f t="shared" si="3"/>
        <v>0</v>
      </c>
      <c r="W1204" s="123"/>
      <c r="X1204" s="123"/>
      <c r="Y1204" s="123">
        <v>0.0</v>
      </c>
      <c r="Z1204" s="123">
        <v>0.0</v>
      </c>
      <c r="AA1204" s="123">
        <v>0.0</v>
      </c>
      <c r="AB1204" s="123"/>
      <c r="AC1204" s="123">
        <v>0.0</v>
      </c>
      <c r="AD1204" s="44">
        <f t="shared" si="7"/>
        <v>-7000</v>
      </c>
      <c r="AE1204" s="123">
        <v>0.0</v>
      </c>
    </row>
    <row r="1205">
      <c r="A1205" s="120">
        <v>2018.0</v>
      </c>
      <c r="B1205" s="121">
        <v>10.0</v>
      </c>
      <c r="C1205" s="135" t="s">
        <v>45</v>
      </c>
      <c r="D1205" s="174">
        <v>5000.0</v>
      </c>
      <c r="E1205" s="137">
        <v>2740.95</v>
      </c>
      <c r="F1205" s="136">
        <v>-7000.0</v>
      </c>
      <c r="G1205" s="138"/>
      <c r="H1205" s="137">
        <v>-650.56</v>
      </c>
      <c r="I1205" s="138"/>
      <c r="J1205" s="136">
        <v>581.33</v>
      </c>
      <c r="K1205" s="138"/>
      <c r="L1205" s="136">
        <v>-7065.76</v>
      </c>
      <c r="M1205" s="44"/>
      <c r="N1205" s="44"/>
      <c r="O1205" s="136">
        <v>137894.0</v>
      </c>
      <c r="P1205" s="52">
        <f t="shared" si="23"/>
        <v>137894.12</v>
      </c>
      <c r="Q1205" s="124">
        <f t="shared" si="2"/>
        <v>-0.12</v>
      </c>
      <c r="R1205" s="52">
        <f t="array" ref="R1205">IFERROR(INDEX('Fund YTD Target Values'!$1:$1000, MATCH($C1205,'Fund YTD Target Values'!$A:$A,0), MATCH($A1205,'Fund YTD Target Values'!$1:$1,0)),0)</f>
        <v>135327.6594</v>
      </c>
      <c r="S1205" s="52">
        <f>IFERROR(__xludf.DUMMYFUNCTION("IFERROR(sum(FILTER('Fund Data'!$V:$V, 'Fund Data'!$C:$C = $C1205, 'Fund Data'!$A:$A &lt; $A1205)),0) + IFERROR(sum(FILTER('Fund Data'!$V:$V, 'Fund Data'!$C:$C = $C1205, 'Fund Data'!$A:$A = $A1205, 'Fund Data'!$B:$B &lt;= $B1205)),0)"),125000.0)</f>
        <v>125000</v>
      </c>
      <c r="T1205" s="44"/>
      <c r="U1205" s="44"/>
      <c r="V1205" s="44">
        <f t="shared" si="3"/>
        <v>5000</v>
      </c>
      <c r="W1205" s="123"/>
      <c r="X1205" s="123"/>
      <c r="Y1205" s="123">
        <v>0.0</v>
      </c>
      <c r="Z1205" s="123">
        <v>0.0</v>
      </c>
      <c r="AA1205" s="123">
        <v>0.0</v>
      </c>
      <c r="AB1205" s="123"/>
      <c r="AC1205" s="123">
        <v>0.0</v>
      </c>
      <c r="AD1205" s="44">
        <f t="shared" si="7"/>
        <v>-7000</v>
      </c>
      <c r="AE1205" s="123">
        <v>0.0</v>
      </c>
    </row>
    <row r="1206">
      <c r="A1206" s="120">
        <v>2018.0</v>
      </c>
      <c r="B1206" s="121">
        <v>9.0</v>
      </c>
      <c r="C1206" s="122" t="s">
        <v>45</v>
      </c>
      <c r="D1206" s="123"/>
      <c r="E1206" s="123">
        <v>2341.35</v>
      </c>
      <c r="F1206" s="123">
        <v>-7000.0</v>
      </c>
      <c r="G1206" s="44"/>
      <c r="H1206" s="123">
        <v>-650.56</v>
      </c>
      <c r="I1206" s="44"/>
      <c r="J1206" s="123">
        <v>581.33</v>
      </c>
      <c r="K1206" s="44"/>
      <c r="L1206" s="123">
        <v>63.72</v>
      </c>
      <c r="M1206" s="44"/>
      <c r="N1206" s="44"/>
      <c r="O1206" s="123">
        <v>139624.0</v>
      </c>
      <c r="P1206" s="52">
        <f t="shared" si="23"/>
        <v>139624</v>
      </c>
      <c r="Q1206" s="124">
        <f t="shared" si="2"/>
        <v>0</v>
      </c>
      <c r="R1206" s="52">
        <f t="array" ref="R1206">IFERROR(INDEX('Fund YTD Target Values'!$1:$1000, MATCH($C1206,'Fund YTD Target Values'!$A:$A,0), MATCH($A1206,'Fund YTD Target Values'!$1:$1,0)),0)</f>
        <v>135327.6594</v>
      </c>
      <c r="S1206" s="52">
        <f>IFERROR(__xludf.DUMMYFUNCTION("IFERROR(sum(FILTER('Fund Data'!$V:$V, 'Fund Data'!$C:$C = $C1206, 'Fund Data'!$A:$A &lt; $A1206)),0) + IFERROR(sum(FILTER('Fund Data'!$V:$V, 'Fund Data'!$C:$C = $C1206, 'Fund Data'!$A:$A = $A1206, 'Fund Data'!$B:$B &lt;= $B1206)),0)"),120000.0)</f>
        <v>120000</v>
      </c>
      <c r="T1206" s="44"/>
      <c r="U1206" s="44"/>
      <c r="V1206" s="44">
        <f t="shared" si="3"/>
        <v>0</v>
      </c>
      <c r="W1206" s="123"/>
      <c r="X1206" s="123"/>
      <c r="Y1206" s="123">
        <v>0.0</v>
      </c>
      <c r="Z1206" s="123">
        <v>0.0</v>
      </c>
      <c r="AA1206" s="123">
        <v>0.0</v>
      </c>
      <c r="AB1206" s="123"/>
      <c r="AC1206" s="123">
        <v>0.0</v>
      </c>
      <c r="AD1206" s="44">
        <f t="shared" si="7"/>
        <v>-7000</v>
      </c>
      <c r="AE1206" s="123">
        <v>0.0</v>
      </c>
    </row>
    <row r="1207">
      <c r="A1207" s="120">
        <v>2018.0</v>
      </c>
      <c r="B1207" s="121">
        <v>8.0</v>
      </c>
      <c r="C1207" s="122" t="s">
        <v>45</v>
      </c>
      <c r="D1207" s="44"/>
      <c r="E1207" s="123">
        <v>2220.04</v>
      </c>
      <c r="F1207" s="123">
        <v>-6000.0</v>
      </c>
      <c r="G1207" s="44"/>
      <c r="H1207" s="123">
        <v>-580.01</v>
      </c>
      <c r="I1207" s="44"/>
      <c r="J1207" s="123">
        <v>461.61</v>
      </c>
      <c r="K1207" s="44"/>
      <c r="L1207" s="123">
        <v>697.96</v>
      </c>
      <c r="M1207" s="44"/>
      <c r="N1207" s="44"/>
      <c r="O1207" s="123">
        <v>141088.0</v>
      </c>
      <c r="P1207" s="52">
        <f t="shared" si="23"/>
        <v>141087.76</v>
      </c>
      <c r="Q1207" s="124">
        <f t="shared" si="2"/>
        <v>0.24</v>
      </c>
      <c r="R1207" s="52">
        <f t="array" ref="R1207">IFERROR(INDEX('Fund YTD Target Values'!$1:$1000, MATCH($C1207,'Fund YTD Target Values'!$A:$A,0), MATCH($A1207,'Fund YTD Target Values'!$1:$1,0)),0)</f>
        <v>135327.6594</v>
      </c>
      <c r="S1207" s="52">
        <f>IFERROR(__xludf.DUMMYFUNCTION("IFERROR(sum(FILTER('Fund Data'!$V:$V, 'Fund Data'!$C:$C = $C1207, 'Fund Data'!$A:$A &lt; $A1207)),0) + IFERROR(sum(FILTER('Fund Data'!$V:$V, 'Fund Data'!$C:$C = $C1207, 'Fund Data'!$A:$A = $A1207, 'Fund Data'!$B:$B &lt;= $B1207)),0)"),120000.0)</f>
        <v>120000</v>
      </c>
      <c r="T1207" s="44"/>
      <c r="U1207" s="44"/>
      <c r="V1207" s="44">
        <f t="shared" si="3"/>
        <v>0</v>
      </c>
      <c r="W1207" s="123"/>
      <c r="X1207" s="123"/>
      <c r="Y1207" s="123">
        <v>0.0</v>
      </c>
      <c r="Z1207" s="123">
        <v>0.0</v>
      </c>
      <c r="AA1207" s="123">
        <v>0.0</v>
      </c>
      <c r="AB1207" s="123"/>
      <c r="AC1207" s="123">
        <v>0.0</v>
      </c>
      <c r="AD1207" s="44">
        <f t="shared" si="7"/>
        <v>-6000</v>
      </c>
      <c r="AE1207" s="123">
        <v>0.0</v>
      </c>
    </row>
    <row r="1208">
      <c r="A1208" s="120">
        <v>2018.0</v>
      </c>
      <c r="B1208" s="121">
        <v>7.0</v>
      </c>
      <c r="C1208" s="122" t="s">
        <v>45</v>
      </c>
      <c r="D1208" s="44"/>
      <c r="E1208" s="123">
        <v>2100.46</v>
      </c>
      <c r="F1208" s="123">
        <v>-1500.0</v>
      </c>
      <c r="G1208" s="44"/>
      <c r="H1208" s="123">
        <v>-507.44</v>
      </c>
      <c r="I1208" s="44"/>
      <c r="J1208" s="44"/>
      <c r="K1208" s="44"/>
      <c r="L1208" s="123">
        <v>761.0</v>
      </c>
      <c r="M1208" s="44"/>
      <c r="N1208" s="44"/>
      <c r="O1208" s="123">
        <v>145142.0</v>
      </c>
      <c r="P1208" s="52">
        <f t="shared" si="23"/>
        <v>145142.18</v>
      </c>
      <c r="Q1208" s="124">
        <f t="shared" si="2"/>
        <v>-0.18</v>
      </c>
      <c r="R1208" s="52">
        <f t="array" ref="R1208">IFERROR(INDEX('Fund YTD Target Values'!$1:$1000, MATCH($C1208,'Fund YTD Target Values'!$A:$A,0), MATCH($A1208,'Fund YTD Target Values'!$1:$1,0)),0)</f>
        <v>135327.6594</v>
      </c>
      <c r="S1208" s="52">
        <f>IFERROR(__xludf.DUMMYFUNCTION("IFERROR(sum(FILTER('Fund Data'!$V:$V, 'Fund Data'!$C:$C = $C1208, 'Fund Data'!$A:$A &lt; $A1208)),0) + IFERROR(sum(FILTER('Fund Data'!$V:$V, 'Fund Data'!$C:$C = $C1208, 'Fund Data'!$A:$A = $A1208, 'Fund Data'!$B:$B &lt;= $B1208)),0)"),120000.0)</f>
        <v>120000</v>
      </c>
      <c r="T1208" s="44"/>
      <c r="U1208" s="44"/>
      <c r="V1208" s="44">
        <f t="shared" si="3"/>
        <v>0</v>
      </c>
      <c r="W1208" s="123"/>
      <c r="X1208" s="123"/>
      <c r="Y1208" s="123">
        <v>0.0</v>
      </c>
      <c r="Z1208" s="123">
        <v>0.0</v>
      </c>
      <c r="AA1208" s="123">
        <v>0.0</v>
      </c>
      <c r="AB1208" s="123"/>
      <c r="AC1208" s="123">
        <v>0.0</v>
      </c>
      <c r="AD1208" s="44">
        <f t="shared" si="7"/>
        <v>-1500</v>
      </c>
      <c r="AE1208" s="123">
        <v>0.0</v>
      </c>
    </row>
    <row r="1209">
      <c r="A1209" s="120">
        <v>2018.0</v>
      </c>
      <c r="B1209" s="121">
        <v>6.0</v>
      </c>
      <c r="C1209" s="122" t="s">
        <v>45</v>
      </c>
      <c r="D1209" s="44"/>
      <c r="E1209" s="123">
        <v>1776.17</v>
      </c>
      <c r="F1209" s="123">
        <v>-1500.0</v>
      </c>
      <c r="G1209" s="44"/>
      <c r="H1209" s="123">
        <v>-436.17</v>
      </c>
      <c r="I1209" s="44"/>
      <c r="J1209" s="44"/>
      <c r="K1209" s="44"/>
      <c r="L1209" s="123">
        <v>-1596.58</v>
      </c>
      <c r="M1209" s="44"/>
      <c r="N1209" s="44"/>
      <c r="O1209" s="123">
        <v>142532.0</v>
      </c>
      <c r="P1209" s="52">
        <f t="shared" si="23"/>
        <v>142531.58</v>
      </c>
      <c r="Q1209" s="124">
        <f t="shared" si="2"/>
        <v>0.42</v>
      </c>
      <c r="R1209" s="52">
        <f t="array" ref="R1209">IFERROR(INDEX('Fund YTD Target Values'!$1:$1000, MATCH($C1209,'Fund YTD Target Values'!$A:$A,0), MATCH($A1209,'Fund YTD Target Values'!$1:$1,0)),0)</f>
        <v>135327.6594</v>
      </c>
      <c r="S1209" s="52">
        <f>IFERROR(__xludf.DUMMYFUNCTION("IFERROR(sum(FILTER('Fund Data'!$V:$V, 'Fund Data'!$C:$C = $C1209, 'Fund Data'!$A:$A &lt; $A1209)),0) + IFERROR(sum(FILTER('Fund Data'!$V:$V, 'Fund Data'!$C:$C = $C1209, 'Fund Data'!$A:$A = $A1209, 'Fund Data'!$B:$B &lt;= $B1209)),0)"),120000.0)</f>
        <v>120000</v>
      </c>
      <c r="T1209" s="44"/>
      <c r="U1209" s="44"/>
      <c r="V1209" s="44">
        <f t="shared" si="3"/>
        <v>0</v>
      </c>
      <c r="W1209" s="123"/>
      <c r="X1209" s="123"/>
      <c r="Y1209" s="123">
        <v>0.0</v>
      </c>
      <c r="Z1209" s="123">
        <v>0.0</v>
      </c>
      <c r="AA1209" s="123">
        <v>0.0</v>
      </c>
      <c r="AB1209" s="123"/>
      <c r="AC1209" s="123">
        <v>0.0</v>
      </c>
      <c r="AD1209" s="44">
        <f t="shared" si="7"/>
        <v>-1500</v>
      </c>
      <c r="AE1209" s="123">
        <v>0.0</v>
      </c>
    </row>
    <row r="1210">
      <c r="A1210" s="120">
        <v>2018.0</v>
      </c>
      <c r="B1210" s="121">
        <v>5.0</v>
      </c>
      <c r="C1210" s="122" t="s">
        <v>45</v>
      </c>
      <c r="D1210" s="44"/>
      <c r="E1210" s="123">
        <v>1570.12</v>
      </c>
      <c r="F1210" s="44"/>
      <c r="G1210" s="44"/>
      <c r="H1210" s="123">
        <v>-363.68</v>
      </c>
      <c r="I1210" s="44"/>
      <c r="J1210" s="44"/>
      <c r="K1210" s="44"/>
      <c r="L1210" s="123">
        <v>-522.88</v>
      </c>
      <c r="M1210" s="44"/>
      <c r="N1210" s="44"/>
      <c r="O1210" s="123">
        <v>144972.0</v>
      </c>
      <c r="P1210" s="52">
        <f t="shared" si="23"/>
        <v>144971.72</v>
      </c>
      <c r="Q1210" s="124">
        <f t="shared" si="2"/>
        <v>0.28</v>
      </c>
      <c r="R1210" s="52">
        <f t="array" ref="R1210">IFERROR(INDEX('Fund YTD Target Values'!$1:$1000, MATCH($C1210,'Fund YTD Target Values'!$A:$A,0), MATCH($A1210,'Fund YTD Target Values'!$1:$1,0)),0)</f>
        <v>135327.6594</v>
      </c>
      <c r="S1210" s="52">
        <f>IFERROR(__xludf.DUMMYFUNCTION("IFERROR(sum(FILTER('Fund Data'!$V:$V, 'Fund Data'!$C:$C = $C1210, 'Fund Data'!$A:$A &lt; $A1210)),0) + IFERROR(sum(FILTER('Fund Data'!$V:$V, 'Fund Data'!$C:$C = $C1210, 'Fund Data'!$A:$A = $A1210, 'Fund Data'!$B:$B &lt;= $B1210)),0)"),120000.0)</f>
        <v>120000</v>
      </c>
      <c r="T1210" s="123">
        <v>115238.0</v>
      </c>
      <c r="U1210" s="44">
        <f t="shared" ref="U1210:U1231" si="114">S1210-T1210</f>
        <v>4762</v>
      </c>
      <c r="V1210" s="44">
        <f t="shared" si="3"/>
        <v>0</v>
      </c>
      <c r="W1210" s="123"/>
      <c r="X1210" s="123"/>
      <c r="Y1210" s="123">
        <v>0.0</v>
      </c>
      <c r="Z1210" s="123">
        <v>0.0</v>
      </c>
      <c r="AA1210" s="123">
        <v>0.0</v>
      </c>
      <c r="AB1210" s="123"/>
      <c r="AC1210" s="123">
        <v>0.0</v>
      </c>
      <c r="AD1210" s="44">
        <f t="shared" si="7"/>
        <v>0</v>
      </c>
      <c r="AE1210" s="123">
        <v>0.0</v>
      </c>
    </row>
    <row r="1211">
      <c r="A1211" s="120">
        <v>2018.0</v>
      </c>
      <c r="B1211" s="121">
        <v>4.0</v>
      </c>
      <c r="C1211" s="122" t="s">
        <v>45</v>
      </c>
      <c r="D1211" s="44"/>
      <c r="E1211" s="123">
        <v>1455.95</v>
      </c>
      <c r="F1211" s="44"/>
      <c r="G1211" s="44"/>
      <c r="H1211" s="123">
        <v>-291.37</v>
      </c>
      <c r="I1211" s="44"/>
      <c r="J1211" s="44"/>
      <c r="K1211" s="44"/>
      <c r="L1211" s="123">
        <v>-826.25</v>
      </c>
      <c r="M1211" s="44"/>
      <c r="N1211" s="44"/>
      <c r="O1211" s="123">
        <v>144626.0</v>
      </c>
      <c r="P1211" s="52">
        <f t="shared" si="23"/>
        <v>144626.49</v>
      </c>
      <c r="Q1211" s="124">
        <f t="shared" si="2"/>
        <v>-0.49</v>
      </c>
      <c r="R1211" s="52">
        <f t="array" ref="R1211">IFERROR(INDEX('Fund YTD Target Values'!$1:$1000, MATCH($C1211,'Fund YTD Target Values'!$A:$A,0), MATCH($A1211,'Fund YTD Target Values'!$1:$1,0)),0)</f>
        <v>135327.6594</v>
      </c>
      <c r="S1211" s="52">
        <f>IFERROR(__xludf.DUMMYFUNCTION("IFERROR(sum(FILTER('Fund Data'!$V:$V, 'Fund Data'!$C:$C = $C1211, 'Fund Data'!$A:$A &lt; $A1211)),0) + IFERROR(sum(FILTER('Fund Data'!$V:$V, 'Fund Data'!$C:$C = $C1211, 'Fund Data'!$A:$A = $A1211, 'Fund Data'!$B:$B &lt;= $B1211)),0)"),120000.0)</f>
        <v>120000</v>
      </c>
      <c r="T1211" s="123">
        <v>115238.0</v>
      </c>
      <c r="U1211" s="44">
        <f t="shared" si="114"/>
        <v>4762</v>
      </c>
      <c r="V1211" s="44">
        <f t="shared" si="3"/>
        <v>0</v>
      </c>
      <c r="W1211" s="123"/>
      <c r="X1211" s="123"/>
      <c r="Y1211" s="123">
        <v>0.0</v>
      </c>
      <c r="Z1211" s="123">
        <v>0.0</v>
      </c>
      <c r="AA1211" s="123">
        <v>0.0</v>
      </c>
      <c r="AB1211" s="123"/>
      <c r="AC1211" s="123">
        <v>0.0</v>
      </c>
      <c r="AD1211" s="44">
        <f t="shared" si="7"/>
        <v>0</v>
      </c>
      <c r="AE1211" s="123">
        <v>0.0</v>
      </c>
    </row>
    <row r="1212">
      <c r="A1212" s="120">
        <v>2018.0</v>
      </c>
      <c r="B1212" s="121">
        <v>3.0</v>
      </c>
      <c r="C1212" s="122" t="s">
        <v>45</v>
      </c>
      <c r="D1212" s="44"/>
      <c r="E1212" s="123">
        <v>1108.02</v>
      </c>
      <c r="F1212" s="44"/>
      <c r="G1212" s="44"/>
      <c r="H1212" s="123">
        <v>-219.26</v>
      </c>
      <c r="I1212" s="44"/>
      <c r="J1212" s="44"/>
      <c r="K1212" s="44"/>
      <c r="L1212" s="123">
        <v>-944.17</v>
      </c>
      <c r="M1212" s="44"/>
      <c r="N1212" s="44"/>
      <c r="O1212" s="123">
        <v>144233.0</v>
      </c>
      <c r="P1212" s="52">
        <f t="shared" si="23"/>
        <v>144232.75</v>
      </c>
      <c r="Q1212" s="124">
        <f t="shared" si="2"/>
        <v>0.25</v>
      </c>
      <c r="R1212" s="52">
        <f t="array" ref="R1212">IFERROR(INDEX('Fund YTD Target Values'!$1:$1000, MATCH($C1212,'Fund YTD Target Values'!$A:$A,0), MATCH($A1212,'Fund YTD Target Values'!$1:$1,0)),0)</f>
        <v>135327.6594</v>
      </c>
      <c r="S1212" s="52">
        <f>IFERROR(__xludf.DUMMYFUNCTION("IFERROR(sum(FILTER('Fund Data'!$V:$V, 'Fund Data'!$C:$C = $C1212, 'Fund Data'!$A:$A &lt; $A1212)),0) + IFERROR(sum(FILTER('Fund Data'!$V:$V, 'Fund Data'!$C:$C = $C1212, 'Fund Data'!$A:$A = $A1212, 'Fund Data'!$B:$B &lt;= $B1212)),0)"),120000.0)</f>
        <v>120000</v>
      </c>
      <c r="T1212" s="123">
        <v>115238.0</v>
      </c>
      <c r="U1212" s="44">
        <f t="shared" si="114"/>
        <v>4762</v>
      </c>
      <c r="V1212" s="44">
        <f t="shared" si="3"/>
        <v>0</v>
      </c>
      <c r="W1212" s="123"/>
      <c r="X1212" s="123"/>
      <c r="Y1212" s="123">
        <v>0.0</v>
      </c>
      <c r="Z1212" s="123">
        <v>0.0</v>
      </c>
      <c r="AA1212" s="123">
        <v>0.0</v>
      </c>
      <c r="AB1212" s="123"/>
      <c r="AC1212" s="123">
        <v>0.0</v>
      </c>
      <c r="AD1212" s="44">
        <f t="shared" si="7"/>
        <v>0</v>
      </c>
      <c r="AE1212" s="123">
        <v>0.0</v>
      </c>
    </row>
    <row r="1213">
      <c r="A1213" s="120">
        <v>2018.0</v>
      </c>
      <c r="B1213" s="121">
        <v>2.0</v>
      </c>
      <c r="C1213" s="122" t="s">
        <v>45</v>
      </c>
      <c r="D1213" s="44"/>
      <c r="E1213" s="123">
        <v>978.55</v>
      </c>
      <c r="F1213" s="44"/>
      <c r="G1213" s="44"/>
      <c r="H1213" s="123">
        <v>-351.87</v>
      </c>
      <c r="I1213" s="44"/>
      <c r="J1213" s="44"/>
      <c r="K1213" s="44"/>
      <c r="L1213" s="123">
        <v>60.1</v>
      </c>
      <c r="M1213" s="44"/>
      <c r="N1213" s="44"/>
      <c r="O1213" s="123">
        <v>144975.0</v>
      </c>
      <c r="P1213" s="52">
        <f t="shared" si="23"/>
        <v>144974.94</v>
      </c>
      <c r="Q1213" s="124">
        <f t="shared" si="2"/>
        <v>0.06</v>
      </c>
      <c r="R1213" s="52">
        <f t="array" ref="R1213">IFERROR(INDEX('Fund YTD Target Values'!$1:$1000, MATCH($C1213,'Fund YTD Target Values'!$A:$A,0), MATCH($A1213,'Fund YTD Target Values'!$1:$1,0)),0)</f>
        <v>135327.6594</v>
      </c>
      <c r="S1213" s="52">
        <f>IFERROR(__xludf.DUMMYFUNCTION("IFERROR(sum(FILTER('Fund Data'!$V:$V, 'Fund Data'!$C:$C = $C1213, 'Fund Data'!$A:$A &lt; $A1213)),0) + IFERROR(sum(FILTER('Fund Data'!$V:$V, 'Fund Data'!$C:$C = $C1213, 'Fund Data'!$A:$A = $A1213, 'Fund Data'!$B:$B &lt;= $B1213)),0)"),120000.0)</f>
        <v>120000</v>
      </c>
      <c r="T1213" s="123">
        <v>115238.0</v>
      </c>
      <c r="U1213" s="44">
        <f t="shared" si="114"/>
        <v>4762</v>
      </c>
      <c r="V1213" s="44">
        <f t="shared" si="3"/>
        <v>0</v>
      </c>
      <c r="W1213" s="123"/>
      <c r="X1213" s="123"/>
      <c r="Y1213" s="123">
        <v>0.0</v>
      </c>
      <c r="Z1213" s="123">
        <v>0.0</v>
      </c>
      <c r="AA1213" s="123">
        <v>0.0</v>
      </c>
      <c r="AB1213" s="123"/>
      <c r="AC1213" s="123">
        <v>0.0</v>
      </c>
      <c r="AD1213" s="44">
        <f t="shared" si="7"/>
        <v>0</v>
      </c>
      <c r="AE1213" s="123">
        <v>0.0</v>
      </c>
    </row>
    <row r="1214">
      <c r="A1214" s="120">
        <v>2018.0</v>
      </c>
      <c r="B1214" s="121">
        <v>1.0</v>
      </c>
      <c r="C1214" s="122" t="s">
        <v>45</v>
      </c>
      <c r="D1214" s="44"/>
      <c r="E1214" s="123">
        <v>870.14</v>
      </c>
      <c r="F1214" s="44"/>
      <c r="G1214" s="44"/>
      <c r="H1214" s="123">
        <v>-277.24</v>
      </c>
      <c r="I1214" s="44"/>
      <c r="J1214" s="44"/>
      <c r="K1214" s="44"/>
      <c r="L1214" s="123">
        <v>4372.45</v>
      </c>
      <c r="M1214" s="44"/>
      <c r="N1214" s="44"/>
      <c r="O1214" s="123">
        <v>149254.0</v>
      </c>
      <c r="P1214" s="52">
        <f t="shared" si="23"/>
        <v>149253.51</v>
      </c>
      <c r="Q1214" s="124">
        <f t="shared" si="2"/>
        <v>0.49</v>
      </c>
      <c r="R1214" s="52">
        <f t="array" ref="R1214">IFERROR(INDEX('Fund YTD Target Values'!$1:$1000, MATCH($C1214,'Fund YTD Target Values'!$A:$A,0), MATCH($A1214,'Fund YTD Target Values'!$1:$1,0)),0)</f>
        <v>135327.6594</v>
      </c>
      <c r="S1214" s="52">
        <f>IFERROR(__xludf.DUMMYFUNCTION("IFERROR(sum(FILTER('Fund Data'!$V:$V, 'Fund Data'!$C:$C = $C1214, 'Fund Data'!$A:$A &lt; $A1214)),0) + IFERROR(sum(FILTER('Fund Data'!$V:$V, 'Fund Data'!$C:$C = $C1214, 'Fund Data'!$A:$A = $A1214, 'Fund Data'!$B:$B &lt;= $B1214)),0)"),120000.0)</f>
        <v>120000</v>
      </c>
      <c r="T1214" s="123">
        <v>115238.0</v>
      </c>
      <c r="U1214" s="44">
        <f t="shared" si="114"/>
        <v>4762</v>
      </c>
      <c r="V1214" s="44">
        <f t="shared" si="3"/>
        <v>0</v>
      </c>
      <c r="W1214" s="123"/>
      <c r="X1214" s="123"/>
      <c r="Y1214" s="123">
        <v>0.0</v>
      </c>
      <c r="Z1214" s="123">
        <v>0.0</v>
      </c>
      <c r="AA1214" s="123">
        <v>0.0</v>
      </c>
      <c r="AB1214" s="123"/>
      <c r="AC1214" s="123">
        <v>0.0</v>
      </c>
      <c r="AD1214" s="44">
        <f t="shared" si="7"/>
        <v>0</v>
      </c>
      <c r="AE1214" s="123">
        <v>0.0</v>
      </c>
    </row>
    <row r="1215">
      <c r="A1215" s="120">
        <v>2017.0</v>
      </c>
      <c r="B1215" s="121">
        <v>12.0</v>
      </c>
      <c r="C1215" s="122" t="s">
        <v>45</v>
      </c>
      <c r="D1215" s="123">
        <v>5000.0</v>
      </c>
      <c r="E1215" s="123">
        <v>2939.43</v>
      </c>
      <c r="F1215" s="123">
        <v>-5000.0</v>
      </c>
      <c r="G1215" s="123"/>
      <c r="H1215" s="123">
        <v>-823.29</v>
      </c>
      <c r="I1215" s="44"/>
      <c r="J1215" s="44"/>
      <c r="K1215" s="44"/>
      <c r="L1215" s="123">
        <v>16475.51</v>
      </c>
      <c r="M1215" s="44"/>
      <c r="N1215" s="44"/>
      <c r="O1215" s="123">
        <v>144288.0</v>
      </c>
      <c r="P1215" s="52">
        <f t="shared" si="23"/>
        <v>144288.16</v>
      </c>
      <c r="Q1215" s="124">
        <f t="shared" si="2"/>
        <v>-0.16</v>
      </c>
      <c r="R1215" s="52">
        <f t="array" ref="R1215">IFERROR(INDEX('Fund YTD Target Values'!$1:$1000, MATCH($C1215,'Fund YTD Target Values'!$A:$A,0), MATCH($A1215,'Fund YTD Target Values'!$1:$1,0)),0)</f>
        <v>127220.0742</v>
      </c>
      <c r="S1215" s="52">
        <f>IFERROR(__xludf.DUMMYFUNCTION("IFERROR(sum(FILTER('Fund Data'!$V:$V, 'Fund Data'!$C:$C = $C1215, 'Fund Data'!$A:$A &lt; $A1215)),0) + IFERROR(sum(FILTER('Fund Data'!$V:$V, 'Fund Data'!$C:$C = $C1215, 'Fund Data'!$A:$A = $A1215, 'Fund Data'!$B:$B &lt;= $B1215)),0)"),120000.0)</f>
        <v>120000</v>
      </c>
      <c r="T1215" s="123">
        <v>120000.0</v>
      </c>
      <c r="U1215" s="44">
        <f t="shared" si="114"/>
        <v>0</v>
      </c>
      <c r="V1215" s="44">
        <f t="shared" si="3"/>
        <v>0</v>
      </c>
      <c r="W1215" s="123"/>
      <c r="X1215" s="123"/>
      <c r="Y1215" s="123">
        <v>0.0</v>
      </c>
      <c r="Z1215" s="123">
        <v>0.0</v>
      </c>
      <c r="AA1215" s="123">
        <v>0.0</v>
      </c>
      <c r="AB1215" s="123"/>
      <c r="AC1215" s="123">
        <v>0.0</v>
      </c>
      <c r="AD1215" s="44">
        <f t="shared" si="7"/>
        <v>-5000</v>
      </c>
      <c r="AE1215" s="123">
        <v>0.0</v>
      </c>
    </row>
    <row r="1216">
      <c r="A1216" s="120">
        <v>2017.0</v>
      </c>
      <c r="B1216" s="121">
        <v>11.0</v>
      </c>
      <c r="C1216" s="122" t="s">
        <v>45</v>
      </c>
      <c r="D1216" s="123">
        <v>5000.0</v>
      </c>
      <c r="E1216" s="123">
        <v>2739.76</v>
      </c>
      <c r="F1216" s="123">
        <v>-5000.0</v>
      </c>
      <c r="G1216" s="44"/>
      <c r="H1216" s="123">
        <v>-751.55</v>
      </c>
      <c r="I1216" s="44"/>
      <c r="J1216" s="44"/>
      <c r="K1216" s="44"/>
      <c r="L1216" s="123">
        <v>15802.4</v>
      </c>
      <c r="M1216" s="44"/>
      <c r="N1216" s="44"/>
      <c r="O1216" s="123">
        <v>143487.0</v>
      </c>
      <c r="P1216" s="52">
        <f t="shared" si="23"/>
        <v>143487.12</v>
      </c>
      <c r="Q1216" s="124">
        <f t="shared" si="2"/>
        <v>-0.12</v>
      </c>
      <c r="R1216" s="52">
        <f t="array" ref="R1216">IFERROR(INDEX('Fund YTD Target Values'!$1:$1000, MATCH($C1216,'Fund YTD Target Values'!$A:$A,0), MATCH($A1216,'Fund YTD Target Values'!$1:$1,0)),0)</f>
        <v>127220.0742</v>
      </c>
      <c r="S1216" s="52">
        <f>IFERROR(__xludf.DUMMYFUNCTION("IFERROR(sum(FILTER('Fund Data'!$V:$V, 'Fund Data'!$C:$C = $C1216, 'Fund Data'!$A:$A &lt; $A1216)),0) + IFERROR(sum(FILTER('Fund Data'!$V:$V, 'Fund Data'!$C:$C = $C1216, 'Fund Data'!$A:$A = $A1216, 'Fund Data'!$B:$B &lt;= $B1216)),0)"),120000.0)</f>
        <v>120000</v>
      </c>
      <c r="T1216" s="123">
        <v>121567.0</v>
      </c>
      <c r="U1216" s="44">
        <f t="shared" si="114"/>
        <v>-1567</v>
      </c>
      <c r="V1216" s="44">
        <f t="shared" si="3"/>
        <v>0</v>
      </c>
      <c r="W1216" s="123"/>
      <c r="X1216" s="123"/>
      <c r="Y1216" s="123">
        <v>0.0</v>
      </c>
      <c r="Z1216" s="123">
        <v>0.0</v>
      </c>
      <c r="AA1216" s="123">
        <v>0.0</v>
      </c>
      <c r="AB1216" s="123"/>
      <c r="AC1216" s="123">
        <v>0.0</v>
      </c>
      <c r="AD1216" s="44">
        <f t="shared" si="7"/>
        <v>-5000</v>
      </c>
      <c r="AE1216" s="123">
        <v>0.0</v>
      </c>
    </row>
    <row r="1217">
      <c r="A1217" s="120">
        <v>2017.0</v>
      </c>
      <c r="B1217" s="121">
        <v>10.0</v>
      </c>
      <c r="C1217" s="122" t="s">
        <v>45</v>
      </c>
      <c r="D1217" s="123">
        <v>5000.0</v>
      </c>
      <c r="E1217" s="123">
        <v>2643.63</v>
      </c>
      <c r="F1217" s="123">
        <v>-5000.0</v>
      </c>
      <c r="G1217" s="44"/>
      <c r="H1217" s="123">
        <v>-680.6</v>
      </c>
      <c r="I1217" s="44"/>
      <c r="J1217" s="44"/>
      <c r="K1217" s="44"/>
      <c r="L1217" s="123">
        <v>14246.29</v>
      </c>
      <c r="M1217" s="44"/>
      <c r="N1217" s="44"/>
      <c r="O1217" s="123">
        <v>141906.0</v>
      </c>
      <c r="P1217" s="52">
        <f t="shared" si="23"/>
        <v>141905.83</v>
      </c>
      <c r="Q1217" s="124">
        <f t="shared" si="2"/>
        <v>0.17</v>
      </c>
      <c r="R1217" s="52">
        <f t="array" ref="R1217">IFERROR(INDEX('Fund YTD Target Values'!$1:$1000, MATCH($C1217,'Fund YTD Target Values'!$A:$A,0), MATCH($A1217,'Fund YTD Target Values'!$1:$1,0)),0)</f>
        <v>127220.0742</v>
      </c>
      <c r="S1217" s="52">
        <f>IFERROR(__xludf.DUMMYFUNCTION("IFERROR(sum(FILTER('Fund Data'!$V:$V, 'Fund Data'!$C:$C = $C1217, 'Fund Data'!$A:$A &lt; $A1217)),0) + IFERROR(sum(FILTER('Fund Data'!$V:$V, 'Fund Data'!$C:$C = $C1217, 'Fund Data'!$A:$A = $A1217, 'Fund Data'!$B:$B &lt;= $B1217)),0)"),120000.0)</f>
        <v>120000</v>
      </c>
      <c r="T1217" s="123">
        <v>121567.0</v>
      </c>
      <c r="U1217" s="44">
        <f t="shared" si="114"/>
        <v>-1567</v>
      </c>
      <c r="V1217" s="44">
        <f t="shared" si="3"/>
        <v>0</v>
      </c>
      <c r="W1217" s="123"/>
      <c r="X1217" s="123"/>
      <c r="Y1217" s="123">
        <v>0.0</v>
      </c>
      <c r="Z1217" s="123">
        <v>0.0</v>
      </c>
      <c r="AA1217" s="123">
        <v>0.0</v>
      </c>
      <c r="AB1217" s="123"/>
      <c r="AC1217" s="123">
        <v>0.0</v>
      </c>
      <c r="AD1217" s="44">
        <f t="shared" si="7"/>
        <v>-5000</v>
      </c>
      <c r="AE1217" s="123">
        <v>0.0</v>
      </c>
    </row>
    <row r="1218">
      <c r="A1218" s="120">
        <v>2017.0</v>
      </c>
      <c r="B1218" s="121">
        <v>9.0</v>
      </c>
      <c r="C1218" s="122" t="s">
        <v>45</v>
      </c>
      <c r="D1218" s="123">
        <v>5000.0</v>
      </c>
      <c r="E1218" s="123">
        <v>2357.6</v>
      </c>
      <c r="F1218" s="123">
        <v>-5000.0</v>
      </c>
      <c r="G1218" s="44"/>
      <c r="H1218" s="123">
        <v>-610.64</v>
      </c>
      <c r="I1218" s="44"/>
      <c r="J1218" s="44"/>
      <c r="K1218" s="44"/>
      <c r="L1218" s="123">
        <v>12481.22</v>
      </c>
      <c r="M1218" s="44"/>
      <c r="N1218" s="44"/>
      <c r="O1218" s="123">
        <v>139925.0</v>
      </c>
      <c r="P1218" s="52">
        <f t="shared" si="23"/>
        <v>139924.69</v>
      </c>
      <c r="Q1218" s="124">
        <f t="shared" si="2"/>
        <v>0.31</v>
      </c>
      <c r="R1218" s="52">
        <f t="array" ref="R1218">IFERROR(INDEX('Fund YTD Target Values'!$1:$1000, MATCH($C1218,'Fund YTD Target Values'!$A:$A,0), MATCH($A1218,'Fund YTD Target Values'!$1:$1,0)),0)</f>
        <v>127220.0742</v>
      </c>
      <c r="S1218" s="52">
        <f>IFERROR(__xludf.DUMMYFUNCTION("IFERROR(sum(FILTER('Fund Data'!$V:$V, 'Fund Data'!$C:$C = $C1218, 'Fund Data'!$A:$A &lt; $A1218)),0) + IFERROR(sum(FILTER('Fund Data'!$V:$V, 'Fund Data'!$C:$C = $C1218, 'Fund Data'!$A:$A = $A1218, 'Fund Data'!$B:$B &lt;= $B1218)),0)"),120000.0)</f>
        <v>120000</v>
      </c>
      <c r="T1218" s="123">
        <v>121567.0</v>
      </c>
      <c r="U1218" s="44">
        <f t="shared" si="114"/>
        <v>-1567</v>
      </c>
      <c r="V1218" s="44">
        <f t="shared" si="3"/>
        <v>0</v>
      </c>
      <c r="W1218" s="123"/>
      <c r="X1218" s="123"/>
      <c r="Y1218" s="123">
        <v>0.0</v>
      </c>
      <c r="Z1218" s="123">
        <v>0.0</v>
      </c>
      <c r="AA1218" s="123">
        <v>0.0</v>
      </c>
      <c r="AB1218" s="123"/>
      <c r="AC1218" s="123">
        <v>0.0</v>
      </c>
      <c r="AD1218" s="44">
        <f t="shared" si="7"/>
        <v>-5000</v>
      </c>
      <c r="AE1218" s="123">
        <v>0.0</v>
      </c>
    </row>
    <row r="1219">
      <c r="A1219" s="120">
        <v>2017.0</v>
      </c>
      <c r="B1219" s="121">
        <v>8.0</v>
      </c>
      <c r="C1219" s="122" t="s">
        <v>45</v>
      </c>
      <c r="D1219" s="123">
        <v>5000.0</v>
      </c>
      <c r="E1219" s="123">
        <v>2185.18</v>
      </c>
      <c r="F1219" s="123">
        <v>-5000.0</v>
      </c>
      <c r="G1219" s="44"/>
      <c r="H1219" s="123">
        <v>-541.39</v>
      </c>
      <c r="I1219" s="44"/>
      <c r="J1219" s="44"/>
      <c r="K1219" s="44"/>
      <c r="L1219" s="123">
        <v>11147.02</v>
      </c>
      <c r="M1219" s="44"/>
      <c r="N1219" s="44"/>
      <c r="O1219" s="123">
        <v>138487.0</v>
      </c>
      <c r="P1219" s="52">
        <f t="shared" si="23"/>
        <v>138487.32</v>
      </c>
      <c r="Q1219" s="124">
        <f t="shared" si="2"/>
        <v>-0.32</v>
      </c>
      <c r="R1219" s="52">
        <f t="array" ref="R1219">IFERROR(INDEX('Fund YTD Target Values'!$1:$1000, MATCH($C1219,'Fund YTD Target Values'!$A:$A,0), MATCH($A1219,'Fund YTD Target Values'!$1:$1,0)),0)</f>
        <v>127220.0742</v>
      </c>
      <c r="S1219" s="52">
        <f>IFERROR(__xludf.DUMMYFUNCTION("IFERROR(sum(FILTER('Fund Data'!$V:$V, 'Fund Data'!$C:$C = $C1219, 'Fund Data'!$A:$A &lt; $A1219)),0) + IFERROR(sum(FILTER('Fund Data'!$V:$V, 'Fund Data'!$C:$C = $C1219, 'Fund Data'!$A:$A = $A1219, 'Fund Data'!$B:$B &lt;= $B1219)),0)"),120000.0)</f>
        <v>120000</v>
      </c>
      <c r="T1219" s="123">
        <v>121567.0</v>
      </c>
      <c r="U1219" s="44">
        <f t="shared" si="114"/>
        <v>-1567</v>
      </c>
      <c r="V1219" s="44">
        <f t="shared" si="3"/>
        <v>0</v>
      </c>
      <c r="W1219" s="123"/>
      <c r="X1219" s="123"/>
      <c r="Y1219" s="123">
        <v>0.0</v>
      </c>
      <c r="Z1219" s="123">
        <v>0.0</v>
      </c>
      <c r="AA1219" s="123">
        <v>0.0</v>
      </c>
      <c r="AB1219" s="123"/>
      <c r="AC1219" s="123">
        <v>0.0</v>
      </c>
      <c r="AD1219" s="44">
        <f t="shared" si="7"/>
        <v>-5000</v>
      </c>
      <c r="AE1219" s="123">
        <v>0.0</v>
      </c>
    </row>
    <row r="1220">
      <c r="A1220" s="120">
        <v>2017.0</v>
      </c>
      <c r="B1220" s="121">
        <v>7.0</v>
      </c>
      <c r="C1220" s="122" t="s">
        <v>45</v>
      </c>
      <c r="D1220" s="123">
        <v>5000.0</v>
      </c>
      <c r="E1220" s="123">
        <v>2087.11</v>
      </c>
      <c r="F1220" s="44"/>
      <c r="G1220" s="44"/>
      <c r="H1220" s="123">
        <v>-469.83</v>
      </c>
      <c r="I1220" s="44"/>
      <c r="J1220" s="44"/>
      <c r="K1220" s="44"/>
      <c r="L1220" s="123">
        <v>10795.67</v>
      </c>
      <c r="M1220" s="44"/>
      <c r="N1220" s="44"/>
      <c r="O1220" s="123">
        <v>143109.0</v>
      </c>
      <c r="P1220" s="52">
        <f t="shared" si="23"/>
        <v>143109.46</v>
      </c>
      <c r="Q1220" s="124">
        <f t="shared" si="2"/>
        <v>-0.46</v>
      </c>
      <c r="R1220" s="52">
        <f t="array" ref="R1220">IFERROR(INDEX('Fund YTD Target Values'!$1:$1000, MATCH($C1220,'Fund YTD Target Values'!$A:$A,0), MATCH($A1220,'Fund YTD Target Values'!$1:$1,0)),0)</f>
        <v>127220.0742</v>
      </c>
      <c r="S1220" s="52">
        <f>IFERROR(__xludf.DUMMYFUNCTION("IFERROR(sum(FILTER('Fund Data'!$V:$V, 'Fund Data'!$C:$C = $C1220, 'Fund Data'!$A:$A &lt; $A1220)),0) + IFERROR(sum(FILTER('Fund Data'!$V:$V, 'Fund Data'!$C:$C = $C1220, 'Fund Data'!$A:$A = $A1220, 'Fund Data'!$B:$B &lt;= $B1220)),0)"),120000.0)</f>
        <v>120000</v>
      </c>
      <c r="T1220" s="123">
        <v>121567.0</v>
      </c>
      <c r="U1220" s="44">
        <f t="shared" si="114"/>
        <v>-1567</v>
      </c>
      <c r="V1220" s="44">
        <f t="shared" si="3"/>
        <v>0</v>
      </c>
      <c r="W1220" s="123"/>
      <c r="X1220" s="123"/>
      <c r="Y1220" s="123">
        <v>0.0</v>
      </c>
      <c r="Z1220" s="123">
        <v>0.0</v>
      </c>
      <c r="AA1220" s="123">
        <v>0.0</v>
      </c>
      <c r="AB1220" s="123"/>
      <c r="AC1220" s="123">
        <v>0.0</v>
      </c>
      <c r="AD1220" s="44">
        <f t="shared" si="7"/>
        <v>0</v>
      </c>
      <c r="AE1220" s="123">
        <v>0.0</v>
      </c>
    </row>
    <row r="1221">
      <c r="A1221" s="120">
        <v>2017.0</v>
      </c>
      <c r="B1221" s="121">
        <v>6.0</v>
      </c>
      <c r="C1221" s="122" t="s">
        <v>45</v>
      </c>
      <c r="D1221" s="123">
        <v>5000.0</v>
      </c>
      <c r="E1221" s="123">
        <v>1659.21</v>
      </c>
      <c r="F1221" s="44"/>
      <c r="G1221" s="44"/>
      <c r="H1221" s="123">
        <v>-399.85</v>
      </c>
      <c r="I1221" s="44"/>
      <c r="J1221" s="44"/>
      <c r="K1221" s="44"/>
      <c r="L1221" s="123">
        <v>8017.23</v>
      </c>
      <c r="M1221" s="44"/>
      <c r="N1221" s="44"/>
      <c r="O1221" s="123">
        <v>139973.0</v>
      </c>
      <c r="P1221" s="52">
        <f t="shared" si="23"/>
        <v>139973.1</v>
      </c>
      <c r="Q1221" s="124">
        <f t="shared" si="2"/>
        <v>-0.1</v>
      </c>
      <c r="R1221" s="52">
        <f t="array" ref="R1221">IFERROR(INDEX('Fund YTD Target Values'!$1:$1000, MATCH($C1221,'Fund YTD Target Values'!$A:$A,0), MATCH($A1221,'Fund YTD Target Values'!$1:$1,0)),0)</f>
        <v>127220.0742</v>
      </c>
      <c r="S1221" s="52">
        <f>IFERROR(__xludf.DUMMYFUNCTION("IFERROR(sum(FILTER('Fund Data'!$V:$V, 'Fund Data'!$C:$C = $C1221, 'Fund Data'!$A:$A &lt; $A1221)),0) + IFERROR(sum(FILTER('Fund Data'!$V:$V, 'Fund Data'!$C:$C = $C1221, 'Fund Data'!$A:$A = $A1221, 'Fund Data'!$B:$B &lt;= $B1221)),0)"),120000.0)</f>
        <v>120000</v>
      </c>
      <c r="T1221" s="123">
        <v>121567.0</v>
      </c>
      <c r="U1221" s="44">
        <f t="shared" si="114"/>
        <v>-1567</v>
      </c>
      <c r="V1221" s="44">
        <f t="shared" si="3"/>
        <v>0</v>
      </c>
      <c r="W1221" s="123"/>
      <c r="X1221" s="123"/>
      <c r="Y1221" s="123">
        <v>0.0</v>
      </c>
      <c r="Z1221" s="123">
        <v>0.0</v>
      </c>
      <c r="AA1221" s="123">
        <v>0.0</v>
      </c>
      <c r="AB1221" s="123"/>
      <c r="AC1221" s="123">
        <v>0.0</v>
      </c>
      <c r="AD1221" s="44">
        <f t="shared" si="7"/>
        <v>0</v>
      </c>
      <c r="AE1221" s="123">
        <v>0.0</v>
      </c>
    </row>
    <row r="1222">
      <c r="A1222" s="168">
        <v>2017.0</v>
      </c>
      <c r="B1222" s="169">
        <v>5.0</v>
      </c>
      <c r="C1222" s="122" t="s">
        <v>45</v>
      </c>
      <c r="D1222" s="123">
        <v>5000.0</v>
      </c>
      <c r="E1222" s="123">
        <v>1566.99</v>
      </c>
      <c r="F1222" s="44"/>
      <c r="G1222" s="44"/>
      <c r="H1222" s="123">
        <v>-330.02</v>
      </c>
      <c r="I1222" s="44"/>
      <c r="J1222" s="44"/>
      <c r="K1222" s="44"/>
      <c r="L1222" s="123">
        <v>7731.53</v>
      </c>
      <c r="M1222" s="44"/>
      <c r="N1222" s="44"/>
      <c r="O1222" s="123">
        <v>139665.0</v>
      </c>
      <c r="P1222" s="52">
        <f t="shared" si="23"/>
        <v>139665.01</v>
      </c>
      <c r="Q1222" s="124">
        <f t="shared" si="2"/>
        <v>-0.01000000001</v>
      </c>
      <c r="R1222" s="52">
        <f t="array" ref="R1222">IFERROR(INDEX('Fund YTD Target Values'!$1:$1000, MATCH($C1222,'Fund YTD Target Values'!$A:$A,0), MATCH($A1222,'Fund YTD Target Values'!$1:$1,0)),0)</f>
        <v>127220.0742</v>
      </c>
      <c r="S1222" s="52">
        <f>IFERROR(__xludf.DUMMYFUNCTION("IFERROR(sum(FILTER('Fund Data'!$V:$V, 'Fund Data'!$C:$C = $C1222, 'Fund Data'!$A:$A &lt; $A1222)),0) + IFERROR(sum(FILTER('Fund Data'!$V:$V, 'Fund Data'!$C:$C = $C1222, 'Fund Data'!$A:$A = $A1222, 'Fund Data'!$B:$B &lt;= $B1222)),0)"),120000.0)</f>
        <v>120000</v>
      </c>
      <c r="T1222" s="123">
        <v>121567.0</v>
      </c>
      <c r="U1222" s="44">
        <f t="shared" si="114"/>
        <v>-1567</v>
      </c>
      <c r="V1222" s="44">
        <f t="shared" si="3"/>
        <v>0</v>
      </c>
      <c r="W1222" s="123"/>
      <c r="X1222" s="123"/>
      <c r="Y1222" s="123">
        <v>0.0</v>
      </c>
      <c r="Z1222" s="123">
        <v>0.0</v>
      </c>
      <c r="AA1222" s="123">
        <v>0.0</v>
      </c>
      <c r="AB1222" s="123"/>
      <c r="AC1222" s="123">
        <v>0.0</v>
      </c>
      <c r="AD1222" s="44">
        <f t="shared" si="7"/>
        <v>0</v>
      </c>
      <c r="AE1222" s="123">
        <v>0.0</v>
      </c>
    </row>
    <row r="1223">
      <c r="A1223" s="120">
        <v>2017.0</v>
      </c>
      <c r="B1223" s="121">
        <v>4.0</v>
      </c>
      <c r="C1223" s="122" t="s">
        <v>45</v>
      </c>
      <c r="D1223" s="123">
        <v>5000.0</v>
      </c>
      <c r="E1223" s="123">
        <v>1478.34</v>
      </c>
      <c r="F1223" s="44"/>
      <c r="G1223" s="44"/>
      <c r="H1223" s="123">
        <v>-260.94</v>
      </c>
      <c r="I1223" s="44"/>
      <c r="J1223" s="44"/>
      <c r="K1223" s="44"/>
      <c r="L1223" s="123">
        <v>6250.32</v>
      </c>
      <c r="M1223" s="44"/>
      <c r="N1223" s="44"/>
      <c r="O1223" s="123">
        <v>138164.0</v>
      </c>
      <c r="P1223" s="52">
        <f t="shared" si="23"/>
        <v>138164.23</v>
      </c>
      <c r="Q1223" s="124">
        <f t="shared" si="2"/>
        <v>-0.23</v>
      </c>
      <c r="R1223" s="52">
        <f t="array" ref="R1223">IFERROR(INDEX('Fund YTD Target Values'!$1:$1000, MATCH($C1223,'Fund YTD Target Values'!$A:$A,0), MATCH($A1223,'Fund YTD Target Values'!$1:$1,0)),0)</f>
        <v>127220.0742</v>
      </c>
      <c r="S1223" s="52">
        <f>IFERROR(__xludf.DUMMYFUNCTION("IFERROR(sum(FILTER('Fund Data'!$V:$V, 'Fund Data'!$C:$C = $C1223, 'Fund Data'!$A:$A &lt; $A1223)),0) + IFERROR(sum(FILTER('Fund Data'!$V:$V, 'Fund Data'!$C:$C = $C1223, 'Fund Data'!$A:$A = $A1223, 'Fund Data'!$B:$B &lt;= $B1223)),0)"),120000.0)</f>
        <v>120000</v>
      </c>
      <c r="T1223" s="123">
        <v>121567.0</v>
      </c>
      <c r="U1223" s="44">
        <f t="shared" si="114"/>
        <v>-1567</v>
      </c>
      <c r="V1223" s="44">
        <f t="shared" si="3"/>
        <v>0</v>
      </c>
      <c r="W1223" s="123"/>
      <c r="X1223" s="123"/>
      <c r="Y1223" s="123">
        <v>0.0</v>
      </c>
      <c r="Z1223" s="123">
        <v>0.0</v>
      </c>
      <c r="AA1223" s="123">
        <v>0.0</v>
      </c>
      <c r="AB1223" s="123"/>
      <c r="AC1223" s="123">
        <v>0.0</v>
      </c>
      <c r="AD1223" s="44">
        <f t="shared" si="7"/>
        <v>0</v>
      </c>
      <c r="AE1223" s="123">
        <v>0.0</v>
      </c>
    </row>
    <row r="1224">
      <c r="A1224" s="120">
        <v>2017.0</v>
      </c>
      <c r="B1224" s="121">
        <v>3.0</v>
      </c>
      <c r="C1224" s="122" t="s">
        <v>45</v>
      </c>
      <c r="D1224" s="123">
        <v>5000.0</v>
      </c>
      <c r="E1224" s="123">
        <v>1117.8</v>
      </c>
      <c r="F1224" s="44"/>
      <c r="G1224" s="44"/>
      <c r="H1224" s="123">
        <v>-192.66</v>
      </c>
      <c r="I1224" s="44"/>
      <c r="J1224" s="44"/>
      <c r="K1224" s="44"/>
      <c r="L1224" s="123">
        <v>4935.53</v>
      </c>
      <c r="M1224" s="44"/>
      <c r="N1224" s="44"/>
      <c r="O1224" s="123">
        <v>136557.0</v>
      </c>
      <c r="P1224" s="52">
        <f t="shared" si="23"/>
        <v>136557.18</v>
      </c>
      <c r="Q1224" s="124">
        <f t="shared" si="2"/>
        <v>-0.18</v>
      </c>
      <c r="R1224" s="52">
        <f t="array" ref="R1224">IFERROR(INDEX('Fund YTD Target Values'!$1:$1000, MATCH($C1224,'Fund YTD Target Values'!$A:$A,0), MATCH($A1224,'Fund YTD Target Values'!$1:$1,0)),0)</f>
        <v>127220.0742</v>
      </c>
      <c r="S1224" s="52">
        <f>IFERROR(__xludf.DUMMYFUNCTION("IFERROR(sum(FILTER('Fund Data'!$V:$V, 'Fund Data'!$C:$C = $C1224, 'Fund Data'!$A:$A &lt; $A1224)),0) + IFERROR(sum(FILTER('Fund Data'!$V:$V, 'Fund Data'!$C:$C = $C1224, 'Fund Data'!$A:$A = $A1224, 'Fund Data'!$B:$B &lt;= $B1224)),0)"),120000.0)</f>
        <v>120000</v>
      </c>
      <c r="T1224" s="123">
        <v>121567.0</v>
      </c>
      <c r="U1224" s="44">
        <f t="shared" si="114"/>
        <v>-1567</v>
      </c>
      <c r="V1224" s="44">
        <f t="shared" si="3"/>
        <v>5000</v>
      </c>
      <c r="W1224" s="123"/>
      <c r="X1224" s="123"/>
      <c r="Y1224" s="123">
        <v>0.0</v>
      </c>
      <c r="Z1224" s="123">
        <v>0.0</v>
      </c>
      <c r="AA1224" s="123">
        <v>0.0</v>
      </c>
      <c r="AB1224" s="123"/>
      <c r="AC1224" s="123">
        <v>0.0</v>
      </c>
      <c r="AD1224" s="44">
        <f t="shared" si="7"/>
        <v>0</v>
      </c>
      <c r="AE1224" s="123">
        <v>0.0</v>
      </c>
    </row>
    <row r="1225">
      <c r="A1225" s="168">
        <v>2017.0</v>
      </c>
      <c r="B1225" s="169">
        <v>2.0</v>
      </c>
      <c r="C1225" s="122" t="s">
        <v>45</v>
      </c>
      <c r="D1225" s="44"/>
      <c r="E1225" s="123">
        <v>1030.51</v>
      </c>
      <c r="F1225" s="44"/>
      <c r="G1225" s="44"/>
      <c r="H1225" s="123">
        <v>-127.12</v>
      </c>
      <c r="I1225" s="44"/>
      <c r="J1225" s="44"/>
      <c r="K1225" s="44"/>
      <c r="L1225" s="123">
        <v>4473.23</v>
      </c>
      <c r="M1225" s="44"/>
      <c r="N1225" s="44"/>
      <c r="O1225" s="123">
        <v>131073.0</v>
      </c>
      <c r="P1225" s="52">
        <f t="shared" si="23"/>
        <v>131073.13</v>
      </c>
      <c r="Q1225" s="124">
        <f t="shared" si="2"/>
        <v>-0.13</v>
      </c>
      <c r="R1225" s="52">
        <f t="array" ref="R1225">IFERROR(INDEX('Fund YTD Target Values'!$1:$1000, MATCH($C1225,'Fund YTD Target Values'!$A:$A,0), MATCH($A1225,'Fund YTD Target Values'!$1:$1,0)),0)</f>
        <v>127220.0742</v>
      </c>
      <c r="S1225" s="52">
        <f>IFERROR(__xludf.DUMMYFUNCTION("IFERROR(sum(FILTER('Fund Data'!$V:$V, 'Fund Data'!$C:$C = $C1225, 'Fund Data'!$A:$A &lt; $A1225)),0) + IFERROR(sum(FILTER('Fund Data'!$V:$V, 'Fund Data'!$C:$C = $C1225, 'Fund Data'!$A:$A = $A1225, 'Fund Data'!$B:$B &lt;= $B1225)),0)"),115000.0)</f>
        <v>115000</v>
      </c>
      <c r="T1225" s="123">
        <v>116567.0</v>
      </c>
      <c r="U1225" s="44">
        <f t="shared" si="114"/>
        <v>-1567</v>
      </c>
      <c r="V1225" s="44">
        <f t="shared" si="3"/>
        <v>0</v>
      </c>
      <c r="W1225" s="123"/>
      <c r="X1225" s="123"/>
      <c r="Y1225" s="123">
        <v>0.0</v>
      </c>
      <c r="Z1225" s="123">
        <v>0.0</v>
      </c>
      <c r="AA1225" s="123">
        <v>0.0</v>
      </c>
      <c r="AB1225" s="123"/>
      <c r="AC1225" s="123">
        <v>0.0</v>
      </c>
      <c r="AD1225" s="44">
        <f t="shared" si="7"/>
        <v>0</v>
      </c>
      <c r="AE1225" s="123">
        <v>0.0</v>
      </c>
    </row>
    <row r="1226">
      <c r="A1226" s="168">
        <v>2017.0</v>
      </c>
      <c r="B1226" s="169">
        <v>1.0</v>
      </c>
      <c r="C1226" s="122" t="s">
        <v>45</v>
      </c>
      <c r="D1226" s="44"/>
      <c r="E1226" s="123">
        <v>940.75</v>
      </c>
      <c r="F1226" s="44"/>
      <c r="G1226" s="44"/>
      <c r="H1226" s="123">
        <v>-62.85</v>
      </c>
      <c r="I1226" s="44"/>
      <c r="J1226" s="44"/>
      <c r="K1226" s="44"/>
      <c r="L1226" s="123">
        <v>1955.53</v>
      </c>
      <c r="M1226" s="44"/>
      <c r="N1226" s="44"/>
      <c r="O1226" s="123">
        <v>128530.0</v>
      </c>
      <c r="P1226" s="52">
        <f t="shared" si="23"/>
        <v>128529.94</v>
      </c>
      <c r="Q1226" s="124">
        <f t="shared" si="2"/>
        <v>0.06</v>
      </c>
      <c r="R1226" s="52">
        <f t="array" ref="R1226">IFERROR(INDEX('Fund YTD Target Values'!$1:$1000, MATCH($C1226,'Fund YTD Target Values'!$A:$A,0), MATCH($A1226,'Fund YTD Target Values'!$1:$1,0)),0)</f>
        <v>127220.0742</v>
      </c>
      <c r="S1226" s="52">
        <f>IFERROR(__xludf.DUMMYFUNCTION("IFERROR(sum(FILTER('Fund Data'!$V:$V, 'Fund Data'!$C:$C = $C1226, 'Fund Data'!$A:$A &lt; $A1226)),0) + IFERROR(sum(FILTER('Fund Data'!$V:$V, 'Fund Data'!$C:$C = $C1226, 'Fund Data'!$A:$A = $A1226, 'Fund Data'!$B:$B &lt;= $B1226)),0)"),115000.0)</f>
        <v>115000</v>
      </c>
      <c r="T1226" s="123">
        <v>116567.0</v>
      </c>
      <c r="U1226" s="44">
        <f t="shared" si="114"/>
        <v>-1567</v>
      </c>
      <c r="V1226" s="44">
        <f t="shared" si="3"/>
        <v>0</v>
      </c>
      <c r="W1226" s="123"/>
      <c r="X1226" s="123"/>
      <c r="Y1226" s="123">
        <v>0.0</v>
      </c>
      <c r="Z1226" s="123">
        <v>0.0</v>
      </c>
      <c r="AA1226" s="123">
        <v>0.0</v>
      </c>
      <c r="AB1226" s="123"/>
      <c r="AC1226" s="123">
        <v>0.0</v>
      </c>
      <c r="AD1226" s="44">
        <f t="shared" si="7"/>
        <v>0</v>
      </c>
      <c r="AE1226" s="123">
        <v>0.0</v>
      </c>
    </row>
    <row r="1227">
      <c r="A1227" s="120">
        <v>2016.0</v>
      </c>
      <c r="B1227" s="121">
        <v>12.0</v>
      </c>
      <c r="C1227" s="122" t="s">
        <v>45</v>
      </c>
      <c r="D1227" s="123">
        <v>5000.0</v>
      </c>
      <c r="E1227" s="123">
        <v>2437.05</v>
      </c>
      <c r="F1227" s="123">
        <v>-3000.0</v>
      </c>
      <c r="G1227" s="123"/>
      <c r="H1227" s="123">
        <v>-734.41</v>
      </c>
      <c r="I1227" s="44"/>
      <c r="J1227" s="44"/>
      <c r="K1227" s="44"/>
      <c r="L1227" s="123">
        <v>4875.0</v>
      </c>
      <c r="M1227" s="44"/>
      <c r="N1227" s="44"/>
      <c r="O1227" s="123">
        <v>125697.0</v>
      </c>
      <c r="P1227" s="52">
        <f t="shared" si="23"/>
        <v>125696.51</v>
      </c>
      <c r="Q1227" s="124">
        <f t="shared" si="2"/>
        <v>0.49</v>
      </c>
      <c r="R1227" s="52">
        <f t="array" ref="R1227">IFERROR(INDEX('Fund YTD Target Values'!$1:$1000, MATCH($C1227,'Fund YTD Target Values'!$A:$A,0), MATCH($A1227,'Fund YTD Target Values'!$1:$1,0)),0)</f>
        <v>119669.188</v>
      </c>
      <c r="S1227" s="52">
        <f>IFERROR(__xludf.DUMMYFUNCTION("IFERROR(sum(FILTER('Fund Data'!$V:$V, 'Fund Data'!$C:$C = $C1227, 'Fund Data'!$A:$A &lt; $A1227)),0) + IFERROR(sum(FILTER('Fund Data'!$V:$V, 'Fund Data'!$C:$C = $C1227, 'Fund Data'!$A:$A = $A1227, 'Fund Data'!$B:$B &lt;= $B1227)),0)"),115000.0)</f>
        <v>115000</v>
      </c>
      <c r="T1227" s="123">
        <v>116567.0</v>
      </c>
      <c r="U1227" s="44">
        <f t="shared" si="114"/>
        <v>-1567</v>
      </c>
      <c r="V1227" s="44">
        <f t="shared" si="3"/>
        <v>5000</v>
      </c>
      <c r="W1227" s="123"/>
      <c r="X1227" s="123"/>
      <c r="Y1227" s="123">
        <v>0.0</v>
      </c>
      <c r="Z1227" s="123">
        <v>0.0</v>
      </c>
      <c r="AA1227" s="123">
        <v>0.0</v>
      </c>
      <c r="AB1227" s="123"/>
      <c r="AC1227" s="123">
        <v>0.0</v>
      </c>
      <c r="AD1227" s="44">
        <f t="shared" si="7"/>
        <v>-3000</v>
      </c>
      <c r="AE1227" s="123">
        <v>0.0</v>
      </c>
    </row>
    <row r="1228">
      <c r="A1228" s="120">
        <v>2015.0</v>
      </c>
      <c r="B1228" s="121">
        <v>12.0</v>
      </c>
      <c r="C1228" s="122" t="s">
        <v>45</v>
      </c>
      <c r="D1228" s="123">
        <v>5000.0</v>
      </c>
      <c r="E1228" s="123">
        <v>2640.64</v>
      </c>
      <c r="F1228" s="123">
        <v>-2000.0</v>
      </c>
      <c r="G1228" s="123"/>
      <c r="H1228" s="123">
        <v>-703.16</v>
      </c>
      <c r="I1228" s="44"/>
      <c r="J1228" s="44"/>
      <c r="K1228" s="44"/>
      <c r="L1228" s="123">
        <v>-4901.64</v>
      </c>
      <c r="M1228" s="44"/>
      <c r="N1228" s="44"/>
      <c r="O1228" s="123">
        <v>117119.0</v>
      </c>
      <c r="P1228" s="52">
        <f t="shared" si="23"/>
        <v>117118.87</v>
      </c>
      <c r="Q1228" s="124">
        <f t="shared" si="2"/>
        <v>0.13</v>
      </c>
      <c r="R1228" s="52">
        <f t="array" ref="R1228">IFERROR(INDEX('Fund YTD Target Values'!$1:$1000, MATCH($C1228,'Fund YTD Target Values'!$A:$A,0), MATCH($A1228,'Fund YTD Target Values'!$1:$1,0)),0)</f>
        <v>113240.2726</v>
      </c>
      <c r="S1228" s="52">
        <f>IFERROR(__xludf.DUMMYFUNCTION("IFERROR(sum(FILTER('Fund Data'!$V:$V, 'Fund Data'!$C:$C = $C1228, 'Fund Data'!$A:$A &lt; $A1228)),0) + IFERROR(sum(FILTER('Fund Data'!$V:$V, 'Fund Data'!$C:$C = $C1228, 'Fund Data'!$A:$A = $A1228, 'Fund Data'!$B:$B &lt;= $B1228)),0)"),110000.0)</f>
        <v>110000</v>
      </c>
      <c r="T1228" s="123">
        <v>110886.0</v>
      </c>
      <c r="U1228" s="44">
        <f t="shared" si="114"/>
        <v>-886</v>
      </c>
      <c r="V1228" s="44">
        <f t="shared" si="3"/>
        <v>5000</v>
      </c>
      <c r="W1228" s="123"/>
      <c r="X1228" s="123"/>
      <c r="Y1228" s="123">
        <v>0.0</v>
      </c>
      <c r="Z1228" s="123">
        <v>0.0</v>
      </c>
      <c r="AA1228" s="123">
        <v>0.0</v>
      </c>
      <c r="AB1228" s="123"/>
      <c r="AC1228" s="123">
        <v>0.0</v>
      </c>
      <c r="AD1228" s="44">
        <f t="shared" si="7"/>
        <v>-2000</v>
      </c>
      <c r="AE1228" s="123">
        <v>0.0</v>
      </c>
    </row>
    <row r="1229">
      <c r="A1229" s="120">
        <v>2014.0</v>
      </c>
      <c r="B1229" s="121">
        <v>12.0</v>
      </c>
      <c r="C1229" s="122" t="s">
        <v>45</v>
      </c>
      <c r="D1229" s="123">
        <v>5000.0</v>
      </c>
      <c r="E1229" s="123">
        <v>2150.75</v>
      </c>
      <c r="F1229" s="123">
        <v>-4000.0</v>
      </c>
      <c r="G1229" s="123"/>
      <c r="H1229" s="123">
        <v>-694.26</v>
      </c>
      <c r="I1229" s="44"/>
      <c r="J1229" s="123">
        <v>271.69</v>
      </c>
      <c r="K1229" s="44"/>
      <c r="L1229" s="123">
        <v>239.87</v>
      </c>
      <c r="M1229" s="44"/>
      <c r="N1229" s="44"/>
      <c r="O1229" s="123">
        <v>117083.0</v>
      </c>
      <c r="P1229" s="52">
        <f t="shared" si="23"/>
        <v>117083.03</v>
      </c>
      <c r="Q1229" s="124">
        <f t="shared" si="2"/>
        <v>-0.03000000001</v>
      </c>
      <c r="R1229" s="52">
        <f t="array" ref="R1229">IFERROR(INDEX('Fund YTD Target Values'!$1:$1000, MATCH($C1229,'Fund YTD Target Values'!$A:$A,0), MATCH($A1229,'Fund YTD Target Values'!$1:$1,0)),0)</f>
        <v>108111.7282</v>
      </c>
      <c r="S1229" s="52">
        <f>IFERROR(__xludf.DUMMYFUNCTION("IFERROR(sum(FILTER('Fund Data'!$V:$V, 'Fund Data'!$C:$C = $C1229, 'Fund Data'!$A:$A &lt; $A1229)),0) + IFERROR(sum(FILTER('Fund Data'!$V:$V, 'Fund Data'!$C:$C = $C1229, 'Fund Data'!$A:$A = $A1229, 'Fund Data'!$B:$B &lt;= $B1229)),0)"),105000.0)</f>
        <v>105000</v>
      </c>
      <c r="T1229" s="123">
        <v>105000.0</v>
      </c>
      <c r="U1229" s="44">
        <f t="shared" si="114"/>
        <v>0</v>
      </c>
      <c r="V1229" s="44">
        <f t="shared" si="3"/>
        <v>5000</v>
      </c>
      <c r="W1229" s="123"/>
      <c r="X1229" s="123"/>
      <c r="Y1229" s="123">
        <v>0.0</v>
      </c>
      <c r="Z1229" s="123">
        <v>0.0</v>
      </c>
      <c r="AA1229" s="123">
        <v>0.0</v>
      </c>
      <c r="AB1229" s="123"/>
      <c r="AC1229" s="123">
        <v>0.0</v>
      </c>
      <c r="AD1229" s="44">
        <f t="shared" si="7"/>
        <v>-4000</v>
      </c>
      <c r="AE1229" s="123">
        <v>0.0</v>
      </c>
    </row>
    <row r="1230">
      <c r="A1230" s="120">
        <v>2013.0</v>
      </c>
      <c r="B1230" s="121">
        <v>12.0</v>
      </c>
      <c r="C1230" s="122" t="s">
        <v>45</v>
      </c>
      <c r="D1230" s="44"/>
      <c r="E1230" s="123">
        <v>2271.54</v>
      </c>
      <c r="F1230" s="123">
        <v>-2000.0</v>
      </c>
      <c r="G1230" s="123"/>
      <c r="H1230" s="123">
        <v>-656.38</v>
      </c>
      <c r="I1230" s="44"/>
      <c r="J1230" s="123">
        <v>159.03</v>
      </c>
      <c r="K1230" s="44"/>
      <c r="L1230" s="123">
        <v>9503.35</v>
      </c>
      <c r="M1230" s="44"/>
      <c r="N1230" s="44"/>
      <c r="O1230" s="123">
        <v>114115.0</v>
      </c>
      <c r="P1230" s="52">
        <f t="shared" si="23"/>
        <v>114114.98</v>
      </c>
      <c r="Q1230" s="124">
        <f t="shared" si="2"/>
        <v>0.01999999999</v>
      </c>
      <c r="R1230" s="52">
        <f t="array" ref="R1230">IFERROR(INDEX('Fund YTD Target Values'!$1:$1000, MATCH($C1230,'Fund YTD Target Values'!$A:$A,0), MATCH($A1230,'Fund YTD Target Values'!$1:$1,0)),0)</f>
        <v>101466.0455</v>
      </c>
      <c r="S1230" s="52">
        <f>IFERROR(__xludf.DUMMYFUNCTION("IFERROR(sum(FILTER('Fund Data'!$V:$V, 'Fund Data'!$C:$C = $C1230, 'Fund Data'!$A:$A &lt; $A1230)),0) + IFERROR(sum(FILTER('Fund Data'!$V:$V, 'Fund Data'!$C:$C = $C1230, 'Fund Data'!$A:$A = $A1230, 'Fund Data'!$B:$B &lt;= $B1230)),0)"),100000.0)</f>
        <v>100000</v>
      </c>
      <c r="T1230" s="123">
        <v>100000.0</v>
      </c>
      <c r="U1230" s="44">
        <f t="shared" si="114"/>
        <v>0</v>
      </c>
      <c r="V1230" s="44">
        <f t="shared" si="3"/>
        <v>0</v>
      </c>
      <c r="W1230" s="123"/>
      <c r="X1230" s="123"/>
      <c r="Y1230" s="123">
        <v>0.0</v>
      </c>
      <c r="Z1230" s="123">
        <v>0.0</v>
      </c>
      <c r="AA1230" s="123">
        <v>0.0</v>
      </c>
      <c r="AB1230" s="123"/>
      <c r="AC1230" s="123">
        <v>0.0</v>
      </c>
      <c r="AD1230" s="44">
        <f t="shared" si="7"/>
        <v>-2000</v>
      </c>
      <c r="AE1230" s="123">
        <v>0.0</v>
      </c>
    </row>
    <row r="1231">
      <c r="A1231" s="120">
        <v>2012.0</v>
      </c>
      <c r="B1231" s="121">
        <v>12.0</v>
      </c>
      <c r="C1231" s="122" t="s">
        <v>45</v>
      </c>
      <c r="D1231" s="123">
        <v>100000.0</v>
      </c>
      <c r="E1231" s="123">
        <v>656.52</v>
      </c>
      <c r="F1231" s="44"/>
      <c r="G1231" s="123"/>
      <c r="H1231" s="123">
        <v>-206.12</v>
      </c>
      <c r="I1231" s="44"/>
      <c r="J1231" s="44"/>
      <c r="K1231" s="44"/>
      <c r="L1231" s="123">
        <v>4387.04</v>
      </c>
      <c r="M1231" s="44"/>
      <c r="N1231" s="44"/>
      <c r="O1231" s="123">
        <v>104837.0</v>
      </c>
      <c r="P1231" s="52">
        <f t="shared" si="23"/>
        <v>104837.44</v>
      </c>
      <c r="Q1231" s="124">
        <f t="shared" si="2"/>
        <v>-0.44</v>
      </c>
      <c r="R1231" s="52">
        <f t="array" ref="R1231">IFERROR(INDEX('Fund YTD Target Values'!$1:$1000, MATCH($C1231,'Fund YTD Target Values'!$A:$A,0), MATCH($A1231,'Fund YTD Target Values'!$1:$1,0)),0)</f>
        <v>100000</v>
      </c>
      <c r="S1231" s="52">
        <f>IFERROR(__xludf.DUMMYFUNCTION("IFERROR(sum(FILTER('Fund Data'!$V:$V, 'Fund Data'!$C:$C = $C1231, 'Fund Data'!$A:$A &lt; $A1231)),0) + IFERROR(sum(FILTER('Fund Data'!$V:$V, 'Fund Data'!$C:$C = $C1231, 'Fund Data'!$A:$A = $A1231, 'Fund Data'!$B:$B &lt;= $B1231)),0)"),100000.0)</f>
        <v>100000</v>
      </c>
      <c r="T1231" s="123">
        <v>100000.0</v>
      </c>
      <c r="U1231" s="44">
        <f t="shared" si="114"/>
        <v>0</v>
      </c>
      <c r="V1231" s="44">
        <f t="shared" si="3"/>
        <v>100000</v>
      </c>
      <c r="W1231" s="123"/>
      <c r="X1231" s="123"/>
      <c r="Y1231" s="123">
        <v>0.0</v>
      </c>
      <c r="Z1231" s="123">
        <v>0.0</v>
      </c>
      <c r="AA1231" s="123">
        <v>0.0</v>
      </c>
      <c r="AB1231" s="123"/>
      <c r="AC1231" s="123">
        <v>0.0</v>
      </c>
      <c r="AD1231" s="44">
        <f t="shared" si="7"/>
        <v>0</v>
      </c>
      <c r="AE1231" s="123">
        <v>0.0</v>
      </c>
    </row>
    <row r="1232">
      <c r="A1232" s="120">
        <v>2019.0</v>
      </c>
      <c r="B1232" s="121">
        <v>6.0</v>
      </c>
      <c r="C1232" s="122" t="s">
        <v>78</v>
      </c>
      <c r="D1232" s="44"/>
      <c r="E1232" s="123">
        <v>3547.61</v>
      </c>
      <c r="F1232" s="44"/>
      <c r="G1232" s="44"/>
      <c r="H1232" s="123">
        <v>-822.35</v>
      </c>
      <c r="I1232" s="44"/>
      <c r="J1232" s="44"/>
      <c r="K1232" s="44"/>
      <c r="L1232" s="123">
        <v>21250.4</v>
      </c>
      <c r="M1232" s="44"/>
      <c r="N1232" s="44"/>
      <c r="O1232" s="123">
        <v>301506.6</v>
      </c>
      <c r="P1232" s="52">
        <f t="shared" si="23"/>
        <v>301506.6</v>
      </c>
      <c r="Q1232" s="124">
        <f t="shared" si="2"/>
        <v>0</v>
      </c>
      <c r="R1232" s="52">
        <f t="array" ref="R1232">IFERROR(INDEX('Fund YTD Target Values'!$1:$1000, MATCH($C1232,'Fund YTD Target Values'!$A:$A,0), MATCH($A1232,'Fund YTD Target Values'!$1:$1,0)),0)</f>
        <v>294153.3691</v>
      </c>
      <c r="S1232" s="52">
        <f>IFERROR(__xludf.DUMMYFUNCTION("IFERROR(sum(FILTER('Fund Data'!$V:$V, 'Fund Data'!$C:$C = $C1232, 'Fund Data'!$A:$A &lt; $A1232)),0) + IFERROR(sum(FILTER('Fund Data'!$V:$V, 'Fund Data'!$C:$C = $C1232, 'Fund Data'!$A:$A = $A1232, 'Fund Data'!$B:$B &lt;= $B1232)),0)"),280000.0)</f>
        <v>280000</v>
      </c>
      <c r="T1232" s="44"/>
      <c r="U1232" s="44"/>
      <c r="V1232" s="44">
        <f t="shared" si="3"/>
        <v>0</v>
      </c>
      <c r="W1232" s="52">
        <f>IFERROR(__xludf.DUMMYFUNCTION("iFERROR((FILTER('Fund Data'!$Y:$Y, 'Fund Data'!$C:$C = $C1232, 'Fund Data'!$A:$A = $A1232 - 1, 'Fund Data'!$B:$B = 12) + FILTER('Fund Data'!$AA:$AA, 'Fund Data'!$C:$C = $C1232, 'Fund Data'!$A:$A = $A1232 - 1, 'Fund Data'!$B:$B = 12)) * (1 + AVERAGE(FILTER"&amp;"('Inflation Data'!$C:$C,'Inflation Data'!$A:$A = ($A1232 - 2)))) * 'Parameters and Distribution Sum'!$A$4,0)"),6881.036839036868)</f>
        <v>6881.036839</v>
      </c>
      <c r="X1232" s="52">
        <f>IFERROR(__xludf.DUMMYFUNCTION("IFERROR((IFERROR(FILTER('Fund Data'!$P:$P,'Fund Data'!$C:$C = $C1232,'Fund Data'!$A:$A = ($A1232 - 2), 'Fund Data'!$B:$B = 12),0) - SUM(FILTER('Fund Data'!$V:$V, 'Fund Data'!$C:$C = $C1232, 'Fund Data'!$A:$A = ($A1232 - 2), 'Fund Data'!$B:$B &gt; 3)))  * 'Pa"&amp;"rameters and Distribution Sum'!$B$4 * (1 - 'Parameters and Distribution Sum'!$A$4),0)"),2147.3742599999996)</f>
        <v>2147.37426</v>
      </c>
      <c r="Y1232" s="52">
        <f t="shared" ref="Y1232:Y1237" si="115">sum($W1232:$X1232)</f>
        <v>9028.411099</v>
      </c>
      <c r="Z1232" s="52">
        <f>IFERROR(__xludf.DUMMYFUNCTION("((IFERROR((SUM(FILTER('Fund Data'!$V:$V, 'Fund Data'!$C:$C = $C1232, 'Fund Data'!$A:$A = $A1232 - 1, 'Fund Data'!$B:$B &gt;= 4, 'Fund Data'!$B:$B &lt;= ($B1232 + 5))) / 12) * ($B1232 - 3) * 'Parameters and Distribution Sum'!$B$4, 0) + IF($B1232 &gt;= 9, IFERROR(SU"&amp;"M(FILTER('Fund Data'!$V:$V, 'Fund Data'!$C:$C = $C1232, 'Fund Data'!$A:$A = $A1232, 'Fund Data'!$B:$B &lt;= 3)) * 'Parameters and Distribution Sum'!$B$4, 0),0)))"),787.5)</f>
        <v>787.5</v>
      </c>
      <c r="AA1232" s="44">
        <f>IFERROR(__xludf.DUMMYFUNCTION("IFERROR(((IFERROR(SUM(FILTER('Fund Data'!$V:$V, 'Fund Data'!$C:$C = $C1232, 'Fund Data'!$A:$A = $A1232 - 2, 'Fund Data'!$B:$B &gt;= 4)) * 'Parameters and Distribution Sum'!$B$4,0) + IFERROR(SUM(FILTER('Fund Data'!$V:$V, 'Fund Data'!$C:$C = $C1232, 'Fund Data"&amp;"'!$A:$A = $A1232 - 1, 'Fund Data'!$B:$B &lt;= 3)) * 'Parameters and Distribution Sum'!$B$4,0))),0)"),3150.0)</f>
        <v>3150</v>
      </c>
      <c r="AB1232" s="44">
        <f t="shared" ref="AB1232:AB1238" si="116">IFERROR(__xludf.DUMMYFUNCTION("IFERROR(FILTER($AE:$AE,$C:$C = $C1232,$A:$A = $A1232 - 1,$B:$B = 12),0)"),5000.0)</f>
        <v>5000</v>
      </c>
      <c r="AC1232" s="44">
        <f t="shared" ref="AC1232:AC1238" si="117">sum($Y1232:$AB1232)</f>
        <v>17965.9111</v>
      </c>
      <c r="AD1232" s="44">
        <f t="shared" si="7"/>
        <v>17965.9111</v>
      </c>
      <c r="AE1232" s="44"/>
    </row>
    <row r="1233">
      <c r="A1233" s="120">
        <v>2019.0</v>
      </c>
      <c r="B1233" s="121">
        <v>5.0</v>
      </c>
      <c r="C1233" s="122" t="s">
        <v>78</v>
      </c>
      <c r="D1233" s="44"/>
      <c r="E1233" s="123">
        <v>3164.8</v>
      </c>
      <c r="F1233" s="44"/>
      <c r="G1233" s="44"/>
      <c r="H1233" s="123">
        <v>-684.13</v>
      </c>
      <c r="I1233" s="44"/>
      <c r="J1233" s="44"/>
      <c r="K1233" s="44"/>
      <c r="L1233" s="123">
        <v>12700.51</v>
      </c>
      <c r="M1233" s="44"/>
      <c r="N1233" s="44"/>
      <c r="O1233" s="123">
        <v>292712.12</v>
      </c>
      <c r="P1233" s="52">
        <f t="shared" si="23"/>
        <v>292712.12</v>
      </c>
      <c r="Q1233" s="124">
        <f t="shared" si="2"/>
        <v>0</v>
      </c>
      <c r="R1233" s="52">
        <f t="array" ref="R1233">IFERROR(INDEX('Fund YTD Target Values'!$1:$1000, MATCH($C1233,'Fund YTD Target Values'!$A:$A,0), MATCH($A1233,'Fund YTD Target Values'!$1:$1,0)),0)</f>
        <v>294153.3691</v>
      </c>
      <c r="S1233" s="52">
        <f>IFERROR(__xludf.DUMMYFUNCTION("IFERROR(sum(FILTER('Fund Data'!$V:$V, 'Fund Data'!$C:$C = $C1233, 'Fund Data'!$A:$A &lt; $A1233)),0) + IFERROR(sum(FILTER('Fund Data'!$V:$V, 'Fund Data'!$C:$C = $C1233, 'Fund Data'!$A:$A = $A1233, 'Fund Data'!$B:$B &lt;= $B1233)),0)"),280000.0)</f>
        <v>280000</v>
      </c>
      <c r="T1233" s="44"/>
      <c r="U1233" s="44"/>
      <c r="V1233" s="44">
        <f t="shared" si="3"/>
        <v>0</v>
      </c>
      <c r="W1233" s="52">
        <f>IFERROR(__xludf.DUMMYFUNCTION("iFERROR((FILTER('Fund Data'!$Y:$Y, 'Fund Data'!$C:$C = $C1233, 'Fund Data'!$A:$A = $A1233 - 1, 'Fund Data'!$B:$B = 12) + FILTER('Fund Data'!$AA:$AA, 'Fund Data'!$C:$C = $C1233, 'Fund Data'!$A:$A = $A1233 - 1, 'Fund Data'!$B:$B = 12)) * (1 + AVERAGE(FILTER"&amp;"('Inflation Data'!$C:$C,'Inflation Data'!$A:$A = ($A1233 - 2)))) * 'Parameters and Distribution Sum'!$A$4,0)"),6881.036839036868)</f>
        <v>6881.036839</v>
      </c>
      <c r="X1233" s="52">
        <f>IFERROR(__xludf.DUMMYFUNCTION("IFERROR((IFERROR(FILTER('Fund Data'!$P:$P,'Fund Data'!$C:$C = $C1233,'Fund Data'!$A:$A = ($A1233 - 2), 'Fund Data'!$B:$B = 12),0) - SUM(FILTER('Fund Data'!$V:$V, 'Fund Data'!$C:$C = $C1233, 'Fund Data'!$A:$A = ($A1233 - 2), 'Fund Data'!$B:$B &gt; 3)))  * 'Pa"&amp;"rameters and Distribution Sum'!$B$4 * (1 - 'Parameters and Distribution Sum'!$A$4),0)"),2147.3742599999996)</f>
        <v>2147.37426</v>
      </c>
      <c r="Y1233" s="52">
        <f t="shared" si="115"/>
        <v>9028.411099</v>
      </c>
      <c r="Z1233" s="52">
        <f>IFERROR(__xludf.DUMMYFUNCTION("((IFERROR((SUM(FILTER('Fund Data'!$V:$V, 'Fund Data'!$C:$C = $C1233, 'Fund Data'!$A:$A = $A1233 - 1, 'Fund Data'!$B:$B &gt;= 4, 'Fund Data'!$B:$B &lt;= ($B1233 + 5))) / 12) * ($B1233 - 3) * 'Parameters and Distribution Sum'!$B$4, 0) + IF($B1233 &gt;= 9, IFERROR(SU"&amp;"M(FILTER('Fund Data'!$V:$V, 'Fund Data'!$C:$C = $C1233, 'Fund Data'!$A:$A = $A1233, 'Fund Data'!$B:$B &lt;= 3)) * 'Parameters and Distribution Sum'!$B$4, 0),0)))"),0.0)</f>
        <v>0</v>
      </c>
      <c r="AA1233" s="44">
        <f>IFERROR(__xludf.DUMMYFUNCTION("IFERROR(((IFERROR(SUM(FILTER('Fund Data'!$V:$V, 'Fund Data'!$C:$C = $C1233, 'Fund Data'!$A:$A = $A1233 - 2, 'Fund Data'!$B:$B &gt;= 4)) * 'Parameters and Distribution Sum'!$B$4,0) + IFERROR(SUM(FILTER('Fund Data'!$V:$V, 'Fund Data'!$C:$C = $C1233, 'Fund Data"&amp;"'!$A:$A = $A1233 - 1, 'Fund Data'!$B:$B &lt;= 3)) * 'Parameters and Distribution Sum'!$B$4,0))),0)"),3150.0)</f>
        <v>3150</v>
      </c>
      <c r="AB1233" s="44">
        <f t="shared" si="116"/>
        <v>5000</v>
      </c>
      <c r="AC1233" s="44">
        <f t="shared" si="117"/>
        <v>17178.4111</v>
      </c>
      <c r="AD1233" s="44">
        <f t="shared" si="7"/>
        <v>17178.4111</v>
      </c>
      <c r="AE1233" s="44"/>
    </row>
    <row r="1234">
      <c r="A1234" s="120">
        <v>2019.0</v>
      </c>
      <c r="B1234" s="121">
        <v>4.0</v>
      </c>
      <c r="C1234" s="122" t="s">
        <v>78</v>
      </c>
      <c r="D1234" s="44"/>
      <c r="E1234" s="123">
        <v>2829.11</v>
      </c>
      <c r="F1234" s="44"/>
      <c r="G1234" s="44"/>
      <c r="H1234" s="123">
        <v>-543.55</v>
      </c>
      <c r="I1234" s="44"/>
      <c r="J1234" s="44"/>
      <c r="K1234" s="44"/>
      <c r="L1234" s="123">
        <v>21338.68</v>
      </c>
      <c r="M1234" s="44"/>
      <c r="N1234" s="44"/>
      <c r="O1234" s="123">
        <v>301155.0</v>
      </c>
      <c r="P1234" s="52">
        <f t="shared" si="23"/>
        <v>301155.18</v>
      </c>
      <c r="Q1234" s="124">
        <f t="shared" si="2"/>
        <v>-0.18</v>
      </c>
      <c r="R1234" s="52">
        <f t="array" ref="R1234">IFERROR(INDEX('Fund YTD Target Values'!$1:$1000, MATCH($C1234,'Fund YTD Target Values'!$A:$A,0), MATCH($A1234,'Fund YTD Target Values'!$1:$1,0)),0)</f>
        <v>294153.3691</v>
      </c>
      <c r="S1234" s="52">
        <f>IFERROR(__xludf.DUMMYFUNCTION("IFERROR(sum(FILTER('Fund Data'!$V:$V, 'Fund Data'!$C:$C = $C1234, 'Fund Data'!$A:$A &lt; $A1234)),0) + IFERROR(sum(FILTER('Fund Data'!$V:$V, 'Fund Data'!$C:$C = $C1234, 'Fund Data'!$A:$A = $A1234, 'Fund Data'!$B:$B &lt;= $B1234)),0)"),280000.0)</f>
        <v>280000</v>
      </c>
      <c r="T1234" s="44"/>
      <c r="U1234" s="44"/>
      <c r="V1234" s="44">
        <f t="shared" si="3"/>
        <v>0</v>
      </c>
      <c r="W1234" s="52">
        <f>IFERROR(__xludf.DUMMYFUNCTION("iFERROR((FILTER('Fund Data'!$Y:$Y, 'Fund Data'!$C:$C = $C1234, 'Fund Data'!$A:$A = $A1234 - 1, 'Fund Data'!$B:$B = 12) + FILTER('Fund Data'!$AA:$AA, 'Fund Data'!$C:$C = $C1234, 'Fund Data'!$A:$A = $A1234 - 1, 'Fund Data'!$B:$B = 12)) * (1 + AVERAGE(FILTER"&amp;"('Inflation Data'!$C:$C,'Inflation Data'!$A:$A = ($A1234 - 2)))) * 'Parameters and Distribution Sum'!$A$4,0)"),6881.036839036868)</f>
        <v>6881.036839</v>
      </c>
      <c r="X1234" s="52">
        <f>IFERROR(__xludf.DUMMYFUNCTION("IFERROR((IFERROR(FILTER('Fund Data'!$P:$P,'Fund Data'!$C:$C = $C1234,'Fund Data'!$A:$A = ($A1234 - 2), 'Fund Data'!$B:$B = 12),0) - SUM(FILTER('Fund Data'!$V:$V, 'Fund Data'!$C:$C = $C1234, 'Fund Data'!$A:$A = ($A1234 - 2), 'Fund Data'!$B:$B &gt; 3)))  * 'Pa"&amp;"rameters and Distribution Sum'!$B$4 * (1 - 'Parameters and Distribution Sum'!$A$4),0)"),2147.3742599999996)</f>
        <v>2147.37426</v>
      </c>
      <c r="Y1234" s="52">
        <f t="shared" si="115"/>
        <v>9028.411099</v>
      </c>
      <c r="Z1234" s="52">
        <f>IFERROR(__xludf.DUMMYFUNCTION("((IFERROR((SUM(FILTER('Fund Data'!$V:$V, 'Fund Data'!$C:$C = $C1234, 'Fund Data'!$A:$A = $A1234 - 1, 'Fund Data'!$B:$B &gt;= 4, 'Fund Data'!$B:$B &lt;= ($B1234 + 5))) / 12) * ($B1234 - 3) * 'Parameters and Distribution Sum'!$B$4, 0) + IF($B1234 &gt;= 9, IFERROR(SU"&amp;"M(FILTER('Fund Data'!$V:$V, 'Fund Data'!$C:$C = $C1234, 'Fund Data'!$A:$A = $A1234, 'Fund Data'!$B:$B &lt;= 3)) * 'Parameters and Distribution Sum'!$B$4, 0),0)))"),0.0)</f>
        <v>0</v>
      </c>
      <c r="AA1234" s="44">
        <f>IFERROR(__xludf.DUMMYFUNCTION("IFERROR(((IFERROR(SUM(FILTER('Fund Data'!$V:$V, 'Fund Data'!$C:$C = $C1234, 'Fund Data'!$A:$A = $A1234 - 2, 'Fund Data'!$B:$B &gt;= 4)) * 'Parameters and Distribution Sum'!$B$4,0) + IFERROR(SUM(FILTER('Fund Data'!$V:$V, 'Fund Data'!$C:$C = $C1234, 'Fund Data"&amp;"'!$A:$A = $A1234 - 1, 'Fund Data'!$B:$B &lt;= 3)) * 'Parameters and Distribution Sum'!$B$4,0))),0)"),3150.0)</f>
        <v>3150</v>
      </c>
      <c r="AB1234" s="44">
        <f t="shared" si="116"/>
        <v>5000</v>
      </c>
      <c r="AC1234" s="44">
        <f t="shared" si="117"/>
        <v>17178.4111</v>
      </c>
      <c r="AD1234" s="44">
        <f t="shared" si="7"/>
        <v>17178.4111</v>
      </c>
      <c r="AE1234" s="44"/>
    </row>
    <row r="1235">
      <c r="A1235" s="120">
        <v>2019.0</v>
      </c>
      <c r="B1235" s="121">
        <v>3.0</v>
      </c>
      <c r="C1235" s="122" t="s">
        <v>78</v>
      </c>
      <c r="D1235" s="44"/>
      <c r="E1235" s="123">
        <v>2126.75</v>
      </c>
      <c r="F1235" s="44"/>
      <c r="G1235" s="44"/>
      <c r="H1235" s="123">
        <v>-405.06</v>
      </c>
      <c r="I1235" s="44"/>
      <c r="J1235" s="44"/>
      <c r="K1235" s="44"/>
      <c r="L1235" s="123">
        <v>16932.05</v>
      </c>
      <c r="M1235" s="44"/>
      <c r="N1235" s="44"/>
      <c r="O1235" s="123">
        <v>296185.0</v>
      </c>
      <c r="P1235" s="52">
        <f t="shared" si="23"/>
        <v>296184.68</v>
      </c>
      <c r="Q1235" s="124">
        <f t="shared" si="2"/>
        <v>0.32</v>
      </c>
      <c r="R1235" s="52">
        <f t="array" ref="R1235">IFERROR(INDEX('Fund YTD Target Values'!$1:$1000, MATCH($C1235,'Fund YTD Target Values'!$A:$A,0), MATCH($A1235,'Fund YTD Target Values'!$1:$1,0)),0)</f>
        <v>294153.3691</v>
      </c>
      <c r="S1235" s="52">
        <f>IFERROR(__xludf.DUMMYFUNCTION("IFERROR(sum(FILTER('Fund Data'!$V:$V, 'Fund Data'!$C:$C = $C1235, 'Fund Data'!$A:$A &lt; $A1235)),0) + IFERROR(sum(FILTER('Fund Data'!$V:$V, 'Fund Data'!$C:$C = $C1235, 'Fund Data'!$A:$A = $A1235, 'Fund Data'!$B:$B &lt;= $B1235)),0)"),280000.0)</f>
        <v>280000</v>
      </c>
      <c r="T1235" s="123"/>
      <c r="U1235" s="44"/>
      <c r="V1235" s="44">
        <f t="shared" si="3"/>
        <v>0</v>
      </c>
      <c r="W1235" s="52">
        <f>IFERROR(__xludf.DUMMYFUNCTION("iFERROR((FILTER('Fund Data'!$Y:$Y, 'Fund Data'!$C:$C = $C1235, 'Fund Data'!$A:$A = $A1235 - 1, 'Fund Data'!$B:$B = 12) + FILTER('Fund Data'!$AA:$AA, 'Fund Data'!$C:$C = $C1235, 'Fund Data'!$A:$A = $A1235 - 1, 'Fund Data'!$B:$B = 12)) * (1 + AVERAGE(FILTER"&amp;"('Inflation Data'!$C:$C,'Inflation Data'!$A:$A = ($A1235 - 2)))) * 'Parameters and Distribution Sum'!$A$4,0)"),6881.036839036868)</f>
        <v>6881.036839</v>
      </c>
      <c r="X1235" s="52">
        <f>IFERROR(__xludf.DUMMYFUNCTION("IFERROR((IFERROR(FILTER('Fund Data'!$P:$P,'Fund Data'!$C:$C = $C1235,'Fund Data'!$A:$A = ($A1235 - 2), 'Fund Data'!$B:$B = 12),0) - SUM(FILTER('Fund Data'!$V:$V, 'Fund Data'!$C:$C = $C1235, 'Fund Data'!$A:$A = ($A1235 - 2), 'Fund Data'!$B:$B &gt; 3)))  * 'Pa"&amp;"rameters and Distribution Sum'!$B$4 * (1 - 'Parameters and Distribution Sum'!$A$4),0)"),2147.3742599999996)</f>
        <v>2147.37426</v>
      </c>
      <c r="Y1235" s="52">
        <f t="shared" si="115"/>
        <v>9028.411099</v>
      </c>
      <c r="Z1235" s="52">
        <f>IFERROR(__xludf.DUMMYFUNCTION("((IFERROR((SUM(FILTER('Fund Data'!$V:$V, 'Fund Data'!$C:$C = $C1235, 'Fund Data'!$A:$A = $A1235 - 1, 'Fund Data'!$B:$B &gt;= 4, 'Fund Data'!$B:$B &lt;= ($B1235 + 5))) / 12) * ($B1235 - 3) * 'Parameters and Distribution Sum'!$B$4, 0) + IF($B1235 &gt;= 9, IFERROR(SU"&amp;"M(FILTER('Fund Data'!$V:$V, 'Fund Data'!$C:$C = $C1235, 'Fund Data'!$A:$A = $A1235, 'Fund Data'!$B:$B &lt;= 3)) * 'Parameters and Distribution Sum'!$B$4, 0),0)))"),0.0)</f>
        <v>0</v>
      </c>
      <c r="AA1235" s="44">
        <f>IFERROR(__xludf.DUMMYFUNCTION("IFERROR(((IFERROR(SUM(FILTER('Fund Data'!$V:$V, 'Fund Data'!$C:$C = $C1235, 'Fund Data'!$A:$A = $A1235 - 2, 'Fund Data'!$B:$B &gt;= 4)) * 'Parameters and Distribution Sum'!$B$4,0) + IFERROR(SUM(FILTER('Fund Data'!$V:$V, 'Fund Data'!$C:$C = $C1235, 'Fund Data"&amp;"'!$A:$A = $A1235 - 1, 'Fund Data'!$B:$B &lt;= 3)) * 'Parameters and Distribution Sum'!$B$4,0))),0)"),3150.0)</f>
        <v>3150</v>
      </c>
      <c r="AB1235" s="44">
        <f t="shared" si="116"/>
        <v>5000</v>
      </c>
      <c r="AC1235" s="44">
        <f t="shared" si="117"/>
        <v>17178.4111</v>
      </c>
      <c r="AD1235" s="44">
        <f t="shared" si="7"/>
        <v>17178.4111</v>
      </c>
      <c r="AE1235" s="44"/>
    </row>
    <row r="1236">
      <c r="A1236" s="120">
        <v>2019.0</v>
      </c>
      <c r="B1236" s="121">
        <v>2.0</v>
      </c>
      <c r="C1236" s="122" t="s">
        <v>78</v>
      </c>
      <c r="D1236" s="44"/>
      <c r="E1236" s="123">
        <v>1729.77</v>
      </c>
      <c r="F1236" s="44"/>
      <c r="G1236" s="44"/>
      <c r="H1236" s="123">
        <v>-267.27</v>
      </c>
      <c r="I1236" s="44"/>
      <c r="J1236" s="44"/>
      <c r="K1236" s="44"/>
      <c r="L1236" s="123">
        <v>15674.07</v>
      </c>
      <c r="M1236" s="44"/>
      <c r="N1236" s="44"/>
      <c r="O1236" s="123">
        <v>294668.0</v>
      </c>
      <c r="P1236" s="52">
        <f t="shared" si="23"/>
        <v>294667.51</v>
      </c>
      <c r="Q1236" s="124">
        <f t="shared" si="2"/>
        <v>0.49</v>
      </c>
      <c r="R1236" s="52">
        <f t="array" ref="R1236">IFERROR(INDEX('Fund YTD Target Values'!$1:$1000, MATCH($C1236,'Fund YTD Target Values'!$A:$A,0), MATCH($A1236,'Fund YTD Target Values'!$1:$1,0)),0)</f>
        <v>294153.3691</v>
      </c>
      <c r="S1236" s="52">
        <f>IFERROR(__xludf.DUMMYFUNCTION("IFERROR(sum(FILTER('Fund Data'!$V:$V, 'Fund Data'!$C:$C = $C1236, 'Fund Data'!$A:$A &lt; $A1236)),0) + IFERROR(sum(FILTER('Fund Data'!$V:$V, 'Fund Data'!$C:$C = $C1236, 'Fund Data'!$A:$A = $A1236, 'Fund Data'!$B:$B &lt;= $B1236)),0)"),280000.0)</f>
        <v>280000</v>
      </c>
      <c r="T1236" s="44"/>
      <c r="U1236" s="44"/>
      <c r="V1236" s="44">
        <f t="shared" si="3"/>
        <v>0</v>
      </c>
      <c r="W1236" s="52">
        <f>IFERROR(__xludf.DUMMYFUNCTION("iFERROR((FILTER('Fund Data'!$Y:$Y, 'Fund Data'!$C:$C = $C1236, 'Fund Data'!$A:$A = $A1236 - 1, 'Fund Data'!$B:$B = 12) + FILTER('Fund Data'!$AA:$AA, 'Fund Data'!$C:$C = $C1236, 'Fund Data'!$A:$A = $A1236 - 1, 'Fund Data'!$B:$B = 12)) * (1 + AVERAGE(FILTER"&amp;"('Inflation Data'!$C:$C,'Inflation Data'!$A:$A = ($A1236 - 2)))) * 'Parameters and Distribution Sum'!$A$4,0)"),6881.036839036868)</f>
        <v>6881.036839</v>
      </c>
      <c r="X1236" s="52">
        <f>IFERROR(__xludf.DUMMYFUNCTION("IFERROR((IFERROR(FILTER('Fund Data'!$P:$P,'Fund Data'!$C:$C = $C1236,'Fund Data'!$A:$A = ($A1236 - 2), 'Fund Data'!$B:$B = 12),0) - SUM(FILTER('Fund Data'!$V:$V, 'Fund Data'!$C:$C = $C1236, 'Fund Data'!$A:$A = ($A1236 - 2), 'Fund Data'!$B:$B &gt; 3)))  * 'Pa"&amp;"rameters and Distribution Sum'!$B$4 * (1 - 'Parameters and Distribution Sum'!$A$4),0)"),2147.3742599999996)</f>
        <v>2147.37426</v>
      </c>
      <c r="Y1236" s="52">
        <f t="shared" si="115"/>
        <v>9028.411099</v>
      </c>
      <c r="Z1236" s="52">
        <f>IFERROR(__xludf.DUMMYFUNCTION("((IFERROR((SUM(FILTER('Fund Data'!$V:$V, 'Fund Data'!$C:$C = $C1236, 'Fund Data'!$A:$A = $A1236 - 1, 'Fund Data'!$B:$B &gt;= 4, 'Fund Data'!$B:$B &lt;= ($B1236 + 5))) / 12) * ($B1236 - 3) * 'Parameters and Distribution Sum'!$B$4, 0) + IF($B1236 &gt;= 9, IFERROR(SU"&amp;"M(FILTER('Fund Data'!$V:$V, 'Fund Data'!$C:$C = $C1236, 'Fund Data'!$A:$A = $A1236, 'Fund Data'!$B:$B &lt;= 3)) * 'Parameters and Distribution Sum'!$B$4, 0),0)))"),0.0)</f>
        <v>0</v>
      </c>
      <c r="AA1236" s="44">
        <f>IFERROR(__xludf.DUMMYFUNCTION("IFERROR(((IFERROR(SUM(FILTER('Fund Data'!$V:$V, 'Fund Data'!$C:$C = $C1236, 'Fund Data'!$A:$A = $A1236 - 2, 'Fund Data'!$B:$B &gt;= 4)) * 'Parameters and Distribution Sum'!$B$4,0) + IFERROR(SUM(FILTER('Fund Data'!$V:$V, 'Fund Data'!$C:$C = $C1236, 'Fund Data"&amp;"'!$A:$A = $A1236 - 1, 'Fund Data'!$B:$B &lt;= 3)) * 'Parameters and Distribution Sum'!$B$4,0))),0)"),3150.0)</f>
        <v>3150</v>
      </c>
      <c r="AB1236" s="44">
        <f t="shared" si="116"/>
        <v>5000</v>
      </c>
      <c r="AC1236" s="44">
        <f t="shared" si="117"/>
        <v>17178.4111</v>
      </c>
      <c r="AD1236" s="44">
        <f t="shared" si="7"/>
        <v>17178.4111</v>
      </c>
      <c r="AE1236" s="44"/>
    </row>
    <row r="1237">
      <c r="A1237" s="120">
        <v>2019.0</v>
      </c>
      <c r="B1237" s="121">
        <v>1.0</v>
      </c>
      <c r="C1237" s="122" t="s">
        <v>78</v>
      </c>
      <c r="D1237" s="44"/>
      <c r="E1237" s="123">
        <v>1476.27</v>
      </c>
      <c r="F1237" s="44"/>
      <c r="G1237" s="44"/>
      <c r="H1237" s="123">
        <v>-130.95</v>
      </c>
      <c r="I1237" s="44"/>
      <c r="J1237" s="44"/>
      <c r="K1237" s="44"/>
      <c r="L1237" s="123">
        <v>12125.22</v>
      </c>
      <c r="M1237" s="44"/>
      <c r="N1237" s="44"/>
      <c r="O1237" s="123">
        <v>291001.0</v>
      </c>
      <c r="P1237" s="52">
        <f t="shared" si="23"/>
        <v>291001.48</v>
      </c>
      <c r="Q1237" s="124">
        <f t="shared" si="2"/>
        <v>-0.48</v>
      </c>
      <c r="R1237" s="52">
        <f t="array" ref="R1237">IFERROR(INDEX('Fund YTD Target Values'!$1:$1000, MATCH($C1237,'Fund YTD Target Values'!$A:$A,0), MATCH($A1237,'Fund YTD Target Values'!$1:$1,0)),0)</f>
        <v>294153.3691</v>
      </c>
      <c r="S1237" s="52">
        <f>IFERROR(__xludf.DUMMYFUNCTION("IFERROR(sum(FILTER('Fund Data'!$V:$V, 'Fund Data'!$C:$C = $C1237, 'Fund Data'!$A:$A &lt; $A1237)),0) + IFERROR(sum(FILTER('Fund Data'!$V:$V, 'Fund Data'!$C:$C = $C1237, 'Fund Data'!$A:$A = $A1237, 'Fund Data'!$B:$B &lt;= $B1237)),0)"),280000.0)</f>
        <v>280000</v>
      </c>
      <c r="T1237" s="44"/>
      <c r="U1237" s="44"/>
      <c r="V1237" s="44">
        <f t="shared" si="3"/>
        <v>0</v>
      </c>
      <c r="W1237" s="52">
        <f>IFERROR(__xludf.DUMMYFUNCTION("iFERROR((FILTER('Fund Data'!$Y:$Y, 'Fund Data'!$C:$C = $C1237, 'Fund Data'!$A:$A = $A1237 - 1, 'Fund Data'!$B:$B = 12) + FILTER('Fund Data'!$AA:$AA, 'Fund Data'!$C:$C = $C1237, 'Fund Data'!$A:$A = $A1237 - 1, 'Fund Data'!$B:$B = 12)) * (1 + AVERAGE(FILTER"&amp;"('Inflation Data'!$C:$C,'Inflation Data'!$A:$A = ($A1237 - 2)))) * 'Parameters and Distribution Sum'!$A$4,0)"),6881.036839036868)</f>
        <v>6881.036839</v>
      </c>
      <c r="X1237" s="52">
        <f>IFERROR(__xludf.DUMMYFUNCTION("IFERROR((IFERROR(FILTER('Fund Data'!$P:$P,'Fund Data'!$C:$C = $C1237,'Fund Data'!$A:$A = ($A1237 - 2), 'Fund Data'!$B:$B = 12),0) - SUM(FILTER('Fund Data'!$V:$V, 'Fund Data'!$C:$C = $C1237, 'Fund Data'!$A:$A = ($A1237 - 2), 'Fund Data'!$B:$B &gt; 3)))  * 'Pa"&amp;"rameters and Distribution Sum'!$B$4 * (1 - 'Parameters and Distribution Sum'!$A$4),0)"),2147.3742599999996)</f>
        <v>2147.37426</v>
      </c>
      <c r="Y1237" s="52">
        <f t="shared" si="115"/>
        <v>9028.411099</v>
      </c>
      <c r="Z1237" s="52">
        <f>IFERROR(__xludf.DUMMYFUNCTION("((IFERROR((SUM(FILTER('Fund Data'!$V:$V, 'Fund Data'!$C:$C = $C1237, 'Fund Data'!$A:$A = $A1237 - 1, 'Fund Data'!$B:$B &gt;= 4, 'Fund Data'!$B:$B &lt;= ($B1237 + 5))) / 12) * ($B1237 - 3) * 'Parameters and Distribution Sum'!$B$4, 0) + IF($B1237 &gt;= 9, IFERROR(SU"&amp;"M(FILTER('Fund Data'!$V:$V, 'Fund Data'!$C:$C = $C1237, 'Fund Data'!$A:$A = $A1237, 'Fund Data'!$B:$B &lt;= 3)) * 'Parameters and Distribution Sum'!$B$4, 0),0)))"),0.0)</f>
        <v>0</v>
      </c>
      <c r="AA1237" s="44">
        <f>IFERROR(__xludf.DUMMYFUNCTION("IFERROR(((IFERROR(SUM(FILTER('Fund Data'!$V:$V, 'Fund Data'!$C:$C = $C1237, 'Fund Data'!$A:$A = $A1237 - 2, 'Fund Data'!$B:$B &gt;= 4)) * 'Parameters and Distribution Sum'!$B$4,0) + IFERROR(SUM(FILTER('Fund Data'!$V:$V, 'Fund Data'!$C:$C = $C1237, 'Fund Data"&amp;"'!$A:$A = $A1237 - 1, 'Fund Data'!$B:$B &lt;= 3)) * 'Parameters and Distribution Sum'!$B$4,0))),0)"),3150.0)</f>
        <v>3150</v>
      </c>
      <c r="AB1237" s="44">
        <f t="shared" si="116"/>
        <v>5000</v>
      </c>
      <c r="AC1237" s="44">
        <f t="shared" si="117"/>
        <v>17178.4111</v>
      </c>
      <c r="AD1237" s="44">
        <f t="shared" si="7"/>
        <v>17178.4111</v>
      </c>
      <c r="AE1237" s="44"/>
    </row>
    <row r="1238">
      <c r="A1238" s="120">
        <v>2018.0</v>
      </c>
      <c r="B1238" s="121">
        <v>12.0</v>
      </c>
      <c r="C1238" s="122" t="s">
        <v>78</v>
      </c>
      <c r="D1238" s="123">
        <v>70000.0</v>
      </c>
      <c r="E1238" s="123">
        <v>4558.42</v>
      </c>
      <c r="F1238" s="123">
        <v>-6575.0</v>
      </c>
      <c r="G1238" s="123">
        <v>5000.0</v>
      </c>
      <c r="H1238" s="123">
        <v>-1726.58</v>
      </c>
      <c r="I1238" s="44"/>
      <c r="J1238" s="123">
        <v>368.86</v>
      </c>
      <c r="K1238" s="44"/>
      <c r="L1238" s="123">
        <v>-23159.52</v>
      </c>
      <c r="M1238" s="44"/>
      <c r="N1238" s="44"/>
      <c r="O1238" s="123">
        <v>277531.0</v>
      </c>
      <c r="P1238" s="52">
        <f t="shared" si="23"/>
        <v>277530.94</v>
      </c>
      <c r="Q1238" s="124">
        <f t="shared" si="2"/>
        <v>0.06000000006</v>
      </c>
      <c r="R1238" s="52">
        <f t="array" ref="R1238">IFERROR(INDEX('Fund YTD Target Values'!$1:$1000, MATCH($C1238,'Fund YTD Target Values'!$A:$A,0), MATCH($A1238,'Fund YTD Target Values'!$1:$1,0)),0)</f>
        <v>289110.9496</v>
      </c>
      <c r="S1238" s="52">
        <f>IFERROR(__xludf.DUMMYFUNCTION("IFERROR(sum(FILTER('Fund Data'!$V:$V, 'Fund Data'!$C:$C = $C1238, 'Fund Data'!$A:$A &lt; $A1238)),0) + IFERROR(sum(FILTER('Fund Data'!$V:$V, 'Fund Data'!$C:$C = $C1238, 'Fund Data'!$A:$A = $A1238, 'Fund Data'!$B:$B &lt;= $B1238)),0)"),280000.0)</f>
        <v>280000</v>
      </c>
      <c r="T1238" s="123">
        <v>286598.0</v>
      </c>
      <c r="U1238" s="44">
        <f>S1238-T1238</f>
        <v>-6598</v>
      </c>
      <c r="V1238" s="44">
        <f t="shared" si="3"/>
        <v>0</v>
      </c>
      <c r="W1238" s="52"/>
      <c r="X1238" s="52"/>
      <c r="Y1238" s="52">
        <v>6474.887097314764</v>
      </c>
      <c r="Z1238" s="123">
        <v>1575.0</v>
      </c>
      <c r="AA1238" s="123">
        <v>3150.0</v>
      </c>
      <c r="AB1238" s="44">
        <f t="shared" si="116"/>
        <v>0</v>
      </c>
      <c r="AC1238" s="44">
        <f t="shared" si="117"/>
        <v>11199.8871</v>
      </c>
      <c r="AD1238" s="44">
        <f t="shared" si="7"/>
        <v>4624.887097</v>
      </c>
      <c r="AE1238" s="123">
        <v>5000.0</v>
      </c>
    </row>
    <row r="1239">
      <c r="A1239" s="120">
        <v>2018.0</v>
      </c>
      <c r="B1239" s="121">
        <v>11.0</v>
      </c>
      <c r="C1239" s="122" t="s">
        <v>78</v>
      </c>
      <c r="D1239" s="123">
        <v>70000.0</v>
      </c>
      <c r="E1239" s="123">
        <v>4228.82</v>
      </c>
      <c r="F1239" s="123">
        <v>-6575.0</v>
      </c>
      <c r="G1239" s="44"/>
      <c r="H1239" s="123">
        <v>-1593.19</v>
      </c>
      <c r="I1239" s="44"/>
      <c r="J1239" s="123">
        <v>368.86</v>
      </c>
      <c r="K1239" s="44"/>
      <c r="L1239" s="123">
        <v>-11162.31</v>
      </c>
      <c r="M1239" s="44"/>
      <c r="N1239" s="44"/>
      <c r="O1239" s="123">
        <v>284332.0</v>
      </c>
      <c r="P1239" s="52">
        <f t="shared" si="23"/>
        <v>284331.94</v>
      </c>
      <c r="Q1239" s="124">
        <f t="shared" si="2"/>
        <v>0.06000000006</v>
      </c>
      <c r="R1239" s="52">
        <f t="array" ref="R1239">IFERROR(INDEX('Fund YTD Target Values'!$1:$1000, MATCH($C1239,'Fund YTD Target Values'!$A:$A,0), MATCH($A1239,'Fund YTD Target Values'!$1:$1,0)),0)</f>
        <v>289110.9496</v>
      </c>
      <c r="S1239" s="52">
        <f>IFERROR(__xludf.DUMMYFUNCTION("IFERROR(sum(FILTER('Fund Data'!$V:$V, 'Fund Data'!$C:$C = $C1239, 'Fund Data'!$A:$A &lt; $A1239)),0) + IFERROR(sum(FILTER('Fund Data'!$V:$V, 'Fund Data'!$C:$C = $C1239, 'Fund Data'!$A:$A = $A1239, 'Fund Data'!$B:$B &lt;= $B1239)),0)"),280000.0)</f>
        <v>280000</v>
      </c>
      <c r="T1239" s="44"/>
      <c r="U1239" s="44"/>
      <c r="V1239" s="44">
        <f t="shared" si="3"/>
        <v>70000</v>
      </c>
      <c r="W1239" s="123"/>
      <c r="X1239" s="123"/>
      <c r="Y1239" s="123">
        <v>0.0</v>
      </c>
      <c r="Z1239" s="123">
        <v>0.0</v>
      </c>
      <c r="AA1239" s="123">
        <v>0.0</v>
      </c>
      <c r="AB1239" s="123"/>
      <c r="AC1239" s="123">
        <v>0.0</v>
      </c>
      <c r="AD1239" s="44">
        <f t="shared" si="7"/>
        <v>-6575</v>
      </c>
      <c r="AE1239" s="123">
        <v>0.0</v>
      </c>
    </row>
    <row r="1240">
      <c r="A1240" s="120">
        <v>2018.0</v>
      </c>
      <c r="B1240" s="121">
        <v>10.0</v>
      </c>
      <c r="C1240" s="135" t="s">
        <v>78</v>
      </c>
      <c r="D1240" s="138"/>
      <c r="E1240" s="137">
        <v>4037.43</v>
      </c>
      <c r="F1240" s="136">
        <v>-5000.0</v>
      </c>
      <c r="G1240" s="138"/>
      <c r="H1240" s="137">
        <v>-1387.64</v>
      </c>
      <c r="I1240" s="138"/>
      <c r="J1240" s="136">
        <v>323.1</v>
      </c>
      <c r="K1240" s="138"/>
      <c r="L1240" s="136">
        <v>-12971.08</v>
      </c>
      <c r="M1240" s="44"/>
      <c r="N1240" s="44"/>
      <c r="O1240" s="136">
        <v>214067.0</v>
      </c>
      <c r="P1240" s="52">
        <f t="shared" si="23"/>
        <v>214066.57</v>
      </c>
      <c r="Q1240" s="124">
        <f t="shared" si="2"/>
        <v>0.4300000001</v>
      </c>
      <c r="R1240" s="52">
        <f t="array" ref="R1240">IFERROR(INDEX('Fund YTD Target Values'!$1:$1000, MATCH($C1240,'Fund YTD Target Values'!$A:$A,0), MATCH($A1240,'Fund YTD Target Values'!$1:$1,0)),0)</f>
        <v>289110.9496</v>
      </c>
      <c r="S1240" s="52">
        <f>IFERROR(__xludf.DUMMYFUNCTION("IFERROR(sum(FILTER('Fund Data'!$V:$V, 'Fund Data'!$C:$C = $C1240, 'Fund Data'!$A:$A &lt; $A1240)),0) + IFERROR(sum(FILTER('Fund Data'!$V:$V, 'Fund Data'!$C:$C = $C1240, 'Fund Data'!$A:$A = $A1240, 'Fund Data'!$B:$B &lt;= $B1240)),0)"),210000.0)</f>
        <v>210000</v>
      </c>
      <c r="T1240" s="44"/>
      <c r="U1240" s="44"/>
      <c r="V1240" s="44">
        <f t="shared" si="3"/>
        <v>0</v>
      </c>
      <c r="W1240" s="123"/>
      <c r="X1240" s="123"/>
      <c r="Y1240" s="123">
        <v>0.0</v>
      </c>
      <c r="Z1240" s="123">
        <v>0.0</v>
      </c>
      <c r="AA1240" s="123">
        <v>0.0</v>
      </c>
      <c r="AB1240" s="123"/>
      <c r="AC1240" s="123">
        <v>0.0</v>
      </c>
      <c r="AD1240" s="44">
        <f t="shared" si="7"/>
        <v>-5000</v>
      </c>
      <c r="AE1240" s="123">
        <v>0.0</v>
      </c>
    </row>
    <row r="1241">
      <c r="A1241" s="120">
        <v>2018.0</v>
      </c>
      <c r="B1241" s="121">
        <v>9.0</v>
      </c>
      <c r="C1241" s="122" t="s">
        <v>78</v>
      </c>
      <c r="D1241" s="123"/>
      <c r="E1241" s="123">
        <v>3393.45</v>
      </c>
      <c r="F1241" s="123">
        <v>-5000.0</v>
      </c>
      <c r="G1241" s="44"/>
      <c r="H1241" s="123">
        <v>-1387.64</v>
      </c>
      <c r="I1241" s="44"/>
      <c r="J1241" s="123">
        <v>323.1</v>
      </c>
      <c r="K1241" s="44"/>
      <c r="L1241" s="123">
        <v>-1484.72</v>
      </c>
      <c r="M1241" s="44"/>
      <c r="N1241" s="44"/>
      <c r="O1241" s="123">
        <v>224909.0</v>
      </c>
      <c r="P1241" s="52">
        <f t="shared" si="23"/>
        <v>224908.95</v>
      </c>
      <c r="Q1241" s="124">
        <f t="shared" si="2"/>
        <v>0.05000000005</v>
      </c>
      <c r="R1241" s="52">
        <f t="array" ref="R1241">IFERROR(INDEX('Fund YTD Target Values'!$1:$1000, MATCH($C1241,'Fund YTD Target Values'!$A:$A,0), MATCH($A1241,'Fund YTD Target Values'!$1:$1,0)),0)</f>
        <v>289110.9496</v>
      </c>
      <c r="S1241" s="52">
        <f>IFERROR(__xludf.DUMMYFUNCTION("IFERROR(sum(FILTER('Fund Data'!$V:$V, 'Fund Data'!$C:$C = $C1241, 'Fund Data'!$A:$A &lt; $A1241)),0) + IFERROR(sum(FILTER('Fund Data'!$V:$V, 'Fund Data'!$C:$C = $C1241, 'Fund Data'!$A:$A = $A1241, 'Fund Data'!$B:$B &lt;= $B1241)),0)"),210000.0)</f>
        <v>210000</v>
      </c>
      <c r="T1241" s="123">
        <v>79841.0</v>
      </c>
      <c r="U1241" s="44">
        <f>S1241-T1241</f>
        <v>130159</v>
      </c>
      <c r="V1241" s="44">
        <f t="shared" si="3"/>
        <v>0</v>
      </c>
      <c r="W1241" s="123"/>
      <c r="X1241" s="123"/>
      <c r="Y1241" s="123">
        <v>0.0</v>
      </c>
      <c r="Z1241" s="123">
        <v>0.0</v>
      </c>
      <c r="AA1241" s="123">
        <v>0.0</v>
      </c>
      <c r="AB1241" s="123"/>
      <c r="AC1241" s="123">
        <v>0.0</v>
      </c>
      <c r="AD1241" s="44">
        <f t="shared" si="7"/>
        <v>-5000</v>
      </c>
      <c r="AE1241" s="123">
        <v>0.0</v>
      </c>
    </row>
    <row r="1242">
      <c r="A1242" s="120">
        <v>2018.0</v>
      </c>
      <c r="B1242" s="121">
        <v>8.0</v>
      </c>
      <c r="C1242" s="122" t="s">
        <v>78</v>
      </c>
      <c r="D1242" s="44"/>
      <c r="E1242" s="123">
        <v>3197.72</v>
      </c>
      <c r="F1242" s="123">
        <v>-1200.0</v>
      </c>
      <c r="G1242" s="44"/>
      <c r="H1242" s="123">
        <v>-1232.72</v>
      </c>
      <c r="I1242" s="44"/>
      <c r="J1242" s="44"/>
      <c r="K1242" s="44"/>
      <c r="L1242" s="123">
        <v>-321.43</v>
      </c>
      <c r="M1242" s="44"/>
      <c r="N1242" s="44"/>
      <c r="O1242" s="123">
        <v>229508.0</v>
      </c>
      <c r="P1242" s="52">
        <f t="shared" si="23"/>
        <v>229508.33</v>
      </c>
      <c r="Q1242" s="124">
        <f t="shared" si="2"/>
        <v>-0.33</v>
      </c>
      <c r="R1242" s="52">
        <f t="array" ref="R1242">IFERROR(INDEX('Fund YTD Target Values'!$1:$1000, MATCH($C1242,'Fund YTD Target Values'!$A:$A,0), MATCH($A1242,'Fund YTD Target Values'!$1:$1,0)),0)</f>
        <v>289110.9496</v>
      </c>
      <c r="S1242" s="52">
        <f>IFERROR(__xludf.DUMMYFUNCTION("IFERROR(sum(FILTER('Fund Data'!$V:$V, 'Fund Data'!$C:$C = $C1242, 'Fund Data'!$A:$A &lt; $A1242)),0) + IFERROR(sum(FILTER('Fund Data'!$V:$V, 'Fund Data'!$C:$C = $C1242, 'Fund Data'!$A:$A = $A1242, 'Fund Data'!$B:$B &lt;= $B1242)),0)"),210000.0)</f>
        <v>210000</v>
      </c>
      <c r="T1242" s="44"/>
      <c r="U1242" s="44"/>
      <c r="V1242" s="44">
        <f t="shared" si="3"/>
        <v>0</v>
      </c>
      <c r="W1242" s="123"/>
      <c r="X1242" s="123"/>
      <c r="Y1242" s="123">
        <v>0.0</v>
      </c>
      <c r="Z1242" s="123">
        <v>0.0</v>
      </c>
      <c r="AA1242" s="123">
        <v>0.0</v>
      </c>
      <c r="AB1242" s="123"/>
      <c r="AC1242" s="123">
        <v>0.0</v>
      </c>
      <c r="AD1242" s="44">
        <f t="shared" si="7"/>
        <v>-1200</v>
      </c>
      <c r="AE1242" s="123">
        <v>0.0</v>
      </c>
    </row>
    <row r="1243">
      <c r="A1243" s="120">
        <v>2018.0</v>
      </c>
      <c r="B1243" s="121">
        <v>7.0</v>
      </c>
      <c r="C1243" s="122" t="s">
        <v>78</v>
      </c>
      <c r="D1243" s="44"/>
      <c r="E1243" s="123">
        <v>3008.21</v>
      </c>
      <c r="F1243" s="123">
        <v>-1200.0</v>
      </c>
      <c r="G1243" s="44"/>
      <c r="H1243" s="123">
        <v>-1078.33</v>
      </c>
      <c r="I1243" s="44"/>
      <c r="J1243" s="44"/>
      <c r="K1243" s="44"/>
      <c r="L1243" s="123">
        <v>-1066.82</v>
      </c>
      <c r="M1243" s="44"/>
      <c r="N1243" s="44"/>
      <c r="O1243" s="123">
        <v>228728.0</v>
      </c>
      <c r="P1243" s="52">
        <f t="shared" si="23"/>
        <v>228727.82</v>
      </c>
      <c r="Q1243" s="124">
        <f t="shared" si="2"/>
        <v>0.1800000001</v>
      </c>
      <c r="R1243" s="52">
        <f t="array" ref="R1243">IFERROR(INDEX('Fund YTD Target Values'!$1:$1000, MATCH($C1243,'Fund YTD Target Values'!$A:$A,0), MATCH($A1243,'Fund YTD Target Values'!$1:$1,0)),0)</f>
        <v>289110.9496</v>
      </c>
      <c r="S1243" s="52">
        <f>IFERROR(__xludf.DUMMYFUNCTION("IFERROR(sum(FILTER('Fund Data'!$V:$V, 'Fund Data'!$C:$C = $C1243, 'Fund Data'!$A:$A &lt; $A1243)),0) + IFERROR(sum(FILTER('Fund Data'!$V:$V, 'Fund Data'!$C:$C = $C1243, 'Fund Data'!$A:$A = $A1243, 'Fund Data'!$B:$B &lt;= $B1243)),0)"),210000.0)</f>
        <v>210000</v>
      </c>
      <c r="T1243" s="44"/>
      <c r="U1243" s="44"/>
      <c r="V1243" s="44">
        <f t="shared" si="3"/>
        <v>0</v>
      </c>
      <c r="W1243" s="123"/>
      <c r="X1243" s="123"/>
      <c r="Y1243" s="123">
        <v>0.0</v>
      </c>
      <c r="Z1243" s="123">
        <v>0.0</v>
      </c>
      <c r="AA1243" s="123">
        <v>0.0</v>
      </c>
      <c r="AB1243" s="123"/>
      <c r="AC1243" s="123">
        <v>0.0</v>
      </c>
      <c r="AD1243" s="44">
        <f t="shared" si="7"/>
        <v>-1200</v>
      </c>
      <c r="AE1243" s="123">
        <v>0.0</v>
      </c>
    </row>
    <row r="1244">
      <c r="A1244" s="120">
        <v>2018.0</v>
      </c>
      <c r="B1244" s="121">
        <v>6.0</v>
      </c>
      <c r="C1244" s="122" t="s">
        <v>78</v>
      </c>
      <c r="D1244" s="44"/>
      <c r="E1244" s="123">
        <v>2496.15</v>
      </c>
      <c r="F1244" s="44"/>
      <c r="G1244" s="44"/>
      <c r="H1244" s="123">
        <v>-925.89</v>
      </c>
      <c r="I1244" s="44"/>
      <c r="J1244" s="44"/>
      <c r="K1244" s="44"/>
      <c r="L1244" s="123">
        <v>-4792.29</v>
      </c>
      <c r="M1244" s="44"/>
      <c r="N1244" s="44"/>
      <c r="O1244" s="123">
        <v>225843.0</v>
      </c>
      <c r="P1244" s="52">
        <f t="shared" si="23"/>
        <v>225842.73</v>
      </c>
      <c r="Q1244" s="124">
        <f t="shared" si="2"/>
        <v>0.27</v>
      </c>
      <c r="R1244" s="52">
        <f t="array" ref="R1244">IFERROR(INDEX('Fund YTD Target Values'!$1:$1000, MATCH($C1244,'Fund YTD Target Values'!$A:$A,0), MATCH($A1244,'Fund YTD Target Values'!$1:$1,0)),0)</f>
        <v>289110.9496</v>
      </c>
      <c r="S1244" s="52">
        <f>IFERROR(__xludf.DUMMYFUNCTION("IFERROR(sum(FILTER('Fund Data'!$V:$V, 'Fund Data'!$C:$C = $C1244, 'Fund Data'!$A:$A &lt; $A1244)),0) + IFERROR(sum(FILTER('Fund Data'!$V:$V, 'Fund Data'!$C:$C = $C1244, 'Fund Data'!$A:$A = $A1244, 'Fund Data'!$B:$B &lt;= $B1244)),0)"),210000.0)</f>
        <v>210000</v>
      </c>
      <c r="T1244" s="44"/>
      <c r="U1244" s="44"/>
      <c r="V1244" s="44">
        <f t="shared" si="3"/>
        <v>0</v>
      </c>
      <c r="W1244" s="123"/>
      <c r="X1244" s="123"/>
      <c r="Y1244" s="123">
        <v>0.0</v>
      </c>
      <c r="Z1244" s="123">
        <v>0.0</v>
      </c>
      <c r="AA1244" s="123">
        <v>0.0</v>
      </c>
      <c r="AB1244" s="123"/>
      <c r="AC1244" s="123">
        <v>0.0</v>
      </c>
      <c r="AD1244" s="44">
        <f t="shared" si="7"/>
        <v>0</v>
      </c>
      <c r="AE1244" s="123">
        <v>0.0</v>
      </c>
    </row>
    <row r="1245">
      <c r="A1245" s="120">
        <v>2018.0</v>
      </c>
      <c r="B1245" s="121">
        <v>5.0</v>
      </c>
      <c r="C1245" s="122" t="s">
        <v>78</v>
      </c>
      <c r="D1245" s="44"/>
      <c r="E1245" s="123">
        <v>2172.87</v>
      </c>
      <c r="F1245" s="44"/>
      <c r="G1245" s="44"/>
      <c r="H1245" s="123">
        <v>-772.42</v>
      </c>
      <c r="I1245" s="44"/>
      <c r="J1245" s="44"/>
      <c r="K1245" s="44"/>
      <c r="L1245" s="123">
        <v>-3095.62</v>
      </c>
      <c r="M1245" s="44"/>
      <c r="N1245" s="44"/>
      <c r="O1245" s="123">
        <v>227370.0</v>
      </c>
      <c r="P1245" s="52">
        <f t="shared" si="23"/>
        <v>227369.59</v>
      </c>
      <c r="Q1245" s="124">
        <f t="shared" si="2"/>
        <v>0.4100000001</v>
      </c>
      <c r="R1245" s="52">
        <f t="array" ref="R1245">IFERROR(INDEX('Fund YTD Target Values'!$1:$1000, MATCH($C1245,'Fund YTD Target Values'!$A:$A,0), MATCH($A1245,'Fund YTD Target Values'!$1:$1,0)),0)</f>
        <v>289110.9496</v>
      </c>
      <c r="S1245" s="52">
        <f>IFERROR(__xludf.DUMMYFUNCTION("IFERROR(sum(FILTER('Fund Data'!$V:$V, 'Fund Data'!$C:$C = $C1245, 'Fund Data'!$A:$A &lt; $A1245)),0) + IFERROR(sum(FILTER('Fund Data'!$V:$V, 'Fund Data'!$C:$C = $C1245, 'Fund Data'!$A:$A = $A1245, 'Fund Data'!$B:$B &lt;= $B1245)),0)"),210000.0)</f>
        <v>210000</v>
      </c>
      <c r="T1245" s="123">
        <v>79841.0</v>
      </c>
      <c r="U1245" s="44">
        <f t="shared" ref="U1245:U1347" si="118">S1245-T1245</f>
        <v>130159</v>
      </c>
      <c r="V1245" s="44">
        <f t="shared" si="3"/>
        <v>0</v>
      </c>
      <c r="W1245" s="123"/>
      <c r="X1245" s="123"/>
      <c r="Y1245" s="123">
        <v>0.0</v>
      </c>
      <c r="Z1245" s="123">
        <v>0.0</v>
      </c>
      <c r="AA1245" s="123">
        <v>0.0</v>
      </c>
      <c r="AB1245" s="123"/>
      <c r="AC1245" s="123">
        <v>0.0</v>
      </c>
      <c r="AD1245" s="44">
        <f t="shared" si="7"/>
        <v>0</v>
      </c>
      <c r="AE1245" s="123">
        <v>0.0</v>
      </c>
    </row>
    <row r="1246">
      <c r="A1246" s="120">
        <v>2018.0</v>
      </c>
      <c r="B1246" s="121">
        <v>4.0</v>
      </c>
      <c r="C1246" s="122" t="s">
        <v>78</v>
      </c>
      <c r="D1246" s="44"/>
      <c r="E1246" s="123">
        <v>1994.57</v>
      </c>
      <c r="F1246" s="44"/>
      <c r="G1246" s="44"/>
      <c r="H1246" s="123">
        <v>-619.29</v>
      </c>
      <c r="I1246" s="44"/>
      <c r="J1246" s="44"/>
      <c r="K1246" s="44"/>
      <c r="L1246" s="123">
        <v>-3575.01</v>
      </c>
      <c r="M1246" s="44"/>
      <c r="N1246" s="44"/>
      <c r="O1246" s="123">
        <v>226865.0</v>
      </c>
      <c r="P1246" s="52">
        <f t="shared" si="23"/>
        <v>226865.03</v>
      </c>
      <c r="Q1246" s="124">
        <f t="shared" si="2"/>
        <v>-0.02999999994</v>
      </c>
      <c r="R1246" s="52">
        <f t="array" ref="R1246">IFERROR(INDEX('Fund YTD Target Values'!$1:$1000, MATCH($C1246,'Fund YTD Target Values'!$A:$A,0), MATCH($A1246,'Fund YTD Target Values'!$1:$1,0)),0)</f>
        <v>289110.9496</v>
      </c>
      <c r="S1246" s="52">
        <f>IFERROR(__xludf.DUMMYFUNCTION("IFERROR(sum(FILTER('Fund Data'!$V:$V, 'Fund Data'!$C:$C = $C1246, 'Fund Data'!$A:$A &lt; $A1246)),0) + IFERROR(sum(FILTER('Fund Data'!$V:$V, 'Fund Data'!$C:$C = $C1246, 'Fund Data'!$A:$A = $A1246, 'Fund Data'!$B:$B &lt;= $B1246)),0)"),210000.0)</f>
        <v>210000</v>
      </c>
      <c r="T1246" s="123">
        <v>79841.0</v>
      </c>
      <c r="U1246" s="44">
        <f t="shared" si="118"/>
        <v>130159</v>
      </c>
      <c r="V1246" s="44">
        <f t="shared" si="3"/>
        <v>0</v>
      </c>
      <c r="W1246" s="123"/>
      <c r="X1246" s="123"/>
      <c r="Y1246" s="123">
        <v>0.0</v>
      </c>
      <c r="Z1246" s="123">
        <v>0.0</v>
      </c>
      <c r="AA1246" s="123">
        <v>0.0</v>
      </c>
      <c r="AB1246" s="123"/>
      <c r="AC1246" s="123">
        <v>0.0</v>
      </c>
      <c r="AD1246" s="44">
        <f t="shared" si="7"/>
        <v>0</v>
      </c>
      <c r="AE1246" s="123">
        <v>0.0</v>
      </c>
    </row>
    <row r="1247">
      <c r="A1247" s="120">
        <v>2018.0</v>
      </c>
      <c r="B1247" s="121">
        <v>3.0</v>
      </c>
      <c r="C1247" s="122" t="s">
        <v>78</v>
      </c>
      <c r="D1247" s="44"/>
      <c r="E1247" s="123">
        <v>1446.85</v>
      </c>
      <c r="F1247" s="44"/>
      <c r="G1247" s="44"/>
      <c r="H1247" s="123">
        <v>-466.55</v>
      </c>
      <c r="I1247" s="44"/>
      <c r="J1247" s="44"/>
      <c r="K1247" s="44"/>
      <c r="L1247" s="123">
        <v>-3761.36</v>
      </c>
      <c r="M1247" s="44"/>
      <c r="N1247" s="44"/>
      <c r="O1247" s="123">
        <v>226284.0</v>
      </c>
      <c r="P1247" s="52">
        <f t="shared" si="23"/>
        <v>226283.7</v>
      </c>
      <c r="Q1247" s="124">
        <f t="shared" si="2"/>
        <v>0.3</v>
      </c>
      <c r="R1247" s="52">
        <f t="array" ref="R1247">IFERROR(INDEX('Fund YTD Target Values'!$1:$1000, MATCH($C1247,'Fund YTD Target Values'!$A:$A,0), MATCH($A1247,'Fund YTD Target Values'!$1:$1,0)),0)</f>
        <v>289110.9496</v>
      </c>
      <c r="S1247" s="52">
        <f>IFERROR(__xludf.DUMMYFUNCTION("IFERROR(sum(FILTER('Fund Data'!$V:$V, 'Fund Data'!$C:$C = $C1247, 'Fund Data'!$A:$A &lt; $A1247)),0) + IFERROR(sum(FILTER('Fund Data'!$V:$V, 'Fund Data'!$C:$C = $C1247, 'Fund Data'!$A:$A = $A1247, 'Fund Data'!$B:$B &lt;= $B1247)),0)"),210000.0)</f>
        <v>210000</v>
      </c>
      <c r="T1247" s="123">
        <v>79841.0</v>
      </c>
      <c r="U1247" s="44">
        <f t="shared" si="118"/>
        <v>130159</v>
      </c>
      <c r="V1247" s="44">
        <f t="shared" si="3"/>
        <v>0</v>
      </c>
      <c r="W1247" s="123"/>
      <c r="X1247" s="123"/>
      <c r="Y1247" s="123">
        <v>0.0</v>
      </c>
      <c r="Z1247" s="123">
        <v>0.0</v>
      </c>
      <c r="AA1247" s="123">
        <v>0.0</v>
      </c>
      <c r="AB1247" s="123"/>
      <c r="AC1247" s="123">
        <v>0.0</v>
      </c>
      <c r="AD1247" s="44">
        <f t="shared" si="7"/>
        <v>0</v>
      </c>
      <c r="AE1247" s="123">
        <v>0.0</v>
      </c>
    </row>
    <row r="1248">
      <c r="A1248" s="120">
        <v>2018.0</v>
      </c>
      <c r="B1248" s="121">
        <v>2.0</v>
      </c>
      <c r="C1248" s="122" t="s">
        <v>78</v>
      </c>
      <c r="D1248" s="44"/>
      <c r="E1248" s="123">
        <v>1245.19</v>
      </c>
      <c r="F1248" s="44"/>
      <c r="G1248" s="44"/>
      <c r="H1248" s="123">
        <v>-619.03</v>
      </c>
      <c r="I1248" s="44"/>
      <c r="J1248" s="44"/>
      <c r="K1248" s="44"/>
      <c r="L1248" s="123">
        <v>-2174.39</v>
      </c>
      <c r="M1248" s="44"/>
      <c r="N1248" s="44"/>
      <c r="O1248" s="123">
        <v>227517.0</v>
      </c>
      <c r="P1248" s="52">
        <f t="shared" si="23"/>
        <v>227516.53</v>
      </c>
      <c r="Q1248" s="124">
        <f t="shared" si="2"/>
        <v>0.4700000001</v>
      </c>
      <c r="R1248" s="52">
        <f t="array" ref="R1248">IFERROR(INDEX('Fund YTD Target Values'!$1:$1000, MATCH($C1248,'Fund YTD Target Values'!$A:$A,0), MATCH($A1248,'Fund YTD Target Values'!$1:$1,0)),0)</f>
        <v>289110.9496</v>
      </c>
      <c r="S1248" s="52">
        <f>IFERROR(__xludf.DUMMYFUNCTION("IFERROR(sum(FILTER('Fund Data'!$V:$V, 'Fund Data'!$C:$C = $C1248, 'Fund Data'!$A:$A &lt; $A1248)),0) + IFERROR(sum(FILTER('Fund Data'!$V:$V, 'Fund Data'!$C:$C = $C1248, 'Fund Data'!$A:$A = $A1248, 'Fund Data'!$B:$B &lt;= $B1248)),0)"),210000.0)</f>
        <v>210000</v>
      </c>
      <c r="T1248" s="123">
        <v>79841.0</v>
      </c>
      <c r="U1248" s="44">
        <f t="shared" si="118"/>
        <v>130159</v>
      </c>
      <c r="V1248" s="44">
        <f t="shared" si="3"/>
        <v>0</v>
      </c>
      <c r="W1248" s="123"/>
      <c r="X1248" s="123"/>
      <c r="Y1248" s="123">
        <v>0.0</v>
      </c>
      <c r="Z1248" s="123">
        <v>0.0</v>
      </c>
      <c r="AA1248" s="123">
        <v>0.0</v>
      </c>
      <c r="AB1248" s="123"/>
      <c r="AC1248" s="123">
        <v>0.0</v>
      </c>
      <c r="AD1248" s="44">
        <f t="shared" si="7"/>
        <v>0</v>
      </c>
      <c r="AE1248" s="123">
        <v>0.0</v>
      </c>
    </row>
    <row r="1249">
      <c r="A1249" s="120">
        <v>2018.0</v>
      </c>
      <c r="B1249" s="121">
        <v>1.0</v>
      </c>
      <c r="C1249" s="122" t="s">
        <v>78</v>
      </c>
      <c r="D1249" s="44"/>
      <c r="E1249" s="123">
        <v>1025.46</v>
      </c>
      <c r="F1249" s="44"/>
      <c r="G1249" s="44"/>
      <c r="H1249" s="123">
        <v>-460.77</v>
      </c>
      <c r="I1249" s="44"/>
      <c r="J1249" s="44"/>
      <c r="K1249" s="44"/>
      <c r="L1249" s="123">
        <v>4834.72</v>
      </c>
      <c r="M1249" s="44"/>
      <c r="N1249" s="44"/>
      <c r="O1249" s="123">
        <v>234464.0</v>
      </c>
      <c r="P1249" s="52">
        <f t="shared" si="23"/>
        <v>234464.17</v>
      </c>
      <c r="Q1249" s="124">
        <f t="shared" si="2"/>
        <v>-0.17</v>
      </c>
      <c r="R1249" s="52">
        <f t="array" ref="R1249">IFERROR(INDEX('Fund YTD Target Values'!$1:$1000, MATCH($C1249,'Fund YTD Target Values'!$A:$A,0), MATCH($A1249,'Fund YTD Target Values'!$1:$1,0)),0)</f>
        <v>289110.9496</v>
      </c>
      <c r="S1249" s="52">
        <f>IFERROR(__xludf.DUMMYFUNCTION("IFERROR(sum(FILTER('Fund Data'!$V:$V, 'Fund Data'!$C:$C = $C1249, 'Fund Data'!$A:$A &lt; $A1249)),0) + IFERROR(sum(FILTER('Fund Data'!$V:$V, 'Fund Data'!$C:$C = $C1249, 'Fund Data'!$A:$A = $A1249, 'Fund Data'!$B:$B &lt;= $B1249)),0)"),210000.0)</f>
        <v>210000</v>
      </c>
      <c r="T1249" s="123">
        <v>79841.0</v>
      </c>
      <c r="U1249" s="44">
        <f t="shared" si="118"/>
        <v>130159</v>
      </c>
      <c r="V1249" s="44">
        <f t="shared" si="3"/>
        <v>0</v>
      </c>
      <c r="W1249" s="123"/>
      <c r="X1249" s="123"/>
      <c r="Y1249" s="123">
        <v>0.0</v>
      </c>
      <c r="Z1249" s="123">
        <v>0.0</v>
      </c>
      <c r="AA1249" s="123">
        <v>0.0</v>
      </c>
      <c r="AB1249" s="123"/>
      <c r="AC1249" s="123">
        <v>0.0</v>
      </c>
      <c r="AD1249" s="44">
        <f t="shared" si="7"/>
        <v>0</v>
      </c>
      <c r="AE1249" s="123">
        <v>0.0</v>
      </c>
    </row>
    <row r="1250">
      <c r="A1250" s="120">
        <v>2017.0</v>
      </c>
      <c r="B1250" s="121">
        <v>12.0</v>
      </c>
      <c r="C1250" s="122" t="s">
        <v>78</v>
      </c>
      <c r="D1250" s="123">
        <v>70000.0</v>
      </c>
      <c r="E1250" s="123">
        <v>2595.15</v>
      </c>
      <c r="F1250" s="44"/>
      <c r="G1250" s="123"/>
      <c r="H1250" s="123">
        <v>-1258.19</v>
      </c>
      <c r="I1250" s="44"/>
      <c r="J1250" s="44"/>
      <c r="K1250" s="44"/>
      <c r="L1250" s="123">
        <v>15852.51</v>
      </c>
      <c r="M1250" s="44"/>
      <c r="N1250" s="44"/>
      <c r="O1250" s="123">
        <v>229065.0</v>
      </c>
      <c r="P1250" s="52">
        <f t="shared" si="23"/>
        <v>229064.76</v>
      </c>
      <c r="Q1250" s="124">
        <f t="shared" si="2"/>
        <v>0.24</v>
      </c>
      <c r="R1250" s="52">
        <f t="array" ref="R1250">IFERROR(INDEX('Fund YTD Target Values'!$1:$1000, MATCH($C1250,'Fund YTD Target Values'!$A:$A,0), MATCH($A1250,'Fund YTD Target Values'!$1:$1,0)),0)</f>
        <v>213886.3799</v>
      </c>
      <c r="S1250" s="52">
        <f>IFERROR(__xludf.DUMMYFUNCTION("IFERROR(sum(FILTER('Fund Data'!$V:$V, 'Fund Data'!$C:$C = $C1250, 'Fund Data'!$A:$A &lt; $A1250)),0) + IFERROR(sum(FILTER('Fund Data'!$V:$V, 'Fund Data'!$C:$C = $C1250, 'Fund Data'!$A:$A = $A1250, 'Fund Data'!$B:$B &lt;= $B1250)),0)"),210000.0)</f>
        <v>210000</v>
      </c>
      <c r="T1250" s="123">
        <v>210000.0</v>
      </c>
      <c r="U1250" s="44">
        <f t="shared" si="118"/>
        <v>0</v>
      </c>
      <c r="V1250" s="44">
        <f t="shared" si="3"/>
        <v>0</v>
      </c>
      <c r="W1250" s="123"/>
      <c r="X1250" s="123"/>
      <c r="Y1250" s="123">
        <v>0.0</v>
      </c>
      <c r="Z1250" s="123">
        <v>0.0</v>
      </c>
      <c r="AA1250" s="123">
        <v>0.0</v>
      </c>
      <c r="AB1250" s="123"/>
      <c r="AC1250" s="123">
        <v>0.0</v>
      </c>
      <c r="AD1250" s="44">
        <f t="shared" si="7"/>
        <v>0</v>
      </c>
      <c r="AE1250" s="123">
        <v>0.0</v>
      </c>
    </row>
    <row r="1251">
      <c r="A1251" s="120">
        <v>2017.0</v>
      </c>
      <c r="B1251" s="121">
        <v>11.0</v>
      </c>
      <c r="C1251" s="122" t="s">
        <v>78</v>
      </c>
      <c r="D1251" s="123">
        <v>70000.0</v>
      </c>
      <c r="E1251" s="123">
        <v>2330.76</v>
      </c>
      <c r="F1251" s="44"/>
      <c r="G1251" s="44"/>
      <c r="H1251" s="123">
        <v>-1104.15</v>
      </c>
      <c r="I1251" s="44"/>
      <c r="J1251" s="44"/>
      <c r="K1251" s="44"/>
      <c r="L1251" s="123">
        <v>15108.23</v>
      </c>
      <c r="M1251" s="44"/>
      <c r="N1251" s="44"/>
      <c r="O1251" s="123">
        <v>228210.0</v>
      </c>
      <c r="P1251" s="52">
        <f t="shared" si="23"/>
        <v>228210.13</v>
      </c>
      <c r="Q1251" s="124">
        <f t="shared" si="2"/>
        <v>-0.13</v>
      </c>
      <c r="R1251" s="52">
        <f t="array" ref="R1251">IFERROR(INDEX('Fund YTD Target Values'!$1:$1000, MATCH($C1251,'Fund YTD Target Values'!$A:$A,0), MATCH($A1251,'Fund YTD Target Values'!$1:$1,0)),0)</f>
        <v>213886.3799</v>
      </c>
      <c r="S1251" s="52">
        <f>IFERROR(__xludf.DUMMYFUNCTION("IFERROR(sum(FILTER('Fund Data'!$V:$V, 'Fund Data'!$C:$C = $C1251, 'Fund Data'!$A:$A &lt; $A1251)),0) + IFERROR(sum(FILTER('Fund Data'!$V:$V, 'Fund Data'!$C:$C = $C1251, 'Fund Data'!$A:$A = $A1251, 'Fund Data'!$B:$B &lt;= $B1251)),0)"),210000.0)</f>
        <v>210000</v>
      </c>
      <c r="T1251" s="123">
        <v>200469.0</v>
      </c>
      <c r="U1251" s="44">
        <f t="shared" si="118"/>
        <v>9531</v>
      </c>
      <c r="V1251" s="44">
        <f t="shared" si="3"/>
        <v>0</v>
      </c>
      <c r="W1251" s="123"/>
      <c r="X1251" s="123"/>
      <c r="Y1251" s="123">
        <v>0.0</v>
      </c>
      <c r="Z1251" s="123">
        <v>0.0</v>
      </c>
      <c r="AA1251" s="123">
        <v>0.0</v>
      </c>
      <c r="AB1251" s="123"/>
      <c r="AC1251" s="123">
        <v>0.0</v>
      </c>
      <c r="AD1251" s="44">
        <f t="shared" si="7"/>
        <v>0</v>
      </c>
      <c r="AE1251" s="123">
        <v>0.0</v>
      </c>
    </row>
    <row r="1252">
      <c r="A1252" s="120">
        <v>2017.0</v>
      </c>
      <c r="B1252" s="121">
        <v>10.0</v>
      </c>
      <c r="C1252" s="122" t="s">
        <v>78</v>
      </c>
      <c r="D1252" s="123">
        <v>70000.0</v>
      </c>
      <c r="E1252" s="123">
        <v>2224.77</v>
      </c>
      <c r="F1252" s="44"/>
      <c r="G1252" s="44"/>
      <c r="H1252" s="123">
        <v>-998.52</v>
      </c>
      <c r="I1252" s="44"/>
      <c r="J1252" s="44"/>
      <c r="K1252" s="44"/>
      <c r="L1252" s="123">
        <v>13387.6</v>
      </c>
      <c r="M1252" s="44"/>
      <c r="N1252" s="44"/>
      <c r="O1252" s="123">
        <v>226489.0</v>
      </c>
      <c r="P1252" s="52">
        <f t="shared" si="23"/>
        <v>226489.14</v>
      </c>
      <c r="Q1252" s="124">
        <f t="shared" si="2"/>
        <v>-0.14</v>
      </c>
      <c r="R1252" s="52">
        <f t="array" ref="R1252">IFERROR(INDEX('Fund YTD Target Values'!$1:$1000, MATCH($C1252,'Fund YTD Target Values'!$A:$A,0), MATCH($A1252,'Fund YTD Target Values'!$1:$1,0)),0)</f>
        <v>213886.3799</v>
      </c>
      <c r="S1252" s="52">
        <f>IFERROR(__xludf.DUMMYFUNCTION("IFERROR(sum(FILTER('Fund Data'!$V:$V, 'Fund Data'!$C:$C = $C1252, 'Fund Data'!$A:$A &lt; $A1252)),0) + IFERROR(sum(FILTER('Fund Data'!$V:$V, 'Fund Data'!$C:$C = $C1252, 'Fund Data'!$A:$A = $A1252, 'Fund Data'!$B:$B &lt;= $B1252)),0)"),210000.0)</f>
        <v>210000</v>
      </c>
      <c r="T1252" s="123">
        <v>200469.0</v>
      </c>
      <c r="U1252" s="44">
        <f t="shared" si="118"/>
        <v>9531</v>
      </c>
      <c r="V1252" s="44">
        <f t="shared" si="3"/>
        <v>70000</v>
      </c>
      <c r="W1252" s="123"/>
      <c r="X1252" s="123"/>
      <c r="Y1252" s="123">
        <v>0.0</v>
      </c>
      <c r="Z1252" s="123">
        <v>0.0</v>
      </c>
      <c r="AA1252" s="123">
        <v>0.0</v>
      </c>
      <c r="AB1252" s="123"/>
      <c r="AC1252" s="123">
        <v>0.0</v>
      </c>
      <c r="AD1252" s="44">
        <f t="shared" si="7"/>
        <v>0</v>
      </c>
      <c r="AE1252" s="123">
        <v>0.0</v>
      </c>
    </row>
    <row r="1253">
      <c r="A1253" s="120">
        <v>2017.0</v>
      </c>
      <c r="B1253" s="121">
        <v>9.0</v>
      </c>
      <c r="C1253" s="122" t="s">
        <v>78</v>
      </c>
      <c r="D1253" s="44"/>
      <c r="E1253" s="123">
        <v>1908.78</v>
      </c>
      <c r="F1253" s="44"/>
      <c r="G1253" s="44"/>
      <c r="H1253" s="123">
        <v>-894.35</v>
      </c>
      <c r="I1253" s="44"/>
      <c r="J1253" s="44"/>
      <c r="K1253" s="44"/>
      <c r="L1253" s="123">
        <v>11435.93</v>
      </c>
      <c r="M1253" s="44"/>
      <c r="N1253" s="44"/>
      <c r="O1253" s="123">
        <v>154326.0</v>
      </c>
      <c r="P1253" s="52">
        <f t="shared" si="23"/>
        <v>154325.65</v>
      </c>
      <c r="Q1253" s="124">
        <f t="shared" si="2"/>
        <v>0.35</v>
      </c>
      <c r="R1253" s="52">
        <f t="array" ref="R1253">IFERROR(INDEX('Fund YTD Target Values'!$1:$1000, MATCH($C1253,'Fund YTD Target Values'!$A:$A,0), MATCH($A1253,'Fund YTD Target Values'!$1:$1,0)),0)</f>
        <v>213886.3799</v>
      </c>
      <c r="S1253" s="52">
        <f>IFERROR(__xludf.DUMMYFUNCTION("IFERROR(sum(FILTER('Fund Data'!$V:$V, 'Fund Data'!$C:$C = $C1253, 'Fund Data'!$A:$A &lt; $A1253)),0) + IFERROR(sum(FILTER('Fund Data'!$V:$V, 'Fund Data'!$C:$C = $C1253, 'Fund Data'!$A:$A = $A1253, 'Fund Data'!$B:$B &lt;= $B1253)),0)"),140000.0)</f>
        <v>140000</v>
      </c>
      <c r="T1253" s="123">
        <v>167565.0</v>
      </c>
      <c r="U1253" s="44">
        <f t="shared" si="118"/>
        <v>-27565</v>
      </c>
      <c r="V1253" s="44">
        <f t="shared" si="3"/>
        <v>0</v>
      </c>
      <c r="W1253" s="123"/>
      <c r="X1253" s="123"/>
      <c r="Y1253" s="123">
        <v>0.0</v>
      </c>
      <c r="Z1253" s="123">
        <v>0.0</v>
      </c>
      <c r="AA1253" s="123">
        <v>0.0</v>
      </c>
      <c r="AB1253" s="123"/>
      <c r="AC1253" s="123">
        <v>0.0</v>
      </c>
      <c r="AD1253" s="44">
        <f t="shared" si="7"/>
        <v>0</v>
      </c>
      <c r="AE1253" s="123">
        <v>0.0</v>
      </c>
    </row>
    <row r="1254">
      <c r="A1254" s="120">
        <v>2017.0</v>
      </c>
      <c r="B1254" s="121">
        <v>8.0</v>
      </c>
      <c r="C1254" s="122" t="s">
        <v>78</v>
      </c>
      <c r="D1254" s="44"/>
      <c r="E1254" s="123">
        <v>1718.52</v>
      </c>
      <c r="F1254" s="44"/>
      <c r="G1254" s="44"/>
      <c r="H1254" s="123">
        <v>-791.23</v>
      </c>
      <c r="I1254" s="44"/>
      <c r="J1254" s="44"/>
      <c r="K1254" s="44"/>
      <c r="L1254" s="123">
        <v>9960.67</v>
      </c>
      <c r="M1254" s="44"/>
      <c r="N1254" s="44"/>
      <c r="O1254" s="123">
        <v>152763.0</v>
      </c>
      <c r="P1254" s="52">
        <f t="shared" si="23"/>
        <v>152763.25</v>
      </c>
      <c r="Q1254" s="124">
        <f t="shared" si="2"/>
        <v>-0.25</v>
      </c>
      <c r="R1254" s="52">
        <f t="array" ref="R1254">IFERROR(INDEX('Fund YTD Target Values'!$1:$1000, MATCH($C1254,'Fund YTD Target Values'!$A:$A,0), MATCH($A1254,'Fund YTD Target Values'!$1:$1,0)),0)</f>
        <v>213886.3799</v>
      </c>
      <c r="S1254" s="52">
        <f>IFERROR(__xludf.DUMMYFUNCTION("IFERROR(sum(FILTER('Fund Data'!$V:$V, 'Fund Data'!$C:$C = $C1254, 'Fund Data'!$A:$A &lt; $A1254)),0) + IFERROR(sum(FILTER('Fund Data'!$V:$V, 'Fund Data'!$C:$C = $C1254, 'Fund Data'!$A:$A = $A1254, 'Fund Data'!$B:$B &lt;= $B1254)),0)"),140000.0)</f>
        <v>140000</v>
      </c>
      <c r="T1254" s="123">
        <v>167565.0</v>
      </c>
      <c r="U1254" s="44">
        <f t="shared" si="118"/>
        <v>-27565</v>
      </c>
      <c r="V1254" s="44">
        <f t="shared" si="3"/>
        <v>0</v>
      </c>
      <c r="W1254" s="123"/>
      <c r="X1254" s="123"/>
      <c r="Y1254" s="123">
        <v>0.0</v>
      </c>
      <c r="Z1254" s="123">
        <v>0.0</v>
      </c>
      <c r="AA1254" s="123">
        <v>0.0</v>
      </c>
      <c r="AB1254" s="123"/>
      <c r="AC1254" s="123">
        <v>0.0</v>
      </c>
      <c r="AD1254" s="44">
        <f t="shared" si="7"/>
        <v>0</v>
      </c>
      <c r="AE1254" s="123">
        <v>0.0</v>
      </c>
    </row>
    <row r="1255">
      <c r="A1255" s="120">
        <v>2017.0</v>
      </c>
      <c r="B1255" s="121">
        <v>7.0</v>
      </c>
      <c r="C1255" s="122" t="s">
        <v>78</v>
      </c>
      <c r="D1255" s="44"/>
      <c r="E1255" s="123">
        <v>1614.31</v>
      </c>
      <c r="F1255" s="44"/>
      <c r="G1255" s="44"/>
      <c r="H1255" s="123">
        <v>-688.38</v>
      </c>
      <c r="I1255" s="44"/>
      <c r="J1255" s="44"/>
      <c r="K1255" s="44"/>
      <c r="L1255" s="123">
        <v>9572.17</v>
      </c>
      <c r="M1255" s="44"/>
      <c r="N1255" s="44"/>
      <c r="O1255" s="123">
        <v>152373.0</v>
      </c>
      <c r="P1255" s="52">
        <f t="shared" si="23"/>
        <v>152373.39</v>
      </c>
      <c r="Q1255" s="124">
        <f t="shared" si="2"/>
        <v>-0.39</v>
      </c>
      <c r="R1255" s="52">
        <f t="array" ref="R1255">IFERROR(INDEX('Fund YTD Target Values'!$1:$1000, MATCH($C1255,'Fund YTD Target Values'!$A:$A,0), MATCH($A1255,'Fund YTD Target Values'!$1:$1,0)),0)</f>
        <v>213886.3799</v>
      </c>
      <c r="S1255" s="52">
        <f>IFERROR(__xludf.DUMMYFUNCTION("IFERROR(sum(FILTER('Fund Data'!$V:$V, 'Fund Data'!$C:$C = $C1255, 'Fund Data'!$A:$A &lt; $A1255)),0) + IFERROR(sum(FILTER('Fund Data'!$V:$V, 'Fund Data'!$C:$C = $C1255, 'Fund Data'!$A:$A = $A1255, 'Fund Data'!$B:$B &lt;= $B1255)),0)"),140000.0)</f>
        <v>140000</v>
      </c>
      <c r="T1255" s="123">
        <v>167565.0</v>
      </c>
      <c r="U1255" s="44">
        <f t="shared" si="118"/>
        <v>-27565</v>
      </c>
      <c r="V1255" s="44">
        <f t="shared" si="3"/>
        <v>0</v>
      </c>
      <c r="W1255" s="123"/>
      <c r="X1255" s="123"/>
      <c r="Y1255" s="123">
        <v>0.0</v>
      </c>
      <c r="Z1255" s="123">
        <v>0.0</v>
      </c>
      <c r="AA1255" s="123">
        <v>0.0</v>
      </c>
      <c r="AB1255" s="123"/>
      <c r="AC1255" s="123">
        <v>0.0</v>
      </c>
      <c r="AD1255" s="44">
        <f t="shared" si="7"/>
        <v>0</v>
      </c>
      <c r="AE1255" s="123">
        <v>0.0</v>
      </c>
    </row>
    <row r="1256">
      <c r="A1256" s="120">
        <v>2017.0</v>
      </c>
      <c r="B1256" s="121">
        <v>6.0</v>
      </c>
      <c r="C1256" s="122" t="s">
        <v>78</v>
      </c>
      <c r="D1256" s="44"/>
      <c r="E1256" s="123">
        <v>1144.72</v>
      </c>
      <c r="F1256" s="44"/>
      <c r="G1256" s="44"/>
      <c r="H1256" s="123">
        <v>-587.85</v>
      </c>
      <c r="I1256" s="44"/>
      <c r="J1256" s="44"/>
      <c r="K1256" s="44"/>
      <c r="L1256" s="123">
        <v>6499.99</v>
      </c>
      <c r="M1256" s="44"/>
      <c r="N1256" s="44"/>
      <c r="O1256" s="123">
        <v>148932.0</v>
      </c>
      <c r="P1256" s="52">
        <f t="shared" si="23"/>
        <v>148932.15</v>
      </c>
      <c r="Q1256" s="124">
        <f t="shared" si="2"/>
        <v>-0.15</v>
      </c>
      <c r="R1256" s="52">
        <f t="array" ref="R1256">IFERROR(INDEX('Fund YTD Target Values'!$1:$1000, MATCH($C1256,'Fund YTD Target Values'!$A:$A,0), MATCH($A1256,'Fund YTD Target Values'!$1:$1,0)),0)</f>
        <v>213886.3799</v>
      </c>
      <c r="S1256" s="52">
        <f>IFERROR(__xludf.DUMMYFUNCTION("IFERROR(sum(FILTER('Fund Data'!$V:$V, 'Fund Data'!$C:$C = $C1256, 'Fund Data'!$A:$A &lt; $A1256)),0) + IFERROR(sum(FILTER('Fund Data'!$V:$V, 'Fund Data'!$C:$C = $C1256, 'Fund Data'!$A:$A = $A1256, 'Fund Data'!$B:$B &lt;= $B1256)),0)"),140000.0)</f>
        <v>140000</v>
      </c>
      <c r="T1256" s="123">
        <v>167565.0</v>
      </c>
      <c r="U1256" s="44">
        <f t="shared" si="118"/>
        <v>-27565</v>
      </c>
      <c r="V1256" s="44">
        <f t="shared" si="3"/>
        <v>0</v>
      </c>
      <c r="W1256" s="123"/>
      <c r="X1256" s="123"/>
      <c r="Y1256" s="123">
        <v>0.0</v>
      </c>
      <c r="Z1256" s="123">
        <v>0.0</v>
      </c>
      <c r="AA1256" s="123">
        <v>0.0</v>
      </c>
      <c r="AB1256" s="123"/>
      <c r="AC1256" s="123">
        <v>0.0</v>
      </c>
      <c r="AD1256" s="44">
        <f t="shared" si="7"/>
        <v>0</v>
      </c>
      <c r="AE1256" s="123">
        <v>0.0</v>
      </c>
    </row>
    <row r="1257">
      <c r="A1257" s="120">
        <v>2017.0</v>
      </c>
      <c r="B1257" s="121">
        <v>5.0</v>
      </c>
      <c r="C1257" s="122" t="s">
        <v>78</v>
      </c>
      <c r="D1257" s="44"/>
      <c r="E1257" s="123">
        <v>1045.86</v>
      </c>
      <c r="F1257" s="44"/>
      <c r="G1257" s="44"/>
      <c r="H1257" s="123">
        <v>-487.54</v>
      </c>
      <c r="I1257" s="44"/>
      <c r="J1257" s="44"/>
      <c r="K1257" s="44"/>
      <c r="L1257" s="123">
        <v>6184.08</v>
      </c>
      <c r="M1257" s="44"/>
      <c r="N1257" s="44"/>
      <c r="O1257" s="123">
        <v>148618.0</v>
      </c>
      <c r="P1257" s="52">
        <f t="shared" si="23"/>
        <v>148617.69</v>
      </c>
      <c r="Q1257" s="124">
        <f t="shared" si="2"/>
        <v>0.31</v>
      </c>
      <c r="R1257" s="52">
        <f t="array" ref="R1257">IFERROR(INDEX('Fund YTD Target Values'!$1:$1000, MATCH($C1257,'Fund YTD Target Values'!$A:$A,0), MATCH($A1257,'Fund YTD Target Values'!$1:$1,0)),0)</f>
        <v>213886.3799</v>
      </c>
      <c r="S1257" s="52">
        <f>IFERROR(__xludf.DUMMYFUNCTION("IFERROR(sum(FILTER('Fund Data'!$V:$V, 'Fund Data'!$C:$C = $C1257, 'Fund Data'!$A:$A &lt; $A1257)),0) + IFERROR(sum(FILTER('Fund Data'!$V:$V, 'Fund Data'!$C:$C = $C1257, 'Fund Data'!$A:$A = $A1257, 'Fund Data'!$B:$B &lt;= $B1257)),0)"),140000.0)</f>
        <v>140000</v>
      </c>
      <c r="T1257" s="123">
        <v>167565.0</v>
      </c>
      <c r="U1257" s="44">
        <f t="shared" si="118"/>
        <v>-27565</v>
      </c>
      <c r="V1257" s="44">
        <f t="shared" si="3"/>
        <v>0</v>
      </c>
      <c r="W1257" s="123"/>
      <c r="X1257" s="123"/>
      <c r="Y1257" s="123">
        <v>0.0</v>
      </c>
      <c r="Z1257" s="123">
        <v>0.0</v>
      </c>
      <c r="AA1257" s="123">
        <v>0.0</v>
      </c>
      <c r="AB1257" s="123"/>
      <c r="AC1257" s="123">
        <v>0.0</v>
      </c>
      <c r="AD1257" s="44">
        <f t="shared" si="7"/>
        <v>0</v>
      </c>
      <c r="AE1257" s="123">
        <v>0.0</v>
      </c>
    </row>
    <row r="1258">
      <c r="A1258" s="120">
        <v>2017.0</v>
      </c>
      <c r="B1258" s="121">
        <v>4.0</v>
      </c>
      <c r="C1258" s="122" t="s">
        <v>78</v>
      </c>
      <c r="D1258" s="44"/>
      <c r="E1258" s="123">
        <v>930.88</v>
      </c>
      <c r="F1258" s="44"/>
      <c r="G1258" s="44"/>
      <c r="H1258" s="123">
        <v>-388.34</v>
      </c>
      <c r="I1258" s="44"/>
      <c r="J1258" s="44"/>
      <c r="K1258" s="44"/>
      <c r="L1258" s="123">
        <v>4546.27</v>
      </c>
      <c r="M1258" s="44"/>
      <c r="N1258" s="44"/>
      <c r="O1258" s="123">
        <v>146964.0</v>
      </c>
      <c r="P1258" s="52">
        <f t="shared" si="23"/>
        <v>146964.1</v>
      </c>
      <c r="Q1258" s="124">
        <f t="shared" si="2"/>
        <v>-0.09999999998</v>
      </c>
      <c r="R1258" s="52">
        <f t="array" ref="R1258">IFERROR(INDEX('Fund YTD Target Values'!$1:$1000, MATCH($C1258,'Fund YTD Target Values'!$A:$A,0), MATCH($A1258,'Fund YTD Target Values'!$1:$1,0)),0)</f>
        <v>213886.3799</v>
      </c>
      <c r="S1258" s="52">
        <f>IFERROR(__xludf.DUMMYFUNCTION("IFERROR(sum(FILTER('Fund Data'!$V:$V, 'Fund Data'!$C:$C = $C1258, 'Fund Data'!$A:$A &lt; $A1258)),0) + IFERROR(sum(FILTER('Fund Data'!$V:$V, 'Fund Data'!$C:$C = $C1258, 'Fund Data'!$A:$A = $A1258, 'Fund Data'!$B:$B &lt;= $B1258)),0)"),140000.0)</f>
        <v>140000</v>
      </c>
      <c r="T1258" s="123">
        <v>167565.0</v>
      </c>
      <c r="U1258" s="44">
        <f t="shared" si="118"/>
        <v>-27565</v>
      </c>
      <c r="V1258" s="44">
        <f t="shared" si="3"/>
        <v>0</v>
      </c>
      <c r="W1258" s="123"/>
      <c r="X1258" s="123"/>
      <c r="Y1258" s="123">
        <v>0.0</v>
      </c>
      <c r="Z1258" s="123">
        <v>0.0</v>
      </c>
      <c r="AA1258" s="123">
        <v>0.0</v>
      </c>
      <c r="AB1258" s="123"/>
      <c r="AC1258" s="123">
        <v>0.0</v>
      </c>
      <c r="AD1258" s="44">
        <f t="shared" si="7"/>
        <v>0</v>
      </c>
      <c r="AE1258" s="123">
        <v>0.0</v>
      </c>
    </row>
    <row r="1259">
      <c r="A1259" s="120">
        <v>2017.0</v>
      </c>
      <c r="B1259" s="121">
        <v>3.0</v>
      </c>
      <c r="C1259" s="122" t="s">
        <v>78</v>
      </c>
      <c r="D1259" s="44"/>
      <c r="E1259" s="123">
        <v>694.54</v>
      </c>
      <c r="F1259" s="44"/>
      <c r="G1259" s="44"/>
      <c r="H1259" s="123">
        <v>-290.39</v>
      </c>
      <c r="I1259" s="44"/>
      <c r="J1259" s="44"/>
      <c r="K1259" s="44"/>
      <c r="L1259" s="123">
        <v>2833.98</v>
      </c>
      <c r="M1259" s="44"/>
      <c r="N1259" s="44"/>
      <c r="O1259" s="123">
        <v>145113.0</v>
      </c>
      <c r="P1259" s="52">
        <f t="shared" si="23"/>
        <v>145113.42</v>
      </c>
      <c r="Q1259" s="124">
        <f t="shared" si="2"/>
        <v>-0.42</v>
      </c>
      <c r="R1259" s="52">
        <f t="array" ref="R1259">IFERROR(INDEX('Fund YTD Target Values'!$1:$1000, MATCH($C1259,'Fund YTD Target Values'!$A:$A,0), MATCH($A1259,'Fund YTD Target Values'!$1:$1,0)),0)</f>
        <v>213886.3799</v>
      </c>
      <c r="S1259" s="52">
        <f>IFERROR(__xludf.DUMMYFUNCTION("IFERROR(sum(FILTER('Fund Data'!$V:$V, 'Fund Data'!$C:$C = $C1259, 'Fund Data'!$A:$A &lt; $A1259)),0) + IFERROR(sum(FILTER('Fund Data'!$V:$V, 'Fund Data'!$C:$C = $C1259, 'Fund Data'!$A:$A = $A1259, 'Fund Data'!$B:$B &lt;= $B1259)),0)"),140000.0)</f>
        <v>140000</v>
      </c>
      <c r="T1259" s="123">
        <v>167565.0</v>
      </c>
      <c r="U1259" s="44">
        <f t="shared" si="118"/>
        <v>-27565</v>
      </c>
      <c r="V1259" s="44">
        <f t="shared" si="3"/>
        <v>0</v>
      </c>
      <c r="W1259" s="123"/>
      <c r="X1259" s="123"/>
      <c r="Y1259" s="123">
        <v>0.0</v>
      </c>
      <c r="Z1259" s="123">
        <v>0.0</v>
      </c>
      <c r="AA1259" s="123">
        <v>0.0</v>
      </c>
      <c r="AB1259" s="123"/>
      <c r="AC1259" s="123">
        <v>0.0</v>
      </c>
      <c r="AD1259" s="44">
        <f t="shared" si="7"/>
        <v>0</v>
      </c>
      <c r="AE1259" s="123">
        <v>0.0</v>
      </c>
    </row>
    <row r="1260">
      <c r="A1260" s="120">
        <v>2017.0</v>
      </c>
      <c r="B1260" s="121">
        <v>2.0</v>
      </c>
      <c r="C1260" s="122" t="s">
        <v>78</v>
      </c>
      <c r="D1260" s="44"/>
      <c r="E1260" s="123">
        <v>620.58</v>
      </c>
      <c r="F1260" s="44"/>
      <c r="G1260" s="44"/>
      <c r="H1260" s="123">
        <v>-192.6</v>
      </c>
      <c r="I1260" s="44"/>
      <c r="J1260" s="44"/>
      <c r="K1260" s="44"/>
      <c r="L1260" s="123">
        <v>2568.52</v>
      </c>
      <c r="M1260" s="44"/>
      <c r="N1260" s="44"/>
      <c r="O1260" s="123">
        <v>144872.0</v>
      </c>
      <c r="P1260" s="52">
        <f t="shared" si="23"/>
        <v>144871.79</v>
      </c>
      <c r="Q1260" s="124">
        <f t="shared" si="2"/>
        <v>0.21</v>
      </c>
      <c r="R1260" s="52">
        <f t="array" ref="R1260">IFERROR(INDEX('Fund YTD Target Values'!$1:$1000, MATCH($C1260,'Fund YTD Target Values'!$A:$A,0), MATCH($A1260,'Fund YTD Target Values'!$1:$1,0)),0)</f>
        <v>213886.3799</v>
      </c>
      <c r="S1260" s="52">
        <f>IFERROR(__xludf.DUMMYFUNCTION("IFERROR(sum(FILTER('Fund Data'!$V:$V, 'Fund Data'!$C:$C = $C1260, 'Fund Data'!$A:$A &lt; $A1260)),0) + IFERROR(sum(FILTER('Fund Data'!$V:$V, 'Fund Data'!$C:$C = $C1260, 'Fund Data'!$A:$A = $A1260, 'Fund Data'!$B:$B &lt;= $B1260)),0)"),140000.0)</f>
        <v>140000</v>
      </c>
      <c r="T1260" s="123">
        <v>167565.0</v>
      </c>
      <c r="U1260" s="44">
        <f t="shared" si="118"/>
        <v>-27565</v>
      </c>
      <c r="V1260" s="44">
        <f t="shared" si="3"/>
        <v>0</v>
      </c>
      <c r="W1260" s="123"/>
      <c r="X1260" s="123"/>
      <c r="Y1260" s="123">
        <v>0.0</v>
      </c>
      <c r="Z1260" s="123">
        <v>0.0</v>
      </c>
      <c r="AA1260" s="123">
        <v>0.0</v>
      </c>
      <c r="AB1260" s="123"/>
      <c r="AC1260" s="123">
        <v>0.0</v>
      </c>
      <c r="AD1260" s="44">
        <f t="shared" si="7"/>
        <v>0</v>
      </c>
      <c r="AE1260" s="123">
        <v>0.0</v>
      </c>
    </row>
    <row r="1261">
      <c r="A1261" s="120">
        <v>2017.0</v>
      </c>
      <c r="B1261" s="121">
        <v>1.0</v>
      </c>
      <c r="C1261" s="122" t="s">
        <v>78</v>
      </c>
      <c r="D1261" s="44"/>
      <c r="E1261" s="123">
        <v>551.98</v>
      </c>
      <c r="F1261" s="44"/>
      <c r="G1261" s="44"/>
      <c r="H1261" s="123">
        <v>-95.77</v>
      </c>
      <c r="I1261" s="44"/>
      <c r="J1261" s="44"/>
      <c r="K1261" s="44"/>
      <c r="L1261" s="123">
        <v>1122.87</v>
      </c>
      <c r="M1261" s="44"/>
      <c r="N1261" s="44"/>
      <c r="O1261" s="123">
        <v>143454.0</v>
      </c>
      <c r="P1261" s="52">
        <f t="shared" si="23"/>
        <v>143454.37</v>
      </c>
      <c r="Q1261" s="124">
        <f t="shared" si="2"/>
        <v>-0.37</v>
      </c>
      <c r="R1261" s="52">
        <f t="array" ref="R1261">IFERROR(INDEX('Fund YTD Target Values'!$1:$1000, MATCH($C1261,'Fund YTD Target Values'!$A:$A,0), MATCH($A1261,'Fund YTD Target Values'!$1:$1,0)),0)</f>
        <v>213886.3799</v>
      </c>
      <c r="S1261" s="52">
        <f>IFERROR(__xludf.DUMMYFUNCTION("IFERROR(sum(FILTER('Fund Data'!$V:$V, 'Fund Data'!$C:$C = $C1261, 'Fund Data'!$A:$A &lt; $A1261)),0) + IFERROR(sum(FILTER('Fund Data'!$V:$V, 'Fund Data'!$C:$C = $C1261, 'Fund Data'!$A:$A = $A1261, 'Fund Data'!$B:$B &lt;= $B1261)),0)"),140000.0)</f>
        <v>140000</v>
      </c>
      <c r="T1261" s="123">
        <v>167565.0</v>
      </c>
      <c r="U1261" s="44">
        <f t="shared" si="118"/>
        <v>-27565</v>
      </c>
      <c r="V1261" s="44">
        <f t="shared" si="3"/>
        <v>0</v>
      </c>
      <c r="W1261" s="123"/>
      <c r="X1261" s="123"/>
      <c r="Y1261" s="123">
        <v>0.0</v>
      </c>
      <c r="Z1261" s="123">
        <v>0.0</v>
      </c>
      <c r="AA1261" s="123">
        <v>0.0</v>
      </c>
      <c r="AB1261" s="123"/>
      <c r="AC1261" s="123">
        <v>0.0</v>
      </c>
      <c r="AD1261" s="44">
        <f t="shared" si="7"/>
        <v>0</v>
      </c>
      <c r="AE1261" s="123">
        <v>0.0</v>
      </c>
    </row>
    <row r="1262">
      <c r="A1262" s="120">
        <v>2016.0</v>
      </c>
      <c r="B1262" s="121">
        <v>12.0</v>
      </c>
      <c r="C1262" s="122" t="s">
        <v>78</v>
      </c>
      <c r="D1262" s="123">
        <v>70000.0</v>
      </c>
      <c r="E1262" s="123">
        <v>1528.83</v>
      </c>
      <c r="F1262" s="44"/>
      <c r="G1262" s="123"/>
      <c r="H1262" s="123">
        <v>-611.6</v>
      </c>
      <c r="I1262" s="44"/>
      <c r="J1262" s="44"/>
      <c r="K1262" s="44"/>
      <c r="L1262" s="123">
        <v>3051.12</v>
      </c>
      <c r="M1262" s="44"/>
      <c r="N1262" s="44"/>
      <c r="O1262" s="123">
        <v>141875.0</v>
      </c>
      <c r="P1262" s="52">
        <f t="shared" si="23"/>
        <v>141875.29</v>
      </c>
      <c r="Q1262" s="124">
        <f t="shared" si="2"/>
        <v>-0.29</v>
      </c>
      <c r="R1262" s="52">
        <f t="array" ref="R1262">IFERROR(INDEX('Fund YTD Target Values'!$1:$1000, MATCH($C1262,'Fund YTD Target Values'!$A:$A,0), MATCH($A1262,'Fund YTD Target Values'!$1:$1,0)),0)</f>
        <v>140883.2907</v>
      </c>
      <c r="S1262" s="52">
        <f>IFERROR(__xludf.DUMMYFUNCTION("IFERROR(sum(FILTER('Fund Data'!$V:$V, 'Fund Data'!$C:$C = $C1262, 'Fund Data'!$A:$A &lt; $A1262)),0) + IFERROR(sum(FILTER('Fund Data'!$V:$V, 'Fund Data'!$C:$C = $C1262, 'Fund Data'!$A:$A = $A1262, 'Fund Data'!$B:$B &lt;= $B1262)),0)"),140000.0)</f>
        <v>140000</v>
      </c>
      <c r="T1262" s="123">
        <v>167565.0</v>
      </c>
      <c r="U1262" s="44">
        <f t="shared" si="118"/>
        <v>-27565</v>
      </c>
      <c r="V1262" s="44">
        <f t="shared" si="3"/>
        <v>70000</v>
      </c>
      <c r="W1262" s="123"/>
      <c r="X1262" s="123"/>
      <c r="Y1262" s="123">
        <v>0.0</v>
      </c>
      <c r="Z1262" s="123">
        <v>0.0</v>
      </c>
      <c r="AA1262" s="123">
        <v>0.0</v>
      </c>
      <c r="AB1262" s="123"/>
      <c r="AC1262" s="123">
        <v>0.0</v>
      </c>
      <c r="AD1262" s="44">
        <f t="shared" si="7"/>
        <v>0</v>
      </c>
      <c r="AE1262" s="123">
        <v>0.0</v>
      </c>
    </row>
    <row r="1263">
      <c r="A1263" s="120">
        <v>2015.0</v>
      </c>
      <c r="B1263" s="121">
        <v>12.0</v>
      </c>
      <c r="C1263" s="122" t="s">
        <v>78</v>
      </c>
      <c r="D1263" s="123">
        <v>70000.0</v>
      </c>
      <c r="E1263" s="123">
        <v>100.32</v>
      </c>
      <c r="F1263" s="44"/>
      <c r="G1263" s="123"/>
      <c r="H1263" s="123">
        <v>-46.88</v>
      </c>
      <c r="I1263" s="44"/>
      <c r="J1263" s="44"/>
      <c r="K1263" s="44"/>
      <c r="L1263" s="123">
        <v>-2146.5</v>
      </c>
      <c r="M1263" s="44"/>
      <c r="N1263" s="44"/>
      <c r="O1263" s="123">
        <v>67907.0</v>
      </c>
      <c r="P1263" s="52">
        <f t="shared" si="23"/>
        <v>67906.94</v>
      </c>
      <c r="Q1263" s="124">
        <f t="shared" si="2"/>
        <v>0.06</v>
      </c>
      <c r="R1263" s="52">
        <f t="array" ref="R1263">IFERROR(INDEX('Fund YTD Target Values'!$1:$1000, MATCH($C1263,'Fund YTD Target Values'!$A:$A,0), MATCH($A1263,'Fund YTD Target Values'!$1:$1,0)),0)</f>
        <v>70000</v>
      </c>
      <c r="S1263" s="52">
        <f>IFERROR(__xludf.DUMMYFUNCTION("IFERROR(sum(FILTER('Fund Data'!$V:$V, 'Fund Data'!$C:$C = $C1263, 'Fund Data'!$A:$A &lt; $A1263)),0) + IFERROR(sum(FILTER('Fund Data'!$V:$V, 'Fund Data'!$C:$C = $C1263, 'Fund Data'!$A:$A = $A1263, 'Fund Data'!$B:$B &lt;= $B1263)),0)"),70000.0)</f>
        <v>70000</v>
      </c>
      <c r="T1263" s="123">
        <v>85154.0</v>
      </c>
      <c r="U1263" s="44">
        <f t="shared" si="118"/>
        <v>-15154</v>
      </c>
      <c r="V1263" s="44">
        <f t="shared" si="3"/>
        <v>70000</v>
      </c>
      <c r="W1263" s="123"/>
      <c r="X1263" s="123"/>
      <c r="Y1263" s="123">
        <v>0.0</v>
      </c>
      <c r="Z1263" s="123">
        <v>0.0</v>
      </c>
      <c r="AA1263" s="123">
        <v>0.0</v>
      </c>
      <c r="AB1263" s="123"/>
      <c r="AC1263" s="123">
        <v>0.0</v>
      </c>
      <c r="AD1263" s="44">
        <f t="shared" si="7"/>
        <v>0</v>
      </c>
      <c r="AE1263" s="123">
        <v>0.0</v>
      </c>
    </row>
    <row r="1264">
      <c r="A1264" s="120">
        <v>2019.0</v>
      </c>
      <c r="B1264" s="121">
        <v>6.0</v>
      </c>
      <c r="C1264" s="122" t="s">
        <v>64</v>
      </c>
      <c r="D1264" s="44"/>
      <c r="E1264" s="123">
        <v>3324.97</v>
      </c>
      <c r="F1264" s="123">
        <v>-13000.0</v>
      </c>
      <c r="G1264" s="44"/>
      <c r="H1264" s="123">
        <v>-749.68</v>
      </c>
      <c r="I1264" s="44"/>
      <c r="J1264" s="123">
        <v>3314.76</v>
      </c>
      <c r="K1264" s="44"/>
      <c r="L1264" s="123">
        <v>22929.03</v>
      </c>
      <c r="M1264" s="44"/>
      <c r="N1264" s="44"/>
      <c r="O1264" s="123">
        <v>266537.12</v>
      </c>
      <c r="P1264" s="52">
        <f t="shared" si="23"/>
        <v>266538.01</v>
      </c>
      <c r="Q1264" s="124">
        <f t="shared" si="2"/>
        <v>-0.89</v>
      </c>
      <c r="R1264" s="52">
        <f t="array" ref="R1264">IFERROR(INDEX('Fund YTD Target Values'!$1:$1000, MATCH($C1264,'Fund YTD Target Values'!$A:$A,0), MATCH($A1264,'Fund YTD Target Values'!$1:$1,0)),0)</f>
        <v>327195.3923</v>
      </c>
      <c r="S1264" s="52">
        <f>IFERROR(__xludf.DUMMYFUNCTION("IFERROR(sum(FILTER('Fund Data'!$V:$V, 'Fund Data'!$C:$C = $C1264, 'Fund Data'!$A:$A &lt; $A1264)),0) + IFERROR(sum(FILTER('Fund Data'!$V:$V, 'Fund Data'!$C:$C = $C1264, 'Fund Data'!$A:$A = $A1264, 'Fund Data'!$B:$B &lt;= $B1264)),0)"),250000.0)</f>
        <v>250000</v>
      </c>
      <c r="T1264" s="123">
        <v>250000.0</v>
      </c>
      <c r="U1264" s="44">
        <f t="shared" si="118"/>
        <v>0</v>
      </c>
      <c r="V1264" s="44">
        <f t="shared" si="3"/>
        <v>0</v>
      </c>
      <c r="W1264" s="52">
        <f>IFERROR(__xludf.DUMMYFUNCTION("iFERROR((FILTER('Fund Data'!$Y:$Y, 'Fund Data'!$C:$C = $C1264, 'Fund Data'!$A:$A = $A1264 - 1, 'Fund Data'!$B:$B = 12) + FILTER('Fund Data'!$AA:$AA, 'Fund Data'!$C:$C = $C1264, 'Fund Data'!$A:$A = $A1264 - 1, 'Fund Data'!$B:$B = 12)) * (1 + AVERAGE(FILTER"&amp;"('Inflation Data'!$C:$C,'Inflation Data'!$A:$A = ($A1264 - 2)))) * 'Parameters and Distribution Sum'!$A$4,0)"),9221.513356912916)</f>
        <v>9221.513357</v>
      </c>
      <c r="X1264" s="52">
        <f>IFERROR(__xludf.DUMMYFUNCTION("IFERROR((IFERROR(FILTER('Fund Data'!$P:$P,'Fund Data'!$C:$C = $C1264,'Fund Data'!$A:$A = ($A1264 - 2), 'Fund Data'!$B:$B = 12),0) - SUM(FILTER('Fund Data'!$V:$V, 'Fund Data'!$C:$C = $C1264, 'Fund Data'!$A:$A = ($A1264 - 2), 'Fund Data'!$B:$B &gt; 3)))  * 'Pa"&amp;"rameters and Distribution Sum'!$B$4 * (1 - 'Parameters and Distribution Sum'!$A$4),0)"),3869.592345)</f>
        <v>3869.592345</v>
      </c>
      <c r="Y1264" s="52">
        <f t="shared" ref="Y1264:Y1269" si="119">sum($W1264:$X1264)</f>
        <v>13091.1057</v>
      </c>
      <c r="Z1264" s="52">
        <f>IFERROR(__xludf.DUMMYFUNCTION("((IFERROR((SUM(FILTER('Fund Data'!$V:$V, 'Fund Data'!$C:$C = $C1264, 'Fund Data'!$A:$A = $A1264 - 1, 'Fund Data'!$B:$B &gt;= 4, 'Fund Data'!$B:$B &lt;= ($B1264 + 5))) / 12) * ($B1264 - 3) * 'Parameters and Distribution Sum'!$B$4, 0) + IF($B1264 &gt;= 9, IFERROR(SU"&amp;"M(FILTER('Fund Data'!$V:$V, 'Fund Data'!$C:$C = $C1264, 'Fund Data'!$A:$A = $A1264, 'Fund Data'!$B:$B &lt;= 3)) * 'Parameters and Distribution Sum'!$B$4, 0),0)))"),0.0)</f>
        <v>0</v>
      </c>
      <c r="AA1264" s="44">
        <f>IFERROR(__xludf.DUMMYFUNCTION("IFERROR(((IFERROR(SUM(FILTER('Fund Data'!$V:$V, 'Fund Data'!$C:$C = $C1264, 'Fund Data'!$A:$A = $A1264 - 2, 'Fund Data'!$B:$B &gt;= 4)) * 'Parameters and Distribution Sum'!$B$4,0) + IFERROR(SUM(FILTER('Fund Data'!$V:$V, 'Fund Data'!$C:$C = $C1264, 'Fund Data"&amp;"'!$A:$A = $A1264 - 1, 'Fund Data'!$B:$B &lt;= 3)) * 'Parameters and Distribution Sum'!$B$4,0))),0)"),0.0)</f>
        <v>0</v>
      </c>
      <c r="AB1264" s="44">
        <f t="shared" ref="AB1264:AB1270" si="120">IFERROR(__xludf.DUMMYFUNCTION("IFERROR(FILTER($AE:$AE,$C:$C = $C1264,$A:$A = $A1264 - 1,$B:$B = 12),0)"),0.0)</f>
        <v>0</v>
      </c>
      <c r="AC1264" s="44">
        <f t="shared" ref="AC1264:AC1270" si="121">sum($Y1264:$AB1264)</f>
        <v>13091.1057</v>
      </c>
      <c r="AD1264" s="44">
        <f t="shared" si="7"/>
        <v>91.10570191</v>
      </c>
      <c r="AE1264" s="44"/>
    </row>
    <row r="1265">
      <c r="A1265" s="120">
        <v>2019.0</v>
      </c>
      <c r="B1265" s="121">
        <v>5.0</v>
      </c>
      <c r="C1265" s="122" t="s">
        <v>64</v>
      </c>
      <c r="D1265" s="44"/>
      <c r="E1265" s="123">
        <v>3047.41</v>
      </c>
      <c r="F1265" s="123">
        <v>-13000.0</v>
      </c>
      <c r="G1265" s="44"/>
      <c r="H1265" s="123">
        <v>-628.71</v>
      </c>
      <c r="I1265" s="44"/>
      <c r="J1265" s="123">
        <v>3314.76</v>
      </c>
      <c r="K1265" s="44"/>
      <c r="L1265" s="123">
        <v>12742.37</v>
      </c>
      <c r="M1265" s="44"/>
      <c r="N1265" s="44"/>
      <c r="O1265" s="123">
        <v>256193.87</v>
      </c>
      <c r="P1265" s="52">
        <f t="shared" si="23"/>
        <v>256194.76</v>
      </c>
      <c r="Q1265" s="124">
        <f t="shared" si="2"/>
        <v>-0.89</v>
      </c>
      <c r="R1265" s="52">
        <f t="array" ref="R1265">IFERROR(INDEX('Fund YTD Target Values'!$1:$1000, MATCH($C1265,'Fund YTD Target Values'!$A:$A,0), MATCH($A1265,'Fund YTD Target Values'!$1:$1,0)),0)</f>
        <v>327195.3923</v>
      </c>
      <c r="S1265" s="52">
        <f>IFERROR(__xludf.DUMMYFUNCTION("IFERROR(sum(FILTER('Fund Data'!$V:$V, 'Fund Data'!$C:$C = $C1265, 'Fund Data'!$A:$A &lt; $A1265)),0) + IFERROR(sum(FILTER('Fund Data'!$V:$V, 'Fund Data'!$C:$C = $C1265, 'Fund Data'!$A:$A = $A1265, 'Fund Data'!$B:$B &lt;= $B1265)),0)"),250000.0)</f>
        <v>250000</v>
      </c>
      <c r="T1265" s="123">
        <v>250000.0</v>
      </c>
      <c r="U1265" s="44">
        <f t="shared" si="118"/>
        <v>0</v>
      </c>
      <c r="V1265" s="44">
        <f t="shared" si="3"/>
        <v>0</v>
      </c>
      <c r="W1265" s="52">
        <f>IFERROR(__xludf.DUMMYFUNCTION("iFERROR((FILTER('Fund Data'!$Y:$Y, 'Fund Data'!$C:$C = $C1265, 'Fund Data'!$A:$A = $A1265 - 1, 'Fund Data'!$B:$B = 12) + FILTER('Fund Data'!$AA:$AA, 'Fund Data'!$C:$C = $C1265, 'Fund Data'!$A:$A = $A1265 - 1, 'Fund Data'!$B:$B = 12)) * (1 + AVERAGE(FILTER"&amp;"('Inflation Data'!$C:$C,'Inflation Data'!$A:$A = ($A1265 - 2)))) * 'Parameters and Distribution Sum'!$A$4,0)"),9221.513356912916)</f>
        <v>9221.513357</v>
      </c>
      <c r="X1265" s="52">
        <f>IFERROR(__xludf.DUMMYFUNCTION("IFERROR((IFERROR(FILTER('Fund Data'!$P:$P,'Fund Data'!$C:$C = $C1265,'Fund Data'!$A:$A = ($A1265 - 2), 'Fund Data'!$B:$B = 12),0) - SUM(FILTER('Fund Data'!$V:$V, 'Fund Data'!$C:$C = $C1265, 'Fund Data'!$A:$A = ($A1265 - 2), 'Fund Data'!$B:$B &gt; 3)))  * 'Pa"&amp;"rameters and Distribution Sum'!$B$4 * (1 - 'Parameters and Distribution Sum'!$A$4),0)"),3869.592345)</f>
        <v>3869.592345</v>
      </c>
      <c r="Y1265" s="52">
        <f t="shared" si="119"/>
        <v>13091.1057</v>
      </c>
      <c r="Z1265" s="52">
        <f>IFERROR(__xludf.DUMMYFUNCTION("((IFERROR((SUM(FILTER('Fund Data'!$V:$V, 'Fund Data'!$C:$C = $C1265, 'Fund Data'!$A:$A = $A1265 - 1, 'Fund Data'!$B:$B &gt;= 4, 'Fund Data'!$B:$B &lt;= ($B1265 + 5))) / 12) * ($B1265 - 3) * 'Parameters and Distribution Sum'!$B$4, 0) + IF($B1265 &gt;= 9, IFERROR(SU"&amp;"M(FILTER('Fund Data'!$V:$V, 'Fund Data'!$C:$C = $C1265, 'Fund Data'!$A:$A = $A1265, 'Fund Data'!$B:$B &lt;= 3)) * 'Parameters and Distribution Sum'!$B$4, 0),0)))"),0.0)</f>
        <v>0</v>
      </c>
      <c r="AA1265" s="44">
        <f>IFERROR(__xludf.DUMMYFUNCTION("IFERROR(((IFERROR(SUM(FILTER('Fund Data'!$V:$V, 'Fund Data'!$C:$C = $C1265, 'Fund Data'!$A:$A = $A1265 - 2, 'Fund Data'!$B:$B &gt;= 4)) * 'Parameters and Distribution Sum'!$B$4,0) + IFERROR(SUM(FILTER('Fund Data'!$V:$V, 'Fund Data'!$C:$C = $C1265, 'Fund Data"&amp;"'!$A:$A = $A1265 - 1, 'Fund Data'!$B:$B &lt;= 3)) * 'Parameters and Distribution Sum'!$B$4,0))),0)"),0.0)</f>
        <v>0</v>
      </c>
      <c r="AB1265" s="44">
        <f t="shared" si="120"/>
        <v>0</v>
      </c>
      <c r="AC1265" s="44">
        <f t="shared" si="121"/>
        <v>13091.1057</v>
      </c>
      <c r="AD1265" s="44">
        <f t="shared" si="7"/>
        <v>91.10570191</v>
      </c>
      <c r="AE1265" s="44"/>
    </row>
    <row r="1266">
      <c r="A1266" s="120">
        <v>2019.0</v>
      </c>
      <c r="B1266" s="121">
        <v>4.0</v>
      </c>
      <c r="C1266" s="122" t="s">
        <v>64</v>
      </c>
      <c r="D1266" s="44"/>
      <c r="E1266" s="123">
        <v>2812.99</v>
      </c>
      <c r="F1266" s="44"/>
      <c r="G1266" s="44"/>
      <c r="H1266" s="123">
        <v>-498.3</v>
      </c>
      <c r="I1266" s="44"/>
      <c r="J1266" s="44"/>
      <c r="K1266" s="44"/>
      <c r="L1266" s="123">
        <v>26348.97</v>
      </c>
      <c r="M1266" s="44"/>
      <c r="N1266" s="44"/>
      <c r="O1266" s="123">
        <v>279382.0</v>
      </c>
      <c r="P1266" s="52">
        <f t="shared" si="23"/>
        <v>279382.59</v>
      </c>
      <c r="Q1266" s="124">
        <f t="shared" si="2"/>
        <v>-0.59</v>
      </c>
      <c r="R1266" s="52">
        <f t="array" ref="R1266">IFERROR(INDEX('Fund YTD Target Values'!$1:$1000, MATCH($C1266,'Fund YTD Target Values'!$A:$A,0), MATCH($A1266,'Fund YTD Target Values'!$1:$1,0)),0)</f>
        <v>327195.3923</v>
      </c>
      <c r="S1266" s="52">
        <f>IFERROR(__xludf.DUMMYFUNCTION("IFERROR(sum(FILTER('Fund Data'!$V:$V, 'Fund Data'!$C:$C = $C1266, 'Fund Data'!$A:$A &lt; $A1266)),0) + IFERROR(sum(FILTER('Fund Data'!$V:$V, 'Fund Data'!$C:$C = $C1266, 'Fund Data'!$A:$A = $A1266, 'Fund Data'!$B:$B &lt;= $B1266)),0)"),250000.0)</f>
        <v>250000</v>
      </c>
      <c r="T1266" s="123">
        <v>250000.0</v>
      </c>
      <c r="U1266" s="44">
        <f t="shared" si="118"/>
        <v>0</v>
      </c>
      <c r="V1266" s="44">
        <f t="shared" si="3"/>
        <v>0</v>
      </c>
      <c r="W1266" s="52">
        <f>IFERROR(__xludf.DUMMYFUNCTION("iFERROR((FILTER('Fund Data'!$Y:$Y, 'Fund Data'!$C:$C = $C1266, 'Fund Data'!$A:$A = $A1266 - 1, 'Fund Data'!$B:$B = 12) + FILTER('Fund Data'!$AA:$AA, 'Fund Data'!$C:$C = $C1266, 'Fund Data'!$A:$A = $A1266 - 1, 'Fund Data'!$B:$B = 12)) * (1 + AVERAGE(FILTER"&amp;"('Inflation Data'!$C:$C,'Inflation Data'!$A:$A = ($A1266 - 2)))) * 'Parameters and Distribution Sum'!$A$4,0)"),9221.513356912916)</f>
        <v>9221.513357</v>
      </c>
      <c r="X1266" s="52">
        <f>IFERROR(__xludf.DUMMYFUNCTION("IFERROR((IFERROR(FILTER('Fund Data'!$P:$P,'Fund Data'!$C:$C = $C1266,'Fund Data'!$A:$A = ($A1266 - 2), 'Fund Data'!$B:$B = 12),0) - SUM(FILTER('Fund Data'!$V:$V, 'Fund Data'!$C:$C = $C1266, 'Fund Data'!$A:$A = ($A1266 - 2), 'Fund Data'!$B:$B &gt; 3)))  * 'Pa"&amp;"rameters and Distribution Sum'!$B$4 * (1 - 'Parameters and Distribution Sum'!$A$4),0)"),3869.592345)</f>
        <v>3869.592345</v>
      </c>
      <c r="Y1266" s="52">
        <f t="shared" si="119"/>
        <v>13091.1057</v>
      </c>
      <c r="Z1266" s="52">
        <f>IFERROR(__xludf.DUMMYFUNCTION("((IFERROR((SUM(FILTER('Fund Data'!$V:$V, 'Fund Data'!$C:$C = $C1266, 'Fund Data'!$A:$A = $A1266 - 1, 'Fund Data'!$B:$B &gt;= 4, 'Fund Data'!$B:$B &lt;= ($B1266 + 5))) / 12) * ($B1266 - 3) * 'Parameters and Distribution Sum'!$B$4, 0) + IF($B1266 &gt;= 9, IFERROR(SU"&amp;"M(FILTER('Fund Data'!$V:$V, 'Fund Data'!$C:$C = $C1266, 'Fund Data'!$A:$A = $A1266, 'Fund Data'!$B:$B &lt;= 3)) * 'Parameters and Distribution Sum'!$B$4, 0),0)))"),0.0)</f>
        <v>0</v>
      </c>
      <c r="AA1266" s="44">
        <f>IFERROR(__xludf.DUMMYFUNCTION("IFERROR(((IFERROR(SUM(FILTER('Fund Data'!$V:$V, 'Fund Data'!$C:$C = $C1266, 'Fund Data'!$A:$A = $A1266 - 2, 'Fund Data'!$B:$B &gt;= 4)) * 'Parameters and Distribution Sum'!$B$4,0) + IFERROR(SUM(FILTER('Fund Data'!$V:$V, 'Fund Data'!$C:$C = $C1266, 'Fund Data"&amp;"'!$A:$A = $A1266 - 1, 'Fund Data'!$B:$B &lt;= 3)) * 'Parameters and Distribution Sum'!$B$4,0))),0)"),0.0)</f>
        <v>0</v>
      </c>
      <c r="AB1266" s="44">
        <f t="shared" si="120"/>
        <v>0</v>
      </c>
      <c r="AC1266" s="44">
        <f t="shared" si="121"/>
        <v>13091.1057</v>
      </c>
      <c r="AD1266" s="44">
        <f t="shared" si="7"/>
        <v>13091.1057</v>
      </c>
      <c r="AE1266" s="44"/>
    </row>
    <row r="1267">
      <c r="A1267" s="120">
        <v>2019.0</v>
      </c>
      <c r="B1267" s="121">
        <v>3.0</v>
      </c>
      <c r="C1267" s="122" t="s">
        <v>64</v>
      </c>
      <c r="D1267" s="44"/>
      <c r="E1267" s="123">
        <v>2125.89</v>
      </c>
      <c r="F1267" s="44"/>
      <c r="G1267" s="44"/>
      <c r="H1267" s="123">
        <v>-370.48</v>
      </c>
      <c r="I1267" s="44"/>
      <c r="J1267" s="44"/>
      <c r="K1267" s="44"/>
      <c r="L1267" s="123">
        <v>20907.67</v>
      </c>
      <c r="M1267" s="44"/>
      <c r="N1267" s="44"/>
      <c r="O1267" s="123">
        <v>273381.0</v>
      </c>
      <c r="P1267" s="52">
        <f t="shared" si="23"/>
        <v>273382.01</v>
      </c>
      <c r="Q1267" s="124">
        <f t="shared" si="2"/>
        <v>-1.01</v>
      </c>
      <c r="R1267" s="52">
        <f t="array" ref="R1267">IFERROR(INDEX('Fund YTD Target Values'!$1:$1000, MATCH($C1267,'Fund YTD Target Values'!$A:$A,0), MATCH($A1267,'Fund YTD Target Values'!$1:$1,0)),0)</f>
        <v>327195.3923</v>
      </c>
      <c r="S1267" s="52">
        <f>IFERROR(__xludf.DUMMYFUNCTION("IFERROR(sum(FILTER('Fund Data'!$V:$V, 'Fund Data'!$C:$C = $C1267, 'Fund Data'!$A:$A &lt; $A1267)),0) + IFERROR(sum(FILTER('Fund Data'!$V:$V, 'Fund Data'!$C:$C = $C1267, 'Fund Data'!$A:$A = $A1267, 'Fund Data'!$B:$B &lt;= $B1267)),0)"),250000.0)</f>
        <v>250000</v>
      </c>
      <c r="T1267" s="123">
        <v>250000.0</v>
      </c>
      <c r="U1267" s="44">
        <f t="shared" si="118"/>
        <v>0</v>
      </c>
      <c r="V1267" s="44">
        <f t="shared" si="3"/>
        <v>0</v>
      </c>
      <c r="W1267" s="52">
        <f>IFERROR(__xludf.DUMMYFUNCTION("iFERROR((FILTER('Fund Data'!$Y:$Y, 'Fund Data'!$C:$C = $C1267, 'Fund Data'!$A:$A = $A1267 - 1, 'Fund Data'!$B:$B = 12) + FILTER('Fund Data'!$AA:$AA, 'Fund Data'!$C:$C = $C1267, 'Fund Data'!$A:$A = $A1267 - 1, 'Fund Data'!$B:$B = 12)) * (1 + AVERAGE(FILTER"&amp;"('Inflation Data'!$C:$C,'Inflation Data'!$A:$A = ($A1267 - 2)))) * 'Parameters and Distribution Sum'!$A$4,0)"),9221.513356912916)</f>
        <v>9221.513357</v>
      </c>
      <c r="X1267" s="52">
        <f>IFERROR(__xludf.DUMMYFUNCTION("IFERROR((IFERROR(FILTER('Fund Data'!$P:$P,'Fund Data'!$C:$C = $C1267,'Fund Data'!$A:$A = ($A1267 - 2), 'Fund Data'!$B:$B = 12),0) - SUM(FILTER('Fund Data'!$V:$V, 'Fund Data'!$C:$C = $C1267, 'Fund Data'!$A:$A = ($A1267 - 2), 'Fund Data'!$B:$B &gt; 3)))  * 'Pa"&amp;"rameters and Distribution Sum'!$B$4 * (1 - 'Parameters and Distribution Sum'!$A$4),0)"),3869.592345)</f>
        <v>3869.592345</v>
      </c>
      <c r="Y1267" s="52">
        <f t="shared" si="119"/>
        <v>13091.1057</v>
      </c>
      <c r="Z1267" s="52">
        <f>IFERROR(__xludf.DUMMYFUNCTION("((IFERROR((SUM(FILTER('Fund Data'!$V:$V, 'Fund Data'!$C:$C = $C1267, 'Fund Data'!$A:$A = $A1267 - 1, 'Fund Data'!$B:$B &gt;= 4, 'Fund Data'!$B:$B &lt;= ($B1267 + 5))) / 12) * ($B1267 - 3) * 'Parameters and Distribution Sum'!$B$4, 0) + IF($B1267 &gt;= 9, IFERROR(SU"&amp;"M(FILTER('Fund Data'!$V:$V, 'Fund Data'!$C:$C = $C1267, 'Fund Data'!$A:$A = $A1267, 'Fund Data'!$B:$B &lt;= 3)) * 'Parameters and Distribution Sum'!$B$4, 0),0)))"),0.0)</f>
        <v>0</v>
      </c>
      <c r="AA1267" s="44">
        <f>IFERROR(__xludf.DUMMYFUNCTION("IFERROR(((IFERROR(SUM(FILTER('Fund Data'!$V:$V, 'Fund Data'!$C:$C = $C1267, 'Fund Data'!$A:$A = $A1267 - 2, 'Fund Data'!$B:$B &gt;= 4)) * 'Parameters and Distribution Sum'!$B$4,0) + IFERROR(SUM(FILTER('Fund Data'!$V:$V, 'Fund Data'!$C:$C = $C1267, 'Fund Data"&amp;"'!$A:$A = $A1267 - 1, 'Fund Data'!$B:$B &lt;= 3)) * 'Parameters and Distribution Sum'!$B$4,0))),0)"),0.0)</f>
        <v>0</v>
      </c>
      <c r="AB1267" s="44">
        <f t="shared" si="120"/>
        <v>0</v>
      </c>
      <c r="AC1267" s="44">
        <f t="shared" si="121"/>
        <v>13091.1057</v>
      </c>
      <c r="AD1267" s="44">
        <f t="shared" si="7"/>
        <v>13091.1057</v>
      </c>
      <c r="AE1267" s="44"/>
    </row>
    <row r="1268">
      <c r="A1268" s="120">
        <v>2019.0</v>
      </c>
      <c r="B1268" s="121">
        <v>2.0</v>
      </c>
      <c r="C1268" s="122" t="s">
        <v>64</v>
      </c>
      <c r="D1268" s="44"/>
      <c r="E1268" s="123">
        <v>1797.33</v>
      </c>
      <c r="F1268" s="44"/>
      <c r="G1268" s="44"/>
      <c r="H1268" s="123">
        <v>-243.47</v>
      </c>
      <c r="I1268" s="44"/>
      <c r="J1268" s="44"/>
      <c r="K1268" s="44"/>
      <c r="L1268" s="123">
        <v>19354.31</v>
      </c>
      <c r="M1268" s="44"/>
      <c r="N1268" s="44"/>
      <c r="O1268" s="123">
        <v>271626.0</v>
      </c>
      <c r="P1268" s="52">
        <f t="shared" si="23"/>
        <v>271627.1</v>
      </c>
      <c r="Q1268" s="124">
        <f t="shared" si="2"/>
        <v>-1.1</v>
      </c>
      <c r="R1268" s="52">
        <f t="array" ref="R1268">IFERROR(INDEX('Fund YTD Target Values'!$1:$1000, MATCH($C1268,'Fund YTD Target Values'!$A:$A,0), MATCH($A1268,'Fund YTD Target Values'!$1:$1,0)),0)</f>
        <v>327195.3923</v>
      </c>
      <c r="S1268" s="52">
        <f>IFERROR(__xludf.DUMMYFUNCTION("IFERROR(sum(FILTER('Fund Data'!$V:$V, 'Fund Data'!$C:$C = $C1268, 'Fund Data'!$A:$A &lt; $A1268)),0) + IFERROR(sum(FILTER('Fund Data'!$V:$V, 'Fund Data'!$C:$C = $C1268, 'Fund Data'!$A:$A = $A1268, 'Fund Data'!$B:$B &lt;= $B1268)),0)"),250000.0)</f>
        <v>250000</v>
      </c>
      <c r="T1268" s="123">
        <v>250000.0</v>
      </c>
      <c r="U1268" s="44">
        <f t="shared" si="118"/>
        <v>0</v>
      </c>
      <c r="V1268" s="44">
        <f t="shared" si="3"/>
        <v>0</v>
      </c>
      <c r="W1268" s="52">
        <f>IFERROR(__xludf.DUMMYFUNCTION("iFERROR((FILTER('Fund Data'!$Y:$Y, 'Fund Data'!$C:$C = $C1268, 'Fund Data'!$A:$A = $A1268 - 1, 'Fund Data'!$B:$B = 12) + FILTER('Fund Data'!$AA:$AA, 'Fund Data'!$C:$C = $C1268, 'Fund Data'!$A:$A = $A1268 - 1, 'Fund Data'!$B:$B = 12)) * (1 + AVERAGE(FILTER"&amp;"('Inflation Data'!$C:$C,'Inflation Data'!$A:$A = ($A1268 - 2)))) * 'Parameters and Distribution Sum'!$A$4,0)"),9221.513356912916)</f>
        <v>9221.513357</v>
      </c>
      <c r="X1268" s="52">
        <f>IFERROR(__xludf.DUMMYFUNCTION("IFERROR((IFERROR(FILTER('Fund Data'!$P:$P,'Fund Data'!$C:$C = $C1268,'Fund Data'!$A:$A = ($A1268 - 2), 'Fund Data'!$B:$B = 12),0) - SUM(FILTER('Fund Data'!$V:$V, 'Fund Data'!$C:$C = $C1268, 'Fund Data'!$A:$A = ($A1268 - 2), 'Fund Data'!$B:$B &gt; 3)))  * 'Pa"&amp;"rameters and Distribution Sum'!$B$4 * (1 - 'Parameters and Distribution Sum'!$A$4),0)"),3869.592345)</f>
        <v>3869.592345</v>
      </c>
      <c r="Y1268" s="52">
        <f t="shared" si="119"/>
        <v>13091.1057</v>
      </c>
      <c r="Z1268" s="52">
        <f>IFERROR(__xludf.DUMMYFUNCTION("((IFERROR((SUM(FILTER('Fund Data'!$V:$V, 'Fund Data'!$C:$C = $C1268, 'Fund Data'!$A:$A = $A1268 - 1, 'Fund Data'!$B:$B &gt;= 4, 'Fund Data'!$B:$B &lt;= ($B1268 + 5))) / 12) * ($B1268 - 3) * 'Parameters and Distribution Sum'!$B$4, 0) + IF($B1268 &gt;= 9, IFERROR(SU"&amp;"M(FILTER('Fund Data'!$V:$V, 'Fund Data'!$C:$C = $C1268, 'Fund Data'!$A:$A = $A1268, 'Fund Data'!$B:$B &lt;= 3)) * 'Parameters and Distribution Sum'!$B$4, 0),0)))"),0.0)</f>
        <v>0</v>
      </c>
      <c r="AA1268" s="44">
        <f>IFERROR(__xludf.DUMMYFUNCTION("IFERROR(((IFERROR(SUM(FILTER('Fund Data'!$V:$V, 'Fund Data'!$C:$C = $C1268, 'Fund Data'!$A:$A = $A1268 - 2, 'Fund Data'!$B:$B &gt;= 4)) * 'Parameters and Distribution Sum'!$B$4,0) + IFERROR(SUM(FILTER('Fund Data'!$V:$V, 'Fund Data'!$C:$C = $C1268, 'Fund Data"&amp;"'!$A:$A = $A1268 - 1, 'Fund Data'!$B:$B &lt;= 3)) * 'Parameters and Distribution Sum'!$B$4,0))),0)"),0.0)</f>
        <v>0</v>
      </c>
      <c r="AB1268" s="44">
        <f t="shared" si="120"/>
        <v>0</v>
      </c>
      <c r="AC1268" s="44">
        <f t="shared" si="121"/>
        <v>13091.1057</v>
      </c>
      <c r="AD1268" s="44">
        <f t="shared" si="7"/>
        <v>13091.1057</v>
      </c>
      <c r="AE1268" s="44"/>
    </row>
    <row r="1269">
      <c r="A1269" s="120">
        <v>2019.0</v>
      </c>
      <c r="B1269" s="121">
        <v>1.0</v>
      </c>
      <c r="C1269" s="122" t="s">
        <v>64</v>
      </c>
      <c r="D1269" s="44"/>
      <c r="E1269" s="123">
        <v>1662.36</v>
      </c>
      <c r="F1269" s="44"/>
      <c r="G1269" s="44"/>
      <c r="H1269" s="123">
        <v>-118.29</v>
      </c>
      <c r="I1269" s="44"/>
      <c r="J1269" s="44"/>
      <c r="K1269" s="44"/>
      <c r="L1269" s="123">
        <v>14972.2</v>
      </c>
      <c r="M1269" s="44"/>
      <c r="N1269" s="44"/>
      <c r="O1269" s="123">
        <v>267234.0</v>
      </c>
      <c r="P1269" s="52">
        <f t="shared" si="23"/>
        <v>267235.2</v>
      </c>
      <c r="Q1269" s="124">
        <f t="shared" si="2"/>
        <v>-1.2</v>
      </c>
      <c r="R1269" s="52">
        <f t="array" ref="R1269">IFERROR(INDEX('Fund YTD Target Values'!$1:$1000, MATCH($C1269,'Fund YTD Target Values'!$A:$A,0), MATCH($A1269,'Fund YTD Target Values'!$1:$1,0)),0)</f>
        <v>327195.3923</v>
      </c>
      <c r="S1269" s="52">
        <f>IFERROR(__xludf.DUMMYFUNCTION("IFERROR(sum(FILTER('Fund Data'!$V:$V, 'Fund Data'!$C:$C = $C1269, 'Fund Data'!$A:$A &lt; $A1269)),0) + IFERROR(sum(FILTER('Fund Data'!$V:$V, 'Fund Data'!$C:$C = $C1269, 'Fund Data'!$A:$A = $A1269, 'Fund Data'!$B:$B &lt;= $B1269)),0)"),250000.0)</f>
        <v>250000</v>
      </c>
      <c r="T1269" s="123">
        <v>250000.0</v>
      </c>
      <c r="U1269" s="44">
        <f t="shared" si="118"/>
        <v>0</v>
      </c>
      <c r="V1269" s="44">
        <f t="shared" si="3"/>
        <v>0</v>
      </c>
      <c r="W1269" s="52">
        <f>IFERROR(__xludf.DUMMYFUNCTION("iFERROR((FILTER('Fund Data'!$Y:$Y, 'Fund Data'!$C:$C = $C1269, 'Fund Data'!$A:$A = $A1269 - 1, 'Fund Data'!$B:$B = 12) + FILTER('Fund Data'!$AA:$AA, 'Fund Data'!$C:$C = $C1269, 'Fund Data'!$A:$A = $A1269 - 1, 'Fund Data'!$B:$B = 12)) * (1 + AVERAGE(FILTER"&amp;"('Inflation Data'!$C:$C,'Inflation Data'!$A:$A = ($A1269 - 2)))) * 'Parameters and Distribution Sum'!$A$4,0)"),9221.513356912916)</f>
        <v>9221.513357</v>
      </c>
      <c r="X1269" s="52">
        <f>IFERROR(__xludf.DUMMYFUNCTION("IFERROR((IFERROR(FILTER('Fund Data'!$P:$P,'Fund Data'!$C:$C = $C1269,'Fund Data'!$A:$A = ($A1269 - 2), 'Fund Data'!$B:$B = 12),0) - SUM(FILTER('Fund Data'!$V:$V, 'Fund Data'!$C:$C = $C1269, 'Fund Data'!$A:$A = ($A1269 - 2), 'Fund Data'!$B:$B &gt; 3)))  * 'Pa"&amp;"rameters and Distribution Sum'!$B$4 * (1 - 'Parameters and Distribution Sum'!$A$4),0)"),3869.592345)</f>
        <v>3869.592345</v>
      </c>
      <c r="Y1269" s="52">
        <f t="shared" si="119"/>
        <v>13091.1057</v>
      </c>
      <c r="Z1269" s="52">
        <f>IFERROR(__xludf.DUMMYFUNCTION("((IFERROR((SUM(FILTER('Fund Data'!$V:$V, 'Fund Data'!$C:$C = $C1269, 'Fund Data'!$A:$A = $A1269 - 1, 'Fund Data'!$B:$B &gt;= 4, 'Fund Data'!$B:$B &lt;= ($B1269 + 5))) / 12) * ($B1269 - 3) * 'Parameters and Distribution Sum'!$B$4, 0) + IF($B1269 &gt;= 9, IFERROR(SU"&amp;"M(FILTER('Fund Data'!$V:$V, 'Fund Data'!$C:$C = $C1269, 'Fund Data'!$A:$A = $A1269, 'Fund Data'!$B:$B &lt;= 3)) * 'Parameters and Distribution Sum'!$B$4, 0),0)))"),0.0)</f>
        <v>0</v>
      </c>
      <c r="AA1269" s="44">
        <f>IFERROR(__xludf.DUMMYFUNCTION("IFERROR(((IFERROR(SUM(FILTER('Fund Data'!$V:$V, 'Fund Data'!$C:$C = $C1269, 'Fund Data'!$A:$A = $A1269 - 2, 'Fund Data'!$B:$B &gt;= 4)) * 'Parameters and Distribution Sum'!$B$4,0) + IFERROR(SUM(FILTER('Fund Data'!$V:$V, 'Fund Data'!$C:$C = $C1269, 'Fund Data"&amp;"'!$A:$A = $A1269 - 1, 'Fund Data'!$B:$B &lt;= 3)) * 'Parameters and Distribution Sum'!$B$4,0))),0)"),0.0)</f>
        <v>0</v>
      </c>
      <c r="AB1269" s="44">
        <f t="shared" si="120"/>
        <v>0</v>
      </c>
      <c r="AC1269" s="44">
        <f t="shared" si="121"/>
        <v>13091.1057</v>
      </c>
      <c r="AD1269" s="44">
        <f t="shared" si="7"/>
        <v>13091.1057</v>
      </c>
      <c r="AE1269" s="44"/>
    </row>
    <row r="1270">
      <c r="A1270" s="120">
        <v>2018.0</v>
      </c>
      <c r="B1270" s="121">
        <v>12.0</v>
      </c>
      <c r="C1270" s="122" t="s">
        <v>64</v>
      </c>
      <c r="D1270" s="44"/>
      <c r="E1270" s="123">
        <v>6056.6</v>
      </c>
      <c r="F1270" s="123">
        <v>-15000.0</v>
      </c>
      <c r="G1270" s="44"/>
      <c r="H1270" s="123">
        <v>-1665.52</v>
      </c>
      <c r="I1270" s="44"/>
      <c r="J1270" s="123">
        <v>3844.32</v>
      </c>
      <c r="K1270" s="44"/>
      <c r="L1270" s="123">
        <v>-29152.94</v>
      </c>
      <c r="M1270" s="44"/>
      <c r="N1270" s="44"/>
      <c r="O1270" s="123">
        <v>250718.0</v>
      </c>
      <c r="P1270" s="52">
        <f t="shared" si="23"/>
        <v>250718.93</v>
      </c>
      <c r="Q1270" s="124">
        <f t="shared" si="2"/>
        <v>-0.93</v>
      </c>
      <c r="R1270" s="52">
        <f t="array" ref="R1270">IFERROR(INDEX('Fund YTD Target Values'!$1:$1000, MATCH($C1270,'Fund YTD Target Values'!$A:$A,0), MATCH($A1270,'Fund YTD Target Values'!$1:$1,0)),0)</f>
        <v>321586.5616</v>
      </c>
      <c r="S1270" s="52">
        <f>IFERROR(__xludf.DUMMYFUNCTION("IFERROR(sum(FILTER('Fund Data'!$V:$V, 'Fund Data'!$C:$C = $C1270, 'Fund Data'!$A:$A &lt; $A1270)),0) + IFERROR(sum(FILTER('Fund Data'!$V:$V, 'Fund Data'!$C:$C = $C1270, 'Fund Data'!$A:$A = $A1270, 'Fund Data'!$B:$B &lt;= $B1270)),0)"),250000.0)</f>
        <v>250000</v>
      </c>
      <c r="T1270" s="123">
        <v>250000.0</v>
      </c>
      <c r="U1270" s="44">
        <f t="shared" si="118"/>
        <v>0</v>
      </c>
      <c r="V1270" s="44">
        <f t="shared" si="3"/>
        <v>0</v>
      </c>
      <c r="W1270" s="52"/>
      <c r="X1270" s="52"/>
      <c r="Y1270" s="52">
        <v>12898.641150000003</v>
      </c>
      <c r="Z1270" s="123">
        <v>0.0</v>
      </c>
      <c r="AA1270" s="123">
        <v>0.0</v>
      </c>
      <c r="AB1270" s="44">
        <f t="shared" si="120"/>
        <v>0</v>
      </c>
      <c r="AC1270" s="44">
        <f t="shared" si="121"/>
        <v>12898.64115</v>
      </c>
      <c r="AD1270" s="44">
        <f t="shared" si="7"/>
        <v>-2101.35885</v>
      </c>
      <c r="AE1270" s="123">
        <v>0.0</v>
      </c>
    </row>
    <row r="1271">
      <c r="A1271" s="120">
        <v>2018.0</v>
      </c>
      <c r="B1271" s="121">
        <v>11.0</v>
      </c>
      <c r="C1271" s="122" t="s">
        <v>64</v>
      </c>
      <c r="D1271" s="44"/>
      <c r="E1271" s="123">
        <v>5703.2</v>
      </c>
      <c r="F1271" s="123">
        <v>-15000.0</v>
      </c>
      <c r="G1271" s="44"/>
      <c r="H1271" s="123">
        <v>-1541.06</v>
      </c>
      <c r="I1271" s="44"/>
      <c r="J1271" s="123">
        <v>3844.32</v>
      </c>
      <c r="K1271" s="44"/>
      <c r="L1271" s="123">
        <v>-14338.8</v>
      </c>
      <c r="M1271" s="44"/>
      <c r="N1271" s="44"/>
      <c r="O1271" s="123">
        <v>265303.0</v>
      </c>
      <c r="P1271" s="52">
        <f t="shared" si="23"/>
        <v>265304.13</v>
      </c>
      <c r="Q1271" s="124">
        <f t="shared" si="2"/>
        <v>-1.13</v>
      </c>
      <c r="R1271" s="52">
        <f t="array" ref="R1271">IFERROR(INDEX('Fund YTD Target Values'!$1:$1000, MATCH($C1271,'Fund YTD Target Values'!$A:$A,0), MATCH($A1271,'Fund YTD Target Values'!$1:$1,0)),0)</f>
        <v>321586.5616</v>
      </c>
      <c r="S1271" s="52">
        <f>IFERROR(__xludf.DUMMYFUNCTION("IFERROR(sum(FILTER('Fund Data'!$V:$V, 'Fund Data'!$C:$C = $C1271, 'Fund Data'!$A:$A &lt; $A1271)),0) + IFERROR(sum(FILTER('Fund Data'!$V:$V, 'Fund Data'!$C:$C = $C1271, 'Fund Data'!$A:$A = $A1271, 'Fund Data'!$B:$B &lt;= $B1271)),0)"),250000.0)</f>
        <v>250000</v>
      </c>
      <c r="T1271" s="123">
        <v>250000.0</v>
      </c>
      <c r="U1271" s="44">
        <f t="shared" si="118"/>
        <v>0</v>
      </c>
      <c r="V1271" s="44">
        <f t="shared" si="3"/>
        <v>0</v>
      </c>
      <c r="W1271" s="123"/>
      <c r="X1271" s="123"/>
      <c r="Y1271" s="123">
        <v>0.0</v>
      </c>
      <c r="Z1271" s="123">
        <v>0.0</v>
      </c>
      <c r="AA1271" s="123">
        <v>0.0</v>
      </c>
      <c r="AB1271" s="123"/>
      <c r="AC1271" s="123">
        <v>0.0</v>
      </c>
      <c r="AD1271" s="44">
        <f t="shared" si="7"/>
        <v>-15000</v>
      </c>
      <c r="AE1271" s="123">
        <v>0.0</v>
      </c>
    </row>
    <row r="1272">
      <c r="A1272" s="120">
        <v>2018.0</v>
      </c>
      <c r="B1272" s="121">
        <v>10.0</v>
      </c>
      <c r="C1272" s="135" t="s">
        <v>64</v>
      </c>
      <c r="D1272" s="138"/>
      <c r="E1272" s="137">
        <v>5467.48</v>
      </c>
      <c r="F1272" s="136">
        <v>-15000.0</v>
      </c>
      <c r="G1272" s="138"/>
      <c r="H1272" s="137">
        <v>-1288.54</v>
      </c>
      <c r="I1272" s="138"/>
      <c r="J1272" s="136">
        <v>3844.32</v>
      </c>
      <c r="K1272" s="138"/>
      <c r="L1272" s="136">
        <v>-16626.96</v>
      </c>
      <c r="M1272" s="44"/>
      <c r="N1272" s="44"/>
      <c r="O1272" s="136">
        <v>263032.0</v>
      </c>
      <c r="P1272" s="52">
        <f t="shared" si="23"/>
        <v>263032.77</v>
      </c>
      <c r="Q1272" s="124">
        <f t="shared" si="2"/>
        <v>-0.77</v>
      </c>
      <c r="R1272" s="52">
        <f t="array" ref="R1272">IFERROR(INDEX('Fund YTD Target Values'!$1:$1000, MATCH($C1272,'Fund YTD Target Values'!$A:$A,0), MATCH($A1272,'Fund YTD Target Values'!$1:$1,0)),0)</f>
        <v>321586.5616</v>
      </c>
      <c r="S1272" s="52">
        <f>IFERROR(__xludf.DUMMYFUNCTION("IFERROR(sum(FILTER('Fund Data'!$V:$V, 'Fund Data'!$C:$C = $C1272, 'Fund Data'!$A:$A &lt; $A1272)),0) + IFERROR(sum(FILTER('Fund Data'!$V:$V, 'Fund Data'!$C:$C = $C1272, 'Fund Data'!$A:$A = $A1272, 'Fund Data'!$B:$B &lt;= $B1272)),0)"),250000.0)</f>
        <v>250000</v>
      </c>
      <c r="T1272" s="123">
        <v>250000.0</v>
      </c>
      <c r="U1272" s="44">
        <f t="shared" si="118"/>
        <v>0</v>
      </c>
      <c r="V1272" s="44">
        <f t="shared" si="3"/>
        <v>0</v>
      </c>
      <c r="W1272" s="123"/>
      <c r="X1272" s="123"/>
      <c r="Y1272" s="123">
        <v>0.0</v>
      </c>
      <c r="Z1272" s="123">
        <v>0.0</v>
      </c>
      <c r="AA1272" s="123">
        <v>0.0</v>
      </c>
      <c r="AB1272" s="123"/>
      <c r="AC1272" s="123">
        <v>0.0</v>
      </c>
      <c r="AD1272" s="44">
        <f t="shared" si="7"/>
        <v>-15000</v>
      </c>
      <c r="AE1272" s="123">
        <v>0.0</v>
      </c>
    </row>
    <row r="1273">
      <c r="A1273" s="120">
        <v>2018.0</v>
      </c>
      <c r="B1273" s="121">
        <v>9.0</v>
      </c>
      <c r="C1273" s="122" t="s">
        <v>64</v>
      </c>
      <c r="D1273" s="44"/>
      <c r="E1273" s="123">
        <v>4676.51</v>
      </c>
      <c r="F1273" s="123">
        <v>-15000.0</v>
      </c>
      <c r="G1273" s="44"/>
      <c r="H1273" s="123">
        <v>-1288.54</v>
      </c>
      <c r="I1273" s="44"/>
      <c r="J1273" s="123">
        <v>3844.32</v>
      </c>
      <c r="K1273" s="44"/>
      <c r="L1273" s="123">
        <v>-2516.92</v>
      </c>
      <c r="M1273" s="44"/>
      <c r="N1273" s="44"/>
      <c r="O1273" s="123">
        <v>276351.0</v>
      </c>
      <c r="P1273" s="52">
        <f t="shared" si="23"/>
        <v>276351.84</v>
      </c>
      <c r="Q1273" s="124">
        <f t="shared" si="2"/>
        <v>-0.84</v>
      </c>
      <c r="R1273" s="52">
        <f t="array" ref="R1273">IFERROR(INDEX('Fund YTD Target Values'!$1:$1000, MATCH($C1273,'Fund YTD Target Values'!$A:$A,0), MATCH($A1273,'Fund YTD Target Values'!$1:$1,0)),0)</f>
        <v>321586.5616</v>
      </c>
      <c r="S1273" s="52">
        <f>IFERROR(__xludf.DUMMYFUNCTION("IFERROR(sum(FILTER('Fund Data'!$V:$V, 'Fund Data'!$C:$C = $C1273, 'Fund Data'!$A:$A &lt; $A1273)),0) + IFERROR(sum(FILTER('Fund Data'!$V:$V, 'Fund Data'!$C:$C = $C1273, 'Fund Data'!$A:$A = $A1273, 'Fund Data'!$B:$B &lt;= $B1273)),0)"),250000.0)</f>
        <v>250000</v>
      </c>
      <c r="T1273" s="123">
        <v>250000.0</v>
      </c>
      <c r="U1273" s="44">
        <f t="shared" si="118"/>
        <v>0</v>
      </c>
      <c r="V1273" s="44">
        <f t="shared" si="3"/>
        <v>0</v>
      </c>
      <c r="W1273" s="123"/>
      <c r="X1273" s="123"/>
      <c r="Y1273" s="123">
        <v>0.0</v>
      </c>
      <c r="Z1273" s="123">
        <v>0.0</v>
      </c>
      <c r="AA1273" s="123">
        <v>0.0</v>
      </c>
      <c r="AB1273" s="123"/>
      <c r="AC1273" s="123">
        <v>0.0</v>
      </c>
      <c r="AD1273" s="44">
        <f t="shared" si="7"/>
        <v>-15000</v>
      </c>
      <c r="AE1273" s="123">
        <v>0.0</v>
      </c>
    </row>
    <row r="1274">
      <c r="A1274" s="120">
        <v>2018.0</v>
      </c>
      <c r="B1274" s="121">
        <v>8.0</v>
      </c>
      <c r="C1274" s="122" t="s">
        <v>64</v>
      </c>
      <c r="D1274" s="44"/>
      <c r="E1274" s="123">
        <v>4436.39</v>
      </c>
      <c r="F1274" s="123">
        <v>-11600.0</v>
      </c>
      <c r="G1274" s="44"/>
      <c r="H1274" s="123">
        <v>-1148.19</v>
      </c>
      <c r="I1274" s="44"/>
      <c r="J1274" s="123">
        <v>2716.3</v>
      </c>
      <c r="K1274" s="44"/>
      <c r="L1274" s="123">
        <v>-362.94</v>
      </c>
      <c r="M1274" s="44"/>
      <c r="N1274" s="44"/>
      <c r="O1274" s="123">
        <v>280677.0</v>
      </c>
      <c r="P1274" s="52">
        <f t="shared" si="23"/>
        <v>280678.03</v>
      </c>
      <c r="Q1274" s="124">
        <f t="shared" si="2"/>
        <v>-1.03</v>
      </c>
      <c r="R1274" s="52">
        <f t="array" ref="R1274">IFERROR(INDEX('Fund YTD Target Values'!$1:$1000, MATCH($C1274,'Fund YTD Target Values'!$A:$A,0), MATCH($A1274,'Fund YTD Target Values'!$1:$1,0)),0)</f>
        <v>321586.5616</v>
      </c>
      <c r="S1274" s="52">
        <f>IFERROR(__xludf.DUMMYFUNCTION("IFERROR(sum(FILTER('Fund Data'!$V:$V, 'Fund Data'!$C:$C = $C1274, 'Fund Data'!$A:$A &lt; $A1274)),0) + IFERROR(sum(FILTER('Fund Data'!$V:$V, 'Fund Data'!$C:$C = $C1274, 'Fund Data'!$A:$A = $A1274, 'Fund Data'!$B:$B &lt;= $B1274)),0)"),250000.0)</f>
        <v>250000</v>
      </c>
      <c r="T1274" s="123">
        <v>250000.0</v>
      </c>
      <c r="U1274" s="44">
        <f t="shared" si="118"/>
        <v>0</v>
      </c>
      <c r="V1274" s="44">
        <f t="shared" si="3"/>
        <v>0</v>
      </c>
      <c r="W1274" s="123"/>
      <c r="X1274" s="123"/>
      <c r="Y1274" s="123">
        <v>0.0</v>
      </c>
      <c r="Z1274" s="123">
        <v>0.0</v>
      </c>
      <c r="AA1274" s="123">
        <v>0.0</v>
      </c>
      <c r="AB1274" s="123"/>
      <c r="AC1274" s="123">
        <v>0.0</v>
      </c>
      <c r="AD1274" s="44">
        <f t="shared" si="7"/>
        <v>-11600</v>
      </c>
      <c r="AE1274" s="123">
        <v>0.0</v>
      </c>
    </row>
    <row r="1275">
      <c r="A1275" s="120">
        <v>2018.0</v>
      </c>
      <c r="B1275" s="121">
        <v>7.0</v>
      </c>
      <c r="C1275" s="122" t="s">
        <v>64</v>
      </c>
      <c r="D1275" s="44"/>
      <c r="E1275" s="123">
        <v>4201.6</v>
      </c>
      <c r="F1275" s="123">
        <v>-6600.0</v>
      </c>
      <c r="G1275" s="44"/>
      <c r="H1275" s="123">
        <v>-1005.82</v>
      </c>
      <c r="I1275" s="44"/>
      <c r="J1275" s="123">
        <v>1103.38</v>
      </c>
      <c r="K1275" s="44"/>
      <c r="L1275" s="123">
        <v>410.05</v>
      </c>
      <c r="M1275" s="44"/>
      <c r="N1275" s="44"/>
      <c r="O1275" s="123">
        <v>284745.0</v>
      </c>
      <c r="P1275" s="52">
        <f t="shared" si="23"/>
        <v>284745.68</v>
      </c>
      <c r="Q1275" s="124">
        <f t="shared" si="2"/>
        <v>-0.6800000001</v>
      </c>
      <c r="R1275" s="52">
        <f t="array" ref="R1275">IFERROR(INDEX('Fund YTD Target Values'!$1:$1000, MATCH($C1275,'Fund YTD Target Values'!$A:$A,0), MATCH($A1275,'Fund YTD Target Values'!$1:$1,0)),0)</f>
        <v>321586.5616</v>
      </c>
      <c r="S1275" s="52">
        <f>IFERROR(__xludf.DUMMYFUNCTION("IFERROR(sum(FILTER('Fund Data'!$V:$V, 'Fund Data'!$C:$C = $C1275, 'Fund Data'!$A:$A &lt; $A1275)),0) + IFERROR(sum(FILTER('Fund Data'!$V:$V, 'Fund Data'!$C:$C = $C1275, 'Fund Data'!$A:$A = $A1275, 'Fund Data'!$B:$B &lt;= $B1275)),0)"),250000.0)</f>
        <v>250000</v>
      </c>
      <c r="T1275" s="123">
        <v>250000.0</v>
      </c>
      <c r="U1275" s="44">
        <f t="shared" si="118"/>
        <v>0</v>
      </c>
      <c r="V1275" s="44">
        <f t="shared" si="3"/>
        <v>0</v>
      </c>
      <c r="W1275" s="123"/>
      <c r="X1275" s="123"/>
      <c r="Y1275" s="123">
        <v>0.0</v>
      </c>
      <c r="Z1275" s="123">
        <v>0.0</v>
      </c>
      <c r="AA1275" s="123">
        <v>0.0</v>
      </c>
      <c r="AB1275" s="123"/>
      <c r="AC1275" s="123">
        <v>0.0</v>
      </c>
      <c r="AD1275" s="44">
        <f t="shared" si="7"/>
        <v>-6600</v>
      </c>
      <c r="AE1275" s="123">
        <v>0.0</v>
      </c>
    </row>
    <row r="1276">
      <c r="A1276" s="120">
        <v>2018.0</v>
      </c>
      <c r="B1276" s="121">
        <v>6.0</v>
      </c>
      <c r="C1276" s="122" t="s">
        <v>64</v>
      </c>
      <c r="D1276" s="44"/>
      <c r="E1276" s="123">
        <v>3564.68</v>
      </c>
      <c r="F1276" s="123">
        <v>-6000.0</v>
      </c>
      <c r="G1276" s="44"/>
      <c r="H1276" s="123">
        <v>-865.71</v>
      </c>
      <c r="I1276" s="44"/>
      <c r="J1276" s="123">
        <v>1103.38</v>
      </c>
      <c r="K1276" s="44"/>
      <c r="L1276" s="123">
        <v>-4227.77</v>
      </c>
      <c r="M1276" s="44"/>
      <c r="N1276" s="44"/>
      <c r="O1276" s="123">
        <v>280210.0</v>
      </c>
      <c r="P1276" s="52">
        <f t="shared" si="23"/>
        <v>280211.05</v>
      </c>
      <c r="Q1276" s="124">
        <f t="shared" si="2"/>
        <v>-1.05</v>
      </c>
      <c r="R1276" s="52">
        <f t="array" ref="R1276">IFERROR(INDEX('Fund YTD Target Values'!$1:$1000, MATCH($C1276,'Fund YTD Target Values'!$A:$A,0), MATCH($A1276,'Fund YTD Target Values'!$1:$1,0)),0)</f>
        <v>321586.5616</v>
      </c>
      <c r="S1276" s="52">
        <f>IFERROR(__xludf.DUMMYFUNCTION("IFERROR(sum(FILTER('Fund Data'!$V:$V, 'Fund Data'!$C:$C = $C1276, 'Fund Data'!$A:$A &lt; $A1276)),0) + IFERROR(sum(FILTER('Fund Data'!$V:$V, 'Fund Data'!$C:$C = $C1276, 'Fund Data'!$A:$A = $A1276, 'Fund Data'!$B:$B &lt;= $B1276)),0)"),250000.0)</f>
        <v>250000</v>
      </c>
      <c r="T1276" s="123">
        <v>250000.0</v>
      </c>
      <c r="U1276" s="44">
        <f t="shared" si="118"/>
        <v>0</v>
      </c>
      <c r="V1276" s="44">
        <f t="shared" si="3"/>
        <v>0</v>
      </c>
      <c r="W1276" s="123"/>
      <c r="X1276" s="123"/>
      <c r="Y1276" s="123">
        <v>0.0</v>
      </c>
      <c r="Z1276" s="123">
        <v>0.0</v>
      </c>
      <c r="AA1276" s="123">
        <v>0.0</v>
      </c>
      <c r="AB1276" s="123"/>
      <c r="AC1276" s="123">
        <v>0.0</v>
      </c>
      <c r="AD1276" s="44">
        <f t="shared" si="7"/>
        <v>-6000</v>
      </c>
      <c r="AE1276" s="123">
        <v>0.0</v>
      </c>
    </row>
    <row r="1277">
      <c r="A1277" s="120">
        <v>2018.0</v>
      </c>
      <c r="B1277" s="121">
        <v>5.0</v>
      </c>
      <c r="C1277" s="122" t="s">
        <v>64</v>
      </c>
      <c r="D1277" s="44"/>
      <c r="E1277" s="123">
        <v>3156.18</v>
      </c>
      <c r="F1277" s="123">
        <v>-2000.0</v>
      </c>
      <c r="G1277" s="44"/>
      <c r="H1277" s="123">
        <v>-722.69</v>
      </c>
      <c r="I1277" s="44"/>
      <c r="J1277" s="44"/>
      <c r="K1277" s="44"/>
      <c r="L1277" s="123">
        <v>-1036.85</v>
      </c>
      <c r="M1277" s="44"/>
      <c r="N1277" s="44"/>
      <c r="O1277" s="123">
        <v>286032.0</v>
      </c>
      <c r="P1277" s="52">
        <f t="shared" si="23"/>
        <v>286033.11</v>
      </c>
      <c r="Q1277" s="124">
        <f t="shared" si="2"/>
        <v>-1.11</v>
      </c>
      <c r="R1277" s="52">
        <f t="array" ref="R1277">IFERROR(INDEX('Fund YTD Target Values'!$1:$1000, MATCH($C1277,'Fund YTD Target Values'!$A:$A,0), MATCH($A1277,'Fund YTD Target Values'!$1:$1,0)),0)</f>
        <v>321586.5616</v>
      </c>
      <c r="S1277" s="52">
        <f>IFERROR(__xludf.DUMMYFUNCTION("IFERROR(sum(FILTER('Fund Data'!$V:$V, 'Fund Data'!$C:$C = $C1277, 'Fund Data'!$A:$A &lt; $A1277)),0) + IFERROR(sum(FILTER('Fund Data'!$V:$V, 'Fund Data'!$C:$C = $C1277, 'Fund Data'!$A:$A = $A1277, 'Fund Data'!$B:$B &lt;= $B1277)),0)"),250000.0)</f>
        <v>250000</v>
      </c>
      <c r="T1277" s="123">
        <v>250000.0</v>
      </c>
      <c r="U1277" s="44">
        <f t="shared" si="118"/>
        <v>0</v>
      </c>
      <c r="V1277" s="44">
        <f t="shared" si="3"/>
        <v>0</v>
      </c>
      <c r="W1277" s="123"/>
      <c r="X1277" s="123"/>
      <c r="Y1277" s="123">
        <v>0.0</v>
      </c>
      <c r="Z1277" s="123">
        <v>0.0</v>
      </c>
      <c r="AA1277" s="123">
        <v>0.0</v>
      </c>
      <c r="AB1277" s="123"/>
      <c r="AC1277" s="123">
        <v>0.0</v>
      </c>
      <c r="AD1277" s="44">
        <f t="shared" si="7"/>
        <v>-2000</v>
      </c>
      <c r="AE1277" s="123">
        <v>0.0</v>
      </c>
    </row>
    <row r="1278">
      <c r="A1278" s="120">
        <v>2018.0</v>
      </c>
      <c r="B1278" s="121">
        <v>4.0</v>
      </c>
      <c r="C1278" s="122" t="s">
        <v>64</v>
      </c>
      <c r="D1278" s="44"/>
      <c r="E1278" s="123">
        <v>2929.54</v>
      </c>
      <c r="F1278" s="44"/>
      <c r="G1278" s="44"/>
      <c r="H1278" s="123">
        <v>-579.02</v>
      </c>
      <c r="I1278" s="44"/>
      <c r="J1278" s="44"/>
      <c r="K1278" s="44"/>
      <c r="L1278" s="123">
        <v>-1640.42</v>
      </c>
      <c r="M1278" s="44"/>
      <c r="N1278" s="44"/>
      <c r="O1278" s="123">
        <v>287346.0</v>
      </c>
      <c r="P1278" s="52">
        <f t="shared" si="23"/>
        <v>287346.57</v>
      </c>
      <c r="Q1278" s="124">
        <f t="shared" si="2"/>
        <v>-0.57</v>
      </c>
      <c r="R1278" s="52">
        <f t="array" ref="R1278">IFERROR(INDEX('Fund YTD Target Values'!$1:$1000, MATCH($C1278,'Fund YTD Target Values'!$A:$A,0), MATCH($A1278,'Fund YTD Target Values'!$1:$1,0)),0)</f>
        <v>321586.5616</v>
      </c>
      <c r="S1278" s="52">
        <f>IFERROR(__xludf.DUMMYFUNCTION("IFERROR(sum(FILTER('Fund Data'!$V:$V, 'Fund Data'!$C:$C = $C1278, 'Fund Data'!$A:$A &lt; $A1278)),0) + IFERROR(sum(FILTER('Fund Data'!$V:$V, 'Fund Data'!$C:$C = $C1278, 'Fund Data'!$A:$A = $A1278, 'Fund Data'!$B:$B &lt;= $B1278)),0)"),250000.0)</f>
        <v>250000</v>
      </c>
      <c r="T1278" s="123">
        <v>250000.0</v>
      </c>
      <c r="U1278" s="44">
        <f t="shared" si="118"/>
        <v>0</v>
      </c>
      <c r="V1278" s="44">
        <f t="shared" si="3"/>
        <v>0</v>
      </c>
      <c r="W1278" s="123"/>
      <c r="X1278" s="123"/>
      <c r="Y1278" s="123">
        <v>0.0</v>
      </c>
      <c r="Z1278" s="123">
        <v>0.0</v>
      </c>
      <c r="AA1278" s="123">
        <v>0.0</v>
      </c>
      <c r="AB1278" s="123"/>
      <c r="AC1278" s="123">
        <v>0.0</v>
      </c>
      <c r="AD1278" s="44">
        <f t="shared" si="7"/>
        <v>0</v>
      </c>
      <c r="AE1278" s="123">
        <v>0.0</v>
      </c>
    </row>
    <row r="1279">
      <c r="A1279" s="120">
        <v>2018.0</v>
      </c>
      <c r="B1279" s="121">
        <v>3.0</v>
      </c>
      <c r="C1279" s="122" t="s">
        <v>64</v>
      </c>
      <c r="D1279" s="44"/>
      <c r="E1279" s="123">
        <v>2238.07</v>
      </c>
      <c r="F1279" s="44"/>
      <c r="G1279" s="44"/>
      <c r="H1279" s="123">
        <v>-435.74</v>
      </c>
      <c r="I1279" s="44"/>
      <c r="J1279" s="44"/>
      <c r="K1279" s="44"/>
      <c r="L1279" s="123">
        <v>-1875.03</v>
      </c>
      <c r="M1279" s="44"/>
      <c r="N1279" s="44"/>
      <c r="O1279" s="123">
        <v>286563.0</v>
      </c>
      <c r="P1279" s="52">
        <f t="shared" si="23"/>
        <v>286563.77</v>
      </c>
      <c r="Q1279" s="124">
        <f t="shared" si="2"/>
        <v>-0.77</v>
      </c>
      <c r="R1279" s="52">
        <f t="array" ref="R1279">IFERROR(INDEX('Fund YTD Target Values'!$1:$1000, MATCH($C1279,'Fund YTD Target Values'!$A:$A,0), MATCH($A1279,'Fund YTD Target Values'!$1:$1,0)),0)</f>
        <v>321586.5616</v>
      </c>
      <c r="S1279" s="52">
        <f>IFERROR(__xludf.DUMMYFUNCTION("IFERROR(sum(FILTER('Fund Data'!$V:$V, 'Fund Data'!$C:$C = $C1279, 'Fund Data'!$A:$A &lt; $A1279)),0) + IFERROR(sum(FILTER('Fund Data'!$V:$V, 'Fund Data'!$C:$C = $C1279, 'Fund Data'!$A:$A = $A1279, 'Fund Data'!$B:$B &lt;= $B1279)),0)"),250000.0)</f>
        <v>250000</v>
      </c>
      <c r="T1279" s="123">
        <v>250000.0</v>
      </c>
      <c r="U1279" s="44">
        <f t="shared" si="118"/>
        <v>0</v>
      </c>
      <c r="V1279" s="44">
        <f t="shared" si="3"/>
        <v>0</v>
      </c>
      <c r="W1279" s="123"/>
      <c r="X1279" s="123"/>
      <c r="Y1279" s="123">
        <v>0.0</v>
      </c>
      <c r="Z1279" s="123">
        <v>0.0</v>
      </c>
      <c r="AA1279" s="123">
        <v>0.0</v>
      </c>
      <c r="AB1279" s="123"/>
      <c r="AC1279" s="123">
        <v>0.0</v>
      </c>
      <c r="AD1279" s="44">
        <f t="shared" si="7"/>
        <v>0</v>
      </c>
      <c r="AE1279" s="123">
        <v>0.0</v>
      </c>
    </row>
    <row r="1280">
      <c r="A1280" s="120">
        <v>2018.0</v>
      </c>
      <c r="B1280" s="121">
        <v>2.0</v>
      </c>
      <c r="C1280" s="122" t="s">
        <v>64</v>
      </c>
      <c r="D1280" s="44"/>
      <c r="E1280" s="123">
        <v>1985.85</v>
      </c>
      <c r="F1280" s="44"/>
      <c r="G1280" s="44"/>
      <c r="H1280" s="123">
        <v>-711.42</v>
      </c>
      <c r="I1280" s="44"/>
      <c r="J1280" s="44"/>
      <c r="K1280" s="44"/>
      <c r="L1280" s="123">
        <v>122.99</v>
      </c>
      <c r="M1280" s="44"/>
      <c r="N1280" s="44"/>
      <c r="O1280" s="123">
        <v>288033.0</v>
      </c>
      <c r="P1280" s="52">
        <f t="shared" si="23"/>
        <v>288033.89</v>
      </c>
      <c r="Q1280" s="124">
        <f t="shared" si="2"/>
        <v>-0.89</v>
      </c>
      <c r="R1280" s="52">
        <f t="array" ref="R1280">IFERROR(INDEX('Fund YTD Target Values'!$1:$1000, MATCH($C1280,'Fund YTD Target Values'!$A:$A,0), MATCH($A1280,'Fund YTD Target Values'!$1:$1,0)),0)</f>
        <v>321586.5616</v>
      </c>
      <c r="S1280" s="52">
        <f>IFERROR(__xludf.DUMMYFUNCTION("IFERROR(sum(FILTER('Fund Data'!$V:$V, 'Fund Data'!$C:$C = $C1280, 'Fund Data'!$A:$A &lt; $A1280)),0) + IFERROR(sum(FILTER('Fund Data'!$V:$V, 'Fund Data'!$C:$C = $C1280, 'Fund Data'!$A:$A = $A1280, 'Fund Data'!$B:$B &lt;= $B1280)),0)"),250000.0)</f>
        <v>250000</v>
      </c>
      <c r="T1280" s="123">
        <v>250000.0</v>
      </c>
      <c r="U1280" s="44">
        <f t="shared" si="118"/>
        <v>0</v>
      </c>
      <c r="V1280" s="44">
        <f t="shared" si="3"/>
        <v>0</v>
      </c>
      <c r="W1280" s="123"/>
      <c r="X1280" s="123"/>
      <c r="Y1280" s="123">
        <v>0.0</v>
      </c>
      <c r="Z1280" s="123">
        <v>0.0</v>
      </c>
      <c r="AA1280" s="123">
        <v>0.0</v>
      </c>
      <c r="AB1280" s="123"/>
      <c r="AC1280" s="123">
        <v>0.0</v>
      </c>
      <c r="AD1280" s="44">
        <f t="shared" si="7"/>
        <v>0</v>
      </c>
      <c r="AE1280" s="123">
        <v>0.0</v>
      </c>
    </row>
    <row r="1281">
      <c r="A1281" s="120">
        <v>2018.0</v>
      </c>
      <c r="B1281" s="121">
        <v>1.0</v>
      </c>
      <c r="C1281" s="122" t="s">
        <v>64</v>
      </c>
      <c r="D1281" s="44"/>
      <c r="E1281" s="123">
        <v>1772.78</v>
      </c>
      <c r="F1281" s="44"/>
      <c r="G1281" s="44"/>
      <c r="H1281" s="123">
        <v>-563.02</v>
      </c>
      <c r="I1281" s="44"/>
      <c r="J1281" s="44"/>
      <c r="K1281" s="44"/>
      <c r="L1281" s="123">
        <v>8947.58</v>
      </c>
      <c r="M1281" s="44"/>
      <c r="N1281" s="44"/>
      <c r="O1281" s="123">
        <v>296793.0</v>
      </c>
      <c r="P1281" s="52">
        <f t="shared" si="23"/>
        <v>296793.81</v>
      </c>
      <c r="Q1281" s="124">
        <f t="shared" si="2"/>
        <v>-0.8100000001</v>
      </c>
      <c r="R1281" s="52">
        <f t="array" ref="R1281">IFERROR(INDEX('Fund YTD Target Values'!$1:$1000, MATCH($C1281,'Fund YTD Target Values'!$A:$A,0), MATCH($A1281,'Fund YTD Target Values'!$1:$1,0)),0)</f>
        <v>321586.5616</v>
      </c>
      <c r="S1281" s="52">
        <f>IFERROR(__xludf.DUMMYFUNCTION("IFERROR(sum(FILTER('Fund Data'!$V:$V, 'Fund Data'!$C:$C = $C1281, 'Fund Data'!$A:$A &lt; $A1281)),0) + IFERROR(sum(FILTER('Fund Data'!$V:$V, 'Fund Data'!$C:$C = $C1281, 'Fund Data'!$A:$A = $A1281, 'Fund Data'!$B:$B &lt;= $B1281)),0)"),250000.0)</f>
        <v>250000</v>
      </c>
      <c r="T1281" s="123">
        <v>250000.0</v>
      </c>
      <c r="U1281" s="44">
        <f t="shared" si="118"/>
        <v>0</v>
      </c>
      <c r="V1281" s="44">
        <f t="shared" si="3"/>
        <v>0</v>
      </c>
      <c r="W1281" s="123"/>
      <c r="X1281" s="123"/>
      <c r="Y1281" s="123">
        <v>0.0</v>
      </c>
      <c r="Z1281" s="123">
        <v>0.0</v>
      </c>
      <c r="AA1281" s="123">
        <v>0.0</v>
      </c>
      <c r="AB1281" s="123"/>
      <c r="AC1281" s="123">
        <v>0.0</v>
      </c>
      <c r="AD1281" s="44">
        <f t="shared" si="7"/>
        <v>0</v>
      </c>
      <c r="AE1281" s="123">
        <v>0.0</v>
      </c>
    </row>
    <row r="1282">
      <c r="A1282" s="120">
        <v>2017.0</v>
      </c>
      <c r="B1282" s="121">
        <v>12.0</v>
      </c>
      <c r="C1282" s="122" t="s">
        <v>64</v>
      </c>
      <c r="D1282" s="44"/>
      <c r="E1282" s="123">
        <v>6253.58</v>
      </c>
      <c r="F1282" s="123">
        <v>-20000.0</v>
      </c>
      <c r="G1282" s="123"/>
      <c r="H1282" s="123">
        <v>-1707.44</v>
      </c>
      <c r="I1282" s="44"/>
      <c r="J1282" s="123">
        <v>4956.86</v>
      </c>
      <c r="K1282" s="44"/>
      <c r="L1282" s="123">
        <v>30282.32</v>
      </c>
      <c r="M1282" s="44"/>
      <c r="N1282" s="44"/>
      <c r="O1282" s="123">
        <v>286636.0</v>
      </c>
      <c r="P1282" s="52">
        <f t="shared" si="23"/>
        <v>286636.47</v>
      </c>
      <c r="Q1282" s="124">
        <f t="shared" si="2"/>
        <v>-0.47</v>
      </c>
      <c r="R1282" s="52">
        <f t="array" ref="R1282">IFERROR(INDEX('Fund YTD Target Values'!$1:$1000, MATCH($C1282,'Fund YTD Target Values'!$A:$A,0), MATCH($A1282,'Fund YTD Target Values'!$1:$1,0)),0)</f>
        <v>313918.5223</v>
      </c>
      <c r="S1282" s="52">
        <f>IFERROR(__xludf.DUMMYFUNCTION("IFERROR(sum(FILTER('Fund Data'!$V:$V, 'Fund Data'!$C:$C = $C1282, 'Fund Data'!$A:$A &lt; $A1282)),0) + IFERROR(sum(FILTER('Fund Data'!$V:$V, 'Fund Data'!$C:$C = $C1282, 'Fund Data'!$A:$A = $A1282, 'Fund Data'!$B:$B &lt;= $B1282)),0)"),250000.0)</f>
        <v>250000</v>
      </c>
      <c r="T1282" s="123">
        <v>250000.0</v>
      </c>
      <c r="U1282" s="44">
        <f t="shared" si="118"/>
        <v>0</v>
      </c>
      <c r="V1282" s="44">
        <f t="shared" si="3"/>
        <v>0</v>
      </c>
      <c r="W1282" s="123"/>
      <c r="X1282" s="123"/>
      <c r="Y1282" s="123">
        <v>0.0</v>
      </c>
      <c r="Z1282" s="123">
        <v>0.0</v>
      </c>
      <c r="AA1282" s="123">
        <v>0.0</v>
      </c>
      <c r="AB1282" s="123"/>
      <c r="AC1282" s="123">
        <v>0.0</v>
      </c>
      <c r="AD1282" s="44">
        <f t="shared" si="7"/>
        <v>-20000</v>
      </c>
      <c r="AE1282" s="123">
        <v>0.0</v>
      </c>
    </row>
    <row r="1283">
      <c r="A1283" s="120">
        <v>2017.0</v>
      </c>
      <c r="B1283" s="121">
        <v>11.0</v>
      </c>
      <c r="C1283" s="122" t="s">
        <v>64</v>
      </c>
      <c r="D1283" s="44"/>
      <c r="E1283" s="123">
        <v>5849.41</v>
      </c>
      <c r="F1283" s="123">
        <v>-20000.0</v>
      </c>
      <c r="G1283" s="44"/>
      <c r="H1283" s="123">
        <v>-1564.91</v>
      </c>
      <c r="I1283" s="44"/>
      <c r="J1283" s="123">
        <v>4956.86</v>
      </c>
      <c r="K1283" s="44"/>
      <c r="L1283" s="123">
        <v>28904.9</v>
      </c>
      <c r="M1283" s="44"/>
      <c r="N1283" s="44"/>
      <c r="O1283" s="123">
        <v>284997.0</v>
      </c>
      <c r="P1283" s="52">
        <f t="shared" si="23"/>
        <v>284997.41</v>
      </c>
      <c r="Q1283" s="124">
        <f t="shared" si="2"/>
        <v>-0.41</v>
      </c>
      <c r="R1283" s="52">
        <f t="array" ref="R1283">IFERROR(INDEX('Fund YTD Target Values'!$1:$1000, MATCH($C1283,'Fund YTD Target Values'!$A:$A,0), MATCH($A1283,'Fund YTD Target Values'!$1:$1,0)),0)</f>
        <v>313918.5223</v>
      </c>
      <c r="S1283" s="52">
        <f>IFERROR(__xludf.DUMMYFUNCTION("IFERROR(sum(FILTER('Fund Data'!$V:$V, 'Fund Data'!$C:$C = $C1283, 'Fund Data'!$A:$A &lt; $A1283)),0) + IFERROR(sum(FILTER('Fund Data'!$V:$V, 'Fund Data'!$C:$C = $C1283, 'Fund Data'!$A:$A = $A1283, 'Fund Data'!$B:$B &lt;= $B1283)),0)"),250000.0)</f>
        <v>250000</v>
      </c>
      <c r="T1283" s="123">
        <v>250000.0</v>
      </c>
      <c r="U1283" s="44">
        <f t="shared" si="118"/>
        <v>0</v>
      </c>
      <c r="V1283" s="44">
        <f t="shared" si="3"/>
        <v>0</v>
      </c>
      <c r="W1283" s="123"/>
      <c r="X1283" s="123"/>
      <c r="Y1283" s="123">
        <v>0.0</v>
      </c>
      <c r="Z1283" s="123">
        <v>0.0</v>
      </c>
      <c r="AA1283" s="123">
        <v>0.0</v>
      </c>
      <c r="AB1283" s="123"/>
      <c r="AC1283" s="123">
        <v>0.0</v>
      </c>
      <c r="AD1283" s="44">
        <f t="shared" si="7"/>
        <v>-20000</v>
      </c>
      <c r="AE1283" s="123">
        <v>0.0</v>
      </c>
    </row>
    <row r="1284">
      <c r="A1284" s="120">
        <v>2017.0</v>
      </c>
      <c r="B1284" s="121">
        <v>10.0</v>
      </c>
      <c r="C1284" s="122" t="s">
        <v>64</v>
      </c>
      <c r="D1284" s="44"/>
      <c r="E1284" s="123">
        <v>5648.66</v>
      </c>
      <c r="F1284" s="123">
        <v>-4200.0</v>
      </c>
      <c r="G1284" s="44"/>
      <c r="H1284" s="123">
        <v>-1416.1</v>
      </c>
      <c r="I1284" s="44"/>
      <c r="J1284" s="44"/>
      <c r="K1284" s="44"/>
      <c r="L1284" s="123">
        <v>30729.18</v>
      </c>
      <c r="M1284" s="44"/>
      <c r="N1284" s="44"/>
      <c r="O1284" s="123">
        <v>297612.0</v>
      </c>
      <c r="P1284" s="52">
        <f t="shared" si="23"/>
        <v>297612.89</v>
      </c>
      <c r="Q1284" s="124">
        <f t="shared" si="2"/>
        <v>-0.89</v>
      </c>
      <c r="R1284" s="52">
        <f t="array" ref="R1284">IFERROR(INDEX('Fund YTD Target Values'!$1:$1000, MATCH($C1284,'Fund YTD Target Values'!$A:$A,0), MATCH($A1284,'Fund YTD Target Values'!$1:$1,0)),0)</f>
        <v>313918.5223</v>
      </c>
      <c r="S1284" s="52">
        <f>IFERROR(__xludf.DUMMYFUNCTION("IFERROR(sum(FILTER('Fund Data'!$V:$V, 'Fund Data'!$C:$C = $C1284, 'Fund Data'!$A:$A &lt; $A1284)),0) + IFERROR(sum(FILTER('Fund Data'!$V:$V, 'Fund Data'!$C:$C = $C1284, 'Fund Data'!$A:$A = $A1284, 'Fund Data'!$B:$B &lt;= $B1284)),0)"),250000.0)</f>
        <v>250000</v>
      </c>
      <c r="T1284" s="123">
        <v>250000.0</v>
      </c>
      <c r="U1284" s="44">
        <f t="shared" si="118"/>
        <v>0</v>
      </c>
      <c r="V1284" s="44">
        <f t="shared" si="3"/>
        <v>0</v>
      </c>
      <c r="W1284" s="123"/>
      <c r="X1284" s="123"/>
      <c r="Y1284" s="123">
        <v>0.0</v>
      </c>
      <c r="Z1284" s="123">
        <v>0.0</v>
      </c>
      <c r="AA1284" s="123">
        <v>0.0</v>
      </c>
      <c r="AB1284" s="123"/>
      <c r="AC1284" s="123">
        <v>0.0</v>
      </c>
      <c r="AD1284" s="44">
        <f t="shared" si="7"/>
        <v>-4200</v>
      </c>
      <c r="AE1284" s="123">
        <v>0.0</v>
      </c>
    </row>
    <row r="1285">
      <c r="A1285" s="120">
        <v>2017.0</v>
      </c>
      <c r="B1285" s="121">
        <v>9.0</v>
      </c>
      <c r="C1285" s="122" t="s">
        <v>64</v>
      </c>
      <c r="D1285" s="44"/>
      <c r="E1285" s="123">
        <v>5037.15</v>
      </c>
      <c r="F1285" s="123">
        <v>-4200.0</v>
      </c>
      <c r="G1285" s="44"/>
      <c r="H1285" s="123">
        <v>-1269.43</v>
      </c>
      <c r="I1285" s="44"/>
      <c r="J1285" s="44"/>
      <c r="K1285" s="44"/>
      <c r="L1285" s="123">
        <v>26921.93</v>
      </c>
      <c r="M1285" s="44"/>
      <c r="N1285" s="44"/>
      <c r="O1285" s="123">
        <v>293340.0</v>
      </c>
      <c r="P1285" s="52">
        <f t="shared" si="23"/>
        <v>293340.8</v>
      </c>
      <c r="Q1285" s="124">
        <f t="shared" si="2"/>
        <v>-0.8</v>
      </c>
      <c r="R1285" s="52">
        <f t="array" ref="R1285">IFERROR(INDEX('Fund YTD Target Values'!$1:$1000, MATCH($C1285,'Fund YTD Target Values'!$A:$A,0), MATCH($A1285,'Fund YTD Target Values'!$1:$1,0)),0)</f>
        <v>313918.5223</v>
      </c>
      <c r="S1285" s="52">
        <f>IFERROR(__xludf.DUMMYFUNCTION("IFERROR(sum(FILTER('Fund Data'!$V:$V, 'Fund Data'!$C:$C = $C1285, 'Fund Data'!$A:$A &lt; $A1285)),0) + IFERROR(sum(FILTER('Fund Data'!$V:$V, 'Fund Data'!$C:$C = $C1285, 'Fund Data'!$A:$A = $A1285, 'Fund Data'!$B:$B &lt;= $B1285)),0)"),250000.0)</f>
        <v>250000</v>
      </c>
      <c r="T1285" s="123">
        <v>250000.0</v>
      </c>
      <c r="U1285" s="44">
        <f t="shared" si="118"/>
        <v>0</v>
      </c>
      <c r="V1285" s="44">
        <f t="shared" si="3"/>
        <v>0</v>
      </c>
      <c r="W1285" s="123"/>
      <c r="X1285" s="123"/>
      <c r="Y1285" s="123">
        <v>0.0</v>
      </c>
      <c r="Z1285" s="123">
        <v>0.0</v>
      </c>
      <c r="AA1285" s="123">
        <v>0.0</v>
      </c>
      <c r="AB1285" s="123"/>
      <c r="AC1285" s="123">
        <v>0.0</v>
      </c>
      <c r="AD1285" s="44">
        <f t="shared" si="7"/>
        <v>-4200</v>
      </c>
      <c r="AE1285" s="123">
        <v>0.0</v>
      </c>
    </row>
    <row r="1286">
      <c r="A1286" s="120">
        <v>2017.0</v>
      </c>
      <c r="B1286" s="121">
        <v>8.0</v>
      </c>
      <c r="C1286" s="122" t="s">
        <v>64</v>
      </c>
      <c r="D1286" s="44"/>
      <c r="E1286" s="123">
        <v>4670.87</v>
      </c>
      <c r="F1286" s="123">
        <v>-3000.0</v>
      </c>
      <c r="G1286" s="44"/>
      <c r="H1286" s="123">
        <v>-1123.71</v>
      </c>
      <c r="I1286" s="44"/>
      <c r="J1286" s="44"/>
      <c r="K1286" s="44"/>
      <c r="L1286" s="123">
        <v>24044.06</v>
      </c>
      <c r="M1286" s="44"/>
      <c r="N1286" s="44"/>
      <c r="O1286" s="123">
        <v>291442.0</v>
      </c>
      <c r="P1286" s="52">
        <f t="shared" si="23"/>
        <v>291442.37</v>
      </c>
      <c r="Q1286" s="124">
        <f t="shared" si="2"/>
        <v>-0.37</v>
      </c>
      <c r="R1286" s="52">
        <f t="array" ref="R1286">IFERROR(INDEX('Fund YTD Target Values'!$1:$1000, MATCH($C1286,'Fund YTD Target Values'!$A:$A,0), MATCH($A1286,'Fund YTD Target Values'!$1:$1,0)),0)</f>
        <v>313918.5223</v>
      </c>
      <c r="S1286" s="52">
        <f>IFERROR(__xludf.DUMMYFUNCTION("IFERROR(sum(FILTER('Fund Data'!$V:$V, 'Fund Data'!$C:$C = $C1286, 'Fund Data'!$A:$A &lt; $A1286)),0) + IFERROR(sum(FILTER('Fund Data'!$V:$V, 'Fund Data'!$C:$C = $C1286, 'Fund Data'!$A:$A = $A1286, 'Fund Data'!$B:$B &lt;= $B1286)),0)"),250000.0)</f>
        <v>250000</v>
      </c>
      <c r="T1286" s="123">
        <v>250000.0</v>
      </c>
      <c r="U1286" s="44">
        <f t="shared" si="118"/>
        <v>0</v>
      </c>
      <c r="V1286" s="44">
        <f t="shared" si="3"/>
        <v>0</v>
      </c>
      <c r="W1286" s="123"/>
      <c r="X1286" s="123"/>
      <c r="Y1286" s="123">
        <v>0.0</v>
      </c>
      <c r="Z1286" s="123">
        <v>0.0</v>
      </c>
      <c r="AA1286" s="123">
        <v>0.0</v>
      </c>
      <c r="AB1286" s="123"/>
      <c r="AC1286" s="123">
        <v>0.0</v>
      </c>
      <c r="AD1286" s="44">
        <f t="shared" si="7"/>
        <v>-3000</v>
      </c>
      <c r="AE1286" s="123">
        <v>0.0</v>
      </c>
    </row>
    <row r="1287">
      <c r="A1287" s="120">
        <v>2017.0</v>
      </c>
      <c r="B1287" s="121">
        <v>7.0</v>
      </c>
      <c r="C1287" s="122" t="s">
        <v>64</v>
      </c>
      <c r="D1287" s="44"/>
      <c r="E1287" s="123">
        <v>4470.22</v>
      </c>
      <c r="F1287" s="44"/>
      <c r="G1287" s="44"/>
      <c r="H1287" s="123">
        <v>-976.9</v>
      </c>
      <c r="I1287" s="44"/>
      <c r="J1287" s="44"/>
      <c r="K1287" s="44"/>
      <c r="L1287" s="123">
        <v>23286.21</v>
      </c>
      <c r="M1287" s="44"/>
      <c r="N1287" s="44"/>
      <c r="O1287" s="123">
        <v>293630.0</v>
      </c>
      <c r="P1287" s="52">
        <f t="shared" si="23"/>
        <v>293630.68</v>
      </c>
      <c r="Q1287" s="124">
        <f t="shared" si="2"/>
        <v>-0.6799999999</v>
      </c>
      <c r="R1287" s="52">
        <f t="array" ref="R1287">IFERROR(INDEX('Fund YTD Target Values'!$1:$1000, MATCH($C1287,'Fund YTD Target Values'!$A:$A,0), MATCH($A1287,'Fund YTD Target Values'!$1:$1,0)),0)</f>
        <v>313918.5223</v>
      </c>
      <c r="S1287" s="52">
        <f>IFERROR(__xludf.DUMMYFUNCTION("IFERROR(sum(FILTER('Fund Data'!$V:$V, 'Fund Data'!$C:$C = $C1287, 'Fund Data'!$A:$A &lt; $A1287)),0) + IFERROR(sum(FILTER('Fund Data'!$V:$V, 'Fund Data'!$C:$C = $C1287, 'Fund Data'!$A:$A = $A1287, 'Fund Data'!$B:$B &lt;= $B1287)),0)"),250000.0)</f>
        <v>250000</v>
      </c>
      <c r="T1287" s="123">
        <v>250000.0</v>
      </c>
      <c r="U1287" s="44">
        <f t="shared" si="118"/>
        <v>0</v>
      </c>
      <c r="V1287" s="44">
        <f t="shared" si="3"/>
        <v>0</v>
      </c>
      <c r="W1287" s="123"/>
      <c r="X1287" s="123"/>
      <c r="Y1287" s="123">
        <v>0.0</v>
      </c>
      <c r="Z1287" s="123">
        <v>0.0</v>
      </c>
      <c r="AA1287" s="123">
        <v>0.0</v>
      </c>
      <c r="AB1287" s="123"/>
      <c r="AC1287" s="123">
        <v>0.0</v>
      </c>
      <c r="AD1287" s="44">
        <f t="shared" si="7"/>
        <v>0</v>
      </c>
      <c r="AE1287" s="123">
        <v>0.0</v>
      </c>
    </row>
    <row r="1288">
      <c r="A1288" s="120">
        <v>2017.0</v>
      </c>
      <c r="B1288" s="121">
        <v>6.0</v>
      </c>
      <c r="C1288" s="122" t="s">
        <v>64</v>
      </c>
      <c r="D1288" s="44"/>
      <c r="E1288" s="123">
        <v>3556.43</v>
      </c>
      <c r="F1288" s="44"/>
      <c r="G1288" s="44"/>
      <c r="H1288" s="123">
        <v>-833.46</v>
      </c>
      <c r="I1288" s="44"/>
      <c r="J1288" s="44"/>
      <c r="K1288" s="44"/>
      <c r="L1288" s="123">
        <v>17293.14</v>
      </c>
      <c r="M1288" s="44"/>
      <c r="N1288" s="44"/>
      <c r="O1288" s="123">
        <v>286866.0</v>
      </c>
      <c r="P1288" s="52">
        <f t="shared" si="23"/>
        <v>286867.26</v>
      </c>
      <c r="Q1288" s="124">
        <f t="shared" si="2"/>
        <v>-1.26</v>
      </c>
      <c r="R1288" s="52">
        <f t="array" ref="R1288">IFERROR(INDEX('Fund YTD Target Values'!$1:$1000, MATCH($C1288,'Fund YTD Target Values'!$A:$A,0), MATCH($A1288,'Fund YTD Target Values'!$1:$1,0)),0)</f>
        <v>313918.5223</v>
      </c>
      <c r="S1288" s="52">
        <f>IFERROR(__xludf.DUMMYFUNCTION("IFERROR(sum(FILTER('Fund Data'!$V:$V, 'Fund Data'!$C:$C = $C1288, 'Fund Data'!$A:$A &lt; $A1288)),0) + IFERROR(sum(FILTER('Fund Data'!$V:$V, 'Fund Data'!$C:$C = $C1288, 'Fund Data'!$A:$A = $A1288, 'Fund Data'!$B:$B &lt;= $B1288)),0)"),250000.0)</f>
        <v>250000</v>
      </c>
      <c r="T1288" s="123">
        <v>250000.0</v>
      </c>
      <c r="U1288" s="44">
        <f t="shared" si="118"/>
        <v>0</v>
      </c>
      <c r="V1288" s="44">
        <f t="shared" si="3"/>
        <v>0</v>
      </c>
      <c r="W1288" s="123"/>
      <c r="X1288" s="123"/>
      <c r="Y1288" s="123">
        <v>0.0</v>
      </c>
      <c r="Z1288" s="123">
        <v>0.0</v>
      </c>
      <c r="AA1288" s="123">
        <v>0.0</v>
      </c>
      <c r="AB1288" s="123"/>
      <c r="AC1288" s="123">
        <v>0.0</v>
      </c>
      <c r="AD1288" s="44">
        <f t="shared" si="7"/>
        <v>0</v>
      </c>
      <c r="AE1288" s="123">
        <v>0.0</v>
      </c>
    </row>
    <row r="1289">
      <c r="A1289" s="168">
        <v>2017.0</v>
      </c>
      <c r="B1289" s="169">
        <v>5.0</v>
      </c>
      <c r="C1289" s="122" t="s">
        <v>64</v>
      </c>
      <c r="D1289" s="44"/>
      <c r="E1289" s="123">
        <v>3365.67</v>
      </c>
      <c r="F1289" s="44"/>
      <c r="G1289" s="44"/>
      <c r="H1289" s="123">
        <v>-690.36</v>
      </c>
      <c r="I1289" s="44"/>
      <c r="J1289" s="44"/>
      <c r="K1289" s="44"/>
      <c r="L1289" s="123">
        <v>16676.88</v>
      </c>
      <c r="M1289" s="44"/>
      <c r="N1289" s="44"/>
      <c r="O1289" s="123">
        <v>286203.0</v>
      </c>
      <c r="P1289" s="52">
        <f t="shared" si="23"/>
        <v>286203.34</v>
      </c>
      <c r="Q1289" s="124">
        <f t="shared" si="2"/>
        <v>-0.34</v>
      </c>
      <c r="R1289" s="52">
        <f t="array" ref="R1289">IFERROR(INDEX('Fund YTD Target Values'!$1:$1000, MATCH($C1289,'Fund YTD Target Values'!$A:$A,0), MATCH($A1289,'Fund YTD Target Values'!$1:$1,0)),0)</f>
        <v>313918.5223</v>
      </c>
      <c r="S1289" s="52">
        <f>IFERROR(__xludf.DUMMYFUNCTION("IFERROR(sum(FILTER('Fund Data'!$V:$V, 'Fund Data'!$C:$C = $C1289, 'Fund Data'!$A:$A &lt; $A1289)),0) + IFERROR(sum(FILTER('Fund Data'!$V:$V, 'Fund Data'!$C:$C = $C1289, 'Fund Data'!$A:$A = $A1289, 'Fund Data'!$B:$B &lt;= $B1289)),0)"),250000.0)</f>
        <v>250000</v>
      </c>
      <c r="T1289" s="123">
        <v>250000.0</v>
      </c>
      <c r="U1289" s="44">
        <f t="shared" si="118"/>
        <v>0</v>
      </c>
      <c r="V1289" s="44">
        <f t="shared" si="3"/>
        <v>0</v>
      </c>
      <c r="W1289" s="123"/>
      <c r="X1289" s="123"/>
      <c r="Y1289" s="123">
        <v>0.0</v>
      </c>
      <c r="Z1289" s="123">
        <v>0.0</v>
      </c>
      <c r="AA1289" s="123">
        <v>0.0</v>
      </c>
      <c r="AB1289" s="123"/>
      <c r="AC1289" s="123">
        <v>0.0</v>
      </c>
      <c r="AD1289" s="44">
        <f t="shared" si="7"/>
        <v>0</v>
      </c>
      <c r="AE1289" s="123">
        <v>0.0</v>
      </c>
    </row>
    <row r="1290">
      <c r="A1290" s="120">
        <v>2017.0</v>
      </c>
      <c r="B1290" s="121">
        <v>4.0</v>
      </c>
      <c r="C1290" s="122" t="s">
        <v>64</v>
      </c>
      <c r="D1290" s="44"/>
      <c r="E1290" s="123">
        <v>3181.75</v>
      </c>
      <c r="F1290" s="44"/>
      <c r="G1290" s="44"/>
      <c r="H1290" s="123">
        <v>-548.88</v>
      </c>
      <c r="I1290" s="44"/>
      <c r="J1290" s="44"/>
      <c r="K1290" s="44"/>
      <c r="L1290" s="123">
        <v>13481.91</v>
      </c>
      <c r="M1290" s="44"/>
      <c r="N1290" s="44"/>
      <c r="O1290" s="123">
        <v>282965.0</v>
      </c>
      <c r="P1290" s="52">
        <f t="shared" si="23"/>
        <v>282965.93</v>
      </c>
      <c r="Q1290" s="124">
        <f t="shared" si="2"/>
        <v>-0.9299999999</v>
      </c>
      <c r="R1290" s="52">
        <f t="array" ref="R1290">IFERROR(INDEX('Fund YTD Target Values'!$1:$1000, MATCH($C1290,'Fund YTD Target Values'!$A:$A,0), MATCH($A1290,'Fund YTD Target Values'!$1:$1,0)),0)</f>
        <v>313918.5223</v>
      </c>
      <c r="S1290" s="52">
        <f>IFERROR(__xludf.DUMMYFUNCTION("IFERROR(sum(FILTER('Fund Data'!$V:$V, 'Fund Data'!$C:$C = $C1290, 'Fund Data'!$A:$A &lt; $A1290)),0) + IFERROR(sum(FILTER('Fund Data'!$V:$V, 'Fund Data'!$C:$C = $C1290, 'Fund Data'!$A:$A = $A1290, 'Fund Data'!$B:$B &lt;= $B1290)),0)"),250000.0)</f>
        <v>250000</v>
      </c>
      <c r="T1290" s="123">
        <v>250000.0</v>
      </c>
      <c r="U1290" s="44">
        <f t="shared" si="118"/>
        <v>0</v>
      </c>
      <c r="V1290" s="44">
        <f t="shared" si="3"/>
        <v>0</v>
      </c>
      <c r="W1290" s="123"/>
      <c r="X1290" s="123"/>
      <c r="Y1290" s="123">
        <v>0.0</v>
      </c>
      <c r="Z1290" s="123">
        <v>0.0</v>
      </c>
      <c r="AA1290" s="123">
        <v>0.0</v>
      </c>
      <c r="AB1290" s="123"/>
      <c r="AC1290" s="123">
        <v>0.0</v>
      </c>
      <c r="AD1290" s="44">
        <f t="shared" si="7"/>
        <v>0</v>
      </c>
      <c r="AE1290" s="123">
        <v>0.0</v>
      </c>
    </row>
    <row r="1291">
      <c r="A1291" s="120">
        <v>2017.0</v>
      </c>
      <c r="B1291" s="121">
        <v>3.0</v>
      </c>
      <c r="C1291" s="122" t="s">
        <v>64</v>
      </c>
      <c r="D1291" s="44"/>
      <c r="E1291" s="123">
        <v>2407.85</v>
      </c>
      <c r="F1291" s="44"/>
      <c r="G1291" s="44"/>
      <c r="H1291" s="123">
        <v>-409.13</v>
      </c>
      <c r="I1291" s="44"/>
      <c r="J1291" s="44"/>
      <c r="K1291" s="44"/>
      <c r="L1291" s="123">
        <v>10645.92</v>
      </c>
      <c r="M1291" s="44"/>
      <c r="N1291" s="44"/>
      <c r="O1291" s="123">
        <v>279495.0</v>
      </c>
      <c r="P1291" s="52">
        <f t="shared" si="23"/>
        <v>279495.79</v>
      </c>
      <c r="Q1291" s="124">
        <f t="shared" si="2"/>
        <v>-0.79</v>
      </c>
      <c r="R1291" s="52">
        <f t="array" ref="R1291">IFERROR(INDEX('Fund YTD Target Values'!$1:$1000, MATCH($C1291,'Fund YTD Target Values'!$A:$A,0), MATCH($A1291,'Fund YTD Target Values'!$1:$1,0)),0)</f>
        <v>313918.5223</v>
      </c>
      <c r="S1291" s="52">
        <f>IFERROR(__xludf.DUMMYFUNCTION("IFERROR(sum(FILTER('Fund Data'!$V:$V, 'Fund Data'!$C:$C = $C1291, 'Fund Data'!$A:$A &lt; $A1291)),0) + IFERROR(sum(FILTER('Fund Data'!$V:$V, 'Fund Data'!$C:$C = $C1291, 'Fund Data'!$A:$A = $A1291, 'Fund Data'!$B:$B &lt;= $B1291)),0)"),250000.0)</f>
        <v>250000</v>
      </c>
      <c r="T1291" s="123">
        <v>250000.0</v>
      </c>
      <c r="U1291" s="44">
        <f t="shared" si="118"/>
        <v>0</v>
      </c>
      <c r="V1291" s="44">
        <f t="shared" si="3"/>
        <v>0</v>
      </c>
      <c r="W1291" s="123"/>
      <c r="X1291" s="123"/>
      <c r="Y1291" s="123">
        <v>0.0</v>
      </c>
      <c r="Z1291" s="123">
        <v>0.0</v>
      </c>
      <c r="AA1291" s="123">
        <v>0.0</v>
      </c>
      <c r="AB1291" s="123"/>
      <c r="AC1291" s="123">
        <v>0.0</v>
      </c>
      <c r="AD1291" s="44">
        <f t="shared" si="7"/>
        <v>0</v>
      </c>
      <c r="AE1291" s="123">
        <v>0.0</v>
      </c>
    </row>
    <row r="1292">
      <c r="A1292" s="168">
        <v>2017.0</v>
      </c>
      <c r="B1292" s="169">
        <v>2.0</v>
      </c>
      <c r="C1292" s="122" t="s">
        <v>64</v>
      </c>
      <c r="D1292" s="44"/>
      <c r="E1292" s="123">
        <v>2221.01</v>
      </c>
      <c r="F1292" s="44"/>
      <c r="G1292" s="44"/>
      <c r="H1292" s="123">
        <v>-269.91</v>
      </c>
      <c r="I1292" s="44"/>
      <c r="J1292" s="44"/>
      <c r="K1292" s="44"/>
      <c r="L1292" s="123">
        <v>9648.74</v>
      </c>
      <c r="M1292" s="44"/>
      <c r="N1292" s="44"/>
      <c r="O1292" s="123">
        <v>278450.0</v>
      </c>
      <c r="P1292" s="52">
        <f t="shared" si="23"/>
        <v>278450.99</v>
      </c>
      <c r="Q1292" s="124">
        <f t="shared" si="2"/>
        <v>-0.99</v>
      </c>
      <c r="R1292" s="52">
        <f t="array" ref="R1292">IFERROR(INDEX('Fund YTD Target Values'!$1:$1000, MATCH($C1292,'Fund YTD Target Values'!$A:$A,0), MATCH($A1292,'Fund YTD Target Values'!$1:$1,0)),0)</f>
        <v>313918.5223</v>
      </c>
      <c r="S1292" s="52">
        <f>IFERROR(__xludf.DUMMYFUNCTION("IFERROR(sum(FILTER('Fund Data'!$V:$V, 'Fund Data'!$C:$C = $C1292, 'Fund Data'!$A:$A &lt; $A1292)),0) + IFERROR(sum(FILTER('Fund Data'!$V:$V, 'Fund Data'!$C:$C = $C1292, 'Fund Data'!$A:$A = $A1292, 'Fund Data'!$B:$B &lt;= $B1292)),0)"),250000.0)</f>
        <v>250000</v>
      </c>
      <c r="T1292" s="123">
        <v>250000.0</v>
      </c>
      <c r="U1292" s="44">
        <f t="shared" si="118"/>
        <v>0</v>
      </c>
      <c r="V1292" s="44">
        <f t="shared" si="3"/>
        <v>0</v>
      </c>
      <c r="W1292" s="123"/>
      <c r="X1292" s="123"/>
      <c r="Y1292" s="123">
        <v>0.0</v>
      </c>
      <c r="Z1292" s="123">
        <v>0.0</v>
      </c>
      <c r="AA1292" s="123">
        <v>0.0</v>
      </c>
      <c r="AB1292" s="123"/>
      <c r="AC1292" s="123">
        <v>0.0</v>
      </c>
      <c r="AD1292" s="44">
        <f t="shared" si="7"/>
        <v>0</v>
      </c>
      <c r="AE1292" s="123">
        <v>0.0</v>
      </c>
    </row>
    <row r="1293">
      <c r="A1293" s="168">
        <v>2017.0</v>
      </c>
      <c r="B1293" s="169">
        <v>1.0</v>
      </c>
      <c r="C1293" s="122" t="s">
        <v>64</v>
      </c>
      <c r="D1293" s="44"/>
      <c r="E1293" s="123">
        <v>2028.46</v>
      </c>
      <c r="F1293" s="44"/>
      <c r="G1293" s="44"/>
      <c r="H1293" s="123">
        <v>-133.43</v>
      </c>
      <c r="I1293" s="44"/>
      <c r="J1293" s="44"/>
      <c r="K1293" s="44"/>
      <c r="L1293" s="123">
        <v>4218.08</v>
      </c>
      <c r="M1293" s="44"/>
      <c r="N1293" s="44"/>
      <c r="O1293" s="123">
        <v>272963.0</v>
      </c>
      <c r="P1293" s="52">
        <f t="shared" si="23"/>
        <v>272964.26</v>
      </c>
      <c r="Q1293" s="124">
        <f t="shared" si="2"/>
        <v>-1.26</v>
      </c>
      <c r="R1293" s="52">
        <f t="array" ref="R1293">IFERROR(INDEX('Fund YTD Target Values'!$1:$1000, MATCH($C1293,'Fund YTD Target Values'!$A:$A,0), MATCH($A1293,'Fund YTD Target Values'!$1:$1,0)),0)</f>
        <v>313918.5223</v>
      </c>
      <c r="S1293" s="52">
        <f>IFERROR(__xludf.DUMMYFUNCTION("IFERROR(sum(FILTER('Fund Data'!$V:$V, 'Fund Data'!$C:$C = $C1293, 'Fund Data'!$A:$A &lt; $A1293)),0) + IFERROR(sum(FILTER('Fund Data'!$V:$V, 'Fund Data'!$C:$C = $C1293, 'Fund Data'!$A:$A = $A1293, 'Fund Data'!$B:$B &lt;= $B1293)),0)"),250000.0)</f>
        <v>250000</v>
      </c>
      <c r="T1293" s="123">
        <v>250000.0</v>
      </c>
      <c r="U1293" s="44">
        <f t="shared" si="118"/>
        <v>0</v>
      </c>
      <c r="V1293" s="44">
        <f t="shared" si="3"/>
        <v>0</v>
      </c>
      <c r="W1293" s="123"/>
      <c r="X1293" s="123"/>
      <c r="Y1293" s="123">
        <v>0.0</v>
      </c>
      <c r="Z1293" s="123">
        <v>0.0</v>
      </c>
      <c r="AA1293" s="123">
        <v>0.0</v>
      </c>
      <c r="AB1293" s="123"/>
      <c r="AC1293" s="123">
        <v>0.0</v>
      </c>
      <c r="AD1293" s="44">
        <f t="shared" si="7"/>
        <v>0</v>
      </c>
      <c r="AE1293" s="123">
        <v>0.0</v>
      </c>
    </row>
    <row r="1294">
      <c r="A1294" s="120">
        <v>2016.0</v>
      </c>
      <c r="B1294" s="121">
        <v>12.0</v>
      </c>
      <c r="C1294" s="122" t="s">
        <v>64</v>
      </c>
      <c r="D1294" s="44"/>
      <c r="E1294" s="123">
        <v>6038.67</v>
      </c>
      <c r="F1294" s="123">
        <v>-25000.0</v>
      </c>
      <c r="G1294" s="123"/>
      <c r="H1294" s="123">
        <v>-1659.95</v>
      </c>
      <c r="I1294" s="44"/>
      <c r="J1294" s="123">
        <v>5116.05</v>
      </c>
      <c r="K1294" s="44"/>
      <c r="L1294" s="123">
        <v>7289.67</v>
      </c>
      <c r="M1294" s="44"/>
      <c r="N1294" s="44"/>
      <c r="O1294" s="123">
        <v>266850.0</v>
      </c>
      <c r="P1294" s="52">
        <f t="shared" si="23"/>
        <v>266851.15</v>
      </c>
      <c r="Q1294" s="124">
        <f t="shared" si="2"/>
        <v>-1.15</v>
      </c>
      <c r="R1294" s="52">
        <f t="array" ref="R1294">IFERROR(INDEX('Fund YTD Target Values'!$1:$1000, MATCH($C1294,'Fund YTD Target Values'!$A:$A,0), MATCH($A1294,'Fund YTD Target Values'!$1:$1,0)),0)</f>
        <v>307366.6489</v>
      </c>
      <c r="S1294" s="52">
        <f>IFERROR(__xludf.DUMMYFUNCTION("IFERROR(sum(FILTER('Fund Data'!$V:$V, 'Fund Data'!$C:$C = $C1294, 'Fund Data'!$A:$A &lt; $A1294)),0) + IFERROR(sum(FILTER('Fund Data'!$V:$V, 'Fund Data'!$C:$C = $C1294, 'Fund Data'!$A:$A = $A1294, 'Fund Data'!$B:$B &lt;= $B1294)),0)"),250000.0)</f>
        <v>250000</v>
      </c>
      <c r="T1294" s="123">
        <v>250000.0</v>
      </c>
      <c r="U1294" s="44">
        <f t="shared" si="118"/>
        <v>0</v>
      </c>
      <c r="V1294" s="44">
        <f t="shared" si="3"/>
        <v>0</v>
      </c>
      <c r="W1294" s="123"/>
      <c r="X1294" s="123"/>
      <c r="Y1294" s="123">
        <v>0.0</v>
      </c>
      <c r="Z1294" s="123">
        <v>0.0</v>
      </c>
      <c r="AA1294" s="123">
        <v>0.0</v>
      </c>
      <c r="AB1294" s="123"/>
      <c r="AC1294" s="123">
        <v>0.0</v>
      </c>
      <c r="AD1294" s="44">
        <f t="shared" si="7"/>
        <v>-25000</v>
      </c>
      <c r="AE1294" s="123">
        <v>0.0</v>
      </c>
    </row>
    <row r="1295">
      <c r="A1295" s="120">
        <v>2015.0</v>
      </c>
      <c r="B1295" s="121">
        <v>12.0</v>
      </c>
      <c r="C1295" s="122" t="s">
        <v>64</v>
      </c>
      <c r="D1295" s="44"/>
      <c r="E1295" s="123">
        <v>7158.81</v>
      </c>
      <c r="F1295" s="123">
        <v>-27000.0</v>
      </c>
      <c r="G1295" s="123"/>
      <c r="H1295" s="123">
        <v>-1821.15</v>
      </c>
      <c r="I1295" s="44"/>
      <c r="J1295" s="123">
        <v>2438.53</v>
      </c>
      <c r="K1295" s="44"/>
      <c r="L1295" s="123">
        <v>-15522.86</v>
      </c>
      <c r="M1295" s="44"/>
      <c r="N1295" s="44"/>
      <c r="O1295" s="123">
        <v>275066.0</v>
      </c>
      <c r="P1295" s="52">
        <f t="shared" si="23"/>
        <v>275066.71</v>
      </c>
      <c r="Q1295" s="124">
        <f t="shared" si="2"/>
        <v>-0.71</v>
      </c>
      <c r="R1295" s="52">
        <f t="array" ref="R1295">IFERROR(INDEX('Fund YTD Target Values'!$1:$1000, MATCH($C1295,'Fund YTD Target Values'!$A:$A,0), MATCH($A1295,'Fund YTD Target Values'!$1:$1,0)),0)</f>
        <v>303536.4924</v>
      </c>
      <c r="S1295" s="52">
        <f>IFERROR(__xludf.DUMMYFUNCTION("IFERROR(sum(FILTER('Fund Data'!$V:$V, 'Fund Data'!$C:$C = $C1295, 'Fund Data'!$A:$A &lt; $A1295)),0) + IFERROR(sum(FILTER('Fund Data'!$V:$V, 'Fund Data'!$C:$C = $C1295, 'Fund Data'!$A:$A = $A1295, 'Fund Data'!$B:$B &lt;= $B1295)),0)"),250000.0)</f>
        <v>250000</v>
      </c>
      <c r="T1295" s="123">
        <v>250000.0</v>
      </c>
      <c r="U1295" s="44">
        <f t="shared" si="118"/>
        <v>0</v>
      </c>
      <c r="V1295" s="44">
        <f t="shared" si="3"/>
        <v>0</v>
      </c>
      <c r="W1295" s="123"/>
      <c r="X1295" s="123"/>
      <c r="Y1295" s="123">
        <v>0.0</v>
      </c>
      <c r="Z1295" s="123">
        <v>0.0</v>
      </c>
      <c r="AA1295" s="123">
        <v>0.0</v>
      </c>
      <c r="AB1295" s="123"/>
      <c r="AC1295" s="123">
        <v>0.0</v>
      </c>
      <c r="AD1295" s="44">
        <f t="shared" si="7"/>
        <v>-27000</v>
      </c>
      <c r="AE1295" s="123">
        <v>0.0</v>
      </c>
    </row>
    <row r="1296">
      <c r="A1296" s="120">
        <v>2014.0</v>
      </c>
      <c r="B1296" s="121">
        <v>12.0</v>
      </c>
      <c r="C1296" s="122" t="s">
        <v>64</v>
      </c>
      <c r="D1296" s="44"/>
      <c r="E1296" s="123">
        <v>6012.07</v>
      </c>
      <c r="F1296" s="123">
        <v>-15000.0</v>
      </c>
      <c r="G1296" s="123"/>
      <c r="H1296" s="123">
        <v>-1934.42</v>
      </c>
      <c r="I1296" s="44"/>
      <c r="J1296" s="123">
        <v>2758.63</v>
      </c>
      <c r="K1296" s="44"/>
      <c r="L1296" s="123">
        <v>-1206.54</v>
      </c>
      <c r="M1296" s="44"/>
      <c r="N1296" s="44"/>
      <c r="O1296" s="123">
        <v>309813.0</v>
      </c>
      <c r="P1296" s="52">
        <f t="shared" si="23"/>
        <v>309813.38</v>
      </c>
      <c r="Q1296" s="124">
        <f t="shared" si="2"/>
        <v>-0.38</v>
      </c>
      <c r="R1296" s="52">
        <f t="array" ref="R1296">IFERROR(INDEX('Fund YTD Target Values'!$1:$1000, MATCH($C1296,'Fund YTD Target Values'!$A:$A,0), MATCH($A1296,'Fund YTD Target Values'!$1:$1,0)),0)</f>
        <v>303176.0174</v>
      </c>
      <c r="S1296" s="52">
        <f>IFERROR(__xludf.DUMMYFUNCTION("IFERROR(sum(FILTER('Fund Data'!$V:$V, 'Fund Data'!$C:$C = $C1296, 'Fund Data'!$A:$A &lt; $A1296)),0) + IFERROR(sum(FILTER('Fund Data'!$V:$V, 'Fund Data'!$C:$C = $C1296, 'Fund Data'!$A:$A = $A1296, 'Fund Data'!$B:$B &lt;= $B1296)),0)"),250000.0)</f>
        <v>250000</v>
      </c>
      <c r="T1296" s="123">
        <v>250000.0</v>
      </c>
      <c r="U1296" s="44">
        <f t="shared" si="118"/>
        <v>0</v>
      </c>
      <c r="V1296" s="44">
        <f t="shared" si="3"/>
        <v>0</v>
      </c>
      <c r="W1296" s="123"/>
      <c r="X1296" s="123"/>
      <c r="Y1296" s="123">
        <v>0.0</v>
      </c>
      <c r="Z1296" s="123">
        <v>0.0</v>
      </c>
      <c r="AA1296" s="123">
        <v>0.0</v>
      </c>
      <c r="AB1296" s="123"/>
      <c r="AC1296" s="123">
        <v>0.0</v>
      </c>
      <c r="AD1296" s="44">
        <f t="shared" si="7"/>
        <v>-15000</v>
      </c>
      <c r="AE1296" s="123">
        <v>0.0</v>
      </c>
    </row>
    <row r="1297">
      <c r="A1297" s="120">
        <v>2013.0</v>
      </c>
      <c r="B1297" s="121">
        <v>12.0</v>
      </c>
      <c r="C1297" s="122" t="s">
        <v>64</v>
      </c>
      <c r="D1297" s="44"/>
      <c r="E1297" s="123">
        <v>6299.31</v>
      </c>
      <c r="F1297" s="123">
        <v>-12000.0</v>
      </c>
      <c r="G1297" s="123"/>
      <c r="H1297" s="123">
        <v>-1851.64</v>
      </c>
      <c r="I1297" s="44"/>
      <c r="J1297" s="123">
        <v>2438.3</v>
      </c>
      <c r="K1297" s="44"/>
      <c r="L1297" s="123">
        <v>24204.15</v>
      </c>
      <c r="M1297" s="44"/>
      <c r="N1297" s="44"/>
      <c r="O1297" s="123">
        <v>319183.0</v>
      </c>
      <c r="P1297" s="52">
        <f t="shared" si="23"/>
        <v>319183.64</v>
      </c>
      <c r="Q1297" s="124">
        <f t="shared" si="2"/>
        <v>-0.64</v>
      </c>
      <c r="R1297" s="52">
        <f t="array" ref="R1297">IFERROR(INDEX('Fund YTD Target Values'!$1:$1000, MATCH($C1297,'Fund YTD Target Values'!$A:$A,0), MATCH($A1297,'Fund YTD Target Values'!$1:$1,0)),0)</f>
        <v>298337.2709</v>
      </c>
      <c r="S1297" s="52">
        <f>IFERROR(__xludf.DUMMYFUNCTION("IFERROR(sum(FILTER('Fund Data'!$V:$V, 'Fund Data'!$C:$C = $C1297, 'Fund Data'!$A:$A &lt; $A1297)),0) + IFERROR(sum(FILTER('Fund Data'!$V:$V, 'Fund Data'!$C:$C = $C1297, 'Fund Data'!$A:$A = $A1297, 'Fund Data'!$B:$B &lt;= $B1297)),0)"),250000.0)</f>
        <v>250000</v>
      </c>
      <c r="T1297" s="123">
        <v>250000.0</v>
      </c>
      <c r="U1297" s="44">
        <f t="shared" si="118"/>
        <v>0</v>
      </c>
      <c r="V1297" s="44">
        <f t="shared" si="3"/>
        <v>0</v>
      </c>
      <c r="W1297" s="123"/>
      <c r="X1297" s="123"/>
      <c r="Y1297" s="123">
        <v>0.0</v>
      </c>
      <c r="Z1297" s="123">
        <v>0.0</v>
      </c>
      <c r="AA1297" s="123">
        <v>0.0</v>
      </c>
      <c r="AB1297" s="123"/>
      <c r="AC1297" s="123">
        <v>0.0</v>
      </c>
      <c r="AD1297" s="44">
        <f t="shared" si="7"/>
        <v>-12000</v>
      </c>
      <c r="AE1297" s="123">
        <v>0.0</v>
      </c>
    </row>
    <row r="1298">
      <c r="A1298" s="120">
        <v>2012.0</v>
      </c>
      <c r="B1298" s="121">
        <v>12.0</v>
      </c>
      <c r="C1298" s="122" t="s">
        <v>64</v>
      </c>
      <c r="D1298" s="44"/>
      <c r="E1298" s="123">
        <v>5903.63</v>
      </c>
      <c r="F1298" s="123">
        <v>-7000.0</v>
      </c>
      <c r="G1298" s="123"/>
      <c r="H1298" s="123">
        <v>-1748.61</v>
      </c>
      <c r="I1298" s="44"/>
      <c r="J1298" s="123">
        <v>1078.59</v>
      </c>
      <c r="K1298" s="44"/>
      <c r="L1298" s="123">
        <v>27733.14</v>
      </c>
      <c r="M1298" s="44"/>
      <c r="N1298" s="44"/>
      <c r="O1298" s="123">
        <v>300093.0</v>
      </c>
      <c r="P1298" s="52">
        <f t="shared" si="23"/>
        <v>300093.52</v>
      </c>
      <c r="Q1298" s="124">
        <f t="shared" si="2"/>
        <v>-0.52</v>
      </c>
      <c r="R1298" s="52">
        <f t="array" ref="R1298">IFERROR(INDEX('Fund YTD Target Values'!$1:$1000, MATCH($C1298,'Fund YTD Target Values'!$A:$A,0), MATCH($A1298,'Fund YTD Target Values'!$1:$1,0)),0)</f>
        <v>294026.7055</v>
      </c>
      <c r="S1298" s="52">
        <f>IFERROR(__xludf.DUMMYFUNCTION("IFERROR(sum(FILTER('Fund Data'!$V:$V, 'Fund Data'!$C:$C = $C1298, 'Fund Data'!$A:$A &lt; $A1298)),0) + IFERROR(sum(FILTER('Fund Data'!$V:$V, 'Fund Data'!$C:$C = $C1298, 'Fund Data'!$A:$A = $A1298, 'Fund Data'!$B:$B &lt;= $B1298)),0)"),250000.0)</f>
        <v>250000</v>
      </c>
      <c r="T1298" s="123">
        <v>250000.0</v>
      </c>
      <c r="U1298" s="44">
        <f t="shared" si="118"/>
        <v>0</v>
      </c>
      <c r="V1298" s="44">
        <f t="shared" si="3"/>
        <v>0</v>
      </c>
      <c r="W1298" s="123"/>
      <c r="X1298" s="123"/>
      <c r="Y1298" s="123">
        <v>0.0</v>
      </c>
      <c r="Z1298" s="123">
        <v>0.0</v>
      </c>
      <c r="AA1298" s="123">
        <v>0.0</v>
      </c>
      <c r="AB1298" s="123"/>
      <c r="AC1298" s="123">
        <v>0.0</v>
      </c>
      <c r="AD1298" s="44">
        <f t="shared" si="7"/>
        <v>-7000</v>
      </c>
      <c r="AE1298" s="123">
        <v>0.0</v>
      </c>
    </row>
    <row r="1299">
      <c r="A1299" s="120">
        <v>2011.0</v>
      </c>
      <c r="B1299" s="121">
        <v>12.0</v>
      </c>
      <c r="C1299" s="122" t="s">
        <v>64</v>
      </c>
      <c r="D1299" s="44"/>
      <c r="E1299" s="123">
        <v>5270.19</v>
      </c>
      <c r="F1299" s="123">
        <v>-23000.0</v>
      </c>
      <c r="G1299" s="123"/>
      <c r="H1299" s="123">
        <v>-1878.93</v>
      </c>
      <c r="I1299" s="44"/>
      <c r="J1299" s="123">
        <v>2078.49</v>
      </c>
      <c r="K1299" s="44"/>
      <c r="L1299" s="123">
        <v>-21130.22</v>
      </c>
      <c r="M1299" s="44"/>
      <c r="N1299" s="44"/>
      <c r="O1299" s="123">
        <v>274126.0</v>
      </c>
      <c r="P1299" s="52">
        <f t="shared" si="23"/>
        <v>274126.77</v>
      </c>
      <c r="Q1299" s="124">
        <f t="shared" si="2"/>
        <v>-0.77</v>
      </c>
      <c r="R1299" s="52">
        <f t="array" ref="R1299">IFERROR(INDEX('Fund YTD Target Values'!$1:$1000, MATCH($C1299,'Fund YTD Target Values'!$A:$A,0), MATCH($A1299,'Fund YTD Target Values'!$1:$1,0)),0)</f>
        <v>288054.7749</v>
      </c>
      <c r="S1299" s="52">
        <f>IFERROR(__xludf.DUMMYFUNCTION("IFERROR(sum(FILTER('Fund Data'!$V:$V, 'Fund Data'!$C:$C = $C1299, 'Fund Data'!$A:$A &lt; $A1299)),0) + IFERROR(sum(FILTER('Fund Data'!$V:$V, 'Fund Data'!$C:$C = $C1299, 'Fund Data'!$A:$A = $A1299, 'Fund Data'!$B:$B &lt;= $B1299)),0)"),250000.0)</f>
        <v>250000</v>
      </c>
      <c r="T1299" s="123">
        <v>250000.0</v>
      </c>
      <c r="U1299" s="44">
        <f t="shared" si="118"/>
        <v>0</v>
      </c>
      <c r="V1299" s="44">
        <f t="shared" si="3"/>
        <v>0</v>
      </c>
      <c r="W1299" s="123"/>
      <c r="X1299" s="123"/>
      <c r="Y1299" s="123">
        <v>0.0</v>
      </c>
      <c r="Z1299" s="123">
        <v>0.0</v>
      </c>
      <c r="AA1299" s="123">
        <v>0.0</v>
      </c>
      <c r="AB1299" s="123"/>
      <c r="AC1299" s="123">
        <v>0.0</v>
      </c>
      <c r="AD1299" s="44">
        <f t="shared" si="7"/>
        <v>-23000</v>
      </c>
      <c r="AE1299" s="123">
        <v>0.0</v>
      </c>
    </row>
    <row r="1300">
      <c r="A1300" s="120">
        <v>2010.0</v>
      </c>
      <c r="B1300" s="121">
        <v>12.0</v>
      </c>
      <c r="C1300" s="122" t="s">
        <v>64</v>
      </c>
      <c r="D1300" s="44"/>
      <c r="E1300" s="123">
        <v>5980.0</v>
      </c>
      <c r="F1300" s="123">
        <v>-5000.0</v>
      </c>
      <c r="G1300" s="123"/>
      <c r="H1300" s="123">
        <v>-1706.82</v>
      </c>
      <c r="I1300" s="44"/>
      <c r="J1300" s="123">
        <v>176.64</v>
      </c>
      <c r="K1300" s="44"/>
      <c r="L1300" s="123">
        <v>33031.74</v>
      </c>
      <c r="M1300" s="44"/>
      <c r="N1300" s="44"/>
      <c r="O1300" s="123">
        <v>312787.0</v>
      </c>
      <c r="P1300" s="52">
        <f t="shared" si="23"/>
        <v>312787.24</v>
      </c>
      <c r="Q1300" s="124">
        <f t="shared" si="2"/>
        <v>-0.24</v>
      </c>
      <c r="R1300" s="52">
        <f t="array" ref="R1300">IFERROR(INDEX('Fund YTD Target Values'!$1:$1000, MATCH($C1300,'Fund YTD Target Values'!$A:$A,0), MATCH($A1300,'Fund YTD Target Values'!$1:$1,0)),0)</f>
        <v>279244.0622</v>
      </c>
      <c r="S1300" s="52">
        <f>IFERROR(__xludf.DUMMYFUNCTION("IFERROR(sum(FILTER('Fund Data'!$V:$V, 'Fund Data'!$C:$C = $C1300, 'Fund Data'!$A:$A &lt; $A1300)),0) + IFERROR(sum(FILTER('Fund Data'!$V:$V, 'Fund Data'!$C:$C = $C1300, 'Fund Data'!$A:$A = $A1300, 'Fund Data'!$B:$B &lt;= $B1300)),0)"),250000.0)</f>
        <v>250000</v>
      </c>
      <c r="T1300" s="123">
        <v>250000.0</v>
      </c>
      <c r="U1300" s="44">
        <f t="shared" si="118"/>
        <v>0</v>
      </c>
      <c r="V1300" s="44">
        <f t="shared" si="3"/>
        <v>0</v>
      </c>
      <c r="W1300" s="123"/>
      <c r="X1300" s="123"/>
      <c r="Y1300" s="123">
        <v>0.0</v>
      </c>
      <c r="Z1300" s="123">
        <v>0.0</v>
      </c>
      <c r="AA1300" s="123">
        <v>0.0</v>
      </c>
      <c r="AB1300" s="123"/>
      <c r="AC1300" s="123">
        <v>0.0</v>
      </c>
      <c r="AD1300" s="44">
        <f t="shared" si="7"/>
        <v>-5000</v>
      </c>
      <c r="AE1300" s="123">
        <v>0.0</v>
      </c>
    </row>
    <row r="1301">
      <c r="A1301" s="120">
        <v>2009.0</v>
      </c>
      <c r="B1301" s="121">
        <v>12.0</v>
      </c>
      <c r="C1301" s="122" t="s">
        <v>64</v>
      </c>
      <c r="D1301" s="44"/>
      <c r="E1301" s="123">
        <v>7274.79</v>
      </c>
      <c r="F1301" s="123">
        <v>-2500.0</v>
      </c>
      <c r="G1301" s="123"/>
      <c r="H1301" s="123">
        <v>-1474.88</v>
      </c>
      <c r="I1301" s="44"/>
      <c r="J1301" s="44"/>
      <c r="K1301" s="44"/>
      <c r="L1301" s="123">
        <v>43346.9</v>
      </c>
      <c r="M1301" s="44"/>
      <c r="N1301" s="44"/>
      <c r="O1301" s="123">
        <v>280305.0</v>
      </c>
      <c r="P1301" s="52">
        <f t="shared" si="23"/>
        <v>280305.68</v>
      </c>
      <c r="Q1301" s="124">
        <f t="shared" si="2"/>
        <v>-0.6800000001</v>
      </c>
      <c r="R1301" s="52">
        <f t="array" ref="R1301">IFERROR(INDEX('Fund YTD Target Values'!$1:$1000, MATCH($C1301,'Fund YTD Target Values'!$A:$A,0), MATCH($A1301,'Fund YTD Target Values'!$1:$1,0)),0)</f>
        <v>274726.6779</v>
      </c>
      <c r="S1301" s="52">
        <f>IFERROR(__xludf.DUMMYFUNCTION("IFERROR(sum(FILTER('Fund Data'!$V:$V, 'Fund Data'!$C:$C = $C1301, 'Fund Data'!$A:$A &lt; $A1301)),0) + IFERROR(sum(FILTER('Fund Data'!$V:$V, 'Fund Data'!$C:$C = $C1301, 'Fund Data'!$A:$A = $A1301, 'Fund Data'!$B:$B &lt;= $B1301)),0)"),250000.0)</f>
        <v>250000</v>
      </c>
      <c r="T1301" s="123">
        <v>250000.0</v>
      </c>
      <c r="U1301" s="44">
        <f t="shared" si="118"/>
        <v>0</v>
      </c>
      <c r="V1301" s="44">
        <f t="shared" si="3"/>
        <v>0</v>
      </c>
      <c r="W1301" s="123"/>
      <c r="X1301" s="123"/>
      <c r="Y1301" s="123">
        <v>0.0</v>
      </c>
      <c r="Z1301" s="123">
        <v>0.0</v>
      </c>
      <c r="AA1301" s="123">
        <v>0.0</v>
      </c>
      <c r="AB1301" s="123"/>
      <c r="AC1301" s="123">
        <v>0.0</v>
      </c>
      <c r="AD1301" s="44">
        <f t="shared" si="7"/>
        <v>-2500</v>
      </c>
      <c r="AE1301" s="123">
        <v>0.0</v>
      </c>
    </row>
    <row r="1302">
      <c r="A1302" s="120">
        <v>2008.0</v>
      </c>
      <c r="B1302" s="121">
        <v>12.0</v>
      </c>
      <c r="C1302" s="122" t="s">
        <v>64</v>
      </c>
      <c r="D1302" s="44"/>
      <c r="E1302" s="123">
        <v>7433.67</v>
      </c>
      <c r="F1302" s="44"/>
      <c r="G1302" s="123"/>
      <c r="H1302" s="123">
        <v>-1671.18</v>
      </c>
      <c r="I1302" s="44"/>
      <c r="J1302" s="44"/>
      <c r="K1302" s="44"/>
      <c r="L1302" s="123">
        <v>-76688.77</v>
      </c>
      <c r="M1302" s="44"/>
      <c r="N1302" s="44"/>
      <c r="O1302" s="123">
        <v>233658.0</v>
      </c>
      <c r="P1302" s="52">
        <f t="shared" si="23"/>
        <v>233658.87</v>
      </c>
      <c r="Q1302" s="124">
        <f t="shared" si="2"/>
        <v>-0.87</v>
      </c>
      <c r="R1302" s="52">
        <f t="array" ref="R1302">IFERROR(INDEX('Fund YTD Target Values'!$1:$1000, MATCH($C1302,'Fund YTD Target Values'!$A:$A,0), MATCH($A1302,'Fund YTD Target Values'!$1:$1,0)),0)</f>
        <v>275657.8501</v>
      </c>
      <c r="S1302" s="52">
        <f>IFERROR(__xludf.DUMMYFUNCTION("IFERROR(sum(FILTER('Fund Data'!$V:$V, 'Fund Data'!$C:$C = $C1302, 'Fund Data'!$A:$A &lt; $A1302)),0) + IFERROR(sum(FILTER('Fund Data'!$V:$V, 'Fund Data'!$C:$C = $C1302, 'Fund Data'!$A:$A = $A1302, 'Fund Data'!$B:$B &lt;= $B1302)),0)"),250000.0)</f>
        <v>250000</v>
      </c>
      <c r="T1302" s="123">
        <v>250000.0</v>
      </c>
      <c r="U1302" s="44">
        <f t="shared" si="118"/>
        <v>0</v>
      </c>
      <c r="V1302" s="44">
        <f t="shared" si="3"/>
        <v>0</v>
      </c>
      <c r="W1302" s="123"/>
      <c r="X1302" s="123"/>
      <c r="Y1302" s="123">
        <v>0.0</v>
      </c>
      <c r="Z1302" s="123">
        <v>0.0</v>
      </c>
      <c r="AA1302" s="123">
        <v>0.0</v>
      </c>
      <c r="AB1302" s="123"/>
      <c r="AC1302" s="123">
        <v>0.0</v>
      </c>
      <c r="AD1302" s="44">
        <f t="shared" si="7"/>
        <v>0</v>
      </c>
      <c r="AE1302" s="123">
        <v>0.0</v>
      </c>
    </row>
    <row r="1303">
      <c r="A1303" s="120">
        <v>2007.0</v>
      </c>
      <c r="B1303" s="121">
        <v>12.0</v>
      </c>
      <c r="C1303" s="122" t="s">
        <v>64</v>
      </c>
      <c r="D1303" s="44"/>
      <c r="E1303" s="123">
        <v>4830.5</v>
      </c>
      <c r="F1303" s="123">
        <v>-15000.0</v>
      </c>
      <c r="G1303" s="123"/>
      <c r="H1303" s="123">
        <v>-1813.51</v>
      </c>
      <c r="I1303" s="44"/>
      <c r="J1303" s="123">
        <v>2116.28</v>
      </c>
      <c r="K1303" s="44"/>
      <c r="L1303" s="123">
        <v>23022.19</v>
      </c>
      <c r="M1303" s="123">
        <v>-15.0</v>
      </c>
      <c r="N1303" s="44"/>
      <c r="O1303" s="123">
        <v>304584.0</v>
      </c>
      <c r="P1303" s="52">
        <f t="shared" si="23"/>
        <v>304585.15</v>
      </c>
      <c r="Q1303" s="124">
        <f t="shared" si="2"/>
        <v>-1.15</v>
      </c>
      <c r="R1303" s="52">
        <f t="array" ref="R1303">IFERROR(INDEX('Fund YTD Target Values'!$1:$1000, MATCH($C1303,'Fund YTD Target Values'!$A:$A,0), MATCH($A1303,'Fund YTD Target Values'!$1:$1,0)),0)</f>
        <v>265449.6317</v>
      </c>
      <c r="S1303" s="52">
        <f>IFERROR(__xludf.DUMMYFUNCTION("IFERROR(sum(FILTER('Fund Data'!$V:$V, 'Fund Data'!$C:$C = $C1303, 'Fund Data'!$A:$A &lt; $A1303)),0) + IFERROR(sum(FILTER('Fund Data'!$V:$V, 'Fund Data'!$C:$C = $C1303, 'Fund Data'!$A:$A = $A1303, 'Fund Data'!$B:$B &lt;= $B1303)),0)"),250000.0)</f>
        <v>250000</v>
      </c>
      <c r="T1303" s="123">
        <v>250000.0</v>
      </c>
      <c r="U1303" s="44">
        <f t="shared" si="118"/>
        <v>0</v>
      </c>
      <c r="V1303" s="44">
        <f t="shared" si="3"/>
        <v>0</v>
      </c>
      <c r="W1303" s="123"/>
      <c r="X1303" s="123"/>
      <c r="Y1303" s="123">
        <v>0.0</v>
      </c>
      <c r="Z1303" s="123">
        <v>0.0</v>
      </c>
      <c r="AA1303" s="123">
        <v>0.0</v>
      </c>
      <c r="AB1303" s="123"/>
      <c r="AC1303" s="123">
        <v>0.0</v>
      </c>
      <c r="AD1303" s="44">
        <f t="shared" si="7"/>
        <v>-15000</v>
      </c>
      <c r="AE1303" s="123">
        <v>0.0</v>
      </c>
    </row>
    <row r="1304">
      <c r="A1304" s="120">
        <v>2006.0</v>
      </c>
      <c r="B1304" s="121">
        <v>12.0</v>
      </c>
      <c r="C1304" s="122" t="s">
        <v>64</v>
      </c>
      <c r="D1304" s="44"/>
      <c r="E1304" s="123">
        <v>4462.82</v>
      </c>
      <c r="F1304" s="44"/>
      <c r="G1304" s="123"/>
      <c r="H1304" s="123">
        <v>-1662.77</v>
      </c>
      <c r="I1304" s="44"/>
      <c r="J1304" s="44"/>
      <c r="K1304" s="44"/>
      <c r="L1304" s="123">
        <v>23627.25</v>
      </c>
      <c r="M1304" s="123">
        <v>-737.89</v>
      </c>
      <c r="N1304" s="44"/>
      <c r="O1304" s="123">
        <v>291444.0</v>
      </c>
      <c r="P1304" s="52">
        <f t="shared" si="23"/>
        <v>291444.69</v>
      </c>
      <c r="Q1304" s="124">
        <f t="shared" si="2"/>
        <v>-0.69</v>
      </c>
      <c r="R1304" s="52">
        <f t="array" ref="R1304">IFERROR(INDEX('Fund YTD Target Values'!$1:$1000, MATCH($C1304,'Fund YTD Target Values'!$A:$A,0), MATCH($A1304,'Fund YTD Target Values'!$1:$1,0)),0)</f>
        <v>258088.0502</v>
      </c>
      <c r="S1304" s="52">
        <f>IFERROR(__xludf.DUMMYFUNCTION("IFERROR(sum(FILTER('Fund Data'!$V:$V, 'Fund Data'!$C:$C = $C1304, 'Fund Data'!$A:$A &lt; $A1304)),0) + IFERROR(sum(FILTER('Fund Data'!$V:$V, 'Fund Data'!$C:$C = $C1304, 'Fund Data'!$A:$A = $A1304, 'Fund Data'!$B:$B &lt;= $B1304)),0)"),250000.0)</f>
        <v>250000</v>
      </c>
      <c r="T1304" s="123">
        <v>250000.0</v>
      </c>
      <c r="U1304" s="44">
        <f t="shared" si="118"/>
        <v>0</v>
      </c>
      <c r="V1304" s="44">
        <f t="shared" si="3"/>
        <v>0</v>
      </c>
      <c r="W1304" s="123"/>
      <c r="X1304" s="123"/>
      <c r="Y1304" s="123">
        <v>0.0</v>
      </c>
      <c r="Z1304" s="123">
        <v>0.0</v>
      </c>
      <c r="AA1304" s="123">
        <v>0.0</v>
      </c>
      <c r="AB1304" s="123"/>
      <c r="AC1304" s="123">
        <v>0.0</v>
      </c>
      <c r="AD1304" s="44">
        <f t="shared" si="7"/>
        <v>0</v>
      </c>
      <c r="AE1304" s="123">
        <v>0.0</v>
      </c>
    </row>
    <row r="1305">
      <c r="A1305" s="120">
        <v>2005.0</v>
      </c>
      <c r="B1305" s="121">
        <v>12.0</v>
      </c>
      <c r="C1305" s="122" t="s">
        <v>64</v>
      </c>
      <c r="D1305" s="123">
        <v>250000.0</v>
      </c>
      <c r="E1305" s="123">
        <v>4684.58</v>
      </c>
      <c r="F1305" s="44"/>
      <c r="G1305" s="123"/>
      <c r="H1305" s="123">
        <v>-1149.11</v>
      </c>
      <c r="I1305" s="44"/>
      <c r="J1305" s="123">
        <v>15363.11</v>
      </c>
      <c r="K1305" s="123">
        <v>-3757.0</v>
      </c>
      <c r="L1305" s="123">
        <v>-139.98</v>
      </c>
      <c r="M1305" s="123">
        <v>753.68</v>
      </c>
      <c r="N1305" s="44"/>
      <c r="O1305" s="123">
        <v>265755.0</v>
      </c>
      <c r="P1305" s="52">
        <f t="shared" si="23"/>
        <v>265755.28</v>
      </c>
      <c r="Q1305" s="124">
        <f t="shared" si="2"/>
        <v>-0.28</v>
      </c>
      <c r="R1305" s="52">
        <f t="array" ref="R1305">IFERROR(INDEX('Fund YTD Target Values'!$1:$1000, MATCH($C1305,'Fund YTD Target Values'!$A:$A,0), MATCH($A1305,'Fund YTD Target Values'!$1:$1,0)),0)</f>
        <v>250000</v>
      </c>
      <c r="S1305" s="52">
        <f>IFERROR(__xludf.DUMMYFUNCTION("IFERROR(sum(FILTER('Fund Data'!$V:$V, 'Fund Data'!$C:$C = $C1305, 'Fund Data'!$A:$A &lt; $A1305)),0) + IFERROR(sum(FILTER('Fund Data'!$V:$V, 'Fund Data'!$C:$C = $C1305, 'Fund Data'!$A:$A = $A1305, 'Fund Data'!$B:$B &lt;= $B1305)),0)"),250000.0)</f>
        <v>250000</v>
      </c>
      <c r="T1305" s="123">
        <v>250000.0</v>
      </c>
      <c r="U1305" s="44">
        <f t="shared" si="118"/>
        <v>0</v>
      </c>
      <c r="V1305" s="44">
        <f t="shared" si="3"/>
        <v>250000</v>
      </c>
      <c r="W1305" s="123"/>
      <c r="X1305" s="123"/>
      <c r="Y1305" s="123">
        <v>0.0</v>
      </c>
      <c r="Z1305" s="123">
        <v>0.0</v>
      </c>
      <c r="AA1305" s="123">
        <v>0.0</v>
      </c>
      <c r="AB1305" s="123"/>
      <c r="AC1305" s="123">
        <v>0.0</v>
      </c>
      <c r="AD1305" s="44">
        <f t="shared" si="7"/>
        <v>0</v>
      </c>
      <c r="AE1305" s="123">
        <v>0.0</v>
      </c>
    </row>
    <row r="1306">
      <c r="A1306" s="120">
        <v>2019.0</v>
      </c>
      <c r="B1306" s="121">
        <v>6.0</v>
      </c>
      <c r="C1306" s="122" t="s">
        <v>65</v>
      </c>
      <c r="D1306" s="44"/>
      <c r="E1306" s="123">
        <v>1765.65</v>
      </c>
      <c r="F1306" s="123">
        <v>-3500.0</v>
      </c>
      <c r="G1306" s="44"/>
      <c r="H1306" s="123">
        <v>-398.87</v>
      </c>
      <c r="I1306" s="44"/>
      <c r="J1306" s="123">
        <v>218.26</v>
      </c>
      <c r="K1306" s="44"/>
      <c r="L1306" s="123">
        <v>13608.72</v>
      </c>
      <c r="M1306" s="44"/>
      <c r="N1306" s="44"/>
      <c r="O1306" s="123">
        <v>144029.67</v>
      </c>
      <c r="P1306" s="52">
        <f t="shared" si="23"/>
        <v>144029.88</v>
      </c>
      <c r="Q1306" s="124">
        <f t="shared" si="2"/>
        <v>-0.21</v>
      </c>
      <c r="R1306" s="52">
        <f t="array" ref="R1306">IFERROR(INDEX('Fund YTD Target Values'!$1:$1000, MATCH($C1306,'Fund YTD Target Values'!$A:$A,0), MATCH($A1306,'Fund YTD Target Values'!$1:$1,0)),0)</f>
        <v>123356.733</v>
      </c>
      <c r="S1306" s="52">
        <f>IFERROR(__xludf.DUMMYFUNCTION("IFERROR(sum(FILTER('Fund Data'!$V:$V, 'Fund Data'!$C:$C = $C1306, 'Fund Data'!$A:$A &lt; $A1306)),0) + IFERROR(sum(FILTER('Fund Data'!$V:$V, 'Fund Data'!$C:$C = $C1306, 'Fund Data'!$A:$A = $A1306, 'Fund Data'!$B:$B &lt;= $B1306)),0)"),100000.0)</f>
        <v>100000</v>
      </c>
      <c r="T1306" s="123">
        <v>100000.0</v>
      </c>
      <c r="U1306" s="44">
        <f t="shared" si="118"/>
        <v>0</v>
      </c>
      <c r="V1306" s="44">
        <f t="shared" si="3"/>
        <v>0</v>
      </c>
      <c r="W1306" s="52">
        <f>IFERROR(__xludf.DUMMYFUNCTION("iFERROR((FILTER('Fund Data'!$Y:$Y, 'Fund Data'!$C:$C = $C1306, 'Fund Data'!$A:$A = $A1306 - 1, 'Fund Data'!$B:$B = 12) + FILTER('Fund Data'!$AA:$AA, 'Fund Data'!$C:$C = $C1306, 'Fund Data'!$A:$A = $A1306 - 1, 'Fund Data'!$B:$B = 12)) * (1 + AVERAGE(FILTER"&amp;"('Inflation Data'!$C:$C,'Inflation Data'!$A:$A = ($A1306 - 2)))) * 'Parameters and Distribution Sum'!$A$4,0)"),3807.5303509611413)</f>
        <v>3807.530351</v>
      </c>
      <c r="X1306" s="52">
        <f>IFERROR(__xludf.DUMMYFUNCTION("IFERROR((IFERROR(FILTER('Fund Data'!$P:$P,'Fund Data'!$C:$C = $C1306,'Fund Data'!$A:$A = ($A1306 - 2), 'Fund Data'!$B:$B = 12),0) - SUM(FILTER('Fund Data'!$V:$V, 'Fund Data'!$C:$C = $C1306, 'Fund Data'!$A:$A = ($A1306 - 2), 'Fund Data'!$B:$B &gt; 3)))  * 'Pa"&amp;"rameters and Distribution Sum'!$B$4 * (1 - 'Parameters and Distribution Sum'!$A$4),0)"),2003.4309150000001)</f>
        <v>2003.430915</v>
      </c>
      <c r="Y1306" s="52">
        <f t="shared" ref="Y1306:Y1311" si="122">sum($W1306:$X1306)</f>
        <v>5810.961266</v>
      </c>
      <c r="Z1306" s="52">
        <f>IFERROR(__xludf.DUMMYFUNCTION("((IFERROR((SUM(FILTER('Fund Data'!$V:$V, 'Fund Data'!$C:$C = $C1306, 'Fund Data'!$A:$A = $A1306 - 1, 'Fund Data'!$B:$B &gt;= 4, 'Fund Data'!$B:$B &lt;= ($B1306 + 5))) / 12) * ($B1306 - 3) * 'Parameters and Distribution Sum'!$B$4, 0) + IF($B1306 &gt;= 9, IFERROR(SU"&amp;"M(FILTER('Fund Data'!$V:$V, 'Fund Data'!$C:$C = $C1306, 'Fund Data'!$A:$A = $A1306, 'Fund Data'!$B:$B &lt;= 3)) * 'Parameters and Distribution Sum'!$B$4, 0),0)))"),0.0)</f>
        <v>0</v>
      </c>
      <c r="AA1306" s="44">
        <f>IFERROR(__xludf.DUMMYFUNCTION("IFERROR(((IFERROR(SUM(FILTER('Fund Data'!$V:$V, 'Fund Data'!$C:$C = $C1306, 'Fund Data'!$A:$A = $A1306 - 2, 'Fund Data'!$B:$B &gt;= 4)) * 'Parameters and Distribution Sum'!$B$4,0) + IFERROR(SUM(FILTER('Fund Data'!$V:$V, 'Fund Data'!$C:$C = $C1306, 'Fund Data"&amp;"'!$A:$A = $A1306 - 1, 'Fund Data'!$B:$B &lt;= 3)) * 'Parameters and Distribution Sum'!$B$4,0))),0)"),0.0)</f>
        <v>0</v>
      </c>
      <c r="AB1306" s="44">
        <f t="shared" ref="AB1306:AB1312" si="123">IFERROR(__xludf.DUMMYFUNCTION("IFERROR(FILTER($AE:$AE,$C:$C = $C1306,$A:$A = $A1306 - 1,$B:$B = 12),0)"),0.0)</f>
        <v>0</v>
      </c>
      <c r="AC1306" s="44">
        <f t="shared" ref="AC1306:AC1312" si="124">sum($Y1306:$AB1306)</f>
        <v>5810.961266</v>
      </c>
      <c r="AD1306" s="44">
        <f t="shared" si="7"/>
        <v>2310.961266</v>
      </c>
      <c r="AE1306" s="44"/>
    </row>
    <row r="1307">
      <c r="A1307" s="120">
        <v>2019.0</v>
      </c>
      <c r="B1307" s="121">
        <v>5.0</v>
      </c>
      <c r="C1307" s="122" t="s">
        <v>65</v>
      </c>
      <c r="D1307" s="44"/>
      <c r="E1307" s="123">
        <v>1610.99</v>
      </c>
      <c r="F1307" s="44"/>
      <c r="G1307" s="44"/>
      <c r="H1307" s="123">
        <v>-331.87</v>
      </c>
      <c r="I1307" s="44"/>
      <c r="J1307" s="44"/>
      <c r="K1307" s="44"/>
      <c r="L1307" s="123">
        <v>8277.68</v>
      </c>
      <c r="M1307" s="44"/>
      <c r="N1307" s="44"/>
      <c r="O1307" s="123">
        <v>141892.71</v>
      </c>
      <c r="P1307" s="52">
        <f t="shared" si="23"/>
        <v>141892.92</v>
      </c>
      <c r="Q1307" s="124">
        <f t="shared" si="2"/>
        <v>-0.21</v>
      </c>
      <c r="R1307" s="52">
        <f t="array" ref="R1307">IFERROR(INDEX('Fund YTD Target Values'!$1:$1000, MATCH($C1307,'Fund YTD Target Values'!$A:$A,0), MATCH($A1307,'Fund YTD Target Values'!$1:$1,0)),0)</f>
        <v>123356.733</v>
      </c>
      <c r="S1307" s="52">
        <f>IFERROR(__xludf.DUMMYFUNCTION("IFERROR(sum(FILTER('Fund Data'!$V:$V, 'Fund Data'!$C:$C = $C1307, 'Fund Data'!$A:$A &lt; $A1307)),0) + IFERROR(sum(FILTER('Fund Data'!$V:$V, 'Fund Data'!$C:$C = $C1307, 'Fund Data'!$A:$A = $A1307, 'Fund Data'!$B:$B &lt;= $B1307)),0)"),100000.0)</f>
        <v>100000</v>
      </c>
      <c r="T1307" s="123">
        <v>100000.0</v>
      </c>
      <c r="U1307" s="44">
        <f t="shared" si="118"/>
        <v>0</v>
      </c>
      <c r="V1307" s="44">
        <f t="shared" si="3"/>
        <v>0</v>
      </c>
      <c r="W1307" s="52">
        <f>IFERROR(__xludf.DUMMYFUNCTION("iFERROR((FILTER('Fund Data'!$Y:$Y, 'Fund Data'!$C:$C = $C1307, 'Fund Data'!$A:$A = $A1307 - 1, 'Fund Data'!$B:$B = 12) + FILTER('Fund Data'!$AA:$AA, 'Fund Data'!$C:$C = $C1307, 'Fund Data'!$A:$A = $A1307 - 1, 'Fund Data'!$B:$B = 12)) * (1 + AVERAGE(FILTER"&amp;"('Inflation Data'!$C:$C,'Inflation Data'!$A:$A = ($A1307 - 2)))) * 'Parameters and Distribution Sum'!$A$4,0)"),3807.5303509611413)</f>
        <v>3807.530351</v>
      </c>
      <c r="X1307" s="52">
        <f>IFERROR(__xludf.DUMMYFUNCTION("IFERROR((IFERROR(FILTER('Fund Data'!$P:$P,'Fund Data'!$C:$C = $C1307,'Fund Data'!$A:$A = ($A1307 - 2), 'Fund Data'!$B:$B = 12),0) - SUM(FILTER('Fund Data'!$V:$V, 'Fund Data'!$C:$C = $C1307, 'Fund Data'!$A:$A = ($A1307 - 2), 'Fund Data'!$B:$B &gt; 3)))  * 'Pa"&amp;"rameters and Distribution Sum'!$B$4 * (1 - 'Parameters and Distribution Sum'!$A$4),0)"),2003.4309150000001)</f>
        <v>2003.430915</v>
      </c>
      <c r="Y1307" s="52">
        <f t="shared" si="122"/>
        <v>5810.961266</v>
      </c>
      <c r="Z1307" s="52">
        <f>IFERROR(__xludf.DUMMYFUNCTION("((IFERROR((SUM(FILTER('Fund Data'!$V:$V, 'Fund Data'!$C:$C = $C1307, 'Fund Data'!$A:$A = $A1307 - 1, 'Fund Data'!$B:$B &gt;= 4, 'Fund Data'!$B:$B &lt;= ($B1307 + 5))) / 12) * ($B1307 - 3) * 'Parameters and Distribution Sum'!$B$4, 0) + IF($B1307 &gt;= 9, IFERROR(SU"&amp;"M(FILTER('Fund Data'!$V:$V, 'Fund Data'!$C:$C = $C1307, 'Fund Data'!$A:$A = $A1307, 'Fund Data'!$B:$B &lt;= 3)) * 'Parameters and Distribution Sum'!$B$4, 0),0)))"),0.0)</f>
        <v>0</v>
      </c>
      <c r="AA1307" s="44">
        <f>IFERROR(__xludf.DUMMYFUNCTION("IFERROR(((IFERROR(SUM(FILTER('Fund Data'!$V:$V, 'Fund Data'!$C:$C = $C1307, 'Fund Data'!$A:$A = $A1307 - 2, 'Fund Data'!$B:$B &gt;= 4)) * 'Parameters and Distribution Sum'!$B$4,0) + IFERROR(SUM(FILTER('Fund Data'!$V:$V, 'Fund Data'!$C:$C = $C1307, 'Fund Data"&amp;"'!$A:$A = $A1307 - 1, 'Fund Data'!$B:$B &lt;= 3)) * 'Parameters and Distribution Sum'!$B$4,0))),0)"),0.0)</f>
        <v>0</v>
      </c>
      <c r="AB1307" s="44">
        <f t="shared" si="123"/>
        <v>0</v>
      </c>
      <c r="AC1307" s="44">
        <f t="shared" si="124"/>
        <v>5810.961266</v>
      </c>
      <c r="AD1307" s="44">
        <f t="shared" si="7"/>
        <v>5810.961266</v>
      </c>
      <c r="AE1307" s="44"/>
    </row>
    <row r="1308">
      <c r="A1308" s="120">
        <v>2019.0</v>
      </c>
      <c r="B1308" s="121">
        <v>4.0</v>
      </c>
      <c r="C1308" s="122" t="s">
        <v>65</v>
      </c>
      <c r="D1308" s="44"/>
      <c r="E1308" s="123">
        <v>1484.78</v>
      </c>
      <c r="F1308" s="44"/>
      <c r="G1308" s="44"/>
      <c r="H1308" s="123">
        <v>-263.03</v>
      </c>
      <c r="I1308" s="44"/>
      <c r="J1308" s="44"/>
      <c r="K1308" s="44"/>
      <c r="L1308" s="123">
        <v>13907.69</v>
      </c>
      <c r="M1308" s="44"/>
      <c r="N1308" s="44"/>
      <c r="O1308" s="123">
        <v>147465.0</v>
      </c>
      <c r="P1308" s="52">
        <f t="shared" si="23"/>
        <v>147465.56</v>
      </c>
      <c r="Q1308" s="124">
        <f t="shared" si="2"/>
        <v>-0.56</v>
      </c>
      <c r="R1308" s="52">
        <f t="array" ref="R1308">IFERROR(INDEX('Fund YTD Target Values'!$1:$1000, MATCH($C1308,'Fund YTD Target Values'!$A:$A,0), MATCH($A1308,'Fund YTD Target Values'!$1:$1,0)),0)</f>
        <v>123356.733</v>
      </c>
      <c r="S1308" s="52">
        <f>IFERROR(__xludf.DUMMYFUNCTION("IFERROR(sum(FILTER('Fund Data'!$V:$V, 'Fund Data'!$C:$C = $C1308, 'Fund Data'!$A:$A &lt; $A1308)),0) + IFERROR(sum(FILTER('Fund Data'!$V:$V, 'Fund Data'!$C:$C = $C1308, 'Fund Data'!$A:$A = $A1308, 'Fund Data'!$B:$B &lt;= $B1308)),0)"),100000.0)</f>
        <v>100000</v>
      </c>
      <c r="T1308" s="123">
        <v>100000.0</v>
      </c>
      <c r="U1308" s="44">
        <f t="shared" si="118"/>
        <v>0</v>
      </c>
      <c r="V1308" s="44">
        <f t="shared" si="3"/>
        <v>0</v>
      </c>
      <c r="W1308" s="52">
        <f>IFERROR(__xludf.DUMMYFUNCTION("iFERROR((FILTER('Fund Data'!$Y:$Y, 'Fund Data'!$C:$C = $C1308, 'Fund Data'!$A:$A = $A1308 - 1, 'Fund Data'!$B:$B = 12) + FILTER('Fund Data'!$AA:$AA, 'Fund Data'!$C:$C = $C1308, 'Fund Data'!$A:$A = $A1308 - 1, 'Fund Data'!$B:$B = 12)) * (1 + AVERAGE(FILTER"&amp;"('Inflation Data'!$C:$C,'Inflation Data'!$A:$A = ($A1308 - 2)))) * 'Parameters and Distribution Sum'!$A$4,0)"),3807.5303509611413)</f>
        <v>3807.530351</v>
      </c>
      <c r="X1308" s="52">
        <f>IFERROR(__xludf.DUMMYFUNCTION("IFERROR((IFERROR(FILTER('Fund Data'!$P:$P,'Fund Data'!$C:$C = $C1308,'Fund Data'!$A:$A = ($A1308 - 2), 'Fund Data'!$B:$B = 12),0) - SUM(FILTER('Fund Data'!$V:$V, 'Fund Data'!$C:$C = $C1308, 'Fund Data'!$A:$A = ($A1308 - 2), 'Fund Data'!$B:$B &gt; 3)))  * 'Pa"&amp;"rameters and Distribution Sum'!$B$4 * (1 - 'Parameters and Distribution Sum'!$A$4),0)"),2003.4309150000001)</f>
        <v>2003.430915</v>
      </c>
      <c r="Y1308" s="52">
        <f t="shared" si="122"/>
        <v>5810.961266</v>
      </c>
      <c r="Z1308" s="52">
        <f>IFERROR(__xludf.DUMMYFUNCTION("((IFERROR((SUM(FILTER('Fund Data'!$V:$V, 'Fund Data'!$C:$C = $C1308, 'Fund Data'!$A:$A = $A1308 - 1, 'Fund Data'!$B:$B &gt;= 4, 'Fund Data'!$B:$B &lt;= ($B1308 + 5))) / 12) * ($B1308 - 3) * 'Parameters and Distribution Sum'!$B$4, 0) + IF($B1308 &gt;= 9, IFERROR(SU"&amp;"M(FILTER('Fund Data'!$V:$V, 'Fund Data'!$C:$C = $C1308, 'Fund Data'!$A:$A = $A1308, 'Fund Data'!$B:$B &lt;= 3)) * 'Parameters and Distribution Sum'!$B$4, 0),0)))"),0.0)</f>
        <v>0</v>
      </c>
      <c r="AA1308" s="44">
        <f>IFERROR(__xludf.DUMMYFUNCTION("IFERROR(((IFERROR(SUM(FILTER('Fund Data'!$V:$V, 'Fund Data'!$C:$C = $C1308, 'Fund Data'!$A:$A = $A1308 - 2, 'Fund Data'!$B:$B &gt;= 4)) * 'Parameters and Distribution Sum'!$B$4,0) + IFERROR(SUM(FILTER('Fund Data'!$V:$V, 'Fund Data'!$C:$C = $C1308, 'Fund Data"&amp;"'!$A:$A = $A1308 - 1, 'Fund Data'!$B:$B &lt;= 3)) * 'Parameters and Distribution Sum'!$B$4,0))),0)"),0.0)</f>
        <v>0</v>
      </c>
      <c r="AB1308" s="44">
        <f t="shared" si="123"/>
        <v>0</v>
      </c>
      <c r="AC1308" s="44">
        <f t="shared" si="124"/>
        <v>5810.961266</v>
      </c>
      <c r="AD1308" s="44">
        <f t="shared" si="7"/>
        <v>5810.961266</v>
      </c>
      <c r="AE1308" s="44"/>
    </row>
    <row r="1309">
      <c r="A1309" s="120">
        <v>2019.0</v>
      </c>
      <c r="B1309" s="121">
        <v>3.0</v>
      </c>
      <c r="C1309" s="122" t="s">
        <v>65</v>
      </c>
      <c r="D1309" s="44"/>
      <c r="E1309" s="123">
        <v>1122.11</v>
      </c>
      <c r="F1309" s="44"/>
      <c r="G1309" s="44"/>
      <c r="H1309" s="123">
        <v>-195.56</v>
      </c>
      <c r="I1309" s="44"/>
      <c r="J1309" s="44"/>
      <c r="K1309" s="44"/>
      <c r="L1309" s="123">
        <v>11035.63</v>
      </c>
      <c r="M1309" s="44"/>
      <c r="N1309" s="44"/>
      <c r="O1309" s="123">
        <v>144298.0</v>
      </c>
      <c r="P1309" s="52">
        <f t="shared" si="23"/>
        <v>144298.3</v>
      </c>
      <c r="Q1309" s="124">
        <f t="shared" si="2"/>
        <v>-0.3</v>
      </c>
      <c r="R1309" s="52">
        <f t="array" ref="R1309">IFERROR(INDEX('Fund YTD Target Values'!$1:$1000, MATCH($C1309,'Fund YTD Target Values'!$A:$A,0), MATCH($A1309,'Fund YTD Target Values'!$1:$1,0)),0)</f>
        <v>123356.733</v>
      </c>
      <c r="S1309" s="52">
        <f>IFERROR(__xludf.DUMMYFUNCTION("IFERROR(sum(FILTER('Fund Data'!$V:$V, 'Fund Data'!$C:$C = $C1309, 'Fund Data'!$A:$A &lt; $A1309)),0) + IFERROR(sum(FILTER('Fund Data'!$V:$V, 'Fund Data'!$C:$C = $C1309, 'Fund Data'!$A:$A = $A1309, 'Fund Data'!$B:$B &lt;= $B1309)),0)"),100000.0)</f>
        <v>100000</v>
      </c>
      <c r="T1309" s="123">
        <v>100000.0</v>
      </c>
      <c r="U1309" s="44">
        <f t="shared" si="118"/>
        <v>0</v>
      </c>
      <c r="V1309" s="44">
        <f t="shared" si="3"/>
        <v>0</v>
      </c>
      <c r="W1309" s="52">
        <f>IFERROR(__xludf.DUMMYFUNCTION("iFERROR((FILTER('Fund Data'!$Y:$Y, 'Fund Data'!$C:$C = $C1309, 'Fund Data'!$A:$A = $A1309 - 1, 'Fund Data'!$B:$B = 12) + FILTER('Fund Data'!$AA:$AA, 'Fund Data'!$C:$C = $C1309, 'Fund Data'!$A:$A = $A1309 - 1, 'Fund Data'!$B:$B = 12)) * (1 + AVERAGE(FILTER"&amp;"('Inflation Data'!$C:$C,'Inflation Data'!$A:$A = ($A1309 - 2)))) * 'Parameters and Distribution Sum'!$A$4,0)"),3807.5303509611413)</f>
        <v>3807.530351</v>
      </c>
      <c r="X1309" s="52">
        <f>IFERROR(__xludf.DUMMYFUNCTION("IFERROR((IFERROR(FILTER('Fund Data'!$P:$P,'Fund Data'!$C:$C = $C1309,'Fund Data'!$A:$A = ($A1309 - 2), 'Fund Data'!$B:$B = 12),0) - SUM(FILTER('Fund Data'!$V:$V, 'Fund Data'!$C:$C = $C1309, 'Fund Data'!$A:$A = ($A1309 - 2), 'Fund Data'!$B:$B &gt; 3)))  * 'Pa"&amp;"rameters and Distribution Sum'!$B$4 * (1 - 'Parameters and Distribution Sum'!$A$4),0)"),2003.4309150000001)</f>
        <v>2003.430915</v>
      </c>
      <c r="Y1309" s="52">
        <f t="shared" si="122"/>
        <v>5810.961266</v>
      </c>
      <c r="Z1309" s="52">
        <f>IFERROR(__xludf.DUMMYFUNCTION("((IFERROR((SUM(FILTER('Fund Data'!$V:$V, 'Fund Data'!$C:$C = $C1309, 'Fund Data'!$A:$A = $A1309 - 1, 'Fund Data'!$B:$B &gt;= 4, 'Fund Data'!$B:$B &lt;= ($B1309 + 5))) / 12) * ($B1309 - 3) * 'Parameters and Distribution Sum'!$B$4, 0) + IF($B1309 &gt;= 9, IFERROR(SU"&amp;"M(FILTER('Fund Data'!$V:$V, 'Fund Data'!$C:$C = $C1309, 'Fund Data'!$A:$A = $A1309, 'Fund Data'!$B:$B &lt;= 3)) * 'Parameters and Distribution Sum'!$B$4, 0),0)))"),0.0)</f>
        <v>0</v>
      </c>
      <c r="AA1309" s="44">
        <f>IFERROR(__xludf.DUMMYFUNCTION("IFERROR(((IFERROR(SUM(FILTER('Fund Data'!$V:$V, 'Fund Data'!$C:$C = $C1309, 'Fund Data'!$A:$A = $A1309 - 2, 'Fund Data'!$B:$B &gt;= 4)) * 'Parameters and Distribution Sum'!$B$4,0) + IFERROR(SUM(FILTER('Fund Data'!$V:$V, 'Fund Data'!$C:$C = $C1309, 'Fund Data"&amp;"'!$A:$A = $A1309 - 1, 'Fund Data'!$B:$B &lt;= 3)) * 'Parameters and Distribution Sum'!$B$4,0))),0)"),0.0)</f>
        <v>0</v>
      </c>
      <c r="AB1309" s="44">
        <f t="shared" si="123"/>
        <v>0</v>
      </c>
      <c r="AC1309" s="44">
        <f t="shared" si="124"/>
        <v>5810.961266</v>
      </c>
      <c r="AD1309" s="44">
        <f t="shared" si="7"/>
        <v>5810.961266</v>
      </c>
      <c r="AE1309" s="44"/>
    </row>
    <row r="1310">
      <c r="A1310" s="120">
        <v>2019.0</v>
      </c>
      <c r="B1310" s="121">
        <v>2.0</v>
      </c>
      <c r="C1310" s="122" t="s">
        <v>65</v>
      </c>
      <c r="D1310" s="44"/>
      <c r="E1310" s="123">
        <v>948.69</v>
      </c>
      <c r="F1310" s="44"/>
      <c r="G1310" s="44"/>
      <c r="H1310" s="123">
        <v>-128.52</v>
      </c>
      <c r="I1310" s="44"/>
      <c r="J1310" s="44"/>
      <c r="K1310" s="44"/>
      <c r="L1310" s="123">
        <v>10215.72</v>
      </c>
      <c r="M1310" s="44"/>
      <c r="N1310" s="44"/>
      <c r="O1310" s="123">
        <v>143372.0</v>
      </c>
      <c r="P1310" s="52">
        <f t="shared" si="23"/>
        <v>143372.01</v>
      </c>
      <c r="Q1310" s="124">
        <f t="shared" si="2"/>
        <v>-0.01000000001</v>
      </c>
      <c r="R1310" s="52">
        <f t="array" ref="R1310">IFERROR(INDEX('Fund YTD Target Values'!$1:$1000, MATCH($C1310,'Fund YTD Target Values'!$A:$A,0), MATCH($A1310,'Fund YTD Target Values'!$1:$1,0)),0)</f>
        <v>123356.733</v>
      </c>
      <c r="S1310" s="52">
        <f>IFERROR(__xludf.DUMMYFUNCTION("IFERROR(sum(FILTER('Fund Data'!$V:$V, 'Fund Data'!$C:$C = $C1310, 'Fund Data'!$A:$A &lt; $A1310)),0) + IFERROR(sum(FILTER('Fund Data'!$V:$V, 'Fund Data'!$C:$C = $C1310, 'Fund Data'!$A:$A = $A1310, 'Fund Data'!$B:$B &lt;= $B1310)),0)"),100000.0)</f>
        <v>100000</v>
      </c>
      <c r="T1310" s="123">
        <v>100000.0</v>
      </c>
      <c r="U1310" s="44">
        <f t="shared" si="118"/>
        <v>0</v>
      </c>
      <c r="V1310" s="44">
        <f t="shared" si="3"/>
        <v>0</v>
      </c>
      <c r="W1310" s="52">
        <f>IFERROR(__xludf.DUMMYFUNCTION("iFERROR((FILTER('Fund Data'!$Y:$Y, 'Fund Data'!$C:$C = $C1310, 'Fund Data'!$A:$A = $A1310 - 1, 'Fund Data'!$B:$B = 12) + FILTER('Fund Data'!$AA:$AA, 'Fund Data'!$C:$C = $C1310, 'Fund Data'!$A:$A = $A1310 - 1, 'Fund Data'!$B:$B = 12)) * (1 + AVERAGE(FILTER"&amp;"('Inflation Data'!$C:$C,'Inflation Data'!$A:$A = ($A1310 - 2)))) * 'Parameters and Distribution Sum'!$A$4,0)"),3807.5303509611413)</f>
        <v>3807.530351</v>
      </c>
      <c r="X1310" s="52">
        <f>IFERROR(__xludf.DUMMYFUNCTION("IFERROR((IFERROR(FILTER('Fund Data'!$P:$P,'Fund Data'!$C:$C = $C1310,'Fund Data'!$A:$A = ($A1310 - 2), 'Fund Data'!$B:$B = 12),0) - SUM(FILTER('Fund Data'!$V:$V, 'Fund Data'!$C:$C = $C1310, 'Fund Data'!$A:$A = ($A1310 - 2), 'Fund Data'!$B:$B &gt; 3)))  * 'Pa"&amp;"rameters and Distribution Sum'!$B$4 * (1 - 'Parameters and Distribution Sum'!$A$4),0)"),2003.4309150000001)</f>
        <v>2003.430915</v>
      </c>
      <c r="Y1310" s="52">
        <f t="shared" si="122"/>
        <v>5810.961266</v>
      </c>
      <c r="Z1310" s="52">
        <f>IFERROR(__xludf.DUMMYFUNCTION("((IFERROR((SUM(FILTER('Fund Data'!$V:$V, 'Fund Data'!$C:$C = $C1310, 'Fund Data'!$A:$A = $A1310 - 1, 'Fund Data'!$B:$B &gt;= 4, 'Fund Data'!$B:$B &lt;= ($B1310 + 5))) / 12) * ($B1310 - 3) * 'Parameters and Distribution Sum'!$B$4, 0) + IF($B1310 &gt;= 9, IFERROR(SU"&amp;"M(FILTER('Fund Data'!$V:$V, 'Fund Data'!$C:$C = $C1310, 'Fund Data'!$A:$A = $A1310, 'Fund Data'!$B:$B &lt;= 3)) * 'Parameters and Distribution Sum'!$B$4, 0),0)))"),0.0)</f>
        <v>0</v>
      </c>
      <c r="AA1310" s="44">
        <f>IFERROR(__xludf.DUMMYFUNCTION("IFERROR(((IFERROR(SUM(FILTER('Fund Data'!$V:$V, 'Fund Data'!$C:$C = $C1310, 'Fund Data'!$A:$A = $A1310 - 2, 'Fund Data'!$B:$B &gt;= 4)) * 'Parameters and Distribution Sum'!$B$4,0) + IFERROR(SUM(FILTER('Fund Data'!$V:$V, 'Fund Data'!$C:$C = $C1310, 'Fund Data"&amp;"'!$A:$A = $A1310 - 1, 'Fund Data'!$B:$B &lt;= 3)) * 'Parameters and Distribution Sum'!$B$4,0))),0)"),0.0)</f>
        <v>0</v>
      </c>
      <c r="AB1310" s="44">
        <f t="shared" si="123"/>
        <v>0</v>
      </c>
      <c r="AC1310" s="44">
        <f t="shared" si="124"/>
        <v>5810.961266</v>
      </c>
      <c r="AD1310" s="44">
        <f t="shared" si="7"/>
        <v>5810.961266</v>
      </c>
      <c r="AE1310" s="44"/>
    </row>
    <row r="1311">
      <c r="A1311" s="120">
        <v>2019.0</v>
      </c>
      <c r="B1311" s="121">
        <v>1.0</v>
      </c>
      <c r="C1311" s="122" t="s">
        <v>65</v>
      </c>
      <c r="D1311" s="44"/>
      <c r="E1311" s="123">
        <v>877.44</v>
      </c>
      <c r="F1311" s="44"/>
      <c r="G1311" s="44"/>
      <c r="H1311" s="123">
        <v>-62.44</v>
      </c>
      <c r="I1311" s="44"/>
      <c r="J1311" s="44"/>
      <c r="K1311" s="44"/>
      <c r="L1311" s="123">
        <v>7902.73</v>
      </c>
      <c r="M1311" s="44"/>
      <c r="N1311" s="44"/>
      <c r="O1311" s="123">
        <v>141054.0</v>
      </c>
      <c r="P1311" s="52">
        <f t="shared" si="23"/>
        <v>141053.85</v>
      </c>
      <c r="Q1311" s="124">
        <f t="shared" si="2"/>
        <v>0.15</v>
      </c>
      <c r="R1311" s="52">
        <f t="array" ref="R1311">IFERROR(INDEX('Fund YTD Target Values'!$1:$1000, MATCH($C1311,'Fund YTD Target Values'!$A:$A,0), MATCH($A1311,'Fund YTD Target Values'!$1:$1,0)),0)</f>
        <v>123356.733</v>
      </c>
      <c r="S1311" s="52">
        <f>IFERROR(__xludf.DUMMYFUNCTION("IFERROR(sum(FILTER('Fund Data'!$V:$V, 'Fund Data'!$C:$C = $C1311, 'Fund Data'!$A:$A &lt; $A1311)),0) + IFERROR(sum(FILTER('Fund Data'!$V:$V, 'Fund Data'!$C:$C = $C1311, 'Fund Data'!$A:$A = $A1311, 'Fund Data'!$B:$B &lt;= $B1311)),0)"),100000.0)</f>
        <v>100000</v>
      </c>
      <c r="T1311" s="123">
        <v>100000.0</v>
      </c>
      <c r="U1311" s="44">
        <f t="shared" si="118"/>
        <v>0</v>
      </c>
      <c r="V1311" s="44">
        <f t="shared" si="3"/>
        <v>0</v>
      </c>
      <c r="W1311" s="52">
        <f>IFERROR(__xludf.DUMMYFUNCTION("iFERROR((FILTER('Fund Data'!$Y:$Y, 'Fund Data'!$C:$C = $C1311, 'Fund Data'!$A:$A = $A1311 - 1, 'Fund Data'!$B:$B = 12) + FILTER('Fund Data'!$AA:$AA, 'Fund Data'!$C:$C = $C1311, 'Fund Data'!$A:$A = $A1311 - 1, 'Fund Data'!$B:$B = 12)) * (1 + AVERAGE(FILTER"&amp;"('Inflation Data'!$C:$C,'Inflation Data'!$A:$A = ($A1311 - 2)))) * 'Parameters and Distribution Sum'!$A$4,0)"),3807.5303509611413)</f>
        <v>3807.530351</v>
      </c>
      <c r="X1311" s="52">
        <f>IFERROR(__xludf.DUMMYFUNCTION("IFERROR((IFERROR(FILTER('Fund Data'!$P:$P,'Fund Data'!$C:$C = $C1311,'Fund Data'!$A:$A = ($A1311 - 2), 'Fund Data'!$B:$B = 12),0) - SUM(FILTER('Fund Data'!$V:$V, 'Fund Data'!$C:$C = $C1311, 'Fund Data'!$A:$A = ($A1311 - 2), 'Fund Data'!$B:$B &gt; 3)))  * 'Pa"&amp;"rameters and Distribution Sum'!$B$4 * (1 - 'Parameters and Distribution Sum'!$A$4),0)"),2003.4309150000001)</f>
        <v>2003.430915</v>
      </c>
      <c r="Y1311" s="52">
        <f t="shared" si="122"/>
        <v>5810.961266</v>
      </c>
      <c r="Z1311" s="52">
        <f>IFERROR(__xludf.DUMMYFUNCTION("((IFERROR((SUM(FILTER('Fund Data'!$V:$V, 'Fund Data'!$C:$C = $C1311, 'Fund Data'!$A:$A = $A1311 - 1, 'Fund Data'!$B:$B &gt;= 4, 'Fund Data'!$B:$B &lt;= ($B1311 + 5))) / 12) * ($B1311 - 3) * 'Parameters and Distribution Sum'!$B$4, 0) + IF($B1311 &gt;= 9, IFERROR(SU"&amp;"M(FILTER('Fund Data'!$V:$V, 'Fund Data'!$C:$C = $C1311, 'Fund Data'!$A:$A = $A1311, 'Fund Data'!$B:$B &lt;= 3)) * 'Parameters and Distribution Sum'!$B$4, 0),0)))"),0.0)</f>
        <v>0</v>
      </c>
      <c r="AA1311" s="44">
        <f>IFERROR(__xludf.DUMMYFUNCTION("IFERROR(((IFERROR(SUM(FILTER('Fund Data'!$V:$V, 'Fund Data'!$C:$C = $C1311, 'Fund Data'!$A:$A = $A1311 - 2, 'Fund Data'!$B:$B &gt;= 4)) * 'Parameters and Distribution Sum'!$B$4,0) + IFERROR(SUM(FILTER('Fund Data'!$V:$V, 'Fund Data'!$C:$C = $C1311, 'Fund Data"&amp;"'!$A:$A = $A1311 - 1, 'Fund Data'!$B:$B &lt;= 3)) * 'Parameters and Distribution Sum'!$B$4,0))),0)"),0.0)</f>
        <v>0</v>
      </c>
      <c r="AB1311" s="44">
        <f t="shared" si="123"/>
        <v>0</v>
      </c>
      <c r="AC1311" s="44">
        <f t="shared" si="124"/>
        <v>5810.961266</v>
      </c>
      <c r="AD1311" s="44">
        <f t="shared" si="7"/>
        <v>5810.961266</v>
      </c>
      <c r="AE1311" s="44"/>
    </row>
    <row r="1312">
      <c r="A1312" s="120">
        <v>2018.0</v>
      </c>
      <c r="B1312" s="121">
        <v>12.0</v>
      </c>
      <c r="C1312" s="122" t="s">
        <v>65</v>
      </c>
      <c r="D1312" s="44"/>
      <c r="E1312" s="123">
        <v>3144.51</v>
      </c>
      <c r="F1312" s="123">
        <v>-5000.0</v>
      </c>
      <c r="G1312" s="44"/>
      <c r="H1312" s="123">
        <v>-868.32</v>
      </c>
      <c r="I1312" s="44"/>
      <c r="J1312" s="123">
        <v>193.65</v>
      </c>
      <c r="K1312" s="44"/>
      <c r="L1312" s="123">
        <v>-13536.01</v>
      </c>
      <c r="M1312" s="44"/>
      <c r="N1312" s="44"/>
      <c r="O1312" s="123">
        <v>132336.0</v>
      </c>
      <c r="P1312" s="52">
        <f t="shared" si="23"/>
        <v>132336.12</v>
      </c>
      <c r="Q1312" s="124">
        <f t="shared" si="2"/>
        <v>-0.12</v>
      </c>
      <c r="R1312" s="52">
        <f t="array" ref="R1312">IFERROR(INDEX('Fund YTD Target Values'!$1:$1000, MATCH($C1312,'Fund YTD Target Values'!$A:$A,0), MATCH($A1312,'Fund YTD Target Values'!$1:$1,0)),0)</f>
        <v>121242.134</v>
      </c>
      <c r="S1312" s="52">
        <f>IFERROR(__xludf.DUMMYFUNCTION("IFERROR(sum(FILTER('Fund Data'!$V:$V, 'Fund Data'!$C:$C = $C1312, 'Fund Data'!$A:$A &lt; $A1312)),0) + IFERROR(sum(FILTER('Fund Data'!$V:$V, 'Fund Data'!$C:$C = $C1312, 'Fund Data'!$A:$A = $A1312, 'Fund Data'!$B:$B &lt;= $B1312)),0)"),100000.0)</f>
        <v>100000</v>
      </c>
      <c r="T1312" s="123">
        <v>100000.0</v>
      </c>
      <c r="U1312" s="44">
        <f t="shared" si="118"/>
        <v>0</v>
      </c>
      <c r="V1312" s="44">
        <f t="shared" si="3"/>
        <v>0</v>
      </c>
      <c r="W1312" s="52"/>
      <c r="X1312" s="52"/>
      <c r="Y1312" s="52">
        <v>5325.8034515521795</v>
      </c>
      <c r="Z1312" s="123">
        <v>0.0</v>
      </c>
      <c r="AA1312" s="123">
        <v>0.0</v>
      </c>
      <c r="AB1312" s="44">
        <f t="shared" si="123"/>
        <v>0</v>
      </c>
      <c r="AC1312" s="44">
        <f t="shared" si="124"/>
        <v>5325.803452</v>
      </c>
      <c r="AD1312" s="44">
        <f t="shared" si="7"/>
        <v>325.8034516</v>
      </c>
      <c r="AE1312" s="123">
        <v>0.0</v>
      </c>
    </row>
    <row r="1313">
      <c r="A1313" s="120">
        <v>2018.0</v>
      </c>
      <c r="B1313" s="121">
        <v>11.0</v>
      </c>
      <c r="C1313" s="122" t="s">
        <v>65</v>
      </c>
      <c r="D1313" s="44"/>
      <c r="E1313" s="123">
        <v>2958.03</v>
      </c>
      <c r="F1313" s="123">
        <v>-5000.0</v>
      </c>
      <c r="G1313" s="44"/>
      <c r="H1313" s="123">
        <v>-802.63</v>
      </c>
      <c r="I1313" s="44"/>
      <c r="J1313" s="123">
        <v>193.65</v>
      </c>
      <c r="K1313" s="44"/>
      <c r="L1313" s="123">
        <v>-5716.71</v>
      </c>
      <c r="M1313" s="44"/>
      <c r="N1313" s="44"/>
      <c r="O1313" s="123">
        <v>140034.0</v>
      </c>
      <c r="P1313" s="52">
        <f t="shared" si="23"/>
        <v>140034.63</v>
      </c>
      <c r="Q1313" s="124">
        <f t="shared" si="2"/>
        <v>-0.63</v>
      </c>
      <c r="R1313" s="52">
        <f t="array" ref="R1313">IFERROR(INDEX('Fund YTD Target Values'!$1:$1000, MATCH($C1313,'Fund YTD Target Values'!$A:$A,0), MATCH($A1313,'Fund YTD Target Values'!$1:$1,0)),0)</f>
        <v>121242.134</v>
      </c>
      <c r="S1313" s="52">
        <f>IFERROR(__xludf.DUMMYFUNCTION("IFERROR(sum(FILTER('Fund Data'!$V:$V, 'Fund Data'!$C:$C = $C1313, 'Fund Data'!$A:$A &lt; $A1313)),0) + IFERROR(sum(FILTER('Fund Data'!$V:$V, 'Fund Data'!$C:$C = $C1313, 'Fund Data'!$A:$A = $A1313, 'Fund Data'!$B:$B &lt;= $B1313)),0)"),100000.0)</f>
        <v>100000</v>
      </c>
      <c r="T1313" s="123">
        <v>100000.0</v>
      </c>
      <c r="U1313" s="44">
        <f t="shared" si="118"/>
        <v>0</v>
      </c>
      <c r="V1313" s="44">
        <f t="shared" si="3"/>
        <v>0</v>
      </c>
      <c r="W1313" s="123"/>
      <c r="X1313" s="123"/>
      <c r="Y1313" s="123">
        <v>0.0</v>
      </c>
      <c r="Z1313" s="123">
        <v>0.0</v>
      </c>
      <c r="AA1313" s="123">
        <v>0.0</v>
      </c>
      <c r="AB1313" s="123"/>
      <c r="AC1313" s="123">
        <v>0.0</v>
      </c>
      <c r="AD1313" s="44">
        <f t="shared" si="7"/>
        <v>-5000</v>
      </c>
      <c r="AE1313" s="123">
        <v>0.0</v>
      </c>
    </row>
    <row r="1314">
      <c r="A1314" s="120">
        <v>2018.0</v>
      </c>
      <c r="B1314" s="121">
        <v>10.0</v>
      </c>
      <c r="C1314" s="135" t="s">
        <v>65</v>
      </c>
      <c r="D1314" s="138"/>
      <c r="E1314" s="137">
        <v>2833.61</v>
      </c>
      <c r="F1314" s="136">
        <v>-5000.0</v>
      </c>
      <c r="G1314" s="138"/>
      <c r="H1314" s="137">
        <v>-669.35</v>
      </c>
      <c r="I1314" s="138"/>
      <c r="J1314" s="136">
        <v>193.65</v>
      </c>
      <c r="K1314" s="138"/>
      <c r="L1314" s="136">
        <v>-6924.99</v>
      </c>
      <c r="M1314" s="44"/>
      <c r="N1314" s="44"/>
      <c r="O1314" s="136">
        <v>138835.0</v>
      </c>
      <c r="P1314" s="52">
        <f t="shared" si="23"/>
        <v>138835.21</v>
      </c>
      <c r="Q1314" s="124">
        <f t="shared" si="2"/>
        <v>-0.21</v>
      </c>
      <c r="R1314" s="52">
        <f t="array" ref="R1314">IFERROR(INDEX('Fund YTD Target Values'!$1:$1000, MATCH($C1314,'Fund YTD Target Values'!$A:$A,0), MATCH($A1314,'Fund YTD Target Values'!$1:$1,0)),0)</f>
        <v>121242.134</v>
      </c>
      <c r="S1314" s="52">
        <f>IFERROR(__xludf.DUMMYFUNCTION("IFERROR(sum(FILTER('Fund Data'!$V:$V, 'Fund Data'!$C:$C = $C1314, 'Fund Data'!$A:$A &lt; $A1314)),0) + IFERROR(sum(FILTER('Fund Data'!$V:$V, 'Fund Data'!$C:$C = $C1314, 'Fund Data'!$A:$A = $A1314, 'Fund Data'!$B:$B &lt;= $B1314)),0)"),100000.0)</f>
        <v>100000</v>
      </c>
      <c r="T1314" s="123">
        <v>100000.0</v>
      </c>
      <c r="U1314" s="44">
        <f t="shared" si="118"/>
        <v>0</v>
      </c>
      <c r="V1314" s="44">
        <f t="shared" si="3"/>
        <v>0</v>
      </c>
      <c r="W1314" s="123"/>
      <c r="X1314" s="123"/>
      <c r="Y1314" s="123">
        <v>0.0</v>
      </c>
      <c r="Z1314" s="123">
        <v>0.0</v>
      </c>
      <c r="AA1314" s="123">
        <v>0.0</v>
      </c>
      <c r="AB1314" s="123"/>
      <c r="AC1314" s="123">
        <v>0.0</v>
      </c>
      <c r="AD1314" s="44">
        <f t="shared" si="7"/>
        <v>-5000</v>
      </c>
      <c r="AE1314" s="123">
        <v>0.0</v>
      </c>
    </row>
    <row r="1315">
      <c r="A1315" s="120">
        <v>2018.0</v>
      </c>
      <c r="B1315" s="121">
        <v>9.0</v>
      </c>
      <c r="C1315" s="122" t="s">
        <v>65</v>
      </c>
      <c r="D1315" s="44"/>
      <c r="E1315" s="123">
        <v>2415.58</v>
      </c>
      <c r="F1315" s="123">
        <v>-5000.0</v>
      </c>
      <c r="G1315" s="44"/>
      <c r="H1315" s="123">
        <v>-669.35</v>
      </c>
      <c r="I1315" s="44"/>
      <c r="J1315" s="123">
        <v>193.65</v>
      </c>
      <c r="K1315" s="44"/>
      <c r="L1315" s="123">
        <v>523.19</v>
      </c>
      <c r="M1315" s="44"/>
      <c r="N1315" s="44"/>
      <c r="O1315" s="123">
        <v>145865.0</v>
      </c>
      <c r="P1315" s="52">
        <f t="shared" si="23"/>
        <v>145865.36</v>
      </c>
      <c r="Q1315" s="124">
        <f t="shared" si="2"/>
        <v>-0.36</v>
      </c>
      <c r="R1315" s="52">
        <f t="array" ref="R1315">IFERROR(INDEX('Fund YTD Target Values'!$1:$1000, MATCH($C1315,'Fund YTD Target Values'!$A:$A,0), MATCH($A1315,'Fund YTD Target Values'!$1:$1,0)),0)</f>
        <v>121242.134</v>
      </c>
      <c r="S1315" s="52">
        <f>IFERROR(__xludf.DUMMYFUNCTION("IFERROR(sum(FILTER('Fund Data'!$V:$V, 'Fund Data'!$C:$C = $C1315, 'Fund Data'!$A:$A &lt; $A1315)),0) + IFERROR(sum(FILTER('Fund Data'!$V:$V, 'Fund Data'!$C:$C = $C1315, 'Fund Data'!$A:$A = $A1315, 'Fund Data'!$B:$B &lt;= $B1315)),0)"),100000.0)</f>
        <v>100000</v>
      </c>
      <c r="T1315" s="123">
        <v>100000.0</v>
      </c>
      <c r="U1315" s="44">
        <f t="shared" si="118"/>
        <v>0</v>
      </c>
      <c r="V1315" s="44">
        <f t="shared" si="3"/>
        <v>0</v>
      </c>
      <c r="W1315" s="123"/>
      <c r="X1315" s="123"/>
      <c r="Y1315" s="123">
        <v>0.0</v>
      </c>
      <c r="Z1315" s="123">
        <v>0.0</v>
      </c>
      <c r="AA1315" s="123">
        <v>0.0</v>
      </c>
      <c r="AB1315" s="123"/>
      <c r="AC1315" s="123">
        <v>0.0</v>
      </c>
      <c r="AD1315" s="44">
        <f t="shared" si="7"/>
        <v>-5000</v>
      </c>
      <c r="AE1315" s="123">
        <v>0.0</v>
      </c>
    </row>
    <row r="1316">
      <c r="A1316" s="120">
        <v>2018.0</v>
      </c>
      <c r="B1316" s="121">
        <v>8.0</v>
      </c>
      <c r="C1316" s="122" t="s">
        <v>65</v>
      </c>
      <c r="D1316" s="44"/>
      <c r="E1316" s="123">
        <v>2288.71</v>
      </c>
      <c r="F1316" s="123">
        <v>-3000.0</v>
      </c>
      <c r="G1316" s="44"/>
      <c r="H1316" s="123">
        <v>-595.17</v>
      </c>
      <c r="I1316" s="44"/>
      <c r="J1316" s="44"/>
      <c r="K1316" s="44"/>
      <c r="L1316" s="123">
        <v>1256.29</v>
      </c>
      <c r="M1316" s="44"/>
      <c r="N1316" s="44"/>
      <c r="O1316" s="123">
        <v>148352.0</v>
      </c>
      <c r="P1316" s="52">
        <f t="shared" si="23"/>
        <v>148352.12</v>
      </c>
      <c r="Q1316" s="124">
        <f t="shared" si="2"/>
        <v>-0.12</v>
      </c>
      <c r="R1316" s="52">
        <f t="array" ref="R1316">IFERROR(INDEX('Fund YTD Target Values'!$1:$1000, MATCH($C1316,'Fund YTD Target Values'!$A:$A,0), MATCH($A1316,'Fund YTD Target Values'!$1:$1,0)),0)</f>
        <v>121242.134</v>
      </c>
      <c r="S1316" s="52">
        <f>IFERROR(__xludf.DUMMYFUNCTION("IFERROR(sum(FILTER('Fund Data'!$V:$V, 'Fund Data'!$C:$C = $C1316, 'Fund Data'!$A:$A &lt; $A1316)),0) + IFERROR(sum(FILTER('Fund Data'!$V:$V, 'Fund Data'!$C:$C = $C1316, 'Fund Data'!$A:$A = $A1316, 'Fund Data'!$B:$B &lt;= $B1316)),0)"),100000.0)</f>
        <v>100000</v>
      </c>
      <c r="T1316" s="123">
        <v>100000.0</v>
      </c>
      <c r="U1316" s="44">
        <f t="shared" si="118"/>
        <v>0</v>
      </c>
      <c r="V1316" s="44">
        <f t="shared" si="3"/>
        <v>0</v>
      </c>
      <c r="W1316" s="123"/>
      <c r="X1316" s="123"/>
      <c r="Y1316" s="123">
        <v>0.0</v>
      </c>
      <c r="Z1316" s="123">
        <v>0.0</v>
      </c>
      <c r="AA1316" s="123">
        <v>0.0</v>
      </c>
      <c r="AB1316" s="123"/>
      <c r="AC1316" s="123">
        <v>0.0</v>
      </c>
      <c r="AD1316" s="44">
        <f t="shared" si="7"/>
        <v>-3000</v>
      </c>
      <c r="AE1316" s="123">
        <v>0.0</v>
      </c>
    </row>
    <row r="1317">
      <c r="A1317" s="120">
        <v>2018.0</v>
      </c>
      <c r="B1317" s="121">
        <v>7.0</v>
      </c>
      <c r="C1317" s="122" t="s">
        <v>65</v>
      </c>
      <c r="D1317" s="44"/>
      <c r="E1317" s="123">
        <v>2166.84</v>
      </c>
      <c r="F1317" s="123">
        <v>-3000.0</v>
      </c>
      <c r="G1317" s="44"/>
      <c r="H1317" s="123">
        <v>-521.26</v>
      </c>
      <c r="I1317" s="44"/>
      <c r="J1317" s="44"/>
      <c r="K1317" s="44"/>
      <c r="L1317" s="123">
        <v>776.23</v>
      </c>
      <c r="M1317" s="44"/>
      <c r="N1317" s="44"/>
      <c r="O1317" s="123">
        <v>147824.0</v>
      </c>
      <c r="P1317" s="52">
        <f t="shared" si="23"/>
        <v>147824.1</v>
      </c>
      <c r="Q1317" s="124">
        <f t="shared" si="2"/>
        <v>-0.1</v>
      </c>
      <c r="R1317" s="52">
        <f t="array" ref="R1317">IFERROR(INDEX('Fund YTD Target Values'!$1:$1000, MATCH($C1317,'Fund YTD Target Values'!$A:$A,0), MATCH($A1317,'Fund YTD Target Values'!$1:$1,0)),0)</f>
        <v>121242.134</v>
      </c>
      <c r="S1317" s="52">
        <f>IFERROR(__xludf.DUMMYFUNCTION("IFERROR(sum(FILTER('Fund Data'!$V:$V, 'Fund Data'!$C:$C = $C1317, 'Fund Data'!$A:$A &lt; $A1317)),0) + IFERROR(sum(FILTER('Fund Data'!$V:$V, 'Fund Data'!$C:$C = $C1317, 'Fund Data'!$A:$A = $A1317, 'Fund Data'!$B:$B &lt;= $B1317)),0)"),100000.0)</f>
        <v>100000</v>
      </c>
      <c r="T1317" s="123">
        <v>100000.0</v>
      </c>
      <c r="U1317" s="44">
        <f t="shared" si="118"/>
        <v>0</v>
      </c>
      <c r="V1317" s="44">
        <f t="shared" si="3"/>
        <v>0</v>
      </c>
      <c r="W1317" s="123"/>
      <c r="X1317" s="123"/>
      <c r="Y1317" s="123">
        <v>0.0</v>
      </c>
      <c r="Z1317" s="123">
        <v>0.0</v>
      </c>
      <c r="AA1317" s="123">
        <v>0.0</v>
      </c>
      <c r="AB1317" s="123"/>
      <c r="AC1317" s="123">
        <v>0.0</v>
      </c>
      <c r="AD1317" s="44">
        <f t="shared" si="7"/>
        <v>-3000</v>
      </c>
      <c r="AE1317" s="123">
        <v>0.0</v>
      </c>
    </row>
    <row r="1318">
      <c r="A1318" s="120">
        <v>2018.0</v>
      </c>
      <c r="B1318" s="121">
        <v>6.0</v>
      </c>
      <c r="C1318" s="122" t="s">
        <v>65</v>
      </c>
      <c r="D1318" s="44"/>
      <c r="E1318" s="123">
        <v>1835.84</v>
      </c>
      <c r="F1318" s="123">
        <v>-3000.0</v>
      </c>
      <c r="G1318" s="44"/>
      <c r="H1318" s="123">
        <v>-448.68</v>
      </c>
      <c r="I1318" s="44"/>
      <c r="J1318" s="44"/>
      <c r="K1318" s="44"/>
      <c r="L1318" s="123">
        <v>-1623.11</v>
      </c>
      <c r="M1318" s="44"/>
      <c r="N1318" s="44"/>
      <c r="O1318" s="123">
        <v>145166.0</v>
      </c>
      <c r="P1318" s="52">
        <f t="shared" si="23"/>
        <v>145166.34</v>
      </c>
      <c r="Q1318" s="124">
        <f t="shared" si="2"/>
        <v>-0.34</v>
      </c>
      <c r="R1318" s="52">
        <f t="array" ref="R1318">IFERROR(INDEX('Fund YTD Target Values'!$1:$1000, MATCH($C1318,'Fund YTD Target Values'!$A:$A,0), MATCH($A1318,'Fund YTD Target Values'!$1:$1,0)),0)</f>
        <v>121242.134</v>
      </c>
      <c r="S1318" s="52">
        <f>IFERROR(__xludf.DUMMYFUNCTION("IFERROR(sum(FILTER('Fund Data'!$V:$V, 'Fund Data'!$C:$C = $C1318, 'Fund Data'!$A:$A &lt; $A1318)),0) + IFERROR(sum(FILTER('Fund Data'!$V:$V, 'Fund Data'!$C:$C = $C1318, 'Fund Data'!$A:$A = $A1318, 'Fund Data'!$B:$B &lt;= $B1318)),0)"),100000.0)</f>
        <v>100000</v>
      </c>
      <c r="T1318" s="123">
        <v>100000.0</v>
      </c>
      <c r="U1318" s="44">
        <f t="shared" si="118"/>
        <v>0</v>
      </c>
      <c r="V1318" s="44">
        <f t="shared" si="3"/>
        <v>0</v>
      </c>
      <c r="W1318" s="123"/>
      <c r="X1318" s="123"/>
      <c r="Y1318" s="123">
        <v>0.0</v>
      </c>
      <c r="Z1318" s="123">
        <v>0.0</v>
      </c>
      <c r="AA1318" s="123">
        <v>0.0</v>
      </c>
      <c r="AB1318" s="123"/>
      <c r="AC1318" s="123">
        <v>0.0</v>
      </c>
      <c r="AD1318" s="44">
        <f t="shared" si="7"/>
        <v>-3000</v>
      </c>
      <c r="AE1318" s="123">
        <v>0.0</v>
      </c>
    </row>
    <row r="1319">
      <c r="A1319" s="120">
        <v>2018.0</v>
      </c>
      <c r="B1319" s="121">
        <v>5.0</v>
      </c>
      <c r="C1319" s="122" t="s">
        <v>65</v>
      </c>
      <c r="D1319" s="44"/>
      <c r="E1319" s="123">
        <v>1623.97</v>
      </c>
      <c r="F1319" s="44"/>
      <c r="G1319" s="44"/>
      <c r="H1319" s="123">
        <v>-374.12</v>
      </c>
      <c r="I1319" s="44"/>
      <c r="J1319" s="44"/>
      <c r="K1319" s="44"/>
      <c r="L1319" s="123">
        <v>-530.39</v>
      </c>
      <c r="M1319" s="44"/>
      <c r="N1319" s="44"/>
      <c r="O1319" s="123">
        <v>149122.0</v>
      </c>
      <c r="P1319" s="52">
        <f t="shared" si="23"/>
        <v>149121.75</v>
      </c>
      <c r="Q1319" s="124">
        <f t="shared" si="2"/>
        <v>0.25</v>
      </c>
      <c r="R1319" s="52">
        <f t="array" ref="R1319">IFERROR(INDEX('Fund YTD Target Values'!$1:$1000, MATCH($C1319,'Fund YTD Target Values'!$A:$A,0), MATCH($A1319,'Fund YTD Target Values'!$1:$1,0)),0)</f>
        <v>121242.134</v>
      </c>
      <c r="S1319" s="52">
        <f>IFERROR(__xludf.DUMMYFUNCTION("IFERROR(sum(FILTER('Fund Data'!$V:$V, 'Fund Data'!$C:$C = $C1319, 'Fund Data'!$A:$A &lt; $A1319)),0) + IFERROR(sum(FILTER('Fund Data'!$V:$V, 'Fund Data'!$C:$C = $C1319, 'Fund Data'!$A:$A = $A1319, 'Fund Data'!$B:$B &lt;= $B1319)),0)"),100000.0)</f>
        <v>100000</v>
      </c>
      <c r="T1319" s="123">
        <v>100000.0</v>
      </c>
      <c r="U1319" s="44">
        <f t="shared" si="118"/>
        <v>0</v>
      </c>
      <c r="V1319" s="44">
        <f t="shared" si="3"/>
        <v>0</v>
      </c>
      <c r="W1319" s="123"/>
      <c r="X1319" s="123"/>
      <c r="Y1319" s="123">
        <v>0.0</v>
      </c>
      <c r="Z1319" s="123">
        <v>0.0</v>
      </c>
      <c r="AA1319" s="123">
        <v>0.0</v>
      </c>
      <c r="AB1319" s="123"/>
      <c r="AC1319" s="123">
        <v>0.0</v>
      </c>
      <c r="AD1319" s="44">
        <f t="shared" si="7"/>
        <v>0</v>
      </c>
      <c r="AE1319" s="123">
        <v>0.0</v>
      </c>
    </row>
    <row r="1320">
      <c r="A1320" s="120">
        <v>2018.0</v>
      </c>
      <c r="B1320" s="121">
        <v>4.0</v>
      </c>
      <c r="C1320" s="122" t="s">
        <v>65</v>
      </c>
      <c r="D1320" s="44"/>
      <c r="E1320" s="123">
        <v>1505.77</v>
      </c>
      <c r="F1320" s="44"/>
      <c r="G1320" s="44"/>
      <c r="H1320" s="123">
        <v>-299.74</v>
      </c>
      <c r="I1320" s="44"/>
      <c r="J1320" s="44"/>
      <c r="K1320" s="44"/>
      <c r="L1320" s="123">
        <v>-839.14</v>
      </c>
      <c r="M1320" s="44"/>
      <c r="N1320" s="44"/>
      <c r="O1320" s="123">
        <v>148769.0</v>
      </c>
      <c r="P1320" s="52">
        <f t="shared" si="23"/>
        <v>148769.18</v>
      </c>
      <c r="Q1320" s="124">
        <f t="shared" si="2"/>
        <v>-0.18</v>
      </c>
      <c r="R1320" s="52">
        <f t="array" ref="R1320">IFERROR(INDEX('Fund YTD Target Values'!$1:$1000, MATCH($C1320,'Fund YTD Target Values'!$A:$A,0), MATCH($A1320,'Fund YTD Target Values'!$1:$1,0)),0)</f>
        <v>121242.134</v>
      </c>
      <c r="S1320" s="52">
        <f>IFERROR(__xludf.DUMMYFUNCTION("IFERROR(sum(FILTER('Fund Data'!$V:$V, 'Fund Data'!$C:$C = $C1320, 'Fund Data'!$A:$A &lt; $A1320)),0) + IFERROR(sum(FILTER('Fund Data'!$V:$V, 'Fund Data'!$C:$C = $C1320, 'Fund Data'!$A:$A = $A1320, 'Fund Data'!$B:$B &lt;= $B1320)),0)"),100000.0)</f>
        <v>100000</v>
      </c>
      <c r="T1320" s="123">
        <v>100000.0</v>
      </c>
      <c r="U1320" s="44">
        <f t="shared" si="118"/>
        <v>0</v>
      </c>
      <c r="V1320" s="44">
        <f t="shared" si="3"/>
        <v>0</v>
      </c>
      <c r="W1320" s="123"/>
      <c r="X1320" s="123"/>
      <c r="Y1320" s="123">
        <v>0.0</v>
      </c>
      <c r="Z1320" s="123">
        <v>0.0</v>
      </c>
      <c r="AA1320" s="123">
        <v>0.0</v>
      </c>
      <c r="AB1320" s="123"/>
      <c r="AC1320" s="123">
        <v>0.0</v>
      </c>
      <c r="AD1320" s="44">
        <f t="shared" si="7"/>
        <v>0</v>
      </c>
      <c r="AE1320" s="123">
        <v>0.0</v>
      </c>
    </row>
    <row r="1321">
      <c r="A1321" s="120">
        <v>2018.0</v>
      </c>
      <c r="B1321" s="121">
        <v>3.0</v>
      </c>
      <c r="C1321" s="122" t="s">
        <v>65</v>
      </c>
      <c r="D1321" s="44"/>
      <c r="E1321" s="123">
        <v>1149.97</v>
      </c>
      <c r="F1321" s="44"/>
      <c r="G1321" s="44"/>
      <c r="H1321" s="123">
        <v>-225.56</v>
      </c>
      <c r="I1321" s="44"/>
      <c r="J1321" s="44"/>
      <c r="K1321" s="44"/>
      <c r="L1321" s="123">
        <v>-959.15</v>
      </c>
      <c r="M1321" s="44"/>
      <c r="N1321" s="44"/>
      <c r="O1321" s="123">
        <v>148367.0</v>
      </c>
      <c r="P1321" s="52">
        <f t="shared" si="23"/>
        <v>148367.55</v>
      </c>
      <c r="Q1321" s="124">
        <f t="shared" si="2"/>
        <v>-0.55</v>
      </c>
      <c r="R1321" s="52">
        <f t="array" ref="R1321">IFERROR(INDEX('Fund YTD Target Values'!$1:$1000, MATCH($C1321,'Fund YTD Target Values'!$A:$A,0), MATCH($A1321,'Fund YTD Target Values'!$1:$1,0)),0)</f>
        <v>121242.134</v>
      </c>
      <c r="S1321" s="52">
        <f>IFERROR(__xludf.DUMMYFUNCTION("IFERROR(sum(FILTER('Fund Data'!$V:$V, 'Fund Data'!$C:$C = $C1321, 'Fund Data'!$A:$A &lt; $A1321)),0) + IFERROR(sum(FILTER('Fund Data'!$V:$V, 'Fund Data'!$C:$C = $C1321, 'Fund Data'!$A:$A = $A1321, 'Fund Data'!$B:$B &lt;= $B1321)),0)"),100000.0)</f>
        <v>100000</v>
      </c>
      <c r="T1321" s="123">
        <v>100000.0</v>
      </c>
      <c r="U1321" s="44">
        <f t="shared" si="118"/>
        <v>0</v>
      </c>
      <c r="V1321" s="44">
        <f t="shared" si="3"/>
        <v>0</v>
      </c>
      <c r="W1321" s="123"/>
      <c r="X1321" s="123"/>
      <c r="Y1321" s="123">
        <v>0.0</v>
      </c>
      <c r="Z1321" s="123">
        <v>0.0</v>
      </c>
      <c r="AA1321" s="123">
        <v>0.0</v>
      </c>
      <c r="AB1321" s="123"/>
      <c r="AC1321" s="123">
        <v>0.0</v>
      </c>
      <c r="AD1321" s="44">
        <f t="shared" si="7"/>
        <v>0</v>
      </c>
      <c r="AE1321" s="123">
        <v>0.0</v>
      </c>
    </row>
    <row r="1322">
      <c r="A1322" s="120">
        <v>2018.0</v>
      </c>
      <c r="B1322" s="121">
        <v>2.0</v>
      </c>
      <c r="C1322" s="122" t="s">
        <v>65</v>
      </c>
      <c r="D1322" s="44"/>
      <c r="E1322" s="123">
        <v>1019.27</v>
      </c>
      <c r="F1322" s="44"/>
      <c r="G1322" s="44"/>
      <c r="H1322" s="123">
        <v>-365.69</v>
      </c>
      <c r="I1322" s="44"/>
      <c r="J1322" s="44"/>
      <c r="K1322" s="44"/>
      <c r="L1322" s="123">
        <v>62.91</v>
      </c>
      <c r="M1322" s="44"/>
      <c r="N1322" s="44"/>
      <c r="O1322" s="123">
        <v>149119.0</v>
      </c>
      <c r="P1322" s="52">
        <f t="shared" si="23"/>
        <v>149118.78</v>
      </c>
      <c r="Q1322" s="124">
        <f t="shared" si="2"/>
        <v>0.22</v>
      </c>
      <c r="R1322" s="52">
        <f t="array" ref="R1322">IFERROR(INDEX('Fund YTD Target Values'!$1:$1000, MATCH($C1322,'Fund YTD Target Values'!$A:$A,0), MATCH($A1322,'Fund YTD Target Values'!$1:$1,0)),0)</f>
        <v>121242.134</v>
      </c>
      <c r="S1322" s="52">
        <f>IFERROR(__xludf.DUMMYFUNCTION("IFERROR(sum(FILTER('Fund Data'!$V:$V, 'Fund Data'!$C:$C = $C1322, 'Fund Data'!$A:$A &lt; $A1322)),0) + IFERROR(sum(FILTER('Fund Data'!$V:$V, 'Fund Data'!$C:$C = $C1322, 'Fund Data'!$A:$A = $A1322, 'Fund Data'!$B:$B &lt;= $B1322)),0)"),100000.0)</f>
        <v>100000</v>
      </c>
      <c r="T1322" s="123">
        <v>100000.0</v>
      </c>
      <c r="U1322" s="44">
        <f t="shared" si="118"/>
        <v>0</v>
      </c>
      <c r="V1322" s="44">
        <f t="shared" si="3"/>
        <v>0</v>
      </c>
      <c r="W1322" s="123"/>
      <c r="X1322" s="123"/>
      <c r="Y1322" s="123">
        <v>0.0</v>
      </c>
      <c r="Z1322" s="123">
        <v>0.0</v>
      </c>
      <c r="AA1322" s="123">
        <v>0.0</v>
      </c>
      <c r="AB1322" s="123"/>
      <c r="AC1322" s="123">
        <v>0.0</v>
      </c>
      <c r="AD1322" s="44">
        <f t="shared" si="7"/>
        <v>0</v>
      </c>
      <c r="AE1322" s="123">
        <v>0.0</v>
      </c>
    </row>
    <row r="1323">
      <c r="A1323" s="120">
        <v>2018.0</v>
      </c>
      <c r="B1323" s="121">
        <v>1.0</v>
      </c>
      <c r="C1323" s="122" t="s">
        <v>65</v>
      </c>
      <c r="D1323" s="44"/>
      <c r="E1323" s="123">
        <v>908.47</v>
      </c>
      <c r="F1323" s="44"/>
      <c r="G1323" s="44"/>
      <c r="H1323" s="123">
        <v>-288.89</v>
      </c>
      <c r="I1323" s="44"/>
      <c r="J1323" s="44"/>
      <c r="K1323" s="44"/>
      <c r="L1323" s="123">
        <v>4577.04</v>
      </c>
      <c r="M1323" s="44"/>
      <c r="N1323" s="44"/>
      <c r="O1323" s="123">
        <v>153599.0</v>
      </c>
      <c r="P1323" s="52">
        <f t="shared" si="23"/>
        <v>153598.91</v>
      </c>
      <c r="Q1323" s="124">
        <f t="shared" si="2"/>
        <v>0.09</v>
      </c>
      <c r="R1323" s="52">
        <f t="array" ref="R1323">IFERROR(INDEX('Fund YTD Target Values'!$1:$1000, MATCH($C1323,'Fund YTD Target Values'!$A:$A,0), MATCH($A1323,'Fund YTD Target Values'!$1:$1,0)),0)</f>
        <v>121242.134</v>
      </c>
      <c r="S1323" s="52">
        <f>IFERROR(__xludf.DUMMYFUNCTION("IFERROR(sum(FILTER('Fund Data'!$V:$V, 'Fund Data'!$C:$C = $C1323, 'Fund Data'!$A:$A &lt; $A1323)),0) + IFERROR(sum(FILTER('Fund Data'!$V:$V, 'Fund Data'!$C:$C = $C1323, 'Fund Data'!$A:$A = $A1323, 'Fund Data'!$B:$B &lt;= $B1323)),0)"),100000.0)</f>
        <v>100000</v>
      </c>
      <c r="T1323" s="123">
        <v>100000.0</v>
      </c>
      <c r="U1323" s="44">
        <f t="shared" si="118"/>
        <v>0</v>
      </c>
      <c r="V1323" s="44">
        <f t="shared" si="3"/>
        <v>0</v>
      </c>
      <c r="W1323" s="123"/>
      <c r="X1323" s="123"/>
      <c r="Y1323" s="123">
        <v>0.0</v>
      </c>
      <c r="Z1323" s="123">
        <v>0.0</v>
      </c>
      <c r="AA1323" s="123">
        <v>0.0</v>
      </c>
      <c r="AB1323" s="123"/>
      <c r="AC1323" s="123">
        <v>0.0</v>
      </c>
      <c r="AD1323" s="44">
        <f t="shared" si="7"/>
        <v>0</v>
      </c>
      <c r="AE1323" s="123">
        <v>0.0</v>
      </c>
    </row>
    <row r="1324">
      <c r="A1324" s="120">
        <v>2017.0</v>
      </c>
      <c r="B1324" s="121">
        <v>12.0</v>
      </c>
      <c r="C1324" s="122" t="s">
        <v>65</v>
      </c>
      <c r="D1324" s="44"/>
      <c r="E1324" s="123">
        <v>3063.97</v>
      </c>
      <c r="F1324" s="123">
        <v>-5000.0</v>
      </c>
      <c r="G1324" s="123"/>
      <c r="H1324" s="123">
        <v>-852.91</v>
      </c>
      <c r="I1324" s="44"/>
      <c r="J1324" s="44"/>
      <c r="K1324" s="44"/>
      <c r="L1324" s="123">
        <v>17246.4</v>
      </c>
      <c r="M1324" s="44"/>
      <c r="N1324" s="44"/>
      <c r="O1324" s="123">
        <v>148402.0</v>
      </c>
      <c r="P1324" s="52">
        <f t="shared" si="23"/>
        <v>148402.29</v>
      </c>
      <c r="Q1324" s="124">
        <f t="shared" si="2"/>
        <v>-0.29</v>
      </c>
      <c r="R1324" s="52">
        <f t="array" ref="R1324">IFERROR(INDEX('Fund YTD Target Values'!$1:$1000, MATCH($C1324,'Fund YTD Target Values'!$A:$A,0), MATCH($A1324,'Fund YTD Target Values'!$1:$1,0)),0)</f>
        <v>118351.1878</v>
      </c>
      <c r="S1324" s="52">
        <f>IFERROR(__xludf.DUMMYFUNCTION("IFERROR(sum(FILTER('Fund Data'!$V:$V, 'Fund Data'!$C:$C = $C1324, 'Fund Data'!$A:$A &lt; $A1324)),0) + IFERROR(sum(FILTER('Fund Data'!$V:$V, 'Fund Data'!$C:$C = $C1324, 'Fund Data'!$A:$A = $A1324, 'Fund Data'!$B:$B &lt;= $B1324)),0)"),100000.0)</f>
        <v>100000</v>
      </c>
      <c r="T1324" s="123">
        <v>100000.0</v>
      </c>
      <c r="U1324" s="44">
        <f t="shared" si="118"/>
        <v>0</v>
      </c>
      <c r="V1324" s="44">
        <f t="shared" si="3"/>
        <v>0</v>
      </c>
      <c r="W1324" s="123"/>
      <c r="X1324" s="123"/>
      <c r="Y1324" s="123">
        <v>0.0</v>
      </c>
      <c r="Z1324" s="123">
        <v>0.0</v>
      </c>
      <c r="AA1324" s="123">
        <v>0.0</v>
      </c>
      <c r="AB1324" s="123"/>
      <c r="AC1324" s="123">
        <v>0.0</v>
      </c>
      <c r="AD1324" s="44">
        <f t="shared" si="7"/>
        <v>-5000</v>
      </c>
      <c r="AE1324" s="123">
        <v>0.0</v>
      </c>
    </row>
    <row r="1325">
      <c r="A1325" s="120">
        <v>2017.0</v>
      </c>
      <c r="B1325" s="121">
        <v>11.0</v>
      </c>
      <c r="C1325" s="122" t="s">
        <v>65</v>
      </c>
      <c r="D1325" s="44"/>
      <c r="E1325" s="123">
        <v>2857.03</v>
      </c>
      <c r="F1325" s="123">
        <v>-5000.0</v>
      </c>
      <c r="G1325" s="44"/>
      <c r="H1325" s="123">
        <v>-779.13</v>
      </c>
      <c r="I1325" s="44"/>
      <c r="J1325" s="44"/>
      <c r="K1325" s="44"/>
      <c r="L1325" s="123">
        <v>16541.8</v>
      </c>
      <c r="M1325" s="44"/>
      <c r="N1325" s="44"/>
      <c r="O1325" s="123">
        <v>147564.0</v>
      </c>
      <c r="P1325" s="52">
        <f t="shared" si="23"/>
        <v>147564.53</v>
      </c>
      <c r="Q1325" s="124">
        <f t="shared" si="2"/>
        <v>-0.53</v>
      </c>
      <c r="R1325" s="52">
        <f t="array" ref="R1325">IFERROR(INDEX('Fund YTD Target Values'!$1:$1000, MATCH($C1325,'Fund YTD Target Values'!$A:$A,0), MATCH($A1325,'Fund YTD Target Values'!$1:$1,0)),0)</f>
        <v>118351.1878</v>
      </c>
      <c r="S1325" s="52">
        <f>IFERROR(__xludf.DUMMYFUNCTION("IFERROR(sum(FILTER('Fund Data'!$V:$V, 'Fund Data'!$C:$C = $C1325, 'Fund Data'!$A:$A &lt; $A1325)),0) + IFERROR(sum(FILTER('Fund Data'!$V:$V, 'Fund Data'!$C:$C = $C1325, 'Fund Data'!$A:$A = $A1325, 'Fund Data'!$B:$B &lt;= $B1325)),0)"),100000.0)</f>
        <v>100000</v>
      </c>
      <c r="T1325" s="123">
        <v>100000.0</v>
      </c>
      <c r="U1325" s="44">
        <f t="shared" si="118"/>
        <v>0</v>
      </c>
      <c r="V1325" s="44">
        <f t="shared" si="3"/>
        <v>0</v>
      </c>
      <c r="W1325" s="123"/>
      <c r="X1325" s="123"/>
      <c r="Y1325" s="123">
        <v>0.0</v>
      </c>
      <c r="Z1325" s="123">
        <v>0.0</v>
      </c>
      <c r="AA1325" s="123">
        <v>0.0</v>
      </c>
      <c r="AB1325" s="123"/>
      <c r="AC1325" s="123">
        <v>0.0</v>
      </c>
      <c r="AD1325" s="44">
        <f t="shared" si="7"/>
        <v>-5000</v>
      </c>
      <c r="AE1325" s="123">
        <v>0.0</v>
      </c>
    </row>
    <row r="1326">
      <c r="A1326" s="120">
        <v>2017.0</v>
      </c>
      <c r="B1326" s="121">
        <v>10.0</v>
      </c>
      <c r="C1326" s="122" t="s">
        <v>65</v>
      </c>
      <c r="D1326" s="44"/>
      <c r="E1326" s="123">
        <v>2758.45</v>
      </c>
      <c r="F1326" s="123">
        <v>-5000.0</v>
      </c>
      <c r="G1326" s="44"/>
      <c r="H1326" s="123">
        <v>-706.18</v>
      </c>
      <c r="I1326" s="44"/>
      <c r="J1326" s="44"/>
      <c r="K1326" s="44"/>
      <c r="L1326" s="123">
        <v>14912.88</v>
      </c>
      <c r="M1326" s="44"/>
      <c r="N1326" s="44"/>
      <c r="O1326" s="123">
        <v>145910.0</v>
      </c>
      <c r="P1326" s="52">
        <f t="shared" si="23"/>
        <v>145909.98</v>
      </c>
      <c r="Q1326" s="124">
        <f t="shared" si="2"/>
        <v>0.01999999999</v>
      </c>
      <c r="R1326" s="52">
        <f t="array" ref="R1326">IFERROR(INDEX('Fund YTD Target Values'!$1:$1000, MATCH($C1326,'Fund YTD Target Values'!$A:$A,0), MATCH($A1326,'Fund YTD Target Values'!$1:$1,0)),0)</f>
        <v>118351.1878</v>
      </c>
      <c r="S1326" s="52">
        <f>IFERROR(__xludf.DUMMYFUNCTION("IFERROR(sum(FILTER('Fund Data'!$V:$V, 'Fund Data'!$C:$C = $C1326, 'Fund Data'!$A:$A &lt; $A1326)),0) + IFERROR(sum(FILTER('Fund Data'!$V:$V, 'Fund Data'!$C:$C = $C1326, 'Fund Data'!$A:$A = $A1326, 'Fund Data'!$B:$B &lt;= $B1326)),0)"),100000.0)</f>
        <v>100000</v>
      </c>
      <c r="T1326" s="123">
        <v>100000.0</v>
      </c>
      <c r="U1326" s="44">
        <f t="shared" si="118"/>
        <v>0</v>
      </c>
      <c r="V1326" s="44">
        <f t="shared" si="3"/>
        <v>0</v>
      </c>
      <c r="W1326" s="123"/>
      <c r="X1326" s="123"/>
      <c r="Y1326" s="123">
        <v>0.0</v>
      </c>
      <c r="Z1326" s="123">
        <v>0.0</v>
      </c>
      <c r="AA1326" s="123">
        <v>0.0</v>
      </c>
      <c r="AB1326" s="123"/>
      <c r="AC1326" s="123">
        <v>0.0</v>
      </c>
      <c r="AD1326" s="44">
        <f t="shared" si="7"/>
        <v>-5000</v>
      </c>
      <c r="AE1326" s="123">
        <v>0.0</v>
      </c>
    </row>
    <row r="1327">
      <c r="A1327" s="120">
        <v>2017.0</v>
      </c>
      <c r="B1327" s="121">
        <v>9.0</v>
      </c>
      <c r="C1327" s="122" t="s">
        <v>65</v>
      </c>
      <c r="D1327" s="44"/>
      <c r="E1327" s="123">
        <v>2461.0</v>
      </c>
      <c r="F1327" s="123">
        <v>-5000.0</v>
      </c>
      <c r="G1327" s="44"/>
      <c r="H1327" s="123">
        <v>-634.26</v>
      </c>
      <c r="I1327" s="44"/>
      <c r="J1327" s="44"/>
      <c r="K1327" s="44"/>
      <c r="L1327" s="123">
        <v>13065.22</v>
      </c>
      <c r="M1327" s="44"/>
      <c r="N1327" s="44"/>
      <c r="O1327" s="123">
        <v>143837.0</v>
      </c>
      <c r="P1327" s="52">
        <f t="shared" si="23"/>
        <v>143836.79</v>
      </c>
      <c r="Q1327" s="124">
        <f t="shared" si="2"/>
        <v>0.21</v>
      </c>
      <c r="R1327" s="52">
        <f t="array" ref="R1327">IFERROR(INDEX('Fund YTD Target Values'!$1:$1000, MATCH($C1327,'Fund YTD Target Values'!$A:$A,0), MATCH($A1327,'Fund YTD Target Values'!$1:$1,0)),0)</f>
        <v>118351.1878</v>
      </c>
      <c r="S1327" s="52">
        <f>IFERROR(__xludf.DUMMYFUNCTION("IFERROR(sum(FILTER('Fund Data'!$V:$V, 'Fund Data'!$C:$C = $C1327, 'Fund Data'!$A:$A &lt; $A1327)),0) + IFERROR(sum(FILTER('Fund Data'!$V:$V, 'Fund Data'!$C:$C = $C1327, 'Fund Data'!$A:$A = $A1327, 'Fund Data'!$B:$B &lt;= $B1327)),0)"),100000.0)</f>
        <v>100000</v>
      </c>
      <c r="T1327" s="123">
        <v>100000.0</v>
      </c>
      <c r="U1327" s="44">
        <f t="shared" si="118"/>
        <v>0</v>
      </c>
      <c r="V1327" s="44">
        <f t="shared" si="3"/>
        <v>0</v>
      </c>
      <c r="W1327" s="123"/>
      <c r="X1327" s="123"/>
      <c r="Y1327" s="123">
        <v>0.0</v>
      </c>
      <c r="Z1327" s="123">
        <v>0.0</v>
      </c>
      <c r="AA1327" s="123">
        <v>0.0</v>
      </c>
      <c r="AB1327" s="123"/>
      <c r="AC1327" s="123">
        <v>0.0</v>
      </c>
      <c r="AD1327" s="44">
        <f t="shared" si="7"/>
        <v>-5000</v>
      </c>
      <c r="AE1327" s="123">
        <v>0.0</v>
      </c>
    </row>
    <row r="1328">
      <c r="A1328" s="120">
        <v>2017.0</v>
      </c>
      <c r="B1328" s="121">
        <v>8.0</v>
      </c>
      <c r="C1328" s="122" t="s">
        <v>65</v>
      </c>
      <c r="D1328" s="44"/>
      <c r="E1328" s="123">
        <v>2282.5</v>
      </c>
      <c r="F1328" s="123">
        <v>-5000.0</v>
      </c>
      <c r="G1328" s="44"/>
      <c r="H1328" s="123">
        <v>-563.09</v>
      </c>
      <c r="I1328" s="44"/>
      <c r="J1328" s="44"/>
      <c r="K1328" s="44"/>
      <c r="L1328" s="123">
        <v>11668.59</v>
      </c>
      <c r="M1328" s="44"/>
      <c r="N1328" s="44"/>
      <c r="O1328" s="123">
        <v>142333.0</v>
      </c>
      <c r="P1328" s="52">
        <f t="shared" si="23"/>
        <v>142332.83</v>
      </c>
      <c r="Q1328" s="124">
        <f t="shared" si="2"/>
        <v>0.17</v>
      </c>
      <c r="R1328" s="52">
        <f t="array" ref="R1328">IFERROR(INDEX('Fund YTD Target Values'!$1:$1000, MATCH($C1328,'Fund YTD Target Values'!$A:$A,0), MATCH($A1328,'Fund YTD Target Values'!$1:$1,0)),0)</f>
        <v>118351.1878</v>
      </c>
      <c r="S1328" s="52">
        <f>IFERROR(__xludf.DUMMYFUNCTION("IFERROR(sum(FILTER('Fund Data'!$V:$V, 'Fund Data'!$C:$C = $C1328, 'Fund Data'!$A:$A &lt; $A1328)),0) + IFERROR(sum(FILTER('Fund Data'!$V:$V, 'Fund Data'!$C:$C = $C1328, 'Fund Data'!$A:$A = $A1328, 'Fund Data'!$B:$B &lt;= $B1328)),0)"),100000.0)</f>
        <v>100000</v>
      </c>
      <c r="T1328" s="123">
        <v>100000.0</v>
      </c>
      <c r="U1328" s="44">
        <f t="shared" si="118"/>
        <v>0</v>
      </c>
      <c r="V1328" s="44">
        <f t="shared" si="3"/>
        <v>0</v>
      </c>
      <c r="W1328" s="123"/>
      <c r="X1328" s="123"/>
      <c r="Y1328" s="123">
        <v>0.0</v>
      </c>
      <c r="Z1328" s="123">
        <v>0.0</v>
      </c>
      <c r="AA1328" s="123">
        <v>0.0</v>
      </c>
      <c r="AB1328" s="123"/>
      <c r="AC1328" s="123">
        <v>0.0</v>
      </c>
      <c r="AD1328" s="44">
        <f t="shared" si="7"/>
        <v>-5000</v>
      </c>
      <c r="AE1328" s="123">
        <v>0.0</v>
      </c>
    </row>
    <row r="1329">
      <c r="A1329" s="120">
        <v>2017.0</v>
      </c>
      <c r="B1329" s="121">
        <v>7.0</v>
      </c>
      <c r="C1329" s="122" t="s">
        <v>65</v>
      </c>
      <c r="D1329" s="44"/>
      <c r="E1329" s="123">
        <v>2181.91</v>
      </c>
      <c r="F1329" s="44"/>
      <c r="G1329" s="44"/>
      <c r="H1329" s="123">
        <v>-489.62</v>
      </c>
      <c r="I1329" s="44"/>
      <c r="J1329" s="44"/>
      <c r="K1329" s="44"/>
      <c r="L1329" s="123">
        <v>11300.8</v>
      </c>
      <c r="M1329" s="44"/>
      <c r="N1329" s="44"/>
      <c r="O1329" s="123">
        <v>146938.0</v>
      </c>
      <c r="P1329" s="52">
        <f t="shared" si="23"/>
        <v>146937.92</v>
      </c>
      <c r="Q1329" s="124">
        <f t="shared" si="2"/>
        <v>0.07999999999</v>
      </c>
      <c r="R1329" s="52">
        <f t="array" ref="R1329">IFERROR(INDEX('Fund YTD Target Values'!$1:$1000, MATCH($C1329,'Fund YTD Target Values'!$A:$A,0), MATCH($A1329,'Fund YTD Target Values'!$1:$1,0)),0)</f>
        <v>118351.1878</v>
      </c>
      <c r="S1329" s="52">
        <f>IFERROR(__xludf.DUMMYFUNCTION("IFERROR(sum(FILTER('Fund Data'!$V:$V, 'Fund Data'!$C:$C = $C1329, 'Fund Data'!$A:$A &lt; $A1329)),0) + IFERROR(sum(FILTER('Fund Data'!$V:$V, 'Fund Data'!$C:$C = $C1329, 'Fund Data'!$A:$A = $A1329, 'Fund Data'!$B:$B &lt;= $B1329)),0)"),100000.0)</f>
        <v>100000</v>
      </c>
      <c r="T1329" s="123">
        <v>100000.0</v>
      </c>
      <c r="U1329" s="44">
        <f t="shared" si="118"/>
        <v>0</v>
      </c>
      <c r="V1329" s="44">
        <f t="shared" si="3"/>
        <v>0</v>
      </c>
      <c r="W1329" s="123"/>
      <c r="X1329" s="123"/>
      <c r="Y1329" s="123">
        <v>0.0</v>
      </c>
      <c r="Z1329" s="123">
        <v>0.0</v>
      </c>
      <c r="AA1329" s="123">
        <v>0.0</v>
      </c>
      <c r="AB1329" s="123"/>
      <c r="AC1329" s="123">
        <v>0.0</v>
      </c>
      <c r="AD1329" s="44">
        <f t="shared" si="7"/>
        <v>0</v>
      </c>
      <c r="AE1329" s="123">
        <v>0.0</v>
      </c>
    </row>
    <row r="1330">
      <c r="A1330" s="120">
        <v>2017.0</v>
      </c>
      <c r="B1330" s="121">
        <v>6.0</v>
      </c>
      <c r="C1330" s="122" t="s">
        <v>65</v>
      </c>
      <c r="D1330" s="44"/>
      <c r="E1330" s="123">
        <v>1735.74</v>
      </c>
      <c r="F1330" s="44"/>
      <c r="G1330" s="44"/>
      <c r="H1330" s="123">
        <v>-417.79</v>
      </c>
      <c r="I1330" s="44"/>
      <c r="J1330" s="44"/>
      <c r="K1330" s="44"/>
      <c r="L1330" s="123">
        <v>8392.36</v>
      </c>
      <c r="M1330" s="44"/>
      <c r="N1330" s="44"/>
      <c r="O1330" s="123">
        <v>143655.0</v>
      </c>
      <c r="P1330" s="52">
        <f t="shared" si="23"/>
        <v>143655.14</v>
      </c>
      <c r="Q1330" s="124">
        <f t="shared" si="2"/>
        <v>-0.14</v>
      </c>
      <c r="R1330" s="52">
        <f t="array" ref="R1330">IFERROR(INDEX('Fund YTD Target Values'!$1:$1000, MATCH($C1330,'Fund YTD Target Values'!$A:$A,0), MATCH($A1330,'Fund YTD Target Values'!$1:$1,0)),0)</f>
        <v>118351.1878</v>
      </c>
      <c r="S1330" s="52">
        <f>IFERROR(__xludf.DUMMYFUNCTION("IFERROR(sum(FILTER('Fund Data'!$V:$V, 'Fund Data'!$C:$C = $C1330, 'Fund Data'!$A:$A &lt; $A1330)),0) + IFERROR(sum(FILTER('Fund Data'!$V:$V, 'Fund Data'!$C:$C = $C1330, 'Fund Data'!$A:$A = $A1330, 'Fund Data'!$B:$B &lt;= $B1330)),0)"),100000.0)</f>
        <v>100000</v>
      </c>
      <c r="T1330" s="123">
        <v>100000.0</v>
      </c>
      <c r="U1330" s="44">
        <f t="shared" si="118"/>
        <v>0</v>
      </c>
      <c r="V1330" s="44">
        <f t="shared" si="3"/>
        <v>0</v>
      </c>
      <c r="W1330" s="123"/>
      <c r="X1330" s="123"/>
      <c r="Y1330" s="123">
        <v>0.0</v>
      </c>
      <c r="Z1330" s="123">
        <v>0.0</v>
      </c>
      <c r="AA1330" s="123">
        <v>0.0</v>
      </c>
      <c r="AB1330" s="123"/>
      <c r="AC1330" s="123">
        <v>0.0</v>
      </c>
      <c r="AD1330" s="44">
        <f t="shared" si="7"/>
        <v>0</v>
      </c>
      <c r="AE1330" s="123">
        <v>0.0</v>
      </c>
    </row>
    <row r="1331">
      <c r="A1331" s="120">
        <v>2017.0</v>
      </c>
      <c r="B1331" s="121">
        <v>5.0</v>
      </c>
      <c r="C1331" s="122" t="s">
        <v>65</v>
      </c>
      <c r="D1331" s="44"/>
      <c r="E1331" s="123">
        <v>1640.74</v>
      </c>
      <c r="F1331" s="44"/>
      <c r="G1331" s="44"/>
      <c r="H1331" s="123">
        <v>-346.13</v>
      </c>
      <c r="I1331" s="44"/>
      <c r="J1331" s="44"/>
      <c r="K1331" s="44"/>
      <c r="L1331" s="123">
        <v>8093.29</v>
      </c>
      <c r="M1331" s="44"/>
      <c r="N1331" s="44"/>
      <c r="O1331" s="123">
        <v>143333.0</v>
      </c>
      <c r="P1331" s="52">
        <f t="shared" si="23"/>
        <v>143332.73</v>
      </c>
      <c r="Q1331" s="124">
        <f t="shared" si="2"/>
        <v>0.27</v>
      </c>
      <c r="R1331" s="52">
        <f t="array" ref="R1331">IFERROR(INDEX('Fund YTD Target Values'!$1:$1000, MATCH($C1331,'Fund YTD Target Values'!$A:$A,0), MATCH($A1331,'Fund YTD Target Values'!$1:$1,0)),0)</f>
        <v>118351.1878</v>
      </c>
      <c r="S1331" s="52">
        <f>IFERROR(__xludf.DUMMYFUNCTION("IFERROR(sum(FILTER('Fund Data'!$V:$V, 'Fund Data'!$C:$C = $C1331, 'Fund Data'!$A:$A &lt; $A1331)),0) + IFERROR(sum(FILTER('Fund Data'!$V:$V, 'Fund Data'!$C:$C = $C1331, 'Fund Data'!$A:$A = $A1331, 'Fund Data'!$B:$B &lt;= $B1331)),0)"),100000.0)</f>
        <v>100000</v>
      </c>
      <c r="T1331" s="123">
        <v>100000.0</v>
      </c>
      <c r="U1331" s="44">
        <f t="shared" si="118"/>
        <v>0</v>
      </c>
      <c r="V1331" s="44">
        <f t="shared" si="3"/>
        <v>0</v>
      </c>
      <c r="W1331" s="123"/>
      <c r="X1331" s="123"/>
      <c r="Y1331" s="123">
        <v>0.0</v>
      </c>
      <c r="Z1331" s="123">
        <v>0.0</v>
      </c>
      <c r="AA1331" s="123">
        <v>0.0</v>
      </c>
      <c r="AB1331" s="123"/>
      <c r="AC1331" s="123">
        <v>0.0</v>
      </c>
      <c r="AD1331" s="44">
        <f t="shared" si="7"/>
        <v>0</v>
      </c>
      <c r="AE1331" s="123">
        <v>0.0</v>
      </c>
    </row>
    <row r="1332">
      <c r="A1332" s="120">
        <v>2017.0</v>
      </c>
      <c r="B1332" s="121">
        <v>4.0</v>
      </c>
      <c r="C1332" s="122" t="s">
        <v>65</v>
      </c>
      <c r="D1332" s="44"/>
      <c r="E1332" s="123">
        <v>1549.36</v>
      </c>
      <c r="F1332" s="44"/>
      <c r="G1332" s="44"/>
      <c r="H1332" s="123">
        <v>-275.25</v>
      </c>
      <c r="I1332" s="44"/>
      <c r="J1332" s="44"/>
      <c r="K1332" s="44"/>
      <c r="L1332" s="123">
        <v>6542.77</v>
      </c>
      <c r="M1332" s="44"/>
      <c r="N1332" s="44"/>
      <c r="O1332" s="123">
        <v>141762.0</v>
      </c>
      <c r="P1332" s="52">
        <f t="shared" si="23"/>
        <v>141761.71</v>
      </c>
      <c r="Q1332" s="124">
        <f t="shared" si="2"/>
        <v>0.29</v>
      </c>
      <c r="R1332" s="52">
        <f t="array" ref="R1332">IFERROR(INDEX('Fund YTD Target Values'!$1:$1000, MATCH($C1332,'Fund YTD Target Values'!$A:$A,0), MATCH($A1332,'Fund YTD Target Values'!$1:$1,0)),0)</f>
        <v>118351.1878</v>
      </c>
      <c r="S1332" s="52">
        <f>IFERROR(__xludf.DUMMYFUNCTION("IFERROR(sum(FILTER('Fund Data'!$V:$V, 'Fund Data'!$C:$C = $C1332, 'Fund Data'!$A:$A &lt; $A1332)),0) + IFERROR(sum(FILTER('Fund Data'!$V:$V, 'Fund Data'!$C:$C = $C1332, 'Fund Data'!$A:$A = $A1332, 'Fund Data'!$B:$B &lt;= $B1332)),0)"),100000.0)</f>
        <v>100000</v>
      </c>
      <c r="T1332" s="123">
        <v>100000.0</v>
      </c>
      <c r="U1332" s="44">
        <f t="shared" si="118"/>
        <v>0</v>
      </c>
      <c r="V1332" s="44">
        <f t="shared" si="3"/>
        <v>0</v>
      </c>
      <c r="W1332" s="123"/>
      <c r="X1332" s="123"/>
      <c r="Y1332" s="123">
        <v>0.0</v>
      </c>
      <c r="Z1332" s="123">
        <v>0.0</v>
      </c>
      <c r="AA1332" s="123">
        <v>0.0</v>
      </c>
      <c r="AB1332" s="123"/>
      <c r="AC1332" s="123">
        <v>0.0</v>
      </c>
      <c r="AD1332" s="44">
        <f t="shared" si="7"/>
        <v>0</v>
      </c>
      <c r="AE1332" s="123">
        <v>0.0</v>
      </c>
    </row>
    <row r="1333">
      <c r="A1333" s="120">
        <v>2017.0</v>
      </c>
      <c r="B1333" s="121">
        <v>3.0</v>
      </c>
      <c r="C1333" s="122" t="s">
        <v>65</v>
      </c>
      <c r="D1333" s="44"/>
      <c r="E1333" s="123">
        <v>1171.89</v>
      </c>
      <c r="F1333" s="44"/>
      <c r="G1333" s="44"/>
      <c r="H1333" s="123">
        <v>-205.21</v>
      </c>
      <c r="I1333" s="44"/>
      <c r="J1333" s="44"/>
      <c r="K1333" s="44"/>
      <c r="L1333" s="123">
        <v>5166.47</v>
      </c>
      <c r="M1333" s="44"/>
      <c r="N1333" s="44"/>
      <c r="O1333" s="123">
        <v>140078.0</v>
      </c>
      <c r="P1333" s="52">
        <f t="shared" si="23"/>
        <v>140077.98</v>
      </c>
      <c r="Q1333" s="124">
        <f t="shared" si="2"/>
        <v>0.01999999999</v>
      </c>
      <c r="R1333" s="52">
        <f t="array" ref="R1333">IFERROR(INDEX('Fund YTD Target Values'!$1:$1000, MATCH($C1333,'Fund YTD Target Values'!$A:$A,0), MATCH($A1333,'Fund YTD Target Values'!$1:$1,0)),0)</f>
        <v>118351.1878</v>
      </c>
      <c r="S1333" s="52">
        <f>IFERROR(__xludf.DUMMYFUNCTION("IFERROR(sum(FILTER('Fund Data'!$V:$V, 'Fund Data'!$C:$C = $C1333, 'Fund Data'!$A:$A &lt; $A1333)),0) + IFERROR(sum(FILTER('Fund Data'!$V:$V, 'Fund Data'!$C:$C = $C1333, 'Fund Data'!$A:$A = $A1333, 'Fund Data'!$B:$B &lt;= $B1333)),0)"),100000.0)</f>
        <v>100000</v>
      </c>
      <c r="T1333" s="123">
        <v>100000.0</v>
      </c>
      <c r="U1333" s="44">
        <f t="shared" si="118"/>
        <v>0</v>
      </c>
      <c r="V1333" s="44">
        <f t="shared" si="3"/>
        <v>0</v>
      </c>
      <c r="W1333" s="123"/>
      <c r="X1333" s="123"/>
      <c r="Y1333" s="123">
        <v>0.0</v>
      </c>
      <c r="Z1333" s="123">
        <v>0.0</v>
      </c>
      <c r="AA1333" s="123">
        <v>0.0</v>
      </c>
      <c r="AB1333" s="123"/>
      <c r="AC1333" s="123">
        <v>0.0</v>
      </c>
      <c r="AD1333" s="44">
        <f t="shared" si="7"/>
        <v>0</v>
      </c>
      <c r="AE1333" s="123">
        <v>0.0</v>
      </c>
    </row>
    <row r="1334">
      <c r="A1334" s="120">
        <v>2017.0</v>
      </c>
      <c r="B1334" s="121">
        <v>2.0</v>
      </c>
      <c r="C1334" s="122" t="s">
        <v>65</v>
      </c>
      <c r="D1334" s="44"/>
      <c r="E1334" s="123">
        <v>1079.7</v>
      </c>
      <c r="F1334" s="44"/>
      <c r="G1334" s="44"/>
      <c r="H1334" s="123">
        <v>-135.42</v>
      </c>
      <c r="I1334" s="44"/>
      <c r="J1334" s="44"/>
      <c r="K1334" s="44"/>
      <c r="L1334" s="123">
        <v>4682.53</v>
      </c>
      <c r="M1334" s="44"/>
      <c r="N1334" s="44"/>
      <c r="O1334" s="123">
        <v>139571.0</v>
      </c>
      <c r="P1334" s="52">
        <f t="shared" si="23"/>
        <v>139571.64</v>
      </c>
      <c r="Q1334" s="124">
        <f t="shared" si="2"/>
        <v>-0.64</v>
      </c>
      <c r="R1334" s="52">
        <f t="array" ref="R1334">IFERROR(INDEX('Fund YTD Target Values'!$1:$1000, MATCH($C1334,'Fund YTD Target Values'!$A:$A,0), MATCH($A1334,'Fund YTD Target Values'!$1:$1,0)),0)</f>
        <v>118351.1878</v>
      </c>
      <c r="S1334" s="52">
        <f>IFERROR(__xludf.DUMMYFUNCTION("IFERROR(sum(FILTER('Fund Data'!$V:$V, 'Fund Data'!$C:$C = $C1334, 'Fund Data'!$A:$A &lt; $A1334)),0) + IFERROR(sum(FILTER('Fund Data'!$V:$V, 'Fund Data'!$C:$C = $C1334, 'Fund Data'!$A:$A = $A1334, 'Fund Data'!$B:$B &lt;= $B1334)),0)"),100000.0)</f>
        <v>100000</v>
      </c>
      <c r="T1334" s="123">
        <v>100000.0</v>
      </c>
      <c r="U1334" s="44">
        <f t="shared" si="118"/>
        <v>0</v>
      </c>
      <c r="V1334" s="44">
        <f t="shared" si="3"/>
        <v>0</v>
      </c>
      <c r="W1334" s="123"/>
      <c r="X1334" s="123"/>
      <c r="Y1334" s="123">
        <v>0.0</v>
      </c>
      <c r="Z1334" s="123">
        <v>0.0</v>
      </c>
      <c r="AA1334" s="123">
        <v>0.0</v>
      </c>
      <c r="AB1334" s="123"/>
      <c r="AC1334" s="123">
        <v>0.0</v>
      </c>
      <c r="AD1334" s="44">
        <f t="shared" si="7"/>
        <v>0</v>
      </c>
      <c r="AE1334" s="123">
        <v>0.0</v>
      </c>
    </row>
    <row r="1335">
      <c r="A1335" s="120">
        <v>2017.0</v>
      </c>
      <c r="B1335" s="121">
        <v>1.0</v>
      </c>
      <c r="C1335" s="122" t="s">
        <v>65</v>
      </c>
      <c r="D1335" s="44"/>
      <c r="E1335" s="123">
        <v>985.17</v>
      </c>
      <c r="F1335" s="44"/>
      <c r="G1335" s="44"/>
      <c r="H1335" s="123">
        <v>-66.97</v>
      </c>
      <c r="I1335" s="44"/>
      <c r="J1335" s="44"/>
      <c r="K1335" s="44"/>
      <c r="L1335" s="123">
        <v>2047.03</v>
      </c>
      <c r="M1335" s="44"/>
      <c r="N1335" s="44"/>
      <c r="O1335" s="123">
        <v>136910.0</v>
      </c>
      <c r="P1335" s="52">
        <f t="shared" si="23"/>
        <v>136910.06</v>
      </c>
      <c r="Q1335" s="124">
        <f t="shared" si="2"/>
        <v>-0.06000000003</v>
      </c>
      <c r="R1335" s="52">
        <f t="array" ref="R1335">IFERROR(INDEX('Fund YTD Target Values'!$1:$1000, MATCH($C1335,'Fund YTD Target Values'!$A:$A,0), MATCH($A1335,'Fund YTD Target Values'!$1:$1,0)),0)</f>
        <v>118351.1878</v>
      </c>
      <c r="S1335" s="52">
        <f>IFERROR(__xludf.DUMMYFUNCTION("IFERROR(sum(FILTER('Fund Data'!$V:$V, 'Fund Data'!$C:$C = $C1335, 'Fund Data'!$A:$A &lt; $A1335)),0) + IFERROR(sum(FILTER('Fund Data'!$V:$V, 'Fund Data'!$C:$C = $C1335, 'Fund Data'!$A:$A = $A1335, 'Fund Data'!$B:$B &lt;= $B1335)),0)"),100000.0)</f>
        <v>100000</v>
      </c>
      <c r="T1335" s="123">
        <v>100000.0</v>
      </c>
      <c r="U1335" s="44">
        <f t="shared" si="118"/>
        <v>0</v>
      </c>
      <c r="V1335" s="44">
        <f t="shared" si="3"/>
        <v>0</v>
      </c>
      <c r="W1335" s="123"/>
      <c r="X1335" s="123"/>
      <c r="Y1335" s="123">
        <v>0.0</v>
      </c>
      <c r="Z1335" s="123">
        <v>0.0</v>
      </c>
      <c r="AA1335" s="123">
        <v>0.0</v>
      </c>
      <c r="AB1335" s="123"/>
      <c r="AC1335" s="123">
        <v>0.0</v>
      </c>
      <c r="AD1335" s="44">
        <f t="shared" si="7"/>
        <v>0</v>
      </c>
      <c r="AE1335" s="123">
        <v>0.0</v>
      </c>
    </row>
    <row r="1336">
      <c r="A1336" s="120">
        <v>2016.0</v>
      </c>
      <c r="B1336" s="121">
        <v>12.0</v>
      </c>
      <c r="C1336" s="122" t="s">
        <v>65</v>
      </c>
      <c r="D1336" s="44"/>
      <c r="E1336" s="123">
        <v>2771.58</v>
      </c>
      <c r="F1336" s="44"/>
      <c r="G1336" s="123"/>
      <c r="H1336" s="123">
        <v>-778.36</v>
      </c>
      <c r="I1336" s="44"/>
      <c r="J1336" s="44"/>
      <c r="K1336" s="44"/>
      <c r="L1336" s="123">
        <v>5562.33</v>
      </c>
      <c r="M1336" s="44"/>
      <c r="N1336" s="44"/>
      <c r="O1336" s="123">
        <v>133945.0</v>
      </c>
      <c r="P1336" s="52">
        <f t="shared" si="23"/>
        <v>133944.83</v>
      </c>
      <c r="Q1336" s="124">
        <f t="shared" si="2"/>
        <v>0.17</v>
      </c>
      <c r="R1336" s="52">
        <f t="array" ref="R1336">IFERROR(INDEX('Fund YTD Target Values'!$1:$1000, MATCH($C1336,'Fund YTD Target Values'!$A:$A,0), MATCH($A1336,'Fund YTD Target Values'!$1:$1,0)),0)</f>
        <v>115881.0501</v>
      </c>
      <c r="S1336" s="52">
        <f>IFERROR(__xludf.DUMMYFUNCTION("IFERROR(sum(FILTER('Fund Data'!$V:$V, 'Fund Data'!$C:$C = $C1336, 'Fund Data'!$A:$A &lt; $A1336)),0) + IFERROR(sum(FILTER('Fund Data'!$V:$V, 'Fund Data'!$C:$C = $C1336, 'Fund Data'!$A:$A = $A1336, 'Fund Data'!$B:$B &lt;= $B1336)),0)"),100000.0)</f>
        <v>100000</v>
      </c>
      <c r="T1336" s="123">
        <v>100000.0</v>
      </c>
      <c r="U1336" s="44">
        <f t="shared" si="118"/>
        <v>0</v>
      </c>
      <c r="V1336" s="44">
        <f t="shared" si="3"/>
        <v>0</v>
      </c>
      <c r="W1336" s="123"/>
      <c r="X1336" s="123"/>
      <c r="Y1336" s="123">
        <v>0.0</v>
      </c>
      <c r="Z1336" s="123">
        <v>0.0</v>
      </c>
      <c r="AA1336" s="123">
        <v>0.0</v>
      </c>
      <c r="AB1336" s="123"/>
      <c r="AC1336" s="123">
        <v>0.0</v>
      </c>
      <c r="AD1336" s="44">
        <f t="shared" si="7"/>
        <v>0</v>
      </c>
      <c r="AE1336" s="123">
        <v>0.0</v>
      </c>
    </row>
    <row r="1337">
      <c r="A1337" s="120">
        <v>2015.0</v>
      </c>
      <c r="B1337" s="121">
        <v>12.0</v>
      </c>
      <c r="C1337" s="122" t="s">
        <v>65</v>
      </c>
      <c r="D1337" s="44"/>
      <c r="E1337" s="123">
        <v>3049.56</v>
      </c>
      <c r="F1337" s="44"/>
      <c r="G1337" s="123"/>
      <c r="H1337" s="123">
        <v>-786.58</v>
      </c>
      <c r="I1337" s="44"/>
      <c r="J1337" s="44"/>
      <c r="K1337" s="44"/>
      <c r="L1337" s="123">
        <v>-5676.53</v>
      </c>
      <c r="M1337" s="44"/>
      <c r="N1337" s="44"/>
      <c r="O1337" s="123">
        <v>126389.0</v>
      </c>
      <c r="P1337" s="52">
        <f t="shared" si="23"/>
        <v>126389.28</v>
      </c>
      <c r="Q1337" s="124">
        <f t="shared" si="2"/>
        <v>-0.28</v>
      </c>
      <c r="R1337" s="52">
        <f t="array" ref="R1337">IFERROR(INDEX('Fund YTD Target Values'!$1:$1000, MATCH($C1337,'Fund YTD Target Values'!$A:$A,0), MATCH($A1337,'Fund YTD Target Values'!$1:$1,0)),0)</f>
        <v>114437.0334</v>
      </c>
      <c r="S1337" s="52">
        <f>IFERROR(__xludf.DUMMYFUNCTION("IFERROR(sum(FILTER('Fund Data'!$V:$V, 'Fund Data'!$C:$C = $C1337, 'Fund Data'!$A:$A &lt; $A1337)),0) + IFERROR(sum(FILTER('Fund Data'!$V:$V, 'Fund Data'!$C:$C = $C1337, 'Fund Data'!$A:$A = $A1337, 'Fund Data'!$B:$B &lt;= $B1337)),0)"),100000.0)</f>
        <v>100000</v>
      </c>
      <c r="T1337" s="123">
        <v>100000.0</v>
      </c>
      <c r="U1337" s="44">
        <f t="shared" si="118"/>
        <v>0</v>
      </c>
      <c r="V1337" s="44">
        <f t="shared" si="3"/>
        <v>0</v>
      </c>
      <c r="W1337" s="123"/>
      <c r="X1337" s="123"/>
      <c r="Y1337" s="123">
        <v>0.0</v>
      </c>
      <c r="Z1337" s="123">
        <v>0.0</v>
      </c>
      <c r="AA1337" s="123">
        <v>0.0</v>
      </c>
      <c r="AB1337" s="123"/>
      <c r="AC1337" s="123">
        <v>0.0</v>
      </c>
      <c r="AD1337" s="44">
        <f t="shared" si="7"/>
        <v>0</v>
      </c>
      <c r="AE1337" s="123">
        <v>0.0</v>
      </c>
    </row>
    <row r="1338">
      <c r="A1338" s="120">
        <v>2014.0</v>
      </c>
      <c r="B1338" s="121">
        <v>12.0</v>
      </c>
      <c r="C1338" s="122" t="s">
        <v>65</v>
      </c>
      <c r="D1338" s="44"/>
      <c r="E1338" s="123">
        <v>2568.09</v>
      </c>
      <c r="F1338" s="123">
        <v>-13150.0</v>
      </c>
      <c r="G1338" s="123"/>
      <c r="H1338" s="123">
        <v>-827.27</v>
      </c>
      <c r="I1338" s="44"/>
      <c r="J1338" s="123">
        <v>1727.56</v>
      </c>
      <c r="K1338" s="44"/>
      <c r="L1338" s="123">
        <v>-887.76</v>
      </c>
      <c r="M1338" s="44"/>
      <c r="N1338" s="44"/>
      <c r="O1338" s="123">
        <v>129803.0</v>
      </c>
      <c r="P1338" s="52">
        <f t="shared" si="23"/>
        <v>129802.83</v>
      </c>
      <c r="Q1338" s="124">
        <f t="shared" si="2"/>
        <v>0.17</v>
      </c>
      <c r="R1338" s="52">
        <f t="array" ref="R1338">IFERROR(INDEX('Fund YTD Target Values'!$1:$1000, MATCH($C1338,'Fund YTD Target Values'!$A:$A,0), MATCH($A1338,'Fund YTD Target Values'!$1:$1,0)),0)</f>
        <v>114301.1299</v>
      </c>
      <c r="S1338" s="52">
        <f>IFERROR(__xludf.DUMMYFUNCTION("IFERROR(sum(FILTER('Fund Data'!$V:$V, 'Fund Data'!$C:$C = $C1338, 'Fund Data'!$A:$A &lt; $A1338)),0) + IFERROR(sum(FILTER('Fund Data'!$V:$V, 'Fund Data'!$C:$C = $C1338, 'Fund Data'!$A:$A = $A1338, 'Fund Data'!$B:$B &lt;= $B1338)),0)"),100000.0)</f>
        <v>100000</v>
      </c>
      <c r="T1338" s="123">
        <v>100000.0</v>
      </c>
      <c r="U1338" s="44">
        <f t="shared" si="118"/>
        <v>0</v>
      </c>
      <c r="V1338" s="44">
        <f t="shared" si="3"/>
        <v>0</v>
      </c>
      <c r="W1338" s="123"/>
      <c r="X1338" s="123"/>
      <c r="Y1338" s="123">
        <v>0.0</v>
      </c>
      <c r="Z1338" s="123">
        <v>0.0</v>
      </c>
      <c r="AA1338" s="123">
        <v>0.0</v>
      </c>
      <c r="AB1338" s="123"/>
      <c r="AC1338" s="123">
        <v>0.0</v>
      </c>
      <c r="AD1338" s="44">
        <f t="shared" si="7"/>
        <v>-13150</v>
      </c>
      <c r="AE1338" s="123">
        <v>0.0</v>
      </c>
    </row>
    <row r="1339">
      <c r="A1339" s="120">
        <v>2013.0</v>
      </c>
      <c r="B1339" s="121">
        <v>12.0</v>
      </c>
      <c r="C1339" s="122" t="s">
        <v>65</v>
      </c>
      <c r="D1339" s="44"/>
      <c r="E1339" s="123">
        <v>2705.94</v>
      </c>
      <c r="F1339" s="44"/>
      <c r="G1339" s="123"/>
      <c r="H1339" s="123">
        <v>-798.45</v>
      </c>
      <c r="I1339" s="44"/>
      <c r="J1339" s="123">
        <v>1.57</v>
      </c>
      <c r="K1339" s="44"/>
      <c r="L1339" s="123">
        <v>11586.97</v>
      </c>
      <c r="M1339" s="44"/>
      <c r="N1339" s="44"/>
      <c r="O1339" s="123">
        <v>140372.0</v>
      </c>
      <c r="P1339" s="52">
        <f t="shared" si="23"/>
        <v>140372.21</v>
      </c>
      <c r="Q1339" s="124">
        <f t="shared" si="2"/>
        <v>-0.21</v>
      </c>
      <c r="R1339" s="52">
        <f t="array" ref="R1339">IFERROR(INDEX('Fund YTD Target Values'!$1:$1000, MATCH($C1339,'Fund YTD Target Values'!$A:$A,0), MATCH($A1339,'Fund YTD Target Values'!$1:$1,0)),0)</f>
        <v>112476.8622</v>
      </c>
      <c r="S1339" s="52">
        <f>IFERROR(__xludf.DUMMYFUNCTION("IFERROR(sum(FILTER('Fund Data'!$V:$V, 'Fund Data'!$C:$C = $C1339, 'Fund Data'!$A:$A &lt; $A1339)),0) + IFERROR(sum(FILTER('Fund Data'!$V:$V, 'Fund Data'!$C:$C = $C1339, 'Fund Data'!$A:$A = $A1339, 'Fund Data'!$B:$B &lt;= $B1339)),0)"),100000.0)</f>
        <v>100000</v>
      </c>
      <c r="T1339" s="123">
        <v>100000.0</v>
      </c>
      <c r="U1339" s="44">
        <f t="shared" si="118"/>
        <v>0</v>
      </c>
      <c r="V1339" s="44">
        <f t="shared" si="3"/>
        <v>0</v>
      </c>
      <c r="W1339" s="123"/>
      <c r="X1339" s="123"/>
      <c r="Y1339" s="123">
        <v>0.0</v>
      </c>
      <c r="Z1339" s="123">
        <v>0.0</v>
      </c>
      <c r="AA1339" s="123">
        <v>0.0</v>
      </c>
      <c r="AB1339" s="123"/>
      <c r="AC1339" s="123">
        <v>0.0</v>
      </c>
      <c r="AD1339" s="44">
        <f t="shared" si="7"/>
        <v>0</v>
      </c>
      <c r="AE1339" s="123">
        <v>0.0</v>
      </c>
    </row>
    <row r="1340">
      <c r="A1340" s="120">
        <v>2012.0</v>
      </c>
      <c r="B1340" s="121">
        <v>12.0</v>
      </c>
      <c r="C1340" s="122" t="s">
        <v>65</v>
      </c>
      <c r="D1340" s="44"/>
      <c r="E1340" s="123">
        <v>2454.1</v>
      </c>
      <c r="F1340" s="44"/>
      <c r="G1340" s="123"/>
      <c r="H1340" s="123">
        <v>-727.77</v>
      </c>
      <c r="I1340" s="44"/>
      <c r="J1340" s="44"/>
      <c r="K1340" s="44"/>
      <c r="L1340" s="123">
        <v>11977.98</v>
      </c>
      <c r="M1340" s="44"/>
      <c r="N1340" s="44"/>
      <c r="O1340" s="123">
        <v>126875.0</v>
      </c>
      <c r="P1340" s="52">
        <f t="shared" si="23"/>
        <v>126876.18</v>
      </c>
      <c r="Q1340" s="124">
        <f t="shared" si="2"/>
        <v>-1.18</v>
      </c>
      <c r="R1340" s="52">
        <f t="array" ref="R1340">IFERROR(INDEX('Fund YTD Target Values'!$1:$1000, MATCH($C1340,'Fund YTD Target Values'!$A:$A,0), MATCH($A1340,'Fund YTD Target Values'!$1:$1,0)),0)</f>
        <v>110851.7255</v>
      </c>
      <c r="S1340" s="52">
        <f>IFERROR(__xludf.DUMMYFUNCTION("IFERROR(sum(FILTER('Fund Data'!$V:$V, 'Fund Data'!$C:$C = $C1340, 'Fund Data'!$A:$A &lt; $A1340)),0) + IFERROR(sum(FILTER('Fund Data'!$V:$V, 'Fund Data'!$C:$C = $C1340, 'Fund Data'!$A:$A = $A1340, 'Fund Data'!$B:$B &lt;= $B1340)),0)"),100000.0)</f>
        <v>100000</v>
      </c>
      <c r="T1340" s="123">
        <v>100000.0</v>
      </c>
      <c r="U1340" s="44">
        <f t="shared" si="118"/>
        <v>0</v>
      </c>
      <c r="V1340" s="44">
        <f t="shared" si="3"/>
        <v>0</v>
      </c>
      <c r="W1340" s="123"/>
      <c r="X1340" s="123"/>
      <c r="Y1340" s="123">
        <v>0.0</v>
      </c>
      <c r="Z1340" s="123">
        <v>0.0</v>
      </c>
      <c r="AA1340" s="123">
        <v>0.0</v>
      </c>
      <c r="AB1340" s="123"/>
      <c r="AC1340" s="123">
        <v>0.0</v>
      </c>
      <c r="AD1340" s="44">
        <f t="shared" si="7"/>
        <v>0</v>
      </c>
      <c r="AE1340" s="123">
        <v>0.0</v>
      </c>
    </row>
    <row r="1341">
      <c r="A1341" s="120">
        <v>2011.0</v>
      </c>
      <c r="B1341" s="121">
        <v>12.0</v>
      </c>
      <c r="C1341" s="122" t="s">
        <v>65</v>
      </c>
      <c r="D1341" s="44"/>
      <c r="E1341" s="123">
        <v>2022.05</v>
      </c>
      <c r="F1341" s="44"/>
      <c r="G1341" s="123"/>
      <c r="H1341" s="123">
        <v>-721.16</v>
      </c>
      <c r="I1341" s="44"/>
      <c r="J1341" s="44"/>
      <c r="K1341" s="44"/>
      <c r="L1341" s="123">
        <v>-7463.56</v>
      </c>
      <c r="M1341" s="44"/>
      <c r="N1341" s="44"/>
      <c r="O1341" s="123">
        <v>113171.0</v>
      </c>
      <c r="P1341" s="52">
        <f t="shared" si="23"/>
        <v>113171.87</v>
      </c>
      <c r="Q1341" s="124">
        <f t="shared" si="2"/>
        <v>-0.87</v>
      </c>
      <c r="R1341" s="52">
        <f t="array" ref="R1341">IFERROR(INDEX('Fund YTD Target Values'!$1:$1000, MATCH($C1341,'Fund YTD Target Values'!$A:$A,0), MATCH($A1341,'Fund YTD Target Values'!$1:$1,0)),0)</f>
        <v>108600.2333</v>
      </c>
      <c r="S1341" s="52">
        <f>IFERROR(__xludf.DUMMYFUNCTION("IFERROR(sum(FILTER('Fund Data'!$V:$V, 'Fund Data'!$C:$C = $C1341, 'Fund Data'!$A:$A &lt; $A1341)),0) + IFERROR(sum(FILTER('Fund Data'!$V:$V, 'Fund Data'!$C:$C = $C1341, 'Fund Data'!$A:$A = $A1341, 'Fund Data'!$B:$B &lt;= $B1341)),0)"),100000.0)</f>
        <v>100000</v>
      </c>
      <c r="T1341" s="123">
        <v>100000.0</v>
      </c>
      <c r="U1341" s="44">
        <f t="shared" si="118"/>
        <v>0</v>
      </c>
      <c r="V1341" s="44">
        <f t="shared" si="3"/>
        <v>0</v>
      </c>
      <c r="W1341" s="123"/>
      <c r="X1341" s="123"/>
      <c r="Y1341" s="123">
        <v>0.0</v>
      </c>
      <c r="Z1341" s="123">
        <v>0.0</v>
      </c>
      <c r="AA1341" s="123">
        <v>0.0</v>
      </c>
      <c r="AB1341" s="123"/>
      <c r="AC1341" s="123">
        <v>0.0</v>
      </c>
      <c r="AD1341" s="44">
        <f t="shared" si="7"/>
        <v>0</v>
      </c>
      <c r="AE1341" s="123">
        <v>0.0</v>
      </c>
    </row>
    <row r="1342">
      <c r="A1342" s="120">
        <v>2010.0</v>
      </c>
      <c r="B1342" s="121">
        <v>12.0</v>
      </c>
      <c r="C1342" s="122" t="s">
        <v>65</v>
      </c>
      <c r="D1342" s="123">
        <v>20000.0</v>
      </c>
      <c r="E1342" s="123">
        <v>2177.71</v>
      </c>
      <c r="F1342" s="123">
        <v>-2000.0</v>
      </c>
      <c r="G1342" s="123"/>
      <c r="H1342" s="123">
        <v>-633.63</v>
      </c>
      <c r="I1342" s="44"/>
      <c r="J1342" s="44"/>
      <c r="K1342" s="123">
        <v>-2.57</v>
      </c>
      <c r="L1342" s="123">
        <v>13309.75</v>
      </c>
      <c r="M1342" s="44"/>
      <c r="N1342" s="44"/>
      <c r="O1342" s="123">
        <v>119333.0</v>
      </c>
      <c r="P1342" s="52">
        <f t="shared" si="23"/>
        <v>119334.54</v>
      </c>
      <c r="Q1342" s="124">
        <f t="shared" si="2"/>
        <v>-1.54</v>
      </c>
      <c r="R1342" s="52">
        <f t="array" ref="R1342">IFERROR(INDEX('Fund YTD Target Values'!$1:$1000, MATCH($C1342,'Fund YTD Target Values'!$A:$A,0), MATCH($A1342,'Fund YTD Target Values'!$1:$1,0)),0)</f>
        <v>105278.4851</v>
      </c>
      <c r="S1342" s="52">
        <f>IFERROR(__xludf.DUMMYFUNCTION("IFERROR(sum(FILTER('Fund Data'!$V:$V, 'Fund Data'!$C:$C = $C1342, 'Fund Data'!$A:$A &lt; $A1342)),0) + IFERROR(sum(FILTER('Fund Data'!$V:$V, 'Fund Data'!$C:$C = $C1342, 'Fund Data'!$A:$A = $A1342, 'Fund Data'!$B:$B &lt;= $B1342)),0)"),100000.0)</f>
        <v>100000</v>
      </c>
      <c r="T1342" s="123">
        <v>100000.0</v>
      </c>
      <c r="U1342" s="44">
        <f t="shared" si="118"/>
        <v>0</v>
      </c>
      <c r="V1342" s="44">
        <f t="shared" si="3"/>
        <v>20000</v>
      </c>
      <c r="W1342" s="123"/>
      <c r="X1342" s="123"/>
      <c r="Y1342" s="123">
        <v>0.0</v>
      </c>
      <c r="Z1342" s="123">
        <v>0.0</v>
      </c>
      <c r="AA1342" s="123">
        <v>0.0</v>
      </c>
      <c r="AB1342" s="123"/>
      <c r="AC1342" s="123">
        <v>0.0</v>
      </c>
      <c r="AD1342" s="44">
        <f t="shared" si="7"/>
        <v>-2000</v>
      </c>
      <c r="AE1342" s="123">
        <v>0.0</v>
      </c>
    </row>
    <row r="1343">
      <c r="A1343" s="120">
        <v>2009.0</v>
      </c>
      <c r="B1343" s="121">
        <v>12.0</v>
      </c>
      <c r="C1343" s="122" t="s">
        <v>65</v>
      </c>
      <c r="D1343" s="44"/>
      <c r="E1343" s="123">
        <v>2154.12</v>
      </c>
      <c r="F1343" s="44"/>
      <c r="G1343" s="123"/>
      <c r="H1343" s="123">
        <v>-453.47</v>
      </c>
      <c r="I1343" s="44"/>
      <c r="J1343" s="44"/>
      <c r="K1343" s="44"/>
      <c r="L1343" s="123">
        <v>13046.58</v>
      </c>
      <c r="M1343" s="44"/>
      <c r="N1343" s="44"/>
      <c r="O1343" s="123">
        <v>86482.0</v>
      </c>
      <c r="P1343" s="52">
        <f t="shared" si="23"/>
        <v>86483.28</v>
      </c>
      <c r="Q1343" s="124">
        <f t="shared" si="2"/>
        <v>-1.28</v>
      </c>
      <c r="R1343" s="52">
        <f t="array" ref="R1343">IFERROR(INDEX('Fund YTD Target Values'!$1:$1000, MATCH($C1343,'Fund YTD Target Values'!$A:$A,0), MATCH($A1343,'Fund YTD Target Values'!$1:$1,0)),0)</f>
        <v>83898.91876</v>
      </c>
      <c r="S1343" s="52">
        <f>IFERROR(__xludf.DUMMYFUNCTION("IFERROR(sum(FILTER('Fund Data'!$V:$V, 'Fund Data'!$C:$C = $C1343, 'Fund Data'!$A:$A &lt; $A1343)),0) + IFERROR(sum(FILTER('Fund Data'!$V:$V, 'Fund Data'!$C:$C = $C1343, 'Fund Data'!$A:$A = $A1343, 'Fund Data'!$B:$B &lt;= $B1343)),0)"),80000.0)</f>
        <v>80000</v>
      </c>
      <c r="T1343" s="123">
        <v>80000.0</v>
      </c>
      <c r="U1343" s="44">
        <f t="shared" si="118"/>
        <v>0</v>
      </c>
      <c r="V1343" s="44">
        <f t="shared" si="3"/>
        <v>0</v>
      </c>
      <c r="W1343" s="123"/>
      <c r="X1343" s="123"/>
      <c r="Y1343" s="123">
        <v>0.0</v>
      </c>
      <c r="Z1343" s="123">
        <v>0.0</v>
      </c>
      <c r="AA1343" s="123">
        <v>0.0</v>
      </c>
      <c r="AB1343" s="123"/>
      <c r="AC1343" s="123">
        <v>0.0</v>
      </c>
      <c r="AD1343" s="44">
        <f t="shared" si="7"/>
        <v>0</v>
      </c>
      <c r="AE1343" s="123">
        <v>0.0</v>
      </c>
    </row>
    <row r="1344">
      <c r="A1344" s="120">
        <v>2008.0</v>
      </c>
      <c r="B1344" s="121">
        <v>12.0</v>
      </c>
      <c r="C1344" s="122" t="s">
        <v>65</v>
      </c>
      <c r="D1344" s="123">
        <v>20000.0</v>
      </c>
      <c r="E1344" s="123">
        <v>1704.26</v>
      </c>
      <c r="F1344" s="44"/>
      <c r="G1344" s="123"/>
      <c r="H1344" s="123">
        <v>-367.98</v>
      </c>
      <c r="I1344" s="44"/>
      <c r="J1344" s="44"/>
      <c r="K1344" s="44"/>
      <c r="L1344" s="123">
        <v>-14647.8</v>
      </c>
      <c r="M1344" s="44"/>
      <c r="N1344" s="44"/>
      <c r="O1344" s="123">
        <v>71735.0</v>
      </c>
      <c r="P1344" s="52">
        <f t="shared" si="23"/>
        <v>71736.05</v>
      </c>
      <c r="Q1344" s="124">
        <f t="shared" si="2"/>
        <v>-1.05</v>
      </c>
      <c r="R1344" s="52">
        <f t="array" ref="R1344">IFERROR(INDEX('Fund YTD Target Values'!$1:$1000, MATCH($C1344,'Fund YTD Target Values'!$A:$A,0), MATCH($A1344,'Fund YTD Target Values'!$1:$1,0)),0)</f>
        <v>84183.28991</v>
      </c>
      <c r="S1344" s="52">
        <f>IFERROR(__xludf.DUMMYFUNCTION("IFERROR(sum(FILTER('Fund Data'!$V:$V, 'Fund Data'!$C:$C = $C1344, 'Fund Data'!$A:$A &lt; $A1344)),0) + IFERROR(sum(FILTER('Fund Data'!$V:$V, 'Fund Data'!$C:$C = $C1344, 'Fund Data'!$A:$A = $A1344, 'Fund Data'!$B:$B &lt;= $B1344)),0)"),80000.0)</f>
        <v>80000</v>
      </c>
      <c r="T1344" s="123">
        <v>80000.0</v>
      </c>
      <c r="U1344" s="44">
        <f t="shared" si="118"/>
        <v>0</v>
      </c>
      <c r="V1344" s="44">
        <f t="shared" si="3"/>
        <v>20000</v>
      </c>
      <c r="W1344" s="123"/>
      <c r="X1344" s="123"/>
      <c r="Y1344" s="123">
        <v>0.0</v>
      </c>
      <c r="Z1344" s="123">
        <v>0.0</v>
      </c>
      <c r="AA1344" s="123">
        <v>0.0</v>
      </c>
      <c r="AB1344" s="123"/>
      <c r="AC1344" s="123">
        <v>0.0</v>
      </c>
      <c r="AD1344" s="44">
        <f t="shared" si="7"/>
        <v>0</v>
      </c>
      <c r="AE1344" s="123">
        <v>0.0</v>
      </c>
    </row>
    <row r="1345">
      <c r="A1345" s="120">
        <v>2007.0</v>
      </c>
      <c r="B1345" s="121">
        <v>12.0</v>
      </c>
      <c r="C1345" s="122" t="s">
        <v>65</v>
      </c>
      <c r="D1345" s="123">
        <v>20000.0</v>
      </c>
      <c r="E1345" s="123">
        <v>1365.35</v>
      </c>
      <c r="F1345" s="44"/>
      <c r="G1345" s="123"/>
      <c r="H1345" s="123">
        <v>-263.49</v>
      </c>
      <c r="I1345" s="44"/>
      <c r="J1345" s="44"/>
      <c r="K1345" s="44"/>
      <c r="L1345" s="123">
        <v>1925.02</v>
      </c>
      <c r="M1345" s="123">
        <v>-84.0</v>
      </c>
      <c r="N1345" s="44"/>
      <c r="O1345" s="123">
        <v>65047.0</v>
      </c>
      <c r="P1345" s="52">
        <f t="shared" si="23"/>
        <v>65047.57</v>
      </c>
      <c r="Q1345" s="124">
        <f t="shared" si="2"/>
        <v>-0.57</v>
      </c>
      <c r="R1345" s="52">
        <f t="array" ref="R1345">IFERROR(INDEX('Fund YTD Target Values'!$1:$1000, MATCH($C1345,'Fund YTD Target Values'!$A:$A,0), MATCH($A1345,'Fund YTD Target Values'!$1:$1,0)),0)</f>
        <v>61806.44108</v>
      </c>
      <c r="S1345" s="52">
        <f>IFERROR(__xludf.DUMMYFUNCTION("IFERROR(sum(FILTER('Fund Data'!$V:$V, 'Fund Data'!$C:$C = $C1345, 'Fund Data'!$A:$A &lt; $A1345)),0) + IFERROR(sum(FILTER('Fund Data'!$V:$V, 'Fund Data'!$C:$C = $C1345, 'Fund Data'!$A:$A = $A1345, 'Fund Data'!$B:$B &lt;= $B1345)),0)"),60000.0)</f>
        <v>60000</v>
      </c>
      <c r="T1345" s="123">
        <v>60000.0</v>
      </c>
      <c r="U1345" s="44">
        <f t="shared" si="118"/>
        <v>0</v>
      </c>
      <c r="V1345" s="44">
        <f t="shared" si="3"/>
        <v>20000</v>
      </c>
      <c r="W1345" s="123"/>
      <c r="X1345" s="123"/>
      <c r="Y1345" s="123">
        <v>0.0</v>
      </c>
      <c r="Z1345" s="123">
        <v>0.0</v>
      </c>
      <c r="AA1345" s="123">
        <v>0.0</v>
      </c>
      <c r="AB1345" s="123"/>
      <c r="AC1345" s="123">
        <v>0.0</v>
      </c>
      <c r="AD1345" s="44">
        <f t="shared" si="7"/>
        <v>0</v>
      </c>
      <c r="AE1345" s="123">
        <v>0.0</v>
      </c>
    </row>
    <row r="1346">
      <c r="A1346" s="120">
        <v>2006.0</v>
      </c>
      <c r="B1346" s="121">
        <v>12.0</v>
      </c>
      <c r="C1346" s="122" t="s">
        <v>65</v>
      </c>
      <c r="D1346" s="123">
        <v>20000.0</v>
      </c>
      <c r="E1346" s="123">
        <v>355.75</v>
      </c>
      <c r="F1346" s="44"/>
      <c r="G1346" s="123"/>
      <c r="H1346" s="123">
        <v>-125.42</v>
      </c>
      <c r="I1346" s="44"/>
      <c r="J1346" s="44"/>
      <c r="K1346" s="44"/>
      <c r="L1346" s="123">
        <v>1790.15</v>
      </c>
      <c r="M1346" s="123">
        <v>80.01</v>
      </c>
      <c r="N1346" s="44"/>
      <c r="O1346" s="123">
        <v>42104.0</v>
      </c>
      <c r="P1346" s="52">
        <f t="shared" si="23"/>
        <v>42104.69</v>
      </c>
      <c r="Q1346" s="124">
        <f t="shared" si="2"/>
        <v>-0.69</v>
      </c>
      <c r="R1346" s="52">
        <f t="array" ref="R1346">IFERROR(INDEX('Fund YTD Target Values'!$1:$1000, MATCH($C1346,'Fund YTD Target Values'!$A:$A,0), MATCH($A1346,'Fund YTD Target Values'!$1:$1,0)),0)</f>
        <v>40647.04402</v>
      </c>
      <c r="S1346" s="52">
        <f>IFERROR(__xludf.DUMMYFUNCTION("IFERROR(sum(FILTER('Fund Data'!$V:$V, 'Fund Data'!$C:$C = $C1346, 'Fund Data'!$A:$A &lt; $A1346)),0) + IFERROR(sum(FILTER('Fund Data'!$V:$V, 'Fund Data'!$C:$C = $C1346, 'Fund Data'!$A:$A = $A1346, 'Fund Data'!$B:$B &lt;= $B1346)),0)"),40000.0)</f>
        <v>40000</v>
      </c>
      <c r="T1346" s="123">
        <v>40000.0</v>
      </c>
      <c r="U1346" s="44">
        <f t="shared" si="118"/>
        <v>0</v>
      </c>
      <c r="V1346" s="44">
        <f t="shared" si="3"/>
        <v>20000</v>
      </c>
      <c r="W1346" s="123"/>
      <c r="X1346" s="123"/>
      <c r="Y1346" s="123">
        <v>0.0</v>
      </c>
      <c r="Z1346" s="123">
        <v>0.0</v>
      </c>
      <c r="AA1346" s="123">
        <v>0.0</v>
      </c>
      <c r="AB1346" s="123"/>
      <c r="AC1346" s="123">
        <v>0.0</v>
      </c>
      <c r="AD1346" s="44">
        <f t="shared" si="7"/>
        <v>0</v>
      </c>
      <c r="AE1346" s="123">
        <v>0.0</v>
      </c>
    </row>
    <row r="1347">
      <c r="A1347" s="120">
        <v>2005.0</v>
      </c>
      <c r="B1347" s="121">
        <v>12.0</v>
      </c>
      <c r="C1347" s="122" t="s">
        <v>65</v>
      </c>
      <c r="D1347" s="123">
        <v>20000.0</v>
      </c>
      <c r="E1347" s="44"/>
      <c r="F1347" s="44"/>
      <c r="G1347" s="123"/>
      <c r="H1347" s="44"/>
      <c r="I1347" s="44"/>
      <c r="J1347" s="44"/>
      <c r="K1347" s="44"/>
      <c r="L1347" s="44"/>
      <c r="M1347" s="123">
        <v>4.2</v>
      </c>
      <c r="N1347" s="44"/>
      <c r="O1347" s="123">
        <v>20004.0</v>
      </c>
      <c r="P1347" s="52">
        <f t="shared" si="23"/>
        <v>20004.2</v>
      </c>
      <c r="Q1347" s="124">
        <f t="shared" si="2"/>
        <v>-0.2</v>
      </c>
      <c r="R1347" s="52">
        <f t="array" ref="R1347">IFERROR(INDEX('Fund YTD Target Values'!$1:$1000, MATCH($C1347,'Fund YTD Target Values'!$A:$A,0), MATCH($A1347,'Fund YTD Target Values'!$1:$1,0)),0)</f>
        <v>20000</v>
      </c>
      <c r="S1347" s="52">
        <f>IFERROR(__xludf.DUMMYFUNCTION("IFERROR(sum(FILTER('Fund Data'!$V:$V, 'Fund Data'!$C:$C = $C1347, 'Fund Data'!$A:$A &lt; $A1347)),0) + IFERROR(sum(FILTER('Fund Data'!$V:$V, 'Fund Data'!$C:$C = $C1347, 'Fund Data'!$A:$A = $A1347, 'Fund Data'!$B:$B &lt;= $B1347)),0)"),20000.0)</f>
        <v>20000</v>
      </c>
      <c r="T1347" s="123">
        <v>20000.0</v>
      </c>
      <c r="U1347" s="44">
        <f t="shared" si="118"/>
        <v>0</v>
      </c>
      <c r="V1347" s="44">
        <f t="shared" si="3"/>
        <v>20000</v>
      </c>
      <c r="W1347" s="123"/>
      <c r="X1347" s="123"/>
      <c r="Y1347" s="123">
        <v>0.0</v>
      </c>
      <c r="Z1347" s="123">
        <v>0.0</v>
      </c>
      <c r="AA1347" s="123">
        <v>0.0</v>
      </c>
      <c r="AB1347" s="123"/>
      <c r="AC1347" s="123">
        <v>0.0</v>
      </c>
      <c r="AD1347" s="44">
        <f t="shared" si="7"/>
        <v>0</v>
      </c>
      <c r="AE1347" s="123">
        <v>0.0</v>
      </c>
    </row>
    <row r="1348">
      <c r="A1348" s="120">
        <v>2019.0</v>
      </c>
      <c r="B1348" s="121">
        <v>6.0</v>
      </c>
      <c r="C1348" s="122" t="s">
        <v>46</v>
      </c>
      <c r="D1348" s="44"/>
      <c r="E1348" s="123">
        <v>17215.43</v>
      </c>
      <c r="F1348" s="123">
        <v>-15600.0</v>
      </c>
      <c r="G1348" s="44"/>
      <c r="H1348" s="123">
        <v>-3885.1</v>
      </c>
      <c r="I1348" s="44"/>
      <c r="J1348" s="123">
        <v>7300.15</v>
      </c>
      <c r="K1348" s="44"/>
      <c r="L1348" s="123">
        <v>127821.35</v>
      </c>
      <c r="M1348" s="44"/>
      <c r="N1348" s="44"/>
      <c r="O1348" s="123">
        <v>1426838.67</v>
      </c>
      <c r="P1348" s="52">
        <f t="shared" si="23"/>
        <v>1426837.9</v>
      </c>
      <c r="Q1348" s="124">
        <f t="shared" si="2"/>
        <v>0.7699999998</v>
      </c>
      <c r="R1348" s="52">
        <f t="array" ref="R1348">IFERROR(INDEX('Fund YTD Target Values'!$1:$1000, MATCH($C1348,'Fund YTD Target Values'!$A:$A,0), MATCH($A1348,'Fund YTD Target Values'!$1:$1,0)),0)</f>
        <v>1606791.216</v>
      </c>
      <c r="S1348" s="52">
        <f>IFERROR(__xludf.DUMMYFUNCTION("IFERROR(sum(FILTER('Fund Data'!$V:$V, 'Fund Data'!$C:$C = $C1348, 'Fund Data'!$A:$A &lt; $A1348)),0) + IFERROR(sum(FILTER('Fund Data'!$V:$V, 'Fund Data'!$C:$C = $C1348, 'Fund Data'!$A:$A = $A1348, 'Fund Data'!$B:$B &lt;= $B1348)),0)"),1086625.0)</f>
        <v>1086625</v>
      </c>
      <c r="T1348" s="44"/>
      <c r="U1348" s="44"/>
      <c r="V1348" s="44">
        <f t="shared" si="3"/>
        <v>0</v>
      </c>
      <c r="W1348" s="52">
        <f>IFERROR(__xludf.DUMMYFUNCTION("iFERROR((FILTER('Fund Data'!$Y:$Y, 'Fund Data'!$C:$C = $C1348, 'Fund Data'!$A:$A = $A1348 - 1, 'Fund Data'!$B:$B = 12) + FILTER('Fund Data'!$AA:$AA, 'Fund Data'!$C:$C = $C1348, 'Fund Data'!$A:$A = $A1348 - 1, 'Fund Data'!$B:$B = 12)) * (1 + AVERAGE(FILTER"&amp;"('Inflation Data'!$C:$C,'Inflation Data'!$A:$A = ($A1348 - 2)))) * 'Parameters and Distribution Sum'!$A$4,0)"),47167.912647909514)</f>
        <v>47167.91265</v>
      </c>
      <c r="X1348" s="52">
        <f>IFERROR(__xludf.DUMMYFUNCTION("IFERROR((IFERROR(FILTER('Fund Data'!$P:$P,'Fund Data'!$C:$C = $C1348,'Fund Data'!$A:$A = ($A1348 - 2), 'Fund Data'!$B:$B = 12),0) - SUM(FILTER('Fund Data'!$V:$V, 'Fund Data'!$C:$C = $C1348, 'Fund Data'!$A:$A = ($A1348 - 2), 'Fund Data'!$B:$B &gt; 3)))  * 'Pa"&amp;"rameters and Distribution Sum'!$B$4 * (1 - 'Parameters and Distribution Sum'!$A$4),0)"),19792.911060000006)</f>
        <v>19792.91106</v>
      </c>
      <c r="Y1348" s="52">
        <f t="shared" ref="Y1348:Y1353" si="125">sum($W1348:$X1348)</f>
        <v>66960.82371</v>
      </c>
      <c r="Z1348" s="52">
        <f>IFERROR(__xludf.DUMMYFUNCTION("((IFERROR((SUM(FILTER('Fund Data'!$V:$V, 'Fund Data'!$C:$C = $C1348, 'Fund Data'!$A:$A = $A1348 - 1, 'Fund Data'!$B:$B &gt;= 4, 'Fund Data'!$B:$B &lt;= ($B1348 + 5))) / 12) * ($B1348 - 3) * 'Parameters and Distribution Sum'!$B$4, 0) + IF($B1348 &gt;= 9, IFERROR(SU"&amp;"M(FILTER('Fund Data'!$V:$V, 'Fund Data'!$C:$C = $C1348, 'Fund Data'!$A:$A = $A1348, 'Fund Data'!$B:$B &lt;= 3)) * 'Parameters and Distribution Sum'!$B$4, 0),0)))"),0.0)</f>
        <v>0</v>
      </c>
      <c r="AA1348" s="44">
        <f>IFERROR(__xludf.DUMMYFUNCTION("IFERROR(((IFERROR(SUM(FILTER('Fund Data'!$V:$V, 'Fund Data'!$C:$C = $C1348, 'Fund Data'!$A:$A = $A1348 - 2, 'Fund Data'!$B:$B &gt;= 4)) * 'Parameters and Distribution Sum'!$B$4,0) + IFERROR(SUM(FILTER('Fund Data'!$V:$V, 'Fund Data'!$C:$C = $C1348, 'Fund Data"&amp;"'!$A:$A = $A1348 - 1, 'Fund Data'!$B:$B &lt;= 3)) * 'Parameters and Distribution Sum'!$B$4,0))),0)"),0.0)</f>
        <v>0</v>
      </c>
      <c r="AB1348" s="44">
        <f t="shared" ref="AB1348:AB1354" si="126">IFERROR(__xludf.DUMMYFUNCTION("IFERROR(FILTER($AE:$AE,$C:$C = $C1348,$A:$A = $A1348 - 1,$B:$B = 12),0)"),0.0)</f>
        <v>0</v>
      </c>
      <c r="AC1348" s="44">
        <f t="shared" ref="AC1348:AC1354" si="127">sum($Y1348:$AB1348)</f>
        <v>66960.82371</v>
      </c>
      <c r="AD1348" s="44">
        <f t="shared" si="7"/>
        <v>51360.82371</v>
      </c>
      <c r="AE1348" s="44"/>
    </row>
    <row r="1349">
      <c r="A1349" s="120">
        <v>2019.0</v>
      </c>
      <c r="B1349" s="121">
        <v>5.0</v>
      </c>
      <c r="C1349" s="122" t="s">
        <v>46</v>
      </c>
      <c r="D1349" s="44"/>
      <c r="E1349" s="123">
        <v>15732.7</v>
      </c>
      <c r="F1349" s="123">
        <v>-15600.0</v>
      </c>
      <c r="G1349" s="44"/>
      <c r="H1349" s="123">
        <v>-3237.35</v>
      </c>
      <c r="I1349" s="44"/>
      <c r="J1349" s="44"/>
      <c r="K1349" s="44"/>
      <c r="L1349" s="123">
        <v>80939.68</v>
      </c>
      <c r="M1349" s="44"/>
      <c r="N1349" s="44"/>
      <c r="O1349" s="123">
        <v>1371821.87</v>
      </c>
      <c r="P1349" s="52">
        <f t="shared" si="23"/>
        <v>1371821.1</v>
      </c>
      <c r="Q1349" s="124">
        <f t="shared" si="2"/>
        <v>0.77</v>
      </c>
      <c r="R1349" s="52">
        <f t="array" ref="R1349">IFERROR(INDEX('Fund YTD Target Values'!$1:$1000, MATCH($C1349,'Fund YTD Target Values'!$A:$A,0), MATCH($A1349,'Fund YTD Target Values'!$1:$1,0)),0)</f>
        <v>1606791.216</v>
      </c>
      <c r="S1349" s="52">
        <f>IFERROR(__xludf.DUMMYFUNCTION("IFERROR(sum(FILTER('Fund Data'!$V:$V, 'Fund Data'!$C:$C = $C1349, 'Fund Data'!$A:$A &lt; $A1349)),0) + IFERROR(sum(FILTER('Fund Data'!$V:$V, 'Fund Data'!$C:$C = $C1349, 'Fund Data'!$A:$A = $A1349, 'Fund Data'!$B:$B &lt;= $B1349)),0)"),1086625.0)</f>
        <v>1086625</v>
      </c>
      <c r="T1349" s="44"/>
      <c r="U1349" s="44"/>
      <c r="V1349" s="44">
        <f t="shared" si="3"/>
        <v>0</v>
      </c>
      <c r="W1349" s="52">
        <f>IFERROR(__xludf.DUMMYFUNCTION("iFERROR((FILTER('Fund Data'!$Y:$Y, 'Fund Data'!$C:$C = $C1349, 'Fund Data'!$A:$A = $A1349 - 1, 'Fund Data'!$B:$B = 12) + FILTER('Fund Data'!$AA:$AA, 'Fund Data'!$C:$C = $C1349, 'Fund Data'!$A:$A = $A1349 - 1, 'Fund Data'!$B:$B = 12)) * (1 + AVERAGE(FILTER"&amp;"('Inflation Data'!$C:$C,'Inflation Data'!$A:$A = ($A1349 - 2)))) * 'Parameters and Distribution Sum'!$A$4,0)"),47167.912647909514)</f>
        <v>47167.91265</v>
      </c>
      <c r="X1349" s="52">
        <f>IFERROR(__xludf.DUMMYFUNCTION("IFERROR((IFERROR(FILTER('Fund Data'!$P:$P,'Fund Data'!$C:$C = $C1349,'Fund Data'!$A:$A = ($A1349 - 2), 'Fund Data'!$B:$B = 12),0) - SUM(FILTER('Fund Data'!$V:$V, 'Fund Data'!$C:$C = $C1349, 'Fund Data'!$A:$A = ($A1349 - 2), 'Fund Data'!$B:$B &gt; 3)))  * 'Pa"&amp;"rameters and Distribution Sum'!$B$4 * (1 - 'Parameters and Distribution Sum'!$A$4),0)"),19792.911060000006)</f>
        <v>19792.91106</v>
      </c>
      <c r="Y1349" s="52">
        <f t="shared" si="125"/>
        <v>66960.82371</v>
      </c>
      <c r="Z1349" s="52">
        <f>IFERROR(__xludf.DUMMYFUNCTION("((IFERROR((SUM(FILTER('Fund Data'!$V:$V, 'Fund Data'!$C:$C = $C1349, 'Fund Data'!$A:$A = $A1349 - 1, 'Fund Data'!$B:$B &gt;= 4, 'Fund Data'!$B:$B &lt;= ($B1349 + 5))) / 12) * ($B1349 - 3) * 'Parameters and Distribution Sum'!$B$4, 0) + IF($B1349 &gt;= 9, IFERROR(SU"&amp;"M(FILTER('Fund Data'!$V:$V, 'Fund Data'!$C:$C = $C1349, 'Fund Data'!$A:$A = $A1349, 'Fund Data'!$B:$B &lt;= 3)) * 'Parameters and Distribution Sum'!$B$4, 0),0)))"),0.0)</f>
        <v>0</v>
      </c>
      <c r="AA1349" s="44">
        <f>IFERROR(__xludf.DUMMYFUNCTION("IFERROR(((IFERROR(SUM(FILTER('Fund Data'!$V:$V, 'Fund Data'!$C:$C = $C1349, 'Fund Data'!$A:$A = $A1349 - 2, 'Fund Data'!$B:$B &gt;= 4)) * 'Parameters and Distribution Sum'!$B$4,0) + IFERROR(SUM(FILTER('Fund Data'!$V:$V, 'Fund Data'!$C:$C = $C1349, 'Fund Data"&amp;"'!$A:$A = $A1349 - 1, 'Fund Data'!$B:$B &lt;= 3)) * 'Parameters and Distribution Sum'!$B$4,0))),0)"),0.0)</f>
        <v>0</v>
      </c>
      <c r="AB1349" s="44">
        <f t="shared" si="126"/>
        <v>0</v>
      </c>
      <c r="AC1349" s="44">
        <f t="shared" si="127"/>
        <v>66960.82371</v>
      </c>
      <c r="AD1349" s="44">
        <f t="shared" si="7"/>
        <v>51360.82371</v>
      </c>
      <c r="AE1349" s="44"/>
    </row>
    <row r="1350">
      <c r="A1350" s="120">
        <v>2019.0</v>
      </c>
      <c r="B1350" s="121">
        <v>4.0</v>
      </c>
      <c r="C1350" s="122" t="s">
        <v>46</v>
      </c>
      <c r="D1350" s="44"/>
      <c r="E1350" s="123">
        <v>14513.67</v>
      </c>
      <c r="F1350" s="123">
        <v>-9600.0</v>
      </c>
      <c r="G1350" s="44"/>
      <c r="H1350" s="123">
        <v>-2568.76</v>
      </c>
      <c r="I1350" s="44"/>
      <c r="J1350" s="44"/>
      <c r="K1350" s="44"/>
      <c r="L1350" s="123">
        <v>135990.28</v>
      </c>
      <c r="M1350" s="44"/>
      <c r="N1350" s="44"/>
      <c r="O1350" s="123">
        <v>1432322.0</v>
      </c>
      <c r="P1350" s="52">
        <f t="shared" si="23"/>
        <v>1432321.26</v>
      </c>
      <c r="Q1350" s="124">
        <f t="shared" si="2"/>
        <v>0.74</v>
      </c>
      <c r="R1350" s="52">
        <f t="array" ref="R1350">IFERROR(INDEX('Fund YTD Target Values'!$1:$1000, MATCH($C1350,'Fund YTD Target Values'!$A:$A,0), MATCH($A1350,'Fund YTD Target Values'!$1:$1,0)),0)</f>
        <v>1606791.216</v>
      </c>
      <c r="S1350" s="52">
        <f>IFERROR(__xludf.DUMMYFUNCTION("IFERROR(sum(FILTER('Fund Data'!$V:$V, 'Fund Data'!$C:$C = $C1350, 'Fund Data'!$A:$A &lt; $A1350)),0) + IFERROR(sum(FILTER('Fund Data'!$V:$V, 'Fund Data'!$C:$C = $C1350, 'Fund Data'!$A:$A = $A1350, 'Fund Data'!$B:$B &lt;= $B1350)),0)"),1086625.0)</f>
        <v>1086625</v>
      </c>
      <c r="T1350" s="44"/>
      <c r="U1350" s="44"/>
      <c r="V1350" s="44">
        <f t="shared" si="3"/>
        <v>0</v>
      </c>
      <c r="W1350" s="52">
        <f>IFERROR(__xludf.DUMMYFUNCTION("iFERROR((FILTER('Fund Data'!$Y:$Y, 'Fund Data'!$C:$C = $C1350, 'Fund Data'!$A:$A = $A1350 - 1, 'Fund Data'!$B:$B = 12) + FILTER('Fund Data'!$AA:$AA, 'Fund Data'!$C:$C = $C1350, 'Fund Data'!$A:$A = $A1350 - 1, 'Fund Data'!$B:$B = 12)) * (1 + AVERAGE(FILTER"&amp;"('Inflation Data'!$C:$C,'Inflation Data'!$A:$A = ($A1350 - 2)))) * 'Parameters and Distribution Sum'!$A$4,0)"),47167.912647909514)</f>
        <v>47167.91265</v>
      </c>
      <c r="X1350" s="52">
        <f>IFERROR(__xludf.DUMMYFUNCTION("IFERROR((IFERROR(FILTER('Fund Data'!$P:$P,'Fund Data'!$C:$C = $C1350,'Fund Data'!$A:$A = ($A1350 - 2), 'Fund Data'!$B:$B = 12),0) - SUM(FILTER('Fund Data'!$V:$V, 'Fund Data'!$C:$C = $C1350, 'Fund Data'!$A:$A = ($A1350 - 2), 'Fund Data'!$B:$B &gt; 3)))  * 'Pa"&amp;"rameters and Distribution Sum'!$B$4 * (1 - 'Parameters and Distribution Sum'!$A$4),0)"),19792.911060000006)</f>
        <v>19792.91106</v>
      </c>
      <c r="Y1350" s="52">
        <f t="shared" si="125"/>
        <v>66960.82371</v>
      </c>
      <c r="Z1350" s="52">
        <f>IFERROR(__xludf.DUMMYFUNCTION("((IFERROR((SUM(FILTER('Fund Data'!$V:$V, 'Fund Data'!$C:$C = $C1350, 'Fund Data'!$A:$A = $A1350 - 1, 'Fund Data'!$B:$B &gt;= 4, 'Fund Data'!$B:$B &lt;= ($B1350 + 5))) / 12) * ($B1350 - 3) * 'Parameters and Distribution Sum'!$B$4, 0) + IF($B1350 &gt;= 9, IFERROR(SU"&amp;"M(FILTER('Fund Data'!$V:$V, 'Fund Data'!$C:$C = $C1350, 'Fund Data'!$A:$A = $A1350, 'Fund Data'!$B:$B &lt;= 3)) * 'Parameters and Distribution Sum'!$B$4, 0),0)))"),0.0)</f>
        <v>0</v>
      </c>
      <c r="AA1350" s="44">
        <f>IFERROR(__xludf.DUMMYFUNCTION("IFERROR(((IFERROR(SUM(FILTER('Fund Data'!$V:$V, 'Fund Data'!$C:$C = $C1350, 'Fund Data'!$A:$A = $A1350 - 2, 'Fund Data'!$B:$B &gt;= 4)) * 'Parameters and Distribution Sum'!$B$4,0) + IFERROR(SUM(FILTER('Fund Data'!$V:$V, 'Fund Data'!$C:$C = $C1350, 'Fund Data"&amp;"'!$A:$A = $A1350 - 1, 'Fund Data'!$B:$B &lt;= 3)) * 'Parameters and Distribution Sum'!$B$4,0))),0)"),0.0)</f>
        <v>0</v>
      </c>
      <c r="AB1350" s="44">
        <f t="shared" si="126"/>
        <v>0</v>
      </c>
      <c r="AC1350" s="44">
        <f t="shared" si="127"/>
        <v>66960.82371</v>
      </c>
      <c r="AD1350" s="44">
        <f t="shared" si="7"/>
        <v>57360.82371</v>
      </c>
      <c r="AE1350" s="44"/>
    </row>
    <row r="1351">
      <c r="A1351" s="120">
        <v>2019.0</v>
      </c>
      <c r="B1351" s="121">
        <v>3.0</v>
      </c>
      <c r="C1351" s="122" t="s">
        <v>46</v>
      </c>
      <c r="D1351" s="44"/>
      <c r="E1351" s="123">
        <v>10972.0</v>
      </c>
      <c r="F1351" s="123">
        <v>-6600.0</v>
      </c>
      <c r="G1351" s="44"/>
      <c r="H1351" s="123">
        <v>-1912.14</v>
      </c>
      <c r="I1351" s="44"/>
      <c r="J1351" s="44"/>
      <c r="K1351" s="44"/>
      <c r="L1351" s="123">
        <v>107907.06</v>
      </c>
      <c r="M1351" s="44"/>
      <c r="N1351" s="44"/>
      <c r="O1351" s="123">
        <v>1404354.0</v>
      </c>
      <c r="P1351" s="52">
        <f t="shared" si="23"/>
        <v>1404352.99</v>
      </c>
      <c r="Q1351" s="124">
        <f t="shared" si="2"/>
        <v>1.01</v>
      </c>
      <c r="R1351" s="52">
        <f t="array" ref="R1351">IFERROR(INDEX('Fund YTD Target Values'!$1:$1000, MATCH($C1351,'Fund YTD Target Values'!$A:$A,0), MATCH($A1351,'Fund YTD Target Values'!$1:$1,0)),0)</f>
        <v>1606791.216</v>
      </c>
      <c r="S1351" s="52">
        <f>IFERROR(__xludf.DUMMYFUNCTION("IFERROR(sum(FILTER('Fund Data'!$V:$V, 'Fund Data'!$C:$C = $C1351, 'Fund Data'!$A:$A &lt; $A1351)),0) + IFERROR(sum(FILTER('Fund Data'!$V:$V, 'Fund Data'!$C:$C = $C1351, 'Fund Data'!$A:$A = $A1351, 'Fund Data'!$B:$B &lt;= $B1351)),0)"),1086625.0)</f>
        <v>1086625</v>
      </c>
      <c r="T1351" s="123"/>
      <c r="U1351" s="44"/>
      <c r="V1351" s="44">
        <f t="shared" si="3"/>
        <v>0</v>
      </c>
      <c r="W1351" s="52">
        <f>IFERROR(__xludf.DUMMYFUNCTION("iFERROR((FILTER('Fund Data'!$Y:$Y, 'Fund Data'!$C:$C = $C1351, 'Fund Data'!$A:$A = $A1351 - 1, 'Fund Data'!$B:$B = 12) + FILTER('Fund Data'!$AA:$AA, 'Fund Data'!$C:$C = $C1351, 'Fund Data'!$A:$A = $A1351 - 1, 'Fund Data'!$B:$B = 12)) * (1 + AVERAGE(FILTER"&amp;"('Inflation Data'!$C:$C,'Inflation Data'!$A:$A = ($A1351 - 2)))) * 'Parameters and Distribution Sum'!$A$4,0)"),47167.912647909514)</f>
        <v>47167.91265</v>
      </c>
      <c r="X1351" s="52">
        <f>IFERROR(__xludf.DUMMYFUNCTION("IFERROR((IFERROR(FILTER('Fund Data'!$P:$P,'Fund Data'!$C:$C = $C1351,'Fund Data'!$A:$A = ($A1351 - 2), 'Fund Data'!$B:$B = 12),0) - SUM(FILTER('Fund Data'!$V:$V, 'Fund Data'!$C:$C = $C1351, 'Fund Data'!$A:$A = ($A1351 - 2), 'Fund Data'!$B:$B &gt; 3)))  * 'Pa"&amp;"rameters and Distribution Sum'!$B$4 * (1 - 'Parameters and Distribution Sum'!$A$4),0)"),19792.911060000006)</f>
        <v>19792.91106</v>
      </c>
      <c r="Y1351" s="52">
        <f t="shared" si="125"/>
        <v>66960.82371</v>
      </c>
      <c r="Z1351" s="52">
        <f>IFERROR(__xludf.DUMMYFUNCTION("((IFERROR((SUM(FILTER('Fund Data'!$V:$V, 'Fund Data'!$C:$C = $C1351, 'Fund Data'!$A:$A = $A1351 - 1, 'Fund Data'!$B:$B &gt;= 4, 'Fund Data'!$B:$B &lt;= ($B1351 + 5))) / 12) * ($B1351 - 3) * 'Parameters and Distribution Sum'!$B$4, 0) + IF($B1351 &gt;= 9, IFERROR(SU"&amp;"M(FILTER('Fund Data'!$V:$V, 'Fund Data'!$C:$C = $C1351, 'Fund Data'!$A:$A = $A1351, 'Fund Data'!$B:$B &lt;= 3)) * 'Parameters and Distribution Sum'!$B$4, 0),0)))"),0.0)</f>
        <v>0</v>
      </c>
      <c r="AA1351" s="44">
        <f>IFERROR(__xludf.DUMMYFUNCTION("IFERROR(((IFERROR(SUM(FILTER('Fund Data'!$V:$V, 'Fund Data'!$C:$C = $C1351, 'Fund Data'!$A:$A = $A1351 - 2, 'Fund Data'!$B:$B &gt;= 4)) * 'Parameters and Distribution Sum'!$B$4,0) + IFERROR(SUM(FILTER('Fund Data'!$V:$V, 'Fund Data'!$C:$C = $C1351, 'Fund Data"&amp;"'!$A:$A = $A1351 - 1, 'Fund Data'!$B:$B &lt;= 3)) * 'Parameters and Distribution Sum'!$B$4,0))),0)"),0.0)</f>
        <v>0</v>
      </c>
      <c r="AB1351" s="44">
        <f t="shared" si="126"/>
        <v>0</v>
      </c>
      <c r="AC1351" s="44">
        <f t="shared" si="127"/>
        <v>66960.82371</v>
      </c>
      <c r="AD1351" s="44">
        <f t="shared" si="7"/>
        <v>60360.82371</v>
      </c>
      <c r="AE1351" s="44"/>
    </row>
    <row r="1352">
      <c r="A1352" s="120">
        <v>2019.0</v>
      </c>
      <c r="B1352" s="121">
        <v>2.0</v>
      </c>
      <c r="C1352" s="122" t="s">
        <v>46</v>
      </c>
      <c r="D1352" s="44"/>
      <c r="E1352" s="123">
        <v>9276.23</v>
      </c>
      <c r="F1352" s="44"/>
      <c r="G1352" s="44"/>
      <c r="H1352" s="123">
        <v>-1256.62</v>
      </c>
      <c r="I1352" s="44"/>
      <c r="J1352" s="44"/>
      <c r="K1352" s="44"/>
      <c r="L1352" s="123">
        <v>99889.99</v>
      </c>
      <c r="M1352" s="44"/>
      <c r="N1352" s="44"/>
      <c r="O1352" s="123">
        <v>1401896.0</v>
      </c>
      <c r="P1352" s="52">
        <f t="shared" si="23"/>
        <v>1401895.67</v>
      </c>
      <c r="Q1352" s="124">
        <f t="shared" si="2"/>
        <v>0.3299999998</v>
      </c>
      <c r="R1352" s="52">
        <f t="array" ref="R1352">IFERROR(INDEX('Fund YTD Target Values'!$1:$1000, MATCH($C1352,'Fund YTD Target Values'!$A:$A,0), MATCH($A1352,'Fund YTD Target Values'!$1:$1,0)),0)</f>
        <v>1606791.216</v>
      </c>
      <c r="S1352" s="52">
        <f>IFERROR(__xludf.DUMMYFUNCTION("IFERROR(sum(FILTER('Fund Data'!$V:$V, 'Fund Data'!$C:$C = $C1352, 'Fund Data'!$A:$A &lt; $A1352)),0) + IFERROR(sum(FILTER('Fund Data'!$V:$V, 'Fund Data'!$C:$C = $C1352, 'Fund Data'!$A:$A = $A1352, 'Fund Data'!$B:$B &lt;= $B1352)),0)"),1086625.0)</f>
        <v>1086625</v>
      </c>
      <c r="T1352" s="123">
        <v>1071625.0</v>
      </c>
      <c r="U1352" s="44">
        <f t="shared" ref="U1352:U1392" si="128">S1352-T1352</f>
        <v>15000</v>
      </c>
      <c r="V1352" s="44">
        <f t="shared" si="3"/>
        <v>0</v>
      </c>
      <c r="W1352" s="52">
        <f>IFERROR(__xludf.DUMMYFUNCTION("iFERROR((FILTER('Fund Data'!$Y:$Y, 'Fund Data'!$C:$C = $C1352, 'Fund Data'!$A:$A = $A1352 - 1, 'Fund Data'!$B:$B = 12) + FILTER('Fund Data'!$AA:$AA, 'Fund Data'!$C:$C = $C1352, 'Fund Data'!$A:$A = $A1352 - 1, 'Fund Data'!$B:$B = 12)) * (1 + AVERAGE(FILTER"&amp;"('Inflation Data'!$C:$C,'Inflation Data'!$A:$A = ($A1352 - 2)))) * 'Parameters and Distribution Sum'!$A$4,0)"),47167.912647909514)</f>
        <v>47167.91265</v>
      </c>
      <c r="X1352" s="52">
        <f>IFERROR(__xludf.DUMMYFUNCTION("IFERROR((IFERROR(FILTER('Fund Data'!$P:$P,'Fund Data'!$C:$C = $C1352,'Fund Data'!$A:$A = ($A1352 - 2), 'Fund Data'!$B:$B = 12),0) - SUM(FILTER('Fund Data'!$V:$V, 'Fund Data'!$C:$C = $C1352, 'Fund Data'!$A:$A = ($A1352 - 2), 'Fund Data'!$B:$B &gt; 3)))  * 'Pa"&amp;"rameters and Distribution Sum'!$B$4 * (1 - 'Parameters and Distribution Sum'!$A$4),0)"),19792.911060000006)</f>
        <v>19792.91106</v>
      </c>
      <c r="Y1352" s="52">
        <f t="shared" si="125"/>
        <v>66960.82371</v>
      </c>
      <c r="Z1352" s="52">
        <f>IFERROR(__xludf.DUMMYFUNCTION("((IFERROR((SUM(FILTER('Fund Data'!$V:$V, 'Fund Data'!$C:$C = $C1352, 'Fund Data'!$A:$A = $A1352 - 1, 'Fund Data'!$B:$B &gt;= 4, 'Fund Data'!$B:$B &lt;= ($B1352 + 5))) / 12) * ($B1352 - 3) * 'Parameters and Distribution Sum'!$B$4, 0) + IF($B1352 &gt;= 9, IFERROR(SU"&amp;"M(FILTER('Fund Data'!$V:$V, 'Fund Data'!$C:$C = $C1352, 'Fund Data'!$A:$A = $A1352, 'Fund Data'!$B:$B &lt;= 3)) * 'Parameters and Distribution Sum'!$B$4, 0),0)))"),0.0)</f>
        <v>0</v>
      </c>
      <c r="AA1352" s="44">
        <f>IFERROR(__xludf.DUMMYFUNCTION("IFERROR(((IFERROR(SUM(FILTER('Fund Data'!$V:$V, 'Fund Data'!$C:$C = $C1352, 'Fund Data'!$A:$A = $A1352 - 2, 'Fund Data'!$B:$B &gt;= 4)) * 'Parameters and Distribution Sum'!$B$4,0) + IFERROR(SUM(FILTER('Fund Data'!$V:$V, 'Fund Data'!$C:$C = $C1352, 'Fund Data"&amp;"'!$A:$A = $A1352 - 1, 'Fund Data'!$B:$B &lt;= 3)) * 'Parameters and Distribution Sum'!$B$4,0))),0)"),0.0)</f>
        <v>0</v>
      </c>
      <c r="AB1352" s="44">
        <f t="shared" si="126"/>
        <v>0</v>
      </c>
      <c r="AC1352" s="44">
        <f t="shared" si="127"/>
        <v>66960.82371</v>
      </c>
      <c r="AD1352" s="44">
        <f t="shared" si="7"/>
        <v>66960.82371</v>
      </c>
      <c r="AE1352" s="44"/>
    </row>
    <row r="1353">
      <c r="A1353" s="120">
        <v>2019.0</v>
      </c>
      <c r="B1353" s="121">
        <v>1.0</v>
      </c>
      <c r="C1353" s="122" t="s">
        <v>46</v>
      </c>
      <c r="D1353" s="44"/>
      <c r="E1353" s="123">
        <v>8579.63</v>
      </c>
      <c r="F1353" s="44"/>
      <c r="G1353" s="44"/>
      <c r="H1353" s="123">
        <v>-610.53</v>
      </c>
      <c r="I1353" s="44"/>
      <c r="J1353" s="44"/>
      <c r="K1353" s="44"/>
      <c r="L1353" s="123">
        <v>77273.39</v>
      </c>
      <c r="M1353" s="44"/>
      <c r="N1353" s="44"/>
      <c r="O1353" s="123">
        <v>1379229.0</v>
      </c>
      <c r="P1353" s="52">
        <f t="shared" si="23"/>
        <v>1379228.56</v>
      </c>
      <c r="Q1353" s="124">
        <f t="shared" si="2"/>
        <v>0.4399999999</v>
      </c>
      <c r="R1353" s="52">
        <f t="array" ref="R1353">IFERROR(INDEX('Fund YTD Target Values'!$1:$1000, MATCH($C1353,'Fund YTD Target Values'!$A:$A,0), MATCH($A1353,'Fund YTD Target Values'!$1:$1,0)),0)</f>
        <v>1606791.216</v>
      </c>
      <c r="S1353" s="52">
        <f>IFERROR(__xludf.DUMMYFUNCTION("IFERROR(sum(FILTER('Fund Data'!$V:$V, 'Fund Data'!$C:$C = $C1353, 'Fund Data'!$A:$A &lt; $A1353)),0) + IFERROR(sum(FILTER('Fund Data'!$V:$V, 'Fund Data'!$C:$C = $C1353, 'Fund Data'!$A:$A = $A1353, 'Fund Data'!$B:$B &lt;= $B1353)),0)"),1086625.0)</f>
        <v>1086625</v>
      </c>
      <c r="T1353" s="123">
        <v>1071625.0</v>
      </c>
      <c r="U1353" s="44">
        <f t="shared" si="128"/>
        <v>15000</v>
      </c>
      <c r="V1353" s="44">
        <f t="shared" si="3"/>
        <v>0</v>
      </c>
      <c r="W1353" s="52">
        <f>IFERROR(__xludf.DUMMYFUNCTION("iFERROR((FILTER('Fund Data'!$Y:$Y, 'Fund Data'!$C:$C = $C1353, 'Fund Data'!$A:$A = $A1353 - 1, 'Fund Data'!$B:$B = 12) + FILTER('Fund Data'!$AA:$AA, 'Fund Data'!$C:$C = $C1353, 'Fund Data'!$A:$A = $A1353 - 1, 'Fund Data'!$B:$B = 12)) * (1 + AVERAGE(FILTER"&amp;"('Inflation Data'!$C:$C,'Inflation Data'!$A:$A = ($A1353 - 2)))) * 'Parameters and Distribution Sum'!$A$4,0)"),47167.912647909514)</f>
        <v>47167.91265</v>
      </c>
      <c r="X1353" s="52">
        <f>IFERROR(__xludf.DUMMYFUNCTION("IFERROR((IFERROR(FILTER('Fund Data'!$P:$P,'Fund Data'!$C:$C = $C1353,'Fund Data'!$A:$A = ($A1353 - 2), 'Fund Data'!$B:$B = 12),0) - SUM(FILTER('Fund Data'!$V:$V, 'Fund Data'!$C:$C = $C1353, 'Fund Data'!$A:$A = ($A1353 - 2), 'Fund Data'!$B:$B &gt; 3)))  * 'Pa"&amp;"rameters and Distribution Sum'!$B$4 * (1 - 'Parameters and Distribution Sum'!$A$4),0)"),19792.911060000006)</f>
        <v>19792.91106</v>
      </c>
      <c r="Y1353" s="52">
        <f t="shared" si="125"/>
        <v>66960.82371</v>
      </c>
      <c r="Z1353" s="52">
        <f>IFERROR(__xludf.DUMMYFUNCTION("((IFERROR((SUM(FILTER('Fund Data'!$V:$V, 'Fund Data'!$C:$C = $C1353, 'Fund Data'!$A:$A = $A1353 - 1, 'Fund Data'!$B:$B &gt;= 4, 'Fund Data'!$B:$B &lt;= ($B1353 + 5))) / 12) * ($B1353 - 3) * 'Parameters and Distribution Sum'!$B$4, 0) + IF($B1353 &gt;= 9, IFERROR(SU"&amp;"M(FILTER('Fund Data'!$V:$V, 'Fund Data'!$C:$C = $C1353, 'Fund Data'!$A:$A = $A1353, 'Fund Data'!$B:$B &lt;= 3)) * 'Parameters and Distribution Sum'!$B$4, 0),0)))"),0.0)</f>
        <v>0</v>
      </c>
      <c r="AA1353" s="44">
        <f>IFERROR(__xludf.DUMMYFUNCTION("IFERROR(((IFERROR(SUM(FILTER('Fund Data'!$V:$V, 'Fund Data'!$C:$C = $C1353, 'Fund Data'!$A:$A = $A1353 - 2, 'Fund Data'!$B:$B &gt;= 4)) * 'Parameters and Distribution Sum'!$B$4,0) + IFERROR(SUM(FILTER('Fund Data'!$V:$V, 'Fund Data'!$C:$C = $C1353, 'Fund Data"&amp;"'!$A:$A = $A1353 - 1, 'Fund Data'!$B:$B &lt;= 3)) * 'Parameters and Distribution Sum'!$B$4,0))),0)"),0.0)</f>
        <v>0</v>
      </c>
      <c r="AB1353" s="44">
        <f t="shared" si="126"/>
        <v>0</v>
      </c>
      <c r="AC1353" s="44">
        <f t="shared" si="127"/>
        <v>66960.82371</v>
      </c>
      <c r="AD1353" s="44">
        <f t="shared" si="7"/>
        <v>66960.82371</v>
      </c>
      <c r="AE1353" s="44"/>
    </row>
    <row r="1354">
      <c r="A1354" s="120">
        <v>2018.0</v>
      </c>
      <c r="B1354" s="121">
        <v>12.0</v>
      </c>
      <c r="C1354" s="122" t="s">
        <v>46</v>
      </c>
      <c r="D1354" s="44"/>
      <c r="E1354" s="123">
        <v>31055.81</v>
      </c>
      <c r="F1354" s="123">
        <v>-64200.0</v>
      </c>
      <c r="G1354" s="44"/>
      <c r="H1354" s="123">
        <v>-8545.17</v>
      </c>
      <c r="I1354" s="44"/>
      <c r="J1354" s="123">
        <v>15513.35</v>
      </c>
      <c r="K1354" s="44"/>
      <c r="L1354" s="123">
        <v>-145979.48</v>
      </c>
      <c r="M1354" s="44"/>
      <c r="N1354" s="44"/>
      <c r="O1354" s="123">
        <v>1293987.0</v>
      </c>
      <c r="P1354" s="52">
        <f t="shared" si="23"/>
        <v>1293986.07</v>
      </c>
      <c r="Q1354" s="124">
        <f t="shared" si="2"/>
        <v>0.9299999997</v>
      </c>
      <c r="R1354" s="52">
        <f t="array" ref="R1354">IFERROR(INDEX('Fund YTD Target Values'!$1:$1000, MATCH($C1354,'Fund YTD Target Values'!$A:$A,0), MATCH($A1354,'Fund YTD Target Values'!$1:$1,0)),0)</f>
        <v>1579247.369</v>
      </c>
      <c r="S1354" s="52">
        <f>IFERROR(__xludf.DUMMYFUNCTION("IFERROR(sum(FILTER('Fund Data'!$V:$V, 'Fund Data'!$C:$C = $C1354, 'Fund Data'!$A:$A &lt; $A1354)),0) + IFERROR(sum(FILTER('Fund Data'!$V:$V, 'Fund Data'!$C:$C = $C1354, 'Fund Data'!$A:$A = $A1354, 'Fund Data'!$B:$B &lt;= $B1354)),0)"),1086625.0)</f>
        <v>1086625</v>
      </c>
      <c r="T1354" s="123">
        <v>1071625.0</v>
      </c>
      <c r="U1354" s="44">
        <f t="shared" si="128"/>
        <v>15000</v>
      </c>
      <c r="V1354" s="44">
        <f t="shared" si="3"/>
        <v>0</v>
      </c>
      <c r="W1354" s="52"/>
      <c r="X1354" s="52"/>
      <c r="Y1354" s="52">
        <v>65976.3702</v>
      </c>
      <c r="Z1354" s="123">
        <v>0.0</v>
      </c>
      <c r="AA1354" s="123">
        <v>0.0</v>
      </c>
      <c r="AB1354" s="44">
        <f t="shared" si="126"/>
        <v>0</v>
      </c>
      <c r="AC1354" s="44">
        <f t="shared" si="127"/>
        <v>65976.3702</v>
      </c>
      <c r="AD1354" s="44">
        <f t="shared" si="7"/>
        <v>1776.3702</v>
      </c>
      <c r="AE1354" s="123">
        <v>0.0</v>
      </c>
    </row>
    <row r="1355">
      <c r="A1355" s="120">
        <v>2018.0</v>
      </c>
      <c r="B1355" s="121">
        <v>11.0</v>
      </c>
      <c r="C1355" s="122" t="s">
        <v>46</v>
      </c>
      <c r="D1355" s="44"/>
      <c r="E1355" s="123">
        <v>29232.35</v>
      </c>
      <c r="F1355" s="123">
        <v>-64200.0</v>
      </c>
      <c r="G1355" s="44"/>
      <c r="H1355" s="123">
        <v>-7902.84</v>
      </c>
      <c r="I1355" s="44"/>
      <c r="J1355" s="123">
        <v>15513.35</v>
      </c>
      <c r="K1355" s="44"/>
      <c r="L1355" s="123">
        <v>-69521.87</v>
      </c>
      <c r="M1355" s="44"/>
      <c r="N1355" s="44"/>
      <c r="O1355" s="123">
        <v>1369263.0</v>
      </c>
      <c r="P1355" s="52">
        <f t="shared" si="23"/>
        <v>1369262.55</v>
      </c>
      <c r="Q1355" s="124">
        <f t="shared" si="2"/>
        <v>0.4499999997</v>
      </c>
      <c r="R1355" s="52">
        <f t="array" ref="R1355">IFERROR(INDEX('Fund YTD Target Values'!$1:$1000, MATCH($C1355,'Fund YTD Target Values'!$A:$A,0), MATCH($A1355,'Fund YTD Target Values'!$1:$1,0)),0)</f>
        <v>1579247.369</v>
      </c>
      <c r="S1355" s="52">
        <f>IFERROR(__xludf.DUMMYFUNCTION("IFERROR(sum(FILTER('Fund Data'!$V:$V, 'Fund Data'!$C:$C = $C1355, 'Fund Data'!$A:$A &lt; $A1355)),0) + IFERROR(sum(FILTER('Fund Data'!$V:$V, 'Fund Data'!$C:$C = $C1355, 'Fund Data'!$A:$A = $A1355, 'Fund Data'!$B:$B &lt;= $B1355)),0)"),1086625.0)</f>
        <v>1086625</v>
      </c>
      <c r="T1355" s="123">
        <v>1071625.0</v>
      </c>
      <c r="U1355" s="44">
        <f t="shared" si="128"/>
        <v>15000</v>
      </c>
      <c r="V1355" s="44">
        <f t="shared" si="3"/>
        <v>0</v>
      </c>
      <c r="W1355" s="123"/>
      <c r="X1355" s="123"/>
      <c r="Y1355" s="123">
        <v>0.0</v>
      </c>
      <c r="Z1355" s="123">
        <v>0.0</v>
      </c>
      <c r="AA1355" s="123">
        <v>0.0</v>
      </c>
      <c r="AB1355" s="123"/>
      <c r="AC1355" s="123">
        <v>0.0</v>
      </c>
      <c r="AD1355" s="44">
        <f t="shared" si="7"/>
        <v>-64200</v>
      </c>
      <c r="AE1355" s="123">
        <v>0.0</v>
      </c>
    </row>
    <row r="1356">
      <c r="A1356" s="120">
        <v>2018.0</v>
      </c>
      <c r="B1356" s="121">
        <v>10.0</v>
      </c>
      <c r="C1356" s="135" t="s">
        <v>46</v>
      </c>
      <c r="D1356" s="138"/>
      <c r="E1356" s="137">
        <v>28015.75</v>
      </c>
      <c r="F1356" s="136">
        <v>-64200.0</v>
      </c>
      <c r="G1356" s="138"/>
      <c r="H1356" s="137">
        <v>-6599.55</v>
      </c>
      <c r="I1356" s="138"/>
      <c r="J1356" s="136">
        <v>15513.35</v>
      </c>
      <c r="K1356" s="138"/>
      <c r="L1356" s="136">
        <v>-81336.51</v>
      </c>
      <c r="M1356" s="44"/>
      <c r="N1356" s="44"/>
      <c r="O1356" s="136">
        <v>1357535.0</v>
      </c>
      <c r="P1356" s="52">
        <f t="shared" si="23"/>
        <v>1357534.6</v>
      </c>
      <c r="Q1356" s="124">
        <f t="shared" si="2"/>
        <v>0.3999999997</v>
      </c>
      <c r="R1356" s="52">
        <f t="array" ref="R1356">IFERROR(INDEX('Fund YTD Target Values'!$1:$1000, MATCH($C1356,'Fund YTD Target Values'!$A:$A,0), MATCH($A1356,'Fund YTD Target Values'!$1:$1,0)),0)</f>
        <v>1579247.369</v>
      </c>
      <c r="S1356" s="52">
        <f>IFERROR(__xludf.DUMMYFUNCTION("IFERROR(sum(FILTER('Fund Data'!$V:$V, 'Fund Data'!$C:$C = $C1356, 'Fund Data'!$A:$A &lt; $A1356)),0) + IFERROR(sum(FILTER('Fund Data'!$V:$V, 'Fund Data'!$C:$C = $C1356, 'Fund Data'!$A:$A = $A1356, 'Fund Data'!$B:$B &lt;= $B1356)),0)"),1086625.0)</f>
        <v>1086625</v>
      </c>
      <c r="T1356" s="123">
        <v>1071625.0</v>
      </c>
      <c r="U1356" s="44">
        <f t="shared" si="128"/>
        <v>15000</v>
      </c>
      <c r="V1356" s="44">
        <f t="shared" si="3"/>
        <v>0</v>
      </c>
      <c r="W1356" s="123"/>
      <c r="X1356" s="123"/>
      <c r="Y1356" s="123">
        <v>0.0</v>
      </c>
      <c r="Z1356" s="123">
        <v>0.0</v>
      </c>
      <c r="AA1356" s="123">
        <v>0.0</v>
      </c>
      <c r="AB1356" s="123"/>
      <c r="AC1356" s="123">
        <v>0.0</v>
      </c>
      <c r="AD1356" s="44">
        <f t="shared" si="7"/>
        <v>-64200</v>
      </c>
      <c r="AE1356" s="123">
        <v>0.0</v>
      </c>
    </row>
    <row r="1357">
      <c r="A1357" s="120">
        <v>2018.0</v>
      </c>
      <c r="B1357" s="121">
        <v>9.0</v>
      </c>
      <c r="C1357" s="122" t="s">
        <v>46</v>
      </c>
      <c r="D1357" s="44"/>
      <c r="E1357" s="123">
        <v>23933.19</v>
      </c>
      <c r="F1357" s="123">
        <v>-64200.0</v>
      </c>
      <c r="G1357" s="44"/>
      <c r="H1357" s="123">
        <v>-6599.55</v>
      </c>
      <c r="I1357" s="44"/>
      <c r="J1357" s="123">
        <v>15513.35</v>
      </c>
      <c r="K1357" s="44"/>
      <c r="L1357" s="123">
        <v>-8507.68</v>
      </c>
      <c r="M1357" s="44"/>
      <c r="N1357" s="44"/>
      <c r="O1357" s="123">
        <v>1426282.0</v>
      </c>
      <c r="P1357" s="52">
        <f t="shared" si="23"/>
        <v>1426280.87</v>
      </c>
      <c r="Q1357" s="124">
        <f t="shared" si="2"/>
        <v>1.13</v>
      </c>
      <c r="R1357" s="52">
        <f t="array" ref="R1357">IFERROR(INDEX('Fund YTD Target Values'!$1:$1000, MATCH($C1357,'Fund YTD Target Values'!$A:$A,0), MATCH($A1357,'Fund YTD Target Values'!$1:$1,0)),0)</f>
        <v>1579247.369</v>
      </c>
      <c r="S1357" s="52">
        <f>IFERROR(__xludf.DUMMYFUNCTION("IFERROR(sum(FILTER('Fund Data'!$V:$V, 'Fund Data'!$C:$C = $C1357, 'Fund Data'!$A:$A &lt; $A1357)),0) + IFERROR(sum(FILTER('Fund Data'!$V:$V, 'Fund Data'!$C:$C = $C1357, 'Fund Data'!$A:$A = $A1357, 'Fund Data'!$B:$B &lt;= $B1357)),0)"),1086625.0)</f>
        <v>1086625</v>
      </c>
      <c r="T1357" s="123">
        <v>1071625.0</v>
      </c>
      <c r="U1357" s="44">
        <f t="shared" si="128"/>
        <v>15000</v>
      </c>
      <c r="V1357" s="44">
        <f t="shared" si="3"/>
        <v>0</v>
      </c>
      <c r="W1357" s="123"/>
      <c r="X1357" s="123"/>
      <c r="Y1357" s="123">
        <v>0.0</v>
      </c>
      <c r="Z1357" s="123">
        <v>0.0</v>
      </c>
      <c r="AA1357" s="123">
        <v>0.0</v>
      </c>
      <c r="AB1357" s="123"/>
      <c r="AC1357" s="123">
        <v>0.0</v>
      </c>
      <c r="AD1357" s="44">
        <f t="shared" si="7"/>
        <v>-64200</v>
      </c>
      <c r="AE1357" s="123">
        <v>0.0</v>
      </c>
    </row>
    <row r="1358">
      <c r="A1358" s="120">
        <v>2018.0</v>
      </c>
      <c r="B1358" s="121">
        <v>8.0</v>
      </c>
      <c r="C1358" s="122" t="s">
        <v>46</v>
      </c>
      <c r="D1358" s="44"/>
      <c r="E1358" s="123">
        <v>22692.74</v>
      </c>
      <c r="F1358" s="123">
        <v>-42400.0</v>
      </c>
      <c r="G1358" s="44"/>
      <c r="H1358" s="123">
        <v>-5873.03</v>
      </c>
      <c r="I1358" s="44"/>
      <c r="J1358" s="123">
        <v>8239.42</v>
      </c>
      <c r="K1358" s="44"/>
      <c r="L1358" s="123">
        <v>4084.07</v>
      </c>
      <c r="M1358" s="44"/>
      <c r="N1358" s="44"/>
      <c r="O1358" s="123">
        <v>1452886.0</v>
      </c>
      <c r="P1358" s="52">
        <f t="shared" si="23"/>
        <v>1452884.76</v>
      </c>
      <c r="Q1358" s="124">
        <f t="shared" si="2"/>
        <v>1.24</v>
      </c>
      <c r="R1358" s="52">
        <f t="array" ref="R1358">IFERROR(INDEX('Fund YTD Target Values'!$1:$1000, MATCH($C1358,'Fund YTD Target Values'!$A:$A,0), MATCH($A1358,'Fund YTD Target Values'!$1:$1,0)),0)</f>
        <v>1579247.369</v>
      </c>
      <c r="S1358" s="52">
        <f>IFERROR(__xludf.DUMMYFUNCTION("IFERROR(sum(FILTER('Fund Data'!$V:$V, 'Fund Data'!$C:$C = $C1358, 'Fund Data'!$A:$A &lt; $A1358)),0) + IFERROR(sum(FILTER('Fund Data'!$V:$V, 'Fund Data'!$C:$C = $C1358, 'Fund Data'!$A:$A = $A1358, 'Fund Data'!$B:$B &lt;= $B1358)),0)"),1086625.0)</f>
        <v>1086625</v>
      </c>
      <c r="T1358" s="123">
        <v>1071625.0</v>
      </c>
      <c r="U1358" s="44">
        <f t="shared" si="128"/>
        <v>15000</v>
      </c>
      <c r="V1358" s="44">
        <f t="shared" si="3"/>
        <v>0</v>
      </c>
      <c r="W1358" s="123"/>
      <c r="X1358" s="123"/>
      <c r="Y1358" s="123">
        <v>0.0</v>
      </c>
      <c r="Z1358" s="123">
        <v>0.0</v>
      </c>
      <c r="AA1358" s="123">
        <v>0.0</v>
      </c>
      <c r="AB1358" s="123"/>
      <c r="AC1358" s="123">
        <v>0.0</v>
      </c>
      <c r="AD1358" s="44">
        <f t="shared" si="7"/>
        <v>-42400</v>
      </c>
      <c r="AE1358" s="123">
        <v>0.0</v>
      </c>
    </row>
    <row r="1359">
      <c r="A1359" s="120">
        <v>2018.0</v>
      </c>
      <c r="B1359" s="121">
        <v>7.0</v>
      </c>
      <c r="C1359" s="122" t="s">
        <v>46</v>
      </c>
      <c r="D1359" s="44"/>
      <c r="E1359" s="123">
        <v>21490.57</v>
      </c>
      <c r="F1359" s="123">
        <v>-32400.0</v>
      </c>
      <c r="G1359" s="44"/>
      <c r="H1359" s="123">
        <v>-5144.11</v>
      </c>
      <c r="I1359" s="44"/>
      <c r="J1359" s="123">
        <v>5100.81</v>
      </c>
      <c r="K1359" s="44"/>
      <c r="L1359" s="123">
        <v>2642.34</v>
      </c>
      <c r="M1359" s="44"/>
      <c r="N1359" s="44"/>
      <c r="O1359" s="123">
        <v>1457832.0</v>
      </c>
      <c r="P1359" s="52">
        <f t="shared" si="23"/>
        <v>1457831.17</v>
      </c>
      <c r="Q1359" s="124">
        <f t="shared" si="2"/>
        <v>0.8299999996</v>
      </c>
      <c r="R1359" s="52">
        <f t="array" ref="R1359">IFERROR(INDEX('Fund YTD Target Values'!$1:$1000, MATCH($C1359,'Fund YTD Target Values'!$A:$A,0), MATCH($A1359,'Fund YTD Target Values'!$1:$1,0)),0)</f>
        <v>1579247.369</v>
      </c>
      <c r="S1359" s="52">
        <f>IFERROR(__xludf.DUMMYFUNCTION("IFERROR(sum(FILTER('Fund Data'!$V:$V, 'Fund Data'!$C:$C = $C1359, 'Fund Data'!$A:$A &lt; $A1359)),0) + IFERROR(sum(FILTER('Fund Data'!$V:$V, 'Fund Data'!$C:$C = $C1359, 'Fund Data'!$A:$A = $A1359, 'Fund Data'!$B:$B &lt;= $B1359)),0)"),1086625.0)</f>
        <v>1086625</v>
      </c>
      <c r="T1359" s="123">
        <v>1071625.0</v>
      </c>
      <c r="U1359" s="44">
        <f t="shared" si="128"/>
        <v>15000</v>
      </c>
      <c r="V1359" s="44">
        <f t="shared" si="3"/>
        <v>0</v>
      </c>
      <c r="W1359" s="123"/>
      <c r="X1359" s="123"/>
      <c r="Y1359" s="123">
        <v>0.0</v>
      </c>
      <c r="Z1359" s="123">
        <v>0.0</v>
      </c>
      <c r="AA1359" s="123">
        <v>0.0</v>
      </c>
      <c r="AB1359" s="123"/>
      <c r="AC1359" s="123">
        <v>0.0</v>
      </c>
      <c r="AD1359" s="44">
        <f t="shared" si="7"/>
        <v>-32400</v>
      </c>
      <c r="AE1359" s="123">
        <v>0.0</v>
      </c>
    </row>
    <row r="1360">
      <c r="A1360" s="120">
        <v>2018.0</v>
      </c>
      <c r="B1360" s="121">
        <v>6.0</v>
      </c>
      <c r="C1360" s="122" t="s">
        <v>46</v>
      </c>
      <c r="D1360" s="44"/>
      <c r="E1360" s="123">
        <v>18232.0</v>
      </c>
      <c r="F1360" s="123">
        <v>-29100.0</v>
      </c>
      <c r="G1360" s="44"/>
      <c r="H1360" s="123">
        <v>-4426.99</v>
      </c>
      <c r="I1360" s="44"/>
      <c r="J1360" s="123">
        <v>5100.81</v>
      </c>
      <c r="K1360" s="44"/>
      <c r="L1360" s="123">
        <v>-21106.0</v>
      </c>
      <c r="M1360" s="44"/>
      <c r="N1360" s="44"/>
      <c r="O1360" s="123">
        <v>1434842.0</v>
      </c>
      <c r="P1360" s="52">
        <f t="shared" si="23"/>
        <v>1434841.38</v>
      </c>
      <c r="Q1360" s="124">
        <f t="shared" si="2"/>
        <v>0.6199999996</v>
      </c>
      <c r="R1360" s="52">
        <f t="array" ref="R1360">IFERROR(INDEX('Fund YTD Target Values'!$1:$1000, MATCH($C1360,'Fund YTD Target Values'!$A:$A,0), MATCH($A1360,'Fund YTD Target Values'!$1:$1,0)),0)</f>
        <v>1579247.369</v>
      </c>
      <c r="S1360" s="52">
        <f>IFERROR(__xludf.DUMMYFUNCTION("IFERROR(sum(FILTER('Fund Data'!$V:$V, 'Fund Data'!$C:$C = $C1360, 'Fund Data'!$A:$A &lt; $A1360)),0) + IFERROR(sum(FILTER('Fund Data'!$V:$V, 'Fund Data'!$C:$C = $C1360, 'Fund Data'!$A:$A = $A1360, 'Fund Data'!$B:$B &lt;= $B1360)),0)"),1086625.0)</f>
        <v>1086625</v>
      </c>
      <c r="T1360" s="123">
        <v>1071625.0</v>
      </c>
      <c r="U1360" s="44">
        <f t="shared" si="128"/>
        <v>15000</v>
      </c>
      <c r="V1360" s="44">
        <f t="shared" si="3"/>
        <v>0</v>
      </c>
      <c r="W1360" s="123"/>
      <c r="X1360" s="123"/>
      <c r="Y1360" s="123">
        <v>0.0</v>
      </c>
      <c r="Z1360" s="123">
        <v>0.0</v>
      </c>
      <c r="AA1360" s="123">
        <v>0.0</v>
      </c>
      <c r="AB1360" s="123"/>
      <c r="AC1360" s="123">
        <v>0.0</v>
      </c>
      <c r="AD1360" s="44">
        <f t="shared" si="7"/>
        <v>-29100</v>
      </c>
      <c r="AE1360" s="123">
        <v>0.0</v>
      </c>
    </row>
    <row r="1361">
      <c r="A1361" s="120">
        <v>2018.0</v>
      </c>
      <c r="B1361" s="121">
        <v>5.0</v>
      </c>
      <c r="C1361" s="122" t="s">
        <v>46</v>
      </c>
      <c r="D1361" s="44"/>
      <c r="E1361" s="123">
        <v>16143.75</v>
      </c>
      <c r="F1361" s="123">
        <v>-13000.0</v>
      </c>
      <c r="G1361" s="44"/>
      <c r="H1361" s="123">
        <v>-3696.54</v>
      </c>
      <c r="I1361" s="44"/>
      <c r="J1361" s="44"/>
      <c r="K1361" s="44"/>
      <c r="L1361" s="123">
        <v>-5303.51</v>
      </c>
      <c r="M1361" s="44"/>
      <c r="N1361" s="44"/>
      <c r="O1361" s="123">
        <v>1460286.0</v>
      </c>
      <c r="P1361" s="52">
        <f t="shared" si="23"/>
        <v>1460285.26</v>
      </c>
      <c r="Q1361" s="124">
        <f t="shared" si="2"/>
        <v>0.7399999998</v>
      </c>
      <c r="R1361" s="52">
        <f t="array" ref="R1361">IFERROR(INDEX('Fund YTD Target Values'!$1:$1000, MATCH($C1361,'Fund YTD Target Values'!$A:$A,0), MATCH($A1361,'Fund YTD Target Values'!$1:$1,0)),0)</f>
        <v>1579247.369</v>
      </c>
      <c r="S1361" s="52">
        <f>IFERROR(__xludf.DUMMYFUNCTION("IFERROR(sum(FILTER('Fund Data'!$V:$V, 'Fund Data'!$C:$C = $C1361, 'Fund Data'!$A:$A &lt; $A1361)),0) + IFERROR(sum(FILTER('Fund Data'!$V:$V, 'Fund Data'!$C:$C = $C1361, 'Fund Data'!$A:$A = $A1361, 'Fund Data'!$B:$B &lt;= $B1361)),0)"),1086625.0)</f>
        <v>1086625</v>
      </c>
      <c r="T1361" s="123">
        <v>1071625.0</v>
      </c>
      <c r="U1361" s="44">
        <f t="shared" si="128"/>
        <v>15000</v>
      </c>
      <c r="V1361" s="44">
        <f t="shared" si="3"/>
        <v>0</v>
      </c>
      <c r="W1361" s="123"/>
      <c r="X1361" s="123"/>
      <c r="Y1361" s="123">
        <v>0.0</v>
      </c>
      <c r="Z1361" s="123">
        <v>0.0</v>
      </c>
      <c r="AA1361" s="123">
        <v>0.0</v>
      </c>
      <c r="AB1361" s="123"/>
      <c r="AC1361" s="123">
        <v>0.0</v>
      </c>
      <c r="AD1361" s="44">
        <f t="shared" si="7"/>
        <v>-13000</v>
      </c>
      <c r="AE1361" s="123">
        <v>0.0</v>
      </c>
    </row>
    <row r="1362">
      <c r="A1362" s="120">
        <v>2018.0</v>
      </c>
      <c r="B1362" s="121">
        <v>4.0</v>
      </c>
      <c r="C1362" s="122" t="s">
        <v>46</v>
      </c>
      <c r="D1362" s="44"/>
      <c r="E1362" s="123">
        <v>14984.51</v>
      </c>
      <c r="F1362" s="44"/>
      <c r="G1362" s="44"/>
      <c r="H1362" s="123">
        <v>-2961.65</v>
      </c>
      <c r="I1362" s="44"/>
      <c r="J1362" s="44"/>
      <c r="K1362" s="44"/>
      <c r="L1362" s="123">
        <v>-8390.77</v>
      </c>
      <c r="M1362" s="44"/>
      <c r="N1362" s="44"/>
      <c r="O1362" s="123">
        <v>1469774.0</v>
      </c>
      <c r="P1362" s="52">
        <f t="shared" si="23"/>
        <v>1469773.65</v>
      </c>
      <c r="Q1362" s="124">
        <f t="shared" si="2"/>
        <v>0.3499999996</v>
      </c>
      <c r="R1362" s="52">
        <f t="array" ref="R1362">IFERROR(INDEX('Fund YTD Target Values'!$1:$1000, MATCH($C1362,'Fund YTD Target Values'!$A:$A,0), MATCH($A1362,'Fund YTD Target Values'!$1:$1,0)),0)</f>
        <v>1579247.369</v>
      </c>
      <c r="S1362" s="52">
        <f>IFERROR(__xludf.DUMMYFUNCTION("IFERROR(sum(FILTER('Fund Data'!$V:$V, 'Fund Data'!$C:$C = $C1362, 'Fund Data'!$A:$A &lt; $A1362)),0) + IFERROR(sum(FILTER('Fund Data'!$V:$V, 'Fund Data'!$C:$C = $C1362, 'Fund Data'!$A:$A = $A1362, 'Fund Data'!$B:$B &lt;= $B1362)),0)"),1086625.0)</f>
        <v>1086625</v>
      </c>
      <c r="T1362" s="123">
        <v>1071625.0</v>
      </c>
      <c r="U1362" s="44">
        <f t="shared" si="128"/>
        <v>15000</v>
      </c>
      <c r="V1362" s="44">
        <f t="shared" si="3"/>
        <v>0</v>
      </c>
      <c r="W1362" s="123"/>
      <c r="X1362" s="123"/>
      <c r="Y1362" s="123">
        <v>0.0</v>
      </c>
      <c r="Z1362" s="123">
        <v>0.0</v>
      </c>
      <c r="AA1362" s="123">
        <v>0.0</v>
      </c>
      <c r="AB1362" s="123"/>
      <c r="AC1362" s="123">
        <v>0.0</v>
      </c>
      <c r="AD1362" s="44">
        <f t="shared" si="7"/>
        <v>0</v>
      </c>
      <c r="AE1362" s="123">
        <v>0.0</v>
      </c>
    </row>
    <row r="1363">
      <c r="A1363" s="120">
        <v>2018.0</v>
      </c>
      <c r="B1363" s="121">
        <v>3.0</v>
      </c>
      <c r="C1363" s="122" t="s">
        <v>46</v>
      </c>
      <c r="D1363" s="44"/>
      <c r="E1363" s="123">
        <v>11447.63</v>
      </c>
      <c r="F1363" s="44"/>
      <c r="G1363" s="44"/>
      <c r="H1363" s="123">
        <v>-2228.76</v>
      </c>
      <c r="I1363" s="44"/>
      <c r="J1363" s="44"/>
      <c r="K1363" s="44"/>
      <c r="L1363" s="123">
        <v>-9590.83</v>
      </c>
      <c r="M1363" s="44"/>
      <c r="N1363" s="44"/>
      <c r="O1363" s="123">
        <v>1465770.0</v>
      </c>
      <c r="P1363" s="52">
        <f t="shared" si="23"/>
        <v>1465769.6</v>
      </c>
      <c r="Q1363" s="124">
        <f t="shared" si="2"/>
        <v>0.3999999997</v>
      </c>
      <c r="R1363" s="52">
        <f t="array" ref="R1363">IFERROR(INDEX('Fund YTD Target Values'!$1:$1000, MATCH($C1363,'Fund YTD Target Values'!$A:$A,0), MATCH($A1363,'Fund YTD Target Values'!$1:$1,0)),0)</f>
        <v>1579247.369</v>
      </c>
      <c r="S1363" s="52">
        <f>IFERROR(__xludf.DUMMYFUNCTION("IFERROR(sum(FILTER('Fund Data'!$V:$V, 'Fund Data'!$C:$C = $C1363, 'Fund Data'!$A:$A &lt; $A1363)),0) + IFERROR(sum(FILTER('Fund Data'!$V:$V, 'Fund Data'!$C:$C = $C1363, 'Fund Data'!$A:$A = $A1363, 'Fund Data'!$B:$B &lt;= $B1363)),0)"),1086625.0)</f>
        <v>1086625</v>
      </c>
      <c r="T1363" s="123">
        <v>1071625.0</v>
      </c>
      <c r="U1363" s="44">
        <f t="shared" si="128"/>
        <v>15000</v>
      </c>
      <c r="V1363" s="44">
        <f t="shared" si="3"/>
        <v>0</v>
      </c>
      <c r="W1363" s="123"/>
      <c r="X1363" s="123"/>
      <c r="Y1363" s="123">
        <v>0.0</v>
      </c>
      <c r="Z1363" s="123">
        <v>0.0</v>
      </c>
      <c r="AA1363" s="123">
        <v>0.0</v>
      </c>
      <c r="AB1363" s="123"/>
      <c r="AC1363" s="123">
        <v>0.0</v>
      </c>
      <c r="AD1363" s="44">
        <f t="shared" si="7"/>
        <v>0</v>
      </c>
      <c r="AE1363" s="123">
        <v>0.0</v>
      </c>
    </row>
    <row r="1364">
      <c r="A1364" s="120">
        <v>2018.0</v>
      </c>
      <c r="B1364" s="121">
        <v>2.0</v>
      </c>
      <c r="C1364" s="122" t="s">
        <v>46</v>
      </c>
      <c r="D1364" s="44"/>
      <c r="E1364" s="123">
        <v>10157.62</v>
      </c>
      <c r="F1364" s="44"/>
      <c r="G1364" s="44"/>
      <c r="H1364" s="123">
        <v>-3638.89</v>
      </c>
      <c r="I1364" s="44"/>
      <c r="J1364" s="44"/>
      <c r="K1364" s="44"/>
      <c r="L1364" s="123">
        <v>629.06</v>
      </c>
      <c r="M1364" s="44"/>
      <c r="N1364" s="44"/>
      <c r="O1364" s="123">
        <v>1473290.0</v>
      </c>
      <c r="P1364" s="52">
        <f t="shared" si="23"/>
        <v>1473289.35</v>
      </c>
      <c r="Q1364" s="124">
        <f t="shared" si="2"/>
        <v>0.6499999997</v>
      </c>
      <c r="R1364" s="52">
        <f t="array" ref="R1364">IFERROR(INDEX('Fund YTD Target Values'!$1:$1000, MATCH($C1364,'Fund YTD Target Values'!$A:$A,0), MATCH($A1364,'Fund YTD Target Values'!$1:$1,0)),0)</f>
        <v>1579247.369</v>
      </c>
      <c r="S1364" s="52">
        <f>IFERROR(__xludf.DUMMYFUNCTION("IFERROR(sum(FILTER('Fund Data'!$V:$V, 'Fund Data'!$C:$C = $C1364, 'Fund Data'!$A:$A &lt; $A1364)),0) + IFERROR(sum(FILTER('Fund Data'!$V:$V, 'Fund Data'!$C:$C = $C1364, 'Fund Data'!$A:$A = $A1364, 'Fund Data'!$B:$B &lt;= $B1364)),0)"),1086625.0)</f>
        <v>1086625</v>
      </c>
      <c r="T1364" s="123">
        <v>1071625.0</v>
      </c>
      <c r="U1364" s="44">
        <f t="shared" si="128"/>
        <v>15000</v>
      </c>
      <c r="V1364" s="44">
        <f t="shared" si="3"/>
        <v>0</v>
      </c>
      <c r="W1364" s="123"/>
      <c r="X1364" s="123"/>
      <c r="Y1364" s="123">
        <v>0.0</v>
      </c>
      <c r="Z1364" s="123">
        <v>0.0</v>
      </c>
      <c r="AA1364" s="123">
        <v>0.0</v>
      </c>
      <c r="AB1364" s="123"/>
      <c r="AC1364" s="123">
        <v>0.0</v>
      </c>
      <c r="AD1364" s="44">
        <f t="shared" si="7"/>
        <v>0</v>
      </c>
      <c r="AE1364" s="123">
        <v>0.0</v>
      </c>
    </row>
    <row r="1365">
      <c r="A1365" s="120">
        <v>2018.0</v>
      </c>
      <c r="B1365" s="121">
        <v>1.0</v>
      </c>
      <c r="C1365" s="122" t="s">
        <v>46</v>
      </c>
      <c r="D1365" s="44"/>
      <c r="E1365" s="123">
        <v>9067.74</v>
      </c>
      <c r="F1365" s="44"/>
      <c r="G1365" s="44"/>
      <c r="H1365" s="123">
        <v>-2879.84</v>
      </c>
      <c r="I1365" s="44"/>
      <c r="J1365" s="44"/>
      <c r="K1365" s="44"/>
      <c r="L1365" s="123">
        <v>45766.92</v>
      </c>
      <c r="M1365" s="44"/>
      <c r="N1365" s="44"/>
      <c r="O1365" s="123">
        <v>1518097.0</v>
      </c>
      <c r="P1365" s="52">
        <f t="shared" si="23"/>
        <v>1518096.38</v>
      </c>
      <c r="Q1365" s="124">
        <f t="shared" si="2"/>
        <v>0.6199999996</v>
      </c>
      <c r="R1365" s="52">
        <f t="array" ref="R1365">IFERROR(INDEX('Fund YTD Target Values'!$1:$1000, MATCH($C1365,'Fund YTD Target Values'!$A:$A,0), MATCH($A1365,'Fund YTD Target Values'!$1:$1,0)),0)</f>
        <v>1579247.369</v>
      </c>
      <c r="S1365" s="52">
        <f>IFERROR(__xludf.DUMMYFUNCTION("IFERROR(sum(FILTER('Fund Data'!$V:$V, 'Fund Data'!$C:$C = $C1365, 'Fund Data'!$A:$A &lt; $A1365)),0) + IFERROR(sum(FILTER('Fund Data'!$V:$V, 'Fund Data'!$C:$C = $C1365, 'Fund Data'!$A:$A = $A1365, 'Fund Data'!$B:$B &lt;= $B1365)),0)"),1086625.0)</f>
        <v>1086625</v>
      </c>
      <c r="T1365" s="123">
        <v>1071625.0</v>
      </c>
      <c r="U1365" s="44">
        <f t="shared" si="128"/>
        <v>15000</v>
      </c>
      <c r="V1365" s="44">
        <f t="shared" si="3"/>
        <v>0</v>
      </c>
      <c r="W1365" s="123"/>
      <c r="X1365" s="123"/>
      <c r="Y1365" s="123">
        <v>0.0</v>
      </c>
      <c r="Z1365" s="123">
        <v>0.0</v>
      </c>
      <c r="AA1365" s="123">
        <v>0.0</v>
      </c>
      <c r="AB1365" s="123"/>
      <c r="AC1365" s="123">
        <v>0.0</v>
      </c>
      <c r="AD1365" s="44">
        <f t="shared" si="7"/>
        <v>0</v>
      </c>
      <c r="AE1365" s="123">
        <v>0.0</v>
      </c>
    </row>
    <row r="1366">
      <c r="A1366" s="120">
        <v>2017.0</v>
      </c>
      <c r="B1366" s="121">
        <v>12.0</v>
      </c>
      <c r="C1366" s="122" t="s">
        <v>46</v>
      </c>
      <c r="D1366" s="44"/>
      <c r="E1366" s="123">
        <v>31377.92</v>
      </c>
      <c r="F1366" s="123">
        <v>-75000.0</v>
      </c>
      <c r="G1366" s="123"/>
      <c r="H1366" s="123">
        <v>-8539.75</v>
      </c>
      <c r="I1366" s="44"/>
      <c r="J1366" s="123">
        <v>16829.72</v>
      </c>
      <c r="K1366" s="44"/>
      <c r="L1366" s="123">
        <v>160616.0</v>
      </c>
      <c r="M1366" s="44"/>
      <c r="N1366" s="44"/>
      <c r="O1366" s="123">
        <v>1466142.0</v>
      </c>
      <c r="P1366" s="52">
        <f t="shared" si="23"/>
        <v>1466141.56</v>
      </c>
      <c r="Q1366" s="124">
        <f t="shared" si="2"/>
        <v>0.4399999999</v>
      </c>
      <c r="R1366" s="52">
        <f t="array" ref="R1366">IFERROR(INDEX('Fund YTD Target Values'!$1:$1000, MATCH($C1366,'Fund YTD Target Values'!$A:$A,0), MATCH($A1366,'Fund YTD Target Values'!$1:$1,0)),0)</f>
        <v>1541591.16</v>
      </c>
      <c r="S1366" s="52">
        <f>IFERROR(__xludf.DUMMYFUNCTION("IFERROR(sum(FILTER('Fund Data'!$V:$V, 'Fund Data'!$C:$C = $C1366, 'Fund Data'!$A:$A &lt; $A1366)),0) + IFERROR(sum(FILTER('Fund Data'!$V:$V, 'Fund Data'!$C:$C = $C1366, 'Fund Data'!$A:$A = $A1366, 'Fund Data'!$B:$B &lt;= $B1366)),0)"),1086625.0)</f>
        <v>1086625</v>
      </c>
      <c r="T1366" s="123">
        <v>1071625.0</v>
      </c>
      <c r="U1366" s="44">
        <f t="shared" si="128"/>
        <v>15000</v>
      </c>
      <c r="V1366" s="44">
        <f t="shared" si="3"/>
        <v>0</v>
      </c>
      <c r="W1366" s="123"/>
      <c r="X1366" s="123"/>
      <c r="Y1366" s="123">
        <v>0.0</v>
      </c>
      <c r="Z1366" s="123">
        <v>0.0</v>
      </c>
      <c r="AA1366" s="123">
        <v>0.0</v>
      </c>
      <c r="AB1366" s="123"/>
      <c r="AC1366" s="123">
        <v>0.0</v>
      </c>
      <c r="AD1366" s="44">
        <f t="shared" si="7"/>
        <v>-75000</v>
      </c>
      <c r="AE1366" s="123">
        <v>0.0</v>
      </c>
    </row>
    <row r="1367">
      <c r="A1367" s="120">
        <v>2017.0</v>
      </c>
      <c r="B1367" s="121">
        <v>11.0</v>
      </c>
      <c r="C1367" s="122" t="s">
        <v>46</v>
      </c>
      <c r="D1367" s="44"/>
      <c r="E1367" s="123">
        <v>29318.39</v>
      </c>
      <c r="F1367" s="123">
        <v>-75000.0</v>
      </c>
      <c r="G1367" s="44"/>
      <c r="H1367" s="123">
        <v>-7810.7</v>
      </c>
      <c r="I1367" s="44"/>
      <c r="J1367" s="123">
        <v>16829.72</v>
      </c>
      <c r="K1367" s="44"/>
      <c r="L1367" s="123">
        <v>153570.47</v>
      </c>
      <c r="M1367" s="44"/>
      <c r="N1367" s="44"/>
      <c r="O1367" s="123">
        <v>1457766.0</v>
      </c>
      <c r="P1367" s="52">
        <f t="shared" si="23"/>
        <v>1457765.55</v>
      </c>
      <c r="Q1367" s="124">
        <f t="shared" si="2"/>
        <v>0.4499999997</v>
      </c>
      <c r="R1367" s="52">
        <f t="array" ref="R1367">IFERROR(INDEX('Fund YTD Target Values'!$1:$1000, MATCH($C1367,'Fund YTD Target Values'!$A:$A,0), MATCH($A1367,'Fund YTD Target Values'!$1:$1,0)),0)</f>
        <v>1541591.16</v>
      </c>
      <c r="S1367" s="52">
        <f>IFERROR(__xludf.DUMMYFUNCTION("IFERROR(sum(FILTER('Fund Data'!$V:$V, 'Fund Data'!$C:$C = $C1367, 'Fund Data'!$A:$A &lt; $A1367)),0) + IFERROR(sum(FILTER('Fund Data'!$V:$V, 'Fund Data'!$C:$C = $C1367, 'Fund Data'!$A:$A = $A1367, 'Fund Data'!$B:$B &lt;= $B1367)),0)"),1086625.0)</f>
        <v>1086625</v>
      </c>
      <c r="T1367" s="123">
        <v>1071625.0</v>
      </c>
      <c r="U1367" s="44">
        <f t="shared" si="128"/>
        <v>15000</v>
      </c>
      <c r="V1367" s="44">
        <f t="shared" si="3"/>
        <v>0</v>
      </c>
      <c r="W1367" s="123"/>
      <c r="X1367" s="123"/>
      <c r="Y1367" s="123">
        <v>0.0</v>
      </c>
      <c r="Z1367" s="123">
        <v>0.0</v>
      </c>
      <c r="AA1367" s="123">
        <v>0.0</v>
      </c>
      <c r="AB1367" s="123"/>
      <c r="AC1367" s="123">
        <v>0.0</v>
      </c>
      <c r="AD1367" s="44">
        <f t="shared" si="7"/>
        <v>-75000</v>
      </c>
      <c r="AE1367" s="123">
        <v>0.0</v>
      </c>
    </row>
    <row r="1368">
      <c r="A1368" s="120">
        <v>2017.0</v>
      </c>
      <c r="B1368" s="121">
        <v>10.0</v>
      </c>
      <c r="C1368" s="122" t="s">
        <v>46</v>
      </c>
      <c r="D1368" s="44"/>
      <c r="E1368" s="123">
        <v>28323.43</v>
      </c>
      <c r="F1368" s="123">
        <v>-46700.0</v>
      </c>
      <c r="G1368" s="44"/>
      <c r="H1368" s="123">
        <v>-7075.61</v>
      </c>
      <c r="I1368" s="44"/>
      <c r="J1368" s="123">
        <v>7636.91</v>
      </c>
      <c r="K1368" s="44"/>
      <c r="L1368" s="123">
        <v>146569.31</v>
      </c>
      <c r="M1368" s="44"/>
      <c r="N1368" s="44"/>
      <c r="O1368" s="123">
        <v>1469612.0</v>
      </c>
      <c r="P1368" s="52">
        <f t="shared" si="23"/>
        <v>1469611.71</v>
      </c>
      <c r="Q1368" s="124">
        <f t="shared" si="2"/>
        <v>0.2899999998</v>
      </c>
      <c r="R1368" s="52">
        <f t="array" ref="R1368">IFERROR(INDEX('Fund YTD Target Values'!$1:$1000, MATCH($C1368,'Fund YTD Target Values'!$A:$A,0), MATCH($A1368,'Fund YTD Target Values'!$1:$1,0)),0)</f>
        <v>1541591.16</v>
      </c>
      <c r="S1368" s="52">
        <f>IFERROR(__xludf.DUMMYFUNCTION("IFERROR(sum(FILTER('Fund Data'!$V:$V, 'Fund Data'!$C:$C = $C1368, 'Fund Data'!$A:$A &lt; $A1368)),0) + IFERROR(sum(FILTER('Fund Data'!$V:$V, 'Fund Data'!$C:$C = $C1368, 'Fund Data'!$A:$A = $A1368, 'Fund Data'!$B:$B &lt;= $B1368)),0)"),1086625.0)</f>
        <v>1086625</v>
      </c>
      <c r="T1368" s="123">
        <v>1071625.0</v>
      </c>
      <c r="U1368" s="44">
        <f t="shared" si="128"/>
        <v>15000</v>
      </c>
      <c r="V1368" s="44">
        <f t="shared" si="3"/>
        <v>0</v>
      </c>
      <c r="W1368" s="123"/>
      <c r="X1368" s="123"/>
      <c r="Y1368" s="123">
        <v>0.0</v>
      </c>
      <c r="Z1368" s="123">
        <v>0.0</v>
      </c>
      <c r="AA1368" s="123">
        <v>0.0</v>
      </c>
      <c r="AB1368" s="123"/>
      <c r="AC1368" s="123">
        <v>0.0</v>
      </c>
      <c r="AD1368" s="44">
        <f t="shared" si="7"/>
        <v>-46700</v>
      </c>
      <c r="AE1368" s="123">
        <v>0.0</v>
      </c>
    </row>
    <row r="1369">
      <c r="A1369" s="120">
        <v>2017.0</v>
      </c>
      <c r="B1369" s="121">
        <v>9.0</v>
      </c>
      <c r="C1369" s="122" t="s">
        <v>46</v>
      </c>
      <c r="D1369" s="44"/>
      <c r="E1369" s="123">
        <v>25265.66</v>
      </c>
      <c r="F1369" s="123">
        <v>-26700.0</v>
      </c>
      <c r="G1369" s="44"/>
      <c r="H1369" s="123">
        <v>-6341.49</v>
      </c>
      <c r="I1369" s="44"/>
      <c r="J1369" s="123">
        <v>1947.29</v>
      </c>
      <c r="K1369" s="44"/>
      <c r="L1369" s="123">
        <v>133203.51</v>
      </c>
      <c r="M1369" s="44"/>
      <c r="N1369" s="44"/>
      <c r="O1369" s="123">
        <v>1468233.0</v>
      </c>
      <c r="P1369" s="52">
        <f t="shared" si="23"/>
        <v>1468232.64</v>
      </c>
      <c r="Q1369" s="124">
        <f t="shared" si="2"/>
        <v>0.3599999999</v>
      </c>
      <c r="R1369" s="52">
        <f t="array" ref="R1369">IFERROR(INDEX('Fund YTD Target Values'!$1:$1000, MATCH($C1369,'Fund YTD Target Values'!$A:$A,0), MATCH($A1369,'Fund YTD Target Values'!$1:$1,0)),0)</f>
        <v>1541591.16</v>
      </c>
      <c r="S1369" s="52">
        <f>IFERROR(__xludf.DUMMYFUNCTION("IFERROR(sum(FILTER('Fund Data'!$V:$V, 'Fund Data'!$C:$C = $C1369, 'Fund Data'!$A:$A &lt; $A1369)),0) + IFERROR(sum(FILTER('Fund Data'!$V:$V, 'Fund Data'!$C:$C = $C1369, 'Fund Data'!$A:$A = $A1369, 'Fund Data'!$B:$B &lt;= $B1369)),0)"),1086625.0)</f>
        <v>1086625</v>
      </c>
      <c r="T1369" s="123">
        <v>1071625.0</v>
      </c>
      <c r="U1369" s="44">
        <f t="shared" si="128"/>
        <v>15000</v>
      </c>
      <c r="V1369" s="44">
        <f t="shared" si="3"/>
        <v>0</v>
      </c>
      <c r="W1369" s="123"/>
      <c r="X1369" s="123"/>
      <c r="Y1369" s="123">
        <v>0.0</v>
      </c>
      <c r="Z1369" s="123">
        <v>0.0</v>
      </c>
      <c r="AA1369" s="123">
        <v>0.0</v>
      </c>
      <c r="AB1369" s="123"/>
      <c r="AC1369" s="123">
        <v>0.0</v>
      </c>
      <c r="AD1369" s="44">
        <f t="shared" si="7"/>
        <v>-26700</v>
      </c>
      <c r="AE1369" s="123">
        <v>0.0</v>
      </c>
    </row>
    <row r="1370">
      <c r="A1370" s="120">
        <v>2017.0</v>
      </c>
      <c r="B1370" s="121">
        <v>8.0</v>
      </c>
      <c r="C1370" s="122" t="s">
        <v>46</v>
      </c>
      <c r="D1370" s="44"/>
      <c r="E1370" s="123">
        <v>23436.07</v>
      </c>
      <c r="F1370" s="123">
        <v>-25400.0</v>
      </c>
      <c r="G1370" s="44"/>
      <c r="H1370" s="123">
        <v>-5614.48</v>
      </c>
      <c r="I1370" s="44"/>
      <c r="J1370" s="123">
        <v>1947.29</v>
      </c>
      <c r="K1370" s="44"/>
      <c r="L1370" s="123">
        <v>118796.75</v>
      </c>
      <c r="M1370" s="44"/>
      <c r="N1370" s="44"/>
      <c r="O1370" s="123">
        <v>1454024.0</v>
      </c>
      <c r="P1370" s="52">
        <f t="shared" si="23"/>
        <v>1454023.3</v>
      </c>
      <c r="Q1370" s="124">
        <f t="shared" si="2"/>
        <v>0.6999999997</v>
      </c>
      <c r="R1370" s="52">
        <f t="array" ref="R1370">IFERROR(INDEX('Fund YTD Target Values'!$1:$1000, MATCH($C1370,'Fund YTD Target Values'!$A:$A,0), MATCH($A1370,'Fund YTD Target Values'!$1:$1,0)),0)</f>
        <v>1541591.16</v>
      </c>
      <c r="S1370" s="52">
        <f>IFERROR(__xludf.DUMMYFUNCTION("IFERROR(sum(FILTER('Fund Data'!$V:$V, 'Fund Data'!$C:$C = $C1370, 'Fund Data'!$A:$A &lt; $A1370)),0) + IFERROR(sum(FILTER('Fund Data'!$V:$V, 'Fund Data'!$C:$C = $C1370, 'Fund Data'!$A:$A = $A1370, 'Fund Data'!$B:$B &lt;= $B1370)),0)"),1086625.0)</f>
        <v>1086625</v>
      </c>
      <c r="T1370" s="123">
        <v>1071625.0</v>
      </c>
      <c r="U1370" s="44">
        <f t="shared" si="128"/>
        <v>15000</v>
      </c>
      <c r="V1370" s="44">
        <f t="shared" si="3"/>
        <v>0</v>
      </c>
      <c r="W1370" s="123"/>
      <c r="X1370" s="123"/>
      <c r="Y1370" s="123">
        <v>0.0</v>
      </c>
      <c r="Z1370" s="123">
        <v>0.0</v>
      </c>
      <c r="AA1370" s="123">
        <v>0.0</v>
      </c>
      <c r="AB1370" s="123"/>
      <c r="AC1370" s="123">
        <v>0.0</v>
      </c>
      <c r="AD1370" s="44">
        <f t="shared" si="7"/>
        <v>-25400</v>
      </c>
      <c r="AE1370" s="123">
        <v>0.0</v>
      </c>
    </row>
    <row r="1371">
      <c r="A1371" s="120">
        <v>2017.0</v>
      </c>
      <c r="B1371" s="121">
        <v>7.0</v>
      </c>
      <c r="C1371" s="122" t="s">
        <v>46</v>
      </c>
      <c r="D1371" s="44"/>
      <c r="E1371" s="123">
        <v>22443.26</v>
      </c>
      <c r="F1371" s="123">
        <v>-21600.0</v>
      </c>
      <c r="G1371" s="44"/>
      <c r="H1371" s="123">
        <v>-4887.6</v>
      </c>
      <c r="I1371" s="44"/>
      <c r="J1371" s="123">
        <v>1947.29</v>
      </c>
      <c r="K1371" s="44"/>
      <c r="L1371" s="123">
        <v>115002.87</v>
      </c>
      <c r="M1371" s="44"/>
      <c r="N1371" s="44"/>
      <c r="O1371" s="123">
        <v>1453764.0</v>
      </c>
      <c r="P1371" s="52">
        <f t="shared" si="23"/>
        <v>1453763.49</v>
      </c>
      <c r="Q1371" s="124">
        <f t="shared" si="2"/>
        <v>0.5099999998</v>
      </c>
      <c r="R1371" s="52">
        <f t="array" ref="R1371">IFERROR(INDEX('Fund YTD Target Values'!$1:$1000, MATCH($C1371,'Fund YTD Target Values'!$A:$A,0), MATCH($A1371,'Fund YTD Target Values'!$1:$1,0)),0)</f>
        <v>1541591.16</v>
      </c>
      <c r="S1371" s="52">
        <f>IFERROR(__xludf.DUMMYFUNCTION("IFERROR(sum(FILTER('Fund Data'!$V:$V, 'Fund Data'!$C:$C = $C1371, 'Fund Data'!$A:$A &lt; $A1371)),0) + IFERROR(sum(FILTER('Fund Data'!$V:$V, 'Fund Data'!$C:$C = $C1371, 'Fund Data'!$A:$A = $A1371, 'Fund Data'!$B:$B &lt;= $B1371)),0)"),1086625.0)</f>
        <v>1086625</v>
      </c>
      <c r="T1371" s="123">
        <v>1071625.0</v>
      </c>
      <c r="U1371" s="44">
        <f t="shared" si="128"/>
        <v>15000</v>
      </c>
      <c r="V1371" s="44">
        <f t="shared" si="3"/>
        <v>0</v>
      </c>
      <c r="W1371" s="123"/>
      <c r="X1371" s="123"/>
      <c r="Y1371" s="123">
        <v>0.0</v>
      </c>
      <c r="Z1371" s="123">
        <v>0.0</v>
      </c>
      <c r="AA1371" s="123">
        <v>0.0</v>
      </c>
      <c r="AB1371" s="123"/>
      <c r="AC1371" s="123">
        <v>0.0</v>
      </c>
      <c r="AD1371" s="44">
        <f t="shared" si="7"/>
        <v>-21600</v>
      </c>
      <c r="AE1371" s="123">
        <v>0.0</v>
      </c>
    </row>
    <row r="1372">
      <c r="A1372" s="120">
        <v>2017.0</v>
      </c>
      <c r="B1372" s="121">
        <v>6.0</v>
      </c>
      <c r="C1372" s="122" t="s">
        <v>46</v>
      </c>
      <c r="D1372" s="44"/>
      <c r="E1372" s="123">
        <v>17878.59</v>
      </c>
      <c r="F1372" s="123">
        <v>-21600.0</v>
      </c>
      <c r="G1372" s="44"/>
      <c r="H1372" s="123">
        <v>-4177.6</v>
      </c>
      <c r="I1372" s="44"/>
      <c r="J1372" s="123">
        <v>1947.29</v>
      </c>
      <c r="K1372" s="44"/>
      <c r="L1372" s="123">
        <v>85001.26</v>
      </c>
      <c r="M1372" s="44"/>
      <c r="N1372" s="44"/>
      <c r="O1372" s="123">
        <v>1419908.0</v>
      </c>
      <c r="P1372" s="52">
        <f t="shared" si="23"/>
        <v>1419907.21</v>
      </c>
      <c r="Q1372" s="124">
        <f t="shared" si="2"/>
        <v>0.7899999998</v>
      </c>
      <c r="R1372" s="52">
        <f t="array" ref="R1372">IFERROR(INDEX('Fund YTD Target Values'!$1:$1000, MATCH($C1372,'Fund YTD Target Values'!$A:$A,0), MATCH($A1372,'Fund YTD Target Values'!$1:$1,0)),0)</f>
        <v>1541591.16</v>
      </c>
      <c r="S1372" s="52">
        <f>IFERROR(__xludf.DUMMYFUNCTION("IFERROR(sum(FILTER('Fund Data'!$V:$V, 'Fund Data'!$C:$C = $C1372, 'Fund Data'!$A:$A &lt; $A1372)),0) + IFERROR(sum(FILTER('Fund Data'!$V:$V, 'Fund Data'!$C:$C = $C1372, 'Fund Data'!$A:$A = $A1372, 'Fund Data'!$B:$B &lt;= $B1372)),0)"),1086625.0)</f>
        <v>1086625</v>
      </c>
      <c r="T1372" s="123">
        <v>1071625.0</v>
      </c>
      <c r="U1372" s="44">
        <f t="shared" si="128"/>
        <v>15000</v>
      </c>
      <c r="V1372" s="44">
        <f t="shared" si="3"/>
        <v>0</v>
      </c>
      <c r="W1372" s="123"/>
      <c r="X1372" s="123"/>
      <c r="Y1372" s="123">
        <v>0.0</v>
      </c>
      <c r="Z1372" s="123">
        <v>0.0</v>
      </c>
      <c r="AA1372" s="123">
        <v>0.0</v>
      </c>
      <c r="AB1372" s="123"/>
      <c r="AC1372" s="123">
        <v>0.0</v>
      </c>
      <c r="AD1372" s="44">
        <f t="shared" si="7"/>
        <v>-21600</v>
      </c>
      <c r="AE1372" s="123">
        <v>0.0</v>
      </c>
    </row>
    <row r="1373">
      <c r="A1373" s="120">
        <v>2017.0</v>
      </c>
      <c r="B1373" s="121">
        <v>5.0</v>
      </c>
      <c r="C1373" s="122" t="s">
        <v>46</v>
      </c>
      <c r="D1373" s="44"/>
      <c r="E1373" s="123">
        <v>16925.37</v>
      </c>
      <c r="F1373" s="123">
        <v>-21600.0</v>
      </c>
      <c r="G1373" s="44"/>
      <c r="H1373" s="123">
        <v>-3469.01</v>
      </c>
      <c r="I1373" s="44"/>
      <c r="J1373" s="123">
        <v>1947.29</v>
      </c>
      <c r="K1373" s="44"/>
      <c r="L1373" s="123">
        <v>81916.24</v>
      </c>
      <c r="M1373" s="44"/>
      <c r="N1373" s="44"/>
      <c r="O1373" s="123">
        <v>1416578.0</v>
      </c>
      <c r="P1373" s="52">
        <f t="shared" si="23"/>
        <v>1416577.56</v>
      </c>
      <c r="Q1373" s="124">
        <f t="shared" si="2"/>
        <v>0.4399999999</v>
      </c>
      <c r="R1373" s="52">
        <f t="array" ref="R1373">IFERROR(INDEX('Fund YTD Target Values'!$1:$1000, MATCH($C1373,'Fund YTD Target Values'!$A:$A,0), MATCH($A1373,'Fund YTD Target Values'!$1:$1,0)),0)</f>
        <v>1541591.16</v>
      </c>
      <c r="S1373" s="52">
        <f>IFERROR(__xludf.DUMMYFUNCTION("IFERROR(sum(FILTER('Fund Data'!$V:$V, 'Fund Data'!$C:$C = $C1373, 'Fund Data'!$A:$A &lt; $A1373)),0) + IFERROR(sum(FILTER('Fund Data'!$V:$V, 'Fund Data'!$C:$C = $C1373, 'Fund Data'!$A:$A = $A1373, 'Fund Data'!$B:$B &lt;= $B1373)),0)"),1086625.0)</f>
        <v>1086625</v>
      </c>
      <c r="T1373" s="123">
        <v>1071625.0</v>
      </c>
      <c r="U1373" s="44">
        <f t="shared" si="128"/>
        <v>15000</v>
      </c>
      <c r="V1373" s="44">
        <f t="shared" si="3"/>
        <v>0</v>
      </c>
      <c r="W1373" s="123"/>
      <c r="X1373" s="123"/>
      <c r="Y1373" s="123">
        <v>0.0</v>
      </c>
      <c r="Z1373" s="123">
        <v>0.0</v>
      </c>
      <c r="AA1373" s="123">
        <v>0.0</v>
      </c>
      <c r="AB1373" s="123"/>
      <c r="AC1373" s="123">
        <v>0.0</v>
      </c>
      <c r="AD1373" s="44">
        <f t="shared" si="7"/>
        <v>-21600</v>
      </c>
      <c r="AE1373" s="123">
        <v>0.0</v>
      </c>
    </row>
    <row r="1374">
      <c r="A1374" s="120">
        <v>2017.0</v>
      </c>
      <c r="B1374" s="121">
        <v>4.0</v>
      </c>
      <c r="C1374" s="122" t="s">
        <v>46</v>
      </c>
      <c r="D1374" s="44"/>
      <c r="E1374" s="123">
        <v>16001.44</v>
      </c>
      <c r="F1374" s="44"/>
      <c r="G1374" s="44"/>
      <c r="H1374" s="123">
        <v>-2758.06</v>
      </c>
      <c r="I1374" s="44"/>
      <c r="J1374" s="44"/>
      <c r="K1374" s="44"/>
      <c r="L1374" s="123">
        <v>67807.27</v>
      </c>
      <c r="M1374" s="44"/>
      <c r="N1374" s="44"/>
      <c r="O1374" s="123">
        <v>1421909.0</v>
      </c>
      <c r="P1374" s="52">
        <f t="shared" si="23"/>
        <v>1421908.32</v>
      </c>
      <c r="Q1374" s="124">
        <f t="shared" si="2"/>
        <v>0.6799999999</v>
      </c>
      <c r="R1374" s="52">
        <f t="array" ref="R1374">IFERROR(INDEX('Fund YTD Target Values'!$1:$1000, MATCH($C1374,'Fund YTD Target Values'!$A:$A,0), MATCH($A1374,'Fund YTD Target Values'!$1:$1,0)),0)</f>
        <v>1541591.16</v>
      </c>
      <c r="S1374" s="52">
        <f>IFERROR(__xludf.DUMMYFUNCTION("IFERROR(sum(FILTER('Fund Data'!$V:$V, 'Fund Data'!$C:$C = $C1374, 'Fund Data'!$A:$A &lt; $A1374)),0) + IFERROR(sum(FILTER('Fund Data'!$V:$V, 'Fund Data'!$C:$C = $C1374, 'Fund Data'!$A:$A = $A1374, 'Fund Data'!$B:$B &lt;= $B1374)),0)"),1086625.0)</f>
        <v>1086625</v>
      </c>
      <c r="T1374" s="123">
        <v>1071625.0</v>
      </c>
      <c r="U1374" s="44">
        <f t="shared" si="128"/>
        <v>15000</v>
      </c>
      <c r="V1374" s="44">
        <f t="shared" si="3"/>
        <v>0</v>
      </c>
      <c r="W1374" s="123"/>
      <c r="X1374" s="123"/>
      <c r="Y1374" s="123">
        <v>0.0</v>
      </c>
      <c r="Z1374" s="123">
        <v>0.0</v>
      </c>
      <c r="AA1374" s="123">
        <v>0.0</v>
      </c>
      <c r="AB1374" s="123"/>
      <c r="AC1374" s="123">
        <v>0.0</v>
      </c>
      <c r="AD1374" s="44">
        <f t="shared" si="7"/>
        <v>0</v>
      </c>
      <c r="AE1374" s="123">
        <v>0.0</v>
      </c>
    </row>
    <row r="1375">
      <c r="A1375" s="120">
        <v>2017.0</v>
      </c>
      <c r="B1375" s="121">
        <v>3.0</v>
      </c>
      <c r="C1375" s="122" t="s">
        <v>46</v>
      </c>
      <c r="D1375" s="44"/>
      <c r="E1375" s="123">
        <v>12109.67</v>
      </c>
      <c r="F1375" s="44"/>
      <c r="G1375" s="44"/>
      <c r="H1375" s="123">
        <v>-2055.83</v>
      </c>
      <c r="I1375" s="44"/>
      <c r="J1375" s="44"/>
      <c r="K1375" s="44"/>
      <c r="L1375" s="123">
        <v>53543.67</v>
      </c>
      <c r="M1375" s="44"/>
      <c r="N1375" s="44"/>
      <c r="O1375" s="123">
        <v>1404456.0</v>
      </c>
      <c r="P1375" s="52">
        <f t="shared" si="23"/>
        <v>1404455.18</v>
      </c>
      <c r="Q1375" s="124">
        <f t="shared" si="2"/>
        <v>0.8199999998</v>
      </c>
      <c r="R1375" s="52">
        <f t="array" ref="R1375">IFERROR(INDEX('Fund YTD Target Values'!$1:$1000, MATCH($C1375,'Fund YTD Target Values'!$A:$A,0), MATCH($A1375,'Fund YTD Target Values'!$1:$1,0)),0)</f>
        <v>1541591.16</v>
      </c>
      <c r="S1375" s="52">
        <f>IFERROR(__xludf.DUMMYFUNCTION("IFERROR(sum(FILTER('Fund Data'!$V:$V, 'Fund Data'!$C:$C = $C1375, 'Fund Data'!$A:$A &lt; $A1375)),0) + IFERROR(sum(FILTER('Fund Data'!$V:$V, 'Fund Data'!$C:$C = $C1375, 'Fund Data'!$A:$A = $A1375, 'Fund Data'!$B:$B &lt;= $B1375)),0)"),1086625.0)</f>
        <v>1086625</v>
      </c>
      <c r="T1375" s="123">
        <v>1071625.0</v>
      </c>
      <c r="U1375" s="44">
        <f t="shared" si="128"/>
        <v>15000</v>
      </c>
      <c r="V1375" s="44">
        <f t="shared" si="3"/>
        <v>0</v>
      </c>
      <c r="W1375" s="123"/>
      <c r="X1375" s="123"/>
      <c r="Y1375" s="123">
        <v>0.0</v>
      </c>
      <c r="Z1375" s="123">
        <v>0.0</v>
      </c>
      <c r="AA1375" s="123">
        <v>0.0</v>
      </c>
      <c r="AB1375" s="123"/>
      <c r="AC1375" s="123">
        <v>0.0</v>
      </c>
      <c r="AD1375" s="44">
        <f t="shared" si="7"/>
        <v>0</v>
      </c>
      <c r="AE1375" s="123">
        <v>0.0</v>
      </c>
    </row>
    <row r="1376">
      <c r="A1376" s="120">
        <v>2017.0</v>
      </c>
      <c r="B1376" s="121">
        <v>2.0</v>
      </c>
      <c r="C1376" s="122" t="s">
        <v>46</v>
      </c>
      <c r="D1376" s="44"/>
      <c r="E1376" s="123">
        <v>11170.41</v>
      </c>
      <c r="F1376" s="44"/>
      <c r="G1376" s="44"/>
      <c r="H1376" s="123">
        <v>-1356.23</v>
      </c>
      <c r="I1376" s="44"/>
      <c r="J1376" s="44"/>
      <c r="K1376" s="44"/>
      <c r="L1376" s="123">
        <v>48528.34</v>
      </c>
      <c r="M1376" s="44"/>
      <c r="N1376" s="44"/>
      <c r="O1376" s="123">
        <v>1399201.0</v>
      </c>
      <c r="P1376" s="52">
        <f t="shared" si="23"/>
        <v>1399200.19</v>
      </c>
      <c r="Q1376" s="124">
        <f t="shared" si="2"/>
        <v>0.8099999998</v>
      </c>
      <c r="R1376" s="52">
        <f t="array" ref="R1376">IFERROR(INDEX('Fund YTD Target Values'!$1:$1000, MATCH($C1376,'Fund YTD Target Values'!$A:$A,0), MATCH($A1376,'Fund YTD Target Values'!$1:$1,0)),0)</f>
        <v>1541591.16</v>
      </c>
      <c r="S1376" s="52">
        <f>IFERROR(__xludf.DUMMYFUNCTION("IFERROR(sum(FILTER('Fund Data'!$V:$V, 'Fund Data'!$C:$C = $C1376, 'Fund Data'!$A:$A &lt; $A1376)),0) + IFERROR(sum(FILTER('Fund Data'!$V:$V, 'Fund Data'!$C:$C = $C1376, 'Fund Data'!$A:$A = $A1376, 'Fund Data'!$B:$B &lt;= $B1376)),0)"),1086625.0)</f>
        <v>1086625</v>
      </c>
      <c r="T1376" s="123">
        <v>1071625.0</v>
      </c>
      <c r="U1376" s="44">
        <f t="shared" si="128"/>
        <v>15000</v>
      </c>
      <c r="V1376" s="44">
        <f t="shared" si="3"/>
        <v>0</v>
      </c>
      <c r="W1376" s="123"/>
      <c r="X1376" s="123"/>
      <c r="Y1376" s="123">
        <v>0.0</v>
      </c>
      <c r="Z1376" s="123">
        <v>0.0</v>
      </c>
      <c r="AA1376" s="123">
        <v>0.0</v>
      </c>
      <c r="AB1376" s="123"/>
      <c r="AC1376" s="123">
        <v>0.0</v>
      </c>
      <c r="AD1376" s="44">
        <f t="shared" si="7"/>
        <v>0</v>
      </c>
      <c r="AE1376" s="123">
        <v>0.0</v>
      </c>
    </row>
    <row r="1377">
      <c r="A1377" s="120">
        <v>2017.0</v>
      </c>
      <c r="B1377" s="121">
        <v>1.0</v>
      </c>
      <c r="C1377" s="122" t="s">
        <v>46</v>
      </c>
      <c r="D1377" s="44"/>
      <c r="E1377" s="123">
        <v>10202.33</v>
      </c>
      <c r="F1377" s="44"/>
      <c r="G1377" s="44"/>
      <c r="H1377" s="123">
        <v>-670.43</v>
      </c>
      <c r="I1377" s="44"/>
      <c r="J1377" s="44"/>
      <c r="K1377" s="44"/>
      <c r="L1377" s="123">
        <v>21214.85</v>
      </c>
      <c r="M1377" s="44"/>
      <c r="N1377" s="44"/>
      <c r="O1377" s="123">
        <v>1371605.0</v>
      </c>
      <c r="P1377" s="52">
        <f t="shared" si="23"/>
        <v>1371604.42</v>
      </c>
      <c r="Q1377" s="124">
        <f t="shared" si="2"/>
        <v>0.5799999998</v>
      </c>
      <c r="R1377" s="52">
        <f t="array" ref="R1377">IFERROR(INDEX('Fund YTD Target Values'!$1:$1000, MATCH($C1377,'Fund YTD Target Values'!$A:$A,0), MATCH($A1377,'Fund YTD Target Values'!$1:$1,0)),0)</f>
        <v>1541591.16</v>
      </c>
      <c r="S1377" s="52">
        <f>IFERROR(__xludf.DUMMYFUNCTION("IFERROR(sum(FILTER('Fund Data'!$V:$V, 'Fund Data'!$C:$C = $C1377, 'Fund Data'!$A:$A &lt; $A1377)),0) + IFERROR(sum(FILTER('Fund Data'!$V:$V, 'Fund Data'!$C:$C = $C1377, 'Fund Data'!$A:$A = $A1377, 'Fund Data'!$B:$B &lt;= $B1377)),0)"),1086625.0)</f>
        <v>1086625</v>
      </c>
      <c r="T1377" s="123">
        <v>1071625.0</v>
      </c>
      <c r="U1377" s="44">
        <f t="shared" si="128"/>
        <v>15000</v>
      </c>
      <c r="V1377" s="44">
        <f t="shared" si="3"/>
        <v>0</v>
      </c>
      <c r="W1377" s="123"/>
      <c r="X1377" s="123"/>
      <c r="Y1377" s="123">
        <v>0.0</v>
      </c>
      <c r="Z1377" s="123">
        <v>0.0</v>
      </c>
      <c r="AA1377" s="123">
        <v>0.0</v>
      </c>
      <c r="AB1377" s="123"/>
      <c r="AC1377" s="123">
        <v>0.0</v>
      </c>
      <c r="AD1377" s="44">
        <f t="shared" si="7"/>
        <v>0</v>
      </c>
      <c r="AE1377" s="123">
        <v>0.0</v>
      </c>
    </row>
    <row r="1378">
      <c r="A1378" s="120">
        <v>2016.0</v>
      </c>
      <c r="B1378" s="121">
        <v>12.0</v>
      </c>
      <c r="C1378" s="122" t="s">
        <v>46</v>
      </c>
      <c r="D1378" s="44"/>
      <c r="E1378" s="123">
        <v>29392.31</v>
      </c>
      <c r="F1378" s="123">
        <v>-64465.0</v>
      </c>
      <c r="G1378" s="123"/>
      <c r="H1378" s="123">
        <v>-8039.76</v>
      </c>
      <c r="I1378" s="44"/>
      <c r="J1378" s="123">
        <v>10506.71</v>
      </c>
      <c r="K1378" s="44"/>
      <c r="L1378" s="123">
        <v>48452.67</v>
      </c>
      <c r="M1378" s="44"/>
      <c r="N1378" s="44"/>
      <c r="O1378" s="123">
        <v>1340858.0</v>
      </c>
      <c r="P1378" s="52">
        <f t="shared" si="23"/>
        <v>1340857.67</v>
      </c>
      <c r="Q1378" s="124">
        <f t="shared" si="2"/>
        <v>0.3299999998</v>
      </c>
      <c r="R1378" s="52">
        <f t="array" ref="R1378">IFERROR(INDEX('Fund YTD Target Values'!$1:$1000, MATCH($C1378,'Fund YTD Target Values'!$A:$A,0), MATCH($A1378,'Fund YTD Target Values'!$1:$1,0)),0)</f>
        <v>1509416.218</v>
      </c>
      <c r="S1378" s="52">
        <f>IFERROR(__xludf.DUMMYFUNCTION("IFERROR(sum(FILTER('Fund Data'!$V:$V, 'Fund Data'!$C:$C = $C1378, 'Fund Data'!$A:$A &lt; $A1378)),0) + IFERROR(sum(FILTER('Fund Data'!$V:$V, 'Fund Data'!$C:$C = $C1378, 'Fund Data'!$A:$A = $A1378, 'Fund Data'!$B:$B &lt;= $B1378)),0)"),1086625.0)</f>
        <v>1086625</v>
      </c>
      <c r="T1378" s="123">
        <v>1071625.0</v>
      </c>
      <c r="U1378" s="44">
        <f t="shared" si="128"/>
        <v>15000</v>
      </c>
      <c r="V1378" s="44">
        <f t="shared" si="3"/>
        <v>0</v>
      </c>
      <c r="W1378" s="123"/>
      <c r="X1378" s="123"/>
      <c r="Y1378" s="123">
        <v>0.0</v>
      </c>
      <c r="Z1378" s="123">
        <v>0.0</v>
      </c>
      <c r="AA1378" s="123">
        <v>0.0</v>
      </c>
      <c r="AB1378" s="123"/>
      <c r="AC1378" s="123">
        <v>0.0</v>
      </c>
      <c r="AD1378" s="44">
        <f t="shared" si="7"/>
        <v>-64465</v>
      </c>
      <c r="AE1378" s="123">
        <v>0.0</v>
      </c>
    </row>
    <row r="1379">
      <c r="A1379" s="120">
        <v>2015.0</v>
      </c>
      <c r="B1379" s="121">
        <v>12.0</v>
      </c>
      <c r="C1379" s="122" t="s">
        <v>46</v>
      </c>
      <c r="D1379" s="123">
        <v>5000.0</v>
      </c>
      <c r="E1379" s="123">
        <v>33344.76</v>
      </c>
      <c r="F1379" s="123">
        <v>-70795.0</v>
      </c>
      <c r="G1379" s="123"/>
      <c r="H1379" s="123">
        <v>-8515.99</v>
      </c>
      <c r="I1379" s="44"/>
      <c r="J1379" s="123">
        <v>4598.36</v>
      </c>
      <c r="K1379" s="44"/>
      <c r="L1379" s="123">
        <v>-66056.75</v>
      </c>
      <c r="M1379" s="44"/>
      <c r="N1379" s="44"/>
      <c r="O1379" s="123">
        <v>1325012.0</v>
      </c>
      <c r="P1379" s="52">
        <f t="shared" si="23"/>
        <v>1325010.74</v>
      </c>
      <c r="Q1379" s="124">
        <f t="shared" si="2"/>
        <v>1.26</v>
      </c>
      <c r="R1379" s="52">
        <f t="array" ref="R1379">IFERROR(INDEX('Fund YTD Target Values'!$1:$1000, MATCH($C1379,'Fund YTD Target Values'!$A:$A,0), MATCH($A1379,'Fund YTD Target Values'!$1:$1,0)),0)</f>
        <v>1490607.084</v>
      </c>
      <c r="S1379" s="52">
        <f>IFERROR(__xludf.DUMMYFUNCTION("IFERROR(sum(FILTER('Fund Data'!$V:$V, 'Fund Data'!$C:$C = $C1379, 'Fund Data'!$A:$A &lt; $A1379)),0) + IFERROR(sum(FILTER('Fund Data'!$V:$V, 'Fund Data'!$C:$C = $C1379, 'Fund Data'!$A:$A = $A1379, 'Fund Data'!$B:$B &lt;= $B1379)),0)"),1086625.0)</f>
        <v>1086625</v>
      </c>
      <c r="T1379" s="123">
        <v>1071625.0</v>
      </c>
      <c r="U1379" s="44">
        <f t="shared" si="128"/>
        <v>15000</v>
      </c>
      <c r="V1379" s="44">
        <f t="shared" si="3"/>
        <v>5000</v>
      </c>
      <c r="W1379" s="123"/>
      <c r="X1379" s="123"/>
      <c r="Y1379" s="123">
        <v>0.0</v>
      </c>
      <c r="Z1379" s="123">
        <v>0.0</v>
      </c>
      <c r="AA1379" s="123">
        <v>0.0</v>
      </c>
      <c r="AB1379" s="123"/>
      <c r="AC1379" s="123">
        <v>0.0</v>
      </c>
      <c r="AD1379" s="44">
        <f t="shared" si="7"/>
        <v>-70795</v>
      </c>
      <c r="AE1379" s="123">
        <v>0.0</v>
      </c>
    </row>
    <row r="1380">
      <c r="A1380" s="120">
        <v>2014.0</v>
      </c>
      <c r="B1380" s="121">
        <v>12.0</v>
      </c>
      <c r="C1380" s="122" t="s">
        <v>46</v>
      </c>
      <c r="D1380" s="123">
        <v>15000.0</v>
      </c>
      <c r="E1380" s="123">
        <v>27687.14</v>
      </c>
      <c r="F1380" s="123">
        <v>-68500.0</v>
      </c>
      <c r="G1380" s="123"/>
      <c r="H1380" s="123">
        <v>-8882.38</v>
      </c>
      <c r="I1380" s="44"/>
      <c r="J1380" s="123">
        <v>9546.1</v>
      </c>
      <c r="K1380" s="44"/>
      <c r="L1380" s="123">
        <v>-2232.36</v>
      </c>
      <c r="M1380" s="44"/>
      <c r="N1380" s="44"/>
      <c r="O1380" s="123">
        <v>1427436.0</v>
      </c>
      <c r="P1380" s="52">
        <f t="shared" si="23"/>
        <v>1427435.36</v>
      </c>
      <c r="Q1380" s="124">
        <f t="shared" si="2"/>
        <v>0.6399999997</v>
      </c>
      <c r="R1380" s="52">
        <f t="array" ref="R1380">IFERROR(INDEX('Fund YTD Target Values'!$1:$1000, MATCH($C1380,'Fund YTD Target Values'!$A:$A,0), MATCH($A1380,'Fund YTD Target Values'!$1:$1,0)),0)</f>
        <v>1483842.802</v>
      </c>
      <c r="S1380" s="52">
        <f>IFERROR(__xludf.DUMMYFUNCTION("IFERROR(sum(FILTER('Fund Data'!$V:$V, 'Fund Data'!$C:$C = $C1380, 'Fund Data'!$A:$A &lt; $A1380)),0) + IFERROR(sum(FILTER('Fund Data'!$V:$V, 'Fund Data'!$C:$C = $C1380, 'Fund Data'!$A:$A = $A1380, 'Fund Data'!$B:$B &lt;= $B1380)),0)"),1081625.0)</f>
        <v>1081625</v>
      </c>
      <c r="T1380" s="123">
        <v>1066625.0</v>
      </c>
      <c r="U1380" s="44">
        <f t="shared" si="128"/>
        <v>15000</v>
      </c>
      <c r="V1380" s="44">
        <f t="shared" si="3"/>
        <v>15000</v>
      </c>
      <c r="W1380" s="123"/>
      <c r="X1380" s="123"/>
      <c r="Y1380" s="123">
        <v>0.0</v>
      </c>
      <c r="Z1380" s="123">
        <v>0.0</v>
      </c>
      <c r="AA1380" s="123">
        <v>0.0</v>
      </c>
      <c r="AB1380" s="123"/>
      <c r="AC1380" s="123">
        <v>0.0</v>
      </c>
      <c r="AD1380" s="44">
        <f t="shared" si="7"/>
        <v>-68500</v>
      </c>
      <c r="AE1380" s="123">
        <v>0.0</v>
      </c>
    </row>
    <row r="1381">
      <c r="A1381" s="120">
        <v>2013.0</v>
      </c>
      <c r="B1381" s="121">
        <v>12.0</v>
      </c>
      <c r="C1381" s="122" t="s">
        <v>46</v>
      </c>
      <c r="D1381" s="123">
        <v>500.0</v>
      </c>
      <c r="E1381" s="123">
        <v>28954.27</v>
      </c>
      <c r="F1381" s="123">
        <v>-47800.0</v>
      </c>
      <c r="G1381" s="123"/>
      <c r="H1381" s="123">
        <v>-8429.86</v>
      </c>
      <c r="I1381" s="44"/>
      <c r="J1381" s="123">
        <v>4267.53</v>
      </c>
      <c r="K1381" s="44"/>
      <c r="L1381" s="123">
        <v>119057.71</v>
      </c>
      <c r="M1381" s="44"/>
      <c r="N1381" s="44"/>
      <c r="O1381" s="123">
        <v>1454818.0</v>
      </c>
      <c r="P1381" s="52">
        <f t="shared" si="23"/>
        <v>1454816.86</v>
      </c>
      <c r="Q1381" s="124">
        <f t="shared" si="2"/>
        <v>1.14</v>
      </c>
      <c r="R1381" s="52">
        <f t="array" ref="R1381">IFERROR(INDEX('Fund YTD Target Values'!$1:$1000, MATCH($C1381,'Fund YTD Target Values'!$A:$A,0), MATCH($A1381,'Fund YTD Target Values'!$1:$1,0)),0)</f>
        <v>1445399.793</v>
      </c>
      <c r="S1381" s="52">
        <f>IFERROR(__xludf.DUMMYFUNCTION("IFERROR(sum(FILTER('Fund Data'!$V:$V, 'Fund Data'!$C:$C = $C1381, 'Fund Data'!$A:$A &lt; $A1381)),0) + IFERROR(sum(FILTER('Fund Data'!$V:$V, 'Fund Data'!$C:$C = $C1381, 'Fund Data'!$A:$A = $A1381, 'Fund Data'!$B:$B &lt;= $B1381)),0)"),1066625.0)</f>
        <v>1066625</v>
      </c>
      <c r="T1381" s="123">
        <v>1051625.0</v>
      </c>
      <c r="U1381" s="44">
        <f t="shared" si="128"/>
        <v>15000</v>
      </c>
      <c r="V1381" s="44">
        <f t="shared" si="3"/>
        <v>500</v>
      </c>
      <c r="W1381" s="123"/>
      <c r="X1381" s="123"/>
      <c r="Y1381" s="123">
        <v>0.0</v>
      </c>
      <c r="Z1381" s="123">
        <v>0.0</v>
      </c>
      <c r="AA1381" s="123">
        <v>0.0</v>
      </c>
      <c r="AB1381" s="123"/>
      <c r="AC1381" s="123">
        <v>0.0</v>
      </c>
      <c r="AD1381" s="44">
        <f t="shared" si="7"/>
        <v>-47800</v>
      </c>
      <c r="AE1381" s="123">
        <v>0.0</v>
      </c>
    </row>
    <row r="1382">
      <c r="A1382" s="120">
        <v>2012.0</v>
      </c>
      <c r="B1382" s="121">
        <v>12.0</v>
      </c>
      <c r="C1382" s="122" t="s">
        <v>46</v>
      </c>
      <c r="D1382" s="44"/>
      <c r="E1382" s="123">
        <v>27296.67</v>
      </c>
      <c r="F1382" s="123">
        <v>-58100.0</v>
      </c>
      <c r="G1382" s="123"/>
      <c r="H1382" s="123">
        <v>-8034.25</v>
      </c>
      <c r="I1382" s="44"/>
      <c r="J1382" s="123">
        <v>7360.6</v>
      </c>
      <c r="K1382" s="44"/>
      <c r="L1382" s="123">
        <v>125263.83</v>
      </c>
      <c r="M1382" s="44"/>
      <c r="N1382" s="44"/>
      <c r="O1382" s="123">
        <v>1358269.0</v>
      </c>
      <c r="P1382" s="52">
        <f t="shared" si="23"/>
        <v>1358267.21</v>
      </c>
      <c r="Q1382" s="124">
        <f t="shared" si="2"/>
        <v>1.79</v>
      </c>
      <c r="R1382" s="52">
        <f t="array" ref="R1382">IFERROR(INDEX('Fund YTD Target Values'!$1:$1000, MATCH($C1382,'Fund YTD Target Values'!$A:$A,0), MATCH($A1382,'Fund YTD Target Values'!$1:$1,0)),0)</f>
        <v>1424022.968</v>
      </c>
      <c r="S1382" s="52">
        <f>IFERROR(__xludf.DUMMYFUNCTION("IFERROR(sum(FILTER('Fund Data'!$V:$V, 'Fund Data'!$C:$C = $C1382, 'Fund Data'!$A:$A &lt; $A1382)),0) + IFERROR(sum(FILTER('Fund Data'!$V:$V, 'Fund Data'!$C:$C = $C1382, 'Fund Data'!$A:$A = $A1382, 'Fund Data'!$B:$B &lt;= $B1382)),0)"),1066125.0)</f>
        <v>1066125</v>
      </c>
      <c r="T1382" s="123">
        <v>1051125.0</v>
      </c>
      <c r="U1382" s="44">
        <f t="shared" si="128"/>
        <v>15000</v>
      </c>
      <c r="V1382" s="44">
        <f t="shared" si="3"/>
        <v>0</v>
      </c>
      <c r="W1382" s="123"/>
      <c r="X1382" s="123"/>
      <c r="Y1382" s="123">
        <v>0.0</v>
      </c>
      <c r="Z1382" s="123">
        <v>0.0</v>
      </c>
      <c r="AA1382" s="123">
        <v>0.0</v>
      </c>
      <c r="AB1382" s="123"/>
      <c r="AC1382" s="123">
        <v>0.0</v>
      </c>
      <c r="AD1382" s="44">
        <f t="shared" si="7"/>
        <v>-58100</v>
      </c>
      <c r="AE1382" s="123">
        <v>0.0</v>
      </c>
    </row>
    <row r="1383">
      <c r="A1383" s="120">
        <v>2011.0</v>
      </c>
      <c r="B1383" s="121">
        <v>12.0</v>
      </c>
      <c r="C1383" s="122" t="s">
        <v>46</v>
      </c>
      <c r="D1383" s="44"/>
      <c r="E1383" s="123">
        <v>23407.4</v>
      </c>
      <c r="F1383" s="123">
        <v>-56400.0</v>
      </c>
      <c r="G1383" s="123"/>
      <c r="H1383" s="123">
        <v>-8306.03</v>
      </c>
      <c r="I1383" s="44"/>
      <c r="J1383" s="123">
        <v>7269.79</v>
      </c>
      <c r="K1383" s="44"/>
      <c r="L1383" s="123">
        <v>-92346.45</v>
      </c>
      <c r="M1383" s="44"/>
      <c r="N1383" s="44"/>
      <c r="O1383" s="123">
        <v>1264482.0</v>
      </c>
      <c r="P1383" s="52">
        <f t="shared" si="23"/>
        <v>1264480.36</v>
      </c>
      <c r="Q1383" s="124">
        <f t="shared" si="2"/>
        <v>1.64</v>
      </c>
      <c r="R1383" s="52">
        <f t="array" ref="R1383">IFERROR(INDEX('Fund YTD Target Values'!$1:$1000, MATCH($C1383,'Fund YTD Target Values'!$A:$A,0), MATCH($A1383,'Fund YTD Target Values'!$1:$1,0)),0)</f>
        <v>1395099.859</v>
      </c>
      <c r="S1383" s="52">
        <f>IFERROR(__xludf.DUMMYFUNCTION("IFERROR(sum(FILTER('Fund Data'!$V:$V, 'Fund Data'!$C:$C = $C1383, 'Fund Data'!$A:$A &lt; $A1383)),0) + IFERROR(sum(FILTER('Fund Data'!$V:$V, 'Fund Data'!$C:$C = $C1383, 'Fund Data'!$A:$A = $A1383, 'Fund Data'!$B:$B &lt;= $B1383)),0)"),1066125.0)</f>
        <v>1066125</v>
      </c>
      <c r="T1383" s="123">
        <v>1051125.0</v>
      </c>
      <c r="U1383" s="44">
        <f t="shared" si="128"/>
        <v>15000</v>
      </c>
      <c r="V1383" s="44">
        <f t="shared" si="3"/>
        <v>0</v>
      </c>
      <c r="W1383" s="123"/>
      <c r="X1383" s="123"/>
      <c r="Y1383" s="123">
        <v>0.0</v>
      </c>
      <c r="Z1383" s="123">
        <v>0.0</v>
      </c>
      <c r="AA1383" s="123">
        <v>0.0</v>
      </c>
      <c r="AB1383" s="123"/>
      <c r="AC1383" s="123">
        <v>0.0</v>
      </c>
      <c r="AD1383" s="44">
        <f t="shared" si="7"/>
        <v>-56400</v>
      </c>
      <c r="AE1383" s="123">
        <v>0.0</v>
      </c>
    </row>
    <row r="1384">
      <c r="A1384" s="120">
        <v>2010.0</v>
      </c>
      <c r="B1384" s="121">
        <v>12.0</v>
      </c>
      <c r="C1384" s="122" t="s">
        <v>46</v>
      </c>
      <c r="D1384" s="44"/>
      <c r="E1384" s="123">
        <v>26701.42</v>
      </c>
      <c r="F1384" s="123">
        <v>-20000.0</v>
      </c>
      <c r="G1384" s="123"/>
      <c r="H1384" s="123">
        <v>-7583.26</v>
      </c>
      <c r="I1384" s="44"/>
      <c r="J1384" s="123">
        <v>776.09</v>
      </c>
      <c r="K1384" s="44"/>
      <c r="L1384" s="123">
        <v>146090.78</v>
      </c>
      <c r="M1384" s="44"/>
      <c r="N1384" s="44"/>
      <c r="O1384" s="123">
        <v>1390857.0</v>
      </c>
      <c r="P1384" s="52">
        <f t="shared" si="23"/>
        <v>1390855.65</v>
      </c>
      <c r="Q1384" s="124">
        <f t="shared" si="2"/>
        <v>1.35</v>
      </c>
      <c r="R1384" s="52">
        <f t="array" ref="R1384">IFERROR(INDEX('Fund YTD Target Values'!$1:$1000, MATCH($C1384,'Fund YTD Target Values'!$A:$A,0), MATCH($A1384,'Fund YTD Target Values'!$1:$1,0)),0)</f>
        <v>1352428.031</v>
      </c>
      <c r="S1384" s="52">
        <f>IFERROR(__xludf.DUMMYFUNCTION("IFERROR(sum(FILTER('Fund Data'!$V:$V, 'Fund Data'!$C:$C = $C1384, 'Fund Data'!$A:$A &lt; $A1384)),0) + IFERROR(sum(FILTER('Fund Data'!$V:$V, 'Fund Data'!$C:$C = $C1384, 'Fund Data'!$A:$A = $A1384, 'Fund Data'!$B:$B &lt;= $B1384)),0)"),1066125.0)</f>
        <v>1066125</v>
      </c>
      <c r="T1384" s="123">
        <v>1051125.0</v>
      </c>
      <c r="U1384" s="44">
        <f t="shared" si="128"/>
        <v>15000</v>
      </c>
      <c r="V1384" s="44">
        <f t="shared" si="3"/>
        <v>0</v>
      </c>
      <c r="W1384" s="123"/>
      <c r="X1384" s="123"/>
      <c r="Y1384" s="123">
        <v>0.0</v>
      </c>
      <c r="Z1384" s="123">
        <v>0.0</v>
      </c>
      <c r="AA1384" s="123">
        <v>0.0</v>
      </c>
      <c r="AB1384" s="123"/>
      <c r="AC1384" s="123">
        <v>0.0</v>
      </c>
      <c r="AD1384" s="44">
        <f t="shared" si="7"/>
        <v>-20000</v>
      </c>
      <c r="AE1384" s="123">
        <v>0.0</v>
      </c>
    </row>
    <row r="1385">
      <c r="A1385" s="120">
        <v>2009.0</v>
      </c>
      <c r="B1385" s="121">
        <v>12.0</v>
      </c>
      <c r="C1385" s="122" t="s">
        <v>46</v>
      </c>
      <c r="D1385" s="44"/>
      <c r="E1385" s="123">
        <v>33272.63</v>
      </c>
      <c r="F1385" s="123">
        <v>-56500.0</v>
      </c>
      <c r="G1385" s="123"/>
      <c r="H1385" s="123">
        <v>-6712.13</v>
      </c>
      <c r="I1385" s="44"/>
      <c r="J1385" s="44"/>
      <c r="K1385" s="123">
        <v>-1415.47</v>
      </c>
      <c r="L1385" s="123">
        <v>198006.84</v>
      </c>
      <c r="M1385" s="44"/>
      <c r="N1385" s="44"/>
      <c r="O1385" s="123">
        <v>1244872.0</v>
      </c>
      <c r="P1385" s="52">
        <f t="shared" si="23"/>
        <v>1244870.62</v>
      </c>
      <c r="Q1385" s="124">
        <f t="shared" si="2"/>
        <v>1.38</v>
      </c>
      <c r="R1385" s="52">
        <f t="array" ref="R1385">IFERROR(INDEX('Fund YTD Target Values'!$1:$1000, MATCH($C1385,'Fund YTD Target Values'!$A:$A,0), MATCH($A1385,'Fund YTD Target Values'!$1:$1,0)),0)</f>
        <v>1330549.545</v>
      </c>
      <c r="S1385" s="52">
        <f>IFERROR(__xludf.DUMMYFUNCTION("IFERROR(sum(FILTER('Fund Data'!$V:$V, 'Fund Data'!$C:$C = $C1385, 'Fund Data'!$A:$A &lt; $A1385)),0) + IFERROR(sum(FILTER('Fund Data'!$V:$V, 'Fund Data'!$C:$C = $C1385, 'Fund Data'!$A:$A = $A1385, 'Fund Data'!$B:$B &lt;= $B1385)),0)"),1066125.0)</f>
        <v>1066125</v>
      </c>
      <c r="T1385" s="123">
        <v>1051125.0</v>
      </c>
      <c r="U1385" s="44">
        <f t="shared" si="128"/>
        <v>15000</v>
      </c>
      <c r="V1385" s="44">
        <f t="shared" si="3"/>
        <v>0</v>
      </c>
      <c r="W1385" s="123"/>
      <c r="X1385" s="123"/>
      <c r="Y1385" s="123">
        <v>0.0</v>
      </c>
      <c r="Z1385" s="123">
        <v>0.0</v>
      </c>
      <c r="AA1385" s="123">
        <v>0.0</v>
      </c>
      <c r="AB1385" s="123"/>
      <c r="AC1385" s="123">
        <v>0.0</v>
      </c>
      <c r="AD1385" s="44">
        <f t="shared" si="7"/>
        <v>-56500</v>
      </c>
      <c r="AE1385" s="123">
        <v>0.0</v>
      </c>
    </row>
    <row r="1386">
      <c r="A1386" s="120">
        <v>2008.0</v>
      </c>
      <c r="B1386" s="121">
        <v>12.0</v>
      </c>
      <c r="C1386" s="122" t="s">
        <v>46</v>
      </c>
      <c r="D1386" s="44"/>
      <c r="E1386" s="123">
        <v>34564.63</v>
      </c>
      <c r="F1386" s="123">
        <v>-35000.0</v>
      </c>
      <c r="G1386" s="123"/>
      <c r="H1386" s="123">
        <v>-7781.83</v>
      </c>
      <c r="I1386" s="44"/>
      <c r="J1386" s="123">
        <v>1823.81</v>
      </c>
      <c r="K1386" s="44"/>
      <c r="L1386" s="123">
        <v>-360874.72</v>
      </c>
      <c r="M1386" s="44"/>
      <c r="N1386" s="44"/>
      <c r="O1386" s="123">
        <v>1078220.0</v>
      </c>
      <c r="P1386" s="52">
        <f t="shared" si="23"/>
        <v>1078218.75</v>
      </c>
      <c r="Q1386" s="124">
        <f t="shared" si="2"/>
        <v>1.25</v>
      </c>
      <c r="R1386" s="52">
        <f t="array" ref="R1386">IFERROR(INDEX('Fund YTD Target Values'!$1:$1000, MATCH($C1386,'Fund YTD Target Values'!$A:$A,0), MATCH($A1386,'Fund YTD Target Values'!$1:$1,0)),0)</f>
        <v>1335059.375</v>
      </c>
      <c r="S1386" s="52">
        <f>IFERROR(__xludf.DUMMYFUNCTION("IFERROR(sum(FILTER('Fund Data'!$V:$V, 'Fund Data'!$C:$C = $C1386, 'Fund Data'!$A:$A &lt; $A1386)),0) + IFERROR(sum(FILTER('Fund Data'!$V:$V, 'Fund Data'!$C:$C = $C1386, 'Fund Data'!$A:$A = $A1386, 'Fund Data'!$B:$B &lt;= $B1386)),0)"),1066125.0)</f>
        <v>1066125</v>
      </c>
      <c r="T1386" s="123">
        <v>1051125.0</v>
      </c>
      <c r="U1386" s="44">
        <f t="shared" si="128"/>
        <v>15000</v>
      </c>
      <c r="V1386" s="44">
        <f t="shared" si="3"/>
        <v>0</v>
      </c>
      <c r="W1386" s="123"/>
      <c r="X1386" s="123"/>
      <c r="Y1386" s="123">
        <v>0.0</v>
      </c>
      <c r="Z1386" s="123">
        <v>0.0</v>
      </c>
      <c r="AA1386" s="123">
        <v>0.0</v>
      </c>
      <c r="AB1386" s="123"/>
      <c r="AC1386" s="123">
        <v>0.0</v>
      </c>
      <c r="AD1386" s="44">
        <f t="shared" si="7"/>
        <v>-35000</v>
      </c>
      <c r="AE1386" s="123">
        <v>0.0</v>
      </c>
    </row>
    <row r="1387">
      <c r="A1387" s="120">
        <v>2007.0</v>
      </c>
      <c r="B1387" s="121">
        <v>12.0</v>
      </c>
      <c r="C1387" s="122" t="s">
        <v>46</v>
      </c>
      <c r="D1387" s="123">
        <v>3500.0</v>
      </c>
      <c r="E1387" s="123">
        <v>22204.39</v>
      </c>
      <c r="F1387" s="123">
        <v>-55000.0</v>
      </c>
      <c r="G1387" s="123"/>
      <c r="H1387" s="123">
        <v>-8578.95</v>
      </c>
      <c r="I1387" s="44"/>
      <c r="J1387" s="123">
        <v>4993.65</v>
      </c>
      <c r="K1387" s="44"/>
      <c r="L1387" s="123">
        <v>113778.93</v>
      </c>
      <c r="M1387" s="123">
        <v>-25.0</v>
      </c>
      <c r="N1387" s="44"/>
      <c r="O1387" s="123">
        <v>1445488.0</v>
      </c>
      <c r="P1387" s="52">
        <f t="shared" si="23"/>
        <v>1445486.86</v>
      </c>
      <c r="Q1387" s="124">
        <f t="shared" si="2"/>
        <v>1.14</v>
      </c>
      <c r="R1387" s="52">
        <f t="array" ref="R1387">IFERROR(INDEX('Fund YTD Target Values'!$1:$1000, MATCH($C1387,'Fund YTD Target Values'!$A:$A,0), MATCH($A1387,'Fund YTD Target Values'!$1:$1,0)),0)</f>
        <v>1285619.181</v>
      </c>
      <c r="S1387" s="52">
        <f>IFERROR(__xludf.DUMMYFUNCTION("IFERROR(sum(FILTER('Fund Data'!$V:$V, 'Fund Data'!$C:$C = $C1387, 'Fund Data'!$A:$A &lt; $A1387)),0) + IFERROR(sum(FILTER('Fund Data'!$V:$V, 'Fund Data'!$C:$C = $C1387, 'Fund Data'!$A:$A = $A1387, 'Fund Data'!$B:$B &lt;= $B1387)),0)"),1066125.0)</f>
        <v>1066125</v>
      </c>
      <c r="T1387" s="123">
        <v>1051125.0</v>
      </c>
      <c r="U1387" s="44">
        <f t="shared" si="128"/>
        <v>15000</v>
      </c>
      <c r="V1387" s="44">
        <f t="shared" si="3"/>
        <v>3500</v>
      </c>
      <c r="W1387" s="123"/>
      <c r="X1387" s="123"/>
      <c r="Y1387" s="123">
        <v>0.0</v>
      </c>
      <c r="Z1387" s="123">
        <v>0.0</v>
      </c>
      <c r="AA1387" s="123">
        <v>0.0</v>
      </c>
      <c r="AB1387" s="123"/>
      <c r="AC1387" s="123">
        <v>0.0</v>
      </c>
      <c r="AD1387" s="44">
        <f t="shared" si="7"/>
        <v>-55000</v>
      </c>
      <c r="AE1387" s="123">
        <v>0.0</v>
      </c>
    </row>
    <row r="1388">
      <c r="A1388" s="120">
        <v>2006.0</v>
      </c>
      <c r="B1388" s="121">
        <v>12.0</v>
      </c>
      <c r="C1388" s="122" t="s">
        <v>46</v>
      </c>
      <c r="D1388" s="123">
        <v>3750.0</v>
      </c>
      <c r="E1388" s="123">
        <v>21128.46</v>
      </c>
      <c r="F1388" s="123">
        <v>-55000.0</v>
      </c>
      <c r="G1388" s="123"/>
      <c r="H1388" s="123">
        <v>-7935.41</v>
      </c>
      <c r="I1388" s="44"/>
      <c r="J1388" s="123">
        <v>266.09</v>
      </c>
      <c r="K1388" s="44"/>
      <c r="L1388" s="123">
        <v>111338.56</v>
      </c>
      <c r="M1388" s="123">
        <v>-3640.81</v>
      </c>
      <c r="N1388" s="44"/>
      <c r="O1388" s="123">
        <v>1364615.0</v>
      </c>
      <c r="P1388" s="52">
        <f t="shared" si="23"/>
        <v>1364613.84</v>
      </c>
      <c r="Q1388" s="124">
        <f t="shared" si="2"/>
        <v>1.16</v>
      </c>
      <c r="R1388" s="52">
        <f t="array" ref="R1388">IFERROR(INDEX('Fund YTD Target Values'!$1:$1000, MATCH($C1388,'Fund YTD Target Values'!$A:$A,0), MATCH($A1388,'Fund YTD Target Values'!$1:$1,0)),0)</f>
        <v>1246562.813</v>
      </c>
      <c r="S1388" s="52">
        <f>IFERROR(__xludf.DUMMYFUNCTION("IFERROR(sum(FILTER('Fund Data'!$V:$V, 'Fund Data'!$C:$C = $C1388, 'Fund Data'!$A:$A &lt; $A1388)),0) + IFERROR(sum(FILTER('Fund Data'!$V:$V, 'Fund Data'!$C:$C = $C1388, 'Fund Data'!$A:$A = $A1388, 'Fund Data'!$B:$B &lt;= $B1388)),0)"),1062625.0)</f>
        <v>1062625</v>
      </c>
      <c r="T1388" s="123">
        <v>1047625.0</v>
      </c>
      <c r="U1388" s="44">
        <f t="shared" si="128"/>
        <v>15000</v>
      </c>
      <c r="V1388" s="44">
        <f t="shared" si="3"/>
        <v>3750</v>
      </c>
      <c r="W1388" s="123"/>
      <c r="X1388" s="123"/>
      <c r="Y1388" s="123">
        <v>0.0</v>
      </c>
      <c r="Z1388" s="123">
        <v>0.0</v>
      </c>
      <c r="AA1388" s="123">
        <v>0.0</v>
      </c>
      <c r="AB1388" s="123"/>
      <c r="AC1388" s="123">
        <v>0.0</v>
      </c>
      <c r="AD1388" s="44">
        <f t="shared" si="7"/>
        <v>-55000</v>
      </c>
      <c r="AE1388" s="123">
        <v>0.0</v>
      </c>
    </row>
    <row r="1389">
      <c r="A1389" s="120">
        <v>2005.0</v>
      </c>
      <c r="B1389" s="121">
        <v>12.0</v>
      </c>
      <c r="C1389" s="122" t="s">
        <v>46</v>
      </c>
      <c r="D1389" s="123">
        <v>4500.0</v>
      </c>
      <c r="E1389" s="123">
        <v>25927.02</v>
      </c>
      <c r="F1389" s="123">
        <v>-49500.0</v>
      </c>
      <c r="G1389" s="123"/>
      <c r="H1389" s="123">
        <v>-6737.13</v>
      </c>
      <c r="I1389" s="44"/>
      <c r="J1389" s="123">
        <v>150225.8</v>
      </c>
      <c r="K1389" s="123">
        <v>-383.76</v>
      </c>
      <c r="L1389" s="123">
        <v>-98568.81</v>
      </c>
      <c r="M1389" s="123">
        <v>3633.46</v>
      </c>
      <c r="N1389" s="44"/>
      <c r="O1389" s="123">
        <v>1294708.0</v>
      </c>
      <c r="P1389" s="52">
        <f t="shared" si="23"/>
        <v>1294706.95</v>
      </c>
      <c r="Q1389" s="124">
        <f t="shared" si="2"/>
        <v>1.05</v>
      </c>
      <c r="R1389" s="52">
        <f t="array" ref="R1389">IFERROR(INDEX('Fund YTD Target Values'!$1:$1000, MATCH($C1389,'Fund YTD Target Values'!$A:$A,0), MATCH($A1389,'Fund YTD Target Values'!$1:$1,0)),0)</f>
        <v>1203865.127</v>
      </c>
      <c r="S1389" s="52">
        <f>IFERROR(__xludf.DUMMYFUNCTION("IFERROR(sum(FILTER('Fund Data'!$V:$V, 'Fund Data'!$C:$C = $C1389, 'Fund Data'!$A:$A &lt; $A1389)),0) + IFERROR(sum(FILTER('Fund Data'!$V:$V, 'Fund Data'!$C:$C = $C1389, 'Fund Data'!$A:$A = $A1389, 'Fund Data'!$B:$B &lt;= $B1389)),0)"),1058875.0)</f>
        <v>1058875</v>
      </c>
      <c r="T1389" s="123">
        <v>1043875.0</v>
      </c>
      <c r="U1389" s="44">
        <f t="shared" si="128"/>
        <v>15000</v>
      </c>
      <c r="V1389" s="44">
        <f t="shared" si="3"/>
        <v>4500</v>
      </c>
      <c r="W1389" s="123"/>
      <c r="X1389" s="123"/>
      <c r="Y1389" s="123">
        <v>0.0</v>
      </c>
      <c r="Z1389" s="123">
        <v>0.0</v>
      </c>
      <c r="AA1389" s="123">
        <v>0.0</v>
      </c>
      <c r="AB1389" s="123"/>
      <c r="AC1389" s="123">
        <v>0.0</v>
      </c>
      <c r="AD1389" s="44">
        <f t="shared" si="7"/>
        <v>-49500</v>
      </c>
      <c r="AE1389" s="123">
        <v>0.0</v>
      </c>
    </row>
    <row r="1390">
      <c r="A1390" s="120">
        <v>2004.0</v>
      </c>
      <c r="B1390" s="121">
        <v>12.0</v>
      </c>
      <c r="C1390" s="122" t="s">
        <v>46</v>
      </c>
      <c r="D1390" s="123">
        <v>417000.0</v>
      </c>
      <c r="E1390" s="123">
        <v>28789.91</v>
      </c>
      <c r="F1390" s="123">
        <v>-15000.0</v>
      </c>
      <c r="G1390" s="123"/>
      <c r="H1390" s="123">
        <v>-3779.54</v>
      </c>
      <c r="I1390" s="123"/>
      <c r="J1390" s="123">
        <v>10357.95</v>
      </c>
      <c r="K1390" s="123">
        <v>-9935.65</v>
      </c>
      <c r="L1390" s="123">
        <v>56731.54</v>
      </c>
      <c r="M1390" s="123">
        <v>-26.28</v>
      </c>
      <c r="N1390" s="123">
        <v>13540.29</v>
      </c>
      <c r="O1390" s="123">
        <v>1265611.0</v>
      </c>
      <c r="P1390" s="52">
        <f t="shared" si="23"/>
        <v>1265610.37</v>
      </c>
      <c r="Q1390" s="124">
        <f t="shared" si="2"/>
        <v>0.6299999999</v>
      </c>
      <c r="R1390" s="52">
        <f t="array" ref="R1390">IFERROR(INDEX('Fund YTD Target Values'!$1:$1000, MATCH($C1390,'Fund YTD Target Values'!$A:$A,0), MATCH($A1390,'Fund YTD Target Values'!$1:$1,0)),0)</f>
        <v>1160035.995</v>
      </c>
      <c r="S1390" s="52">
        <f>IFERROR(__xludf.DUMMYFUNCTION("IFERROR(sum(FILTER('Fund Data'!$V:$V, 'Fund Data'!$C:$C = $C1390, 'Fund Data'!$A:$A &lt; $A1390)),0) + IFERROR(sum(FILTER('Fund Data'!$V:$V, 'Fund Data'!$C:$C = $C1390, 'Fund Data'!$A:$A = $A1390, 'Fund Data'!$B:$B &lt;= $B1390)),0)"),1054375.0)</f>
        <v>1054375</v>
      </c>
      <c r="T1390" s="123">
        <v>1039375.0</v>
      </c>
      <c r="U1390" s="44">
        <f t="shared" si="128"/>
        <v>15000</v>
      </c>
      <c r="V1390" s="44">
        <f t="shared" si="3"/>
        <v>417000</v>
      </c>
      <c r="W1390" s="123"/>
      <c r="X1390" s="123"/>
      <c r="Y1390" s="123">
        <v>0.0</v>
      </c>
      <c r="Z1390" s="123">
        <v>0.0</v>
      </c>
      <c r="AA1390" s="123">
        <v>0.0</v>
      </c>
      <c r="AB1390" s="123"/>
      <c r="AC1390" s="123">
        <v>0.0</v>
      </c>
      <c r="AD1390" s="44">
        <f t="shared" si="7"/>
        <v>-15000</v>
      </c>
      <c r="AE1390" s="123">
        <v>0.0</v>
      </c>
    </row>
    <row r="1391">
      <c r="A1391" s="120">
        <v>2003.0</v>
      </c>
      <c r="B1391" s="121">
        <v>12.0</v>
      </c>
      <c r="C1391" s="122" t="s">
        <v>46</v>
      </c>
      <c r="D1391" s="123">
        <v>132000.0</v>
      </c>
      <c r="E1391" s="123">
        <v>16714.82</v>
      </c>
      <c r="F1391" s="123">
        <v>-46000.0</v>
      </c>
      <c r="G1391" s="123"/>
      <c r="H1391" s="123">
        <v>-2268.83</v>
      </c>
      <c r="I1391" s="123"/>
      <c r="J1391" s="123">
        <v>60096.78</v>
      </c>
      <c r="K1391" s="123">
        <v>-3103.13</v>
      </c>
      <c r="L1391" s="123">
        <v>68392.0</v>
      </c>
      <c r="M1391" s="123">
        <v>34.41</v>
      </c>
      <c r="N1391" s="123">
        <v>5867.14</v>
      </c>
      <c r="O1391" s="123">
        <v>767933.0</v>
      </c>
      <c r="P1391" s="52">
        <f t="shared" si="23"/>
        <v>767932.15</v>
      </c>
      <c r="Q1391" s="124">
        <f t="shared" si="2"/>
        <v>0.85</v>
      </c>
      <c r="R1391" s="52">
        <f t="array" ref="R1391">IFERROR(INDEX('Fund YTD Target Values'!$1:$1000, MATCH($C1391,'Fund YTD Target Values'!$A:$A,0), MATCH($A1391,'Fund YTD Target Values'!$1:$1,0)),0)</f>
        <v>723671.5439</v>
      </c>
      <c r="S1391" s="52">
        <f>IFERROR(__xludf.DUMMYFUNCTION("IFERROR(sum(FILTER('Fund Data'!$V:$V, 'Fund Data'!$C:$C = $C1391, 'Fund Data'!$A:$A &lt; $A1391)),0) + IFERROR(sum(FILTER('Fund Data'!$V:$V, 'Fund Data'!$C:$C = $C1391, 'Fund Data'!$A:$A = $A1391, 'Fund Data'!$B:$B &lt;= $B1391)),0)"),637375.0)</f>
        <v>637375</v>
      </c>
      <c r="T1391" s="123">
        <v>637375.0</v>
      </c>
      <c r="U1391" s="44">
        <f t="shared" si="128"/>
        <v>0</v>
      </c>
      <c r="V1391" s="44">
        <f t="shared" si="3"/>
        <v>132000</v>
      </c>
      <c r="W1391" s="123"/>
      <c r="X1391" s="123"/>
      <c r="Y1391" s="123">
        <v>0.0</v>
      </c>
      <c r="Z1391" s="123">
        <v>0.0</v>
      </c>
      <c r="AA1391" s="123">
        <v>0.0</v>
      </c>
      <c r="AB1391" s="123"/>
      <c r="AC1391" s="123">
        <v>0.0</v>
      </c>
      <c r="AD1391" s="44">
        <f t="shared" si="7"/>
        <v>-46000</v>
      </c>
      <c r="AE1391" s="123">
        <v>0.0</v>
      </c>
    </row>
    <row r="1392">
      <c r="A1392" s="120">
        <v>2002.0</v>
      </c>
      <c r="B1392" s="121">
        <v>12.0</v>
      </c>
      <c r="C1392" s="122" t="s">
        <v>46</v>
      </c>
      <c r="D1392" s="123">
        <v>102000.0</v>
      </c>
      <c r="E1392" s="123">
        <v>11697.92</v>
      </c>
      <c r="F1392" s="44"/>
      <c r="G1392" s="123"/>
      <c r="H1392" s="123">
        <v>-1539.5</v>
      </c>
      <c r="I1392" s="123"/>
      <c r="J1392" s="123">
        <v>1356.86</v>
      </c>
      <c r="K1392" s="123">
        <v>-46422.4</v>
      </c>
      <c r="L1392" s="123">
        <v>-28080.49</v>
      </c>
      <c r="M1392" s="123">
        <v>-46.98</v>
      </c>
      <c r="N1392" s="123">
        <v>6295.05</v>
      </c>
      <c r="O1392" s="123">
        <v>536199.0</v>
      </c>
      <c r="P1392" s="52">
        <f t="shared" si="23"/>
        <v>536198.96</v>
      </c>
      <c r="Q1392" s="124">
        <f t="shared" si="2"/>
        <v>0.04000000004</v>
      </c>
      <c r="R1392" s="52">
        <f t="array" ref="R1392">IFERROR(INDEX('Fund YTD Target Values'!$1:$1000, MATCH($C1392,'Fund YTD Target Values'!$A:$A,0), MATCH($A1392,'Fund YTD Target Values'!$1:$1,0)),0)</f>
        <v>578525.8801</v>
      </c>
      <c r="S1392" s="52">
        <f>IFERROR(__xludf.DUMMYFUNCTION("IFERROR(sum(FILTER('Fund Data'!$V:$V, 'Fund Data'!$C:$C = $C1392, 'Fund Data'!$A:$A &lt; $A1392)),0) + IFERROR(sum(FILTER('Fund Data'!$V:$V, 'Fund Data'!$C:$C = $C1392, 'Fund Data'!$A:$A = $A1392, 'Fund Data'!$B:$B &lt;= $B1392)),0)"),505375.0)</f>
        <v>505375</v>
      </c>
      <c r="T1392" s="123">
        <v>505375.0</v>
      </c>
      <c r="U1392" s="44">
        <f t="shared" si="128"/>
        <v>0</v>
      </c>
      <c r="V1392" s="44">
        <f t="shared" si="3"/>
        <v>102000</v>
      </c>
      <c r="W1392" s="123"/>
      <c r="X1392" s="123"/>
      <c r="Y1392" s="123">
        <v>0.0</v>
      </c>
      <c r="Z1392" s="123">
        <v>0.0</v>
      </c>
      <c r="AA1392" s="123">
        <v>0.0</v>
      </c>
      <c r="AB1392" s="123"/>
      <c r="AC1392" s="123">
        <v>0.0</v>
      </c>
      <c r="AD1392" s="44">
        <f t="shared" si="7"/>
        <v>0</v>
      </c>
      <c r="AE1392" s="123">
        <v>0.0</v>
      </c>
    </row>
    <row r="1393">
      <c r="A1393" s="120">
        <v>2001.0</v>
      </c>
      <c r="B1393" s="121">
        <v>12.0</v>
      </c>
      <c r="C1393" s="122" t="s">
        <v>46</v>
      </c>
      <c r="D1393" s="123">
        <v>150000.0</v>
      </c>
      <c r="E1393" s="123">
        <v>9548.89</v>
      </c>
      <c r="F1393" s="44"/>
      <c r="G1393" s="123"/>
      <c r="H1393" s="123">
        <v>-1021.64</v>
      </c>
      <c r="I1393" s="123"/>
      <c r="J1393" s="123">
        <v>4107.36</v>
      </c>
      <c r="K1393" s="123">
        <v>-12178.12</v>
      </c>
      <c r="L1393" s="123">
        <v>-11701.0</v>
      </c>
      <c r="M1393" s="123">
        <v>-698.31</v>
      </c>
      <c r="N1393" s="123">
        <v>965.03</v>
      </c>
      <c r="O1393" s="123">
        <v>490939.0</v>
      </c>
      <c r="P1393" s="52">
        <f t="shared" si="23"/>
        <v>490938.5</v>
      </c>
      <c r="Q1393" s="124">
        <f t="shared" si="2"/>
        <v>0.5</v>
      </c>
      <c r="R1393" s="52">
        <f t="array" ref="R1393">IFERROR(INDEX('Fund YTD Target Values'!$1:$1000, MATCH($C1393,'Fund YTD Target Values'!$A:$A,0), MATCH($A1393,'Fund YTD Target Values'!$1:$1,0)),0)</f>
        <v>469088.0554</v>
      </c>
      <c r="S1393" s="52">
        <f>IFERROR(__xludf.DUMMYFUNCTION("IFERROR(sum(FILTER('Fund Data'!$V:$V, 'Fund Data'!$C:$C = $C1393, 'Fund Data'!$A:$A &lt; $A1393)),0) + IFERROR(sum(FILTER('Fund Data'!$V:$V, 'Fund Data'!$C:$C = $C1393, 'Fund Data'!$A:$A = $A1393, 'Fund Data'!$B:$B &lt;= $B1393)),0)"),403375.0)</f>
        <v>403375</v>
      </c>
      <c r="T1393" s="44"/>
      <c r="U1393" s="44"/>
      <c r="V1393" s="44">
        <f t="shared" si="3"/>
        <v>150000</v>
      </c>
      <c r="W1393" s="123"/>
      <c r="X1393" s="123"/>
      <c r="Y1393" s="123">
        <v>0.0</v>
      </c>
      <c r="Z1393" s="123">
        <v>0.0</v>
      </c>
      <c r="AA1393" s="123">
        <v>0.0</v>
      </c>
      <c r="AB1393" s="123"/>
      <c r="AC1393" s="123">
        <v>0.0</v>
      </c>
      <c r="AD1393" s="44">
        <f t="shared" si="7"/>
        <v>0</v>
      </c>
      <c r="AE1393" s="123">
        <v>0.0</v>
      </c>
    </row>
    <row r="1394">
      <c r="A1394" s="120">
        <v>2000.0</v>
      </c>
      <c r="B1394" s="121">
        <v>12.0</v>
      </c>
      <c r="C1394" s="122" t="s">
        <v>46</v>
      </c>
      <c r="D1394" s="44"/>
      <c r="E1394" s="123">
        <v>8049.96</v>
      </c>
      <c r="F1394" s="123">
        <v>-20000.0</v>
      </c>
      <c r="G1394" s="123"/>
      <c r="H1394" s="123">
        <v>-1136.48</v>
      </c>
      <c r="I1394" s="123"/>
      <c r="J1394" s="123">
        <v>384.35</v>
      </c>
      <c r="K1394" s="123">
        <v>-1564.82</v>
      </c>
      <c r="L1394" s="123">
        <v>-31980.04</v>
      </c>
      <c r="M1394" s="123">
        <v>672.92</v>
      </c>
      <c r="N1394" s="123">
        <v>29925.37</v>
      </c>
      <c r="O1394" s="123">
        <v>351917.0</v>
      </c>
      <c r="P1394" s="52">
        <f t="shared" si="23"/>
        <v>351916.29</v>
      </c>
      <c r="Q1394" s="124">
        <f t="shared" si="2"/>
        <v>0.71</v>
      </c>
      <c r="R1394" s="52">
        <f t="array" ref="R1394">IFERROR(INDEX('Fund YTD Target Values'!$1:$1000, MATCH($C1394,'Fund YTD Target Values'!$A:$A,0), MATCH($A1394,'Fund YTD Target Values'!$1:$1,0)),0)</f>
        <v>310301.21</v>
      </c>
      <c r="S1394" s="52">
        <f>IFERROR(__xludf.DUMMYFUNCTION("IFERROR(sum(FILTER('Fund Data'!$V:$V, 'Fund Data'!$C:$C = $C1394, 'Fund Data'!$A:$A &lt; $A1394)),0) + IFERROR(sum(FILTER('Fund Data'!$V:$V, 'Fund Data'!$C:$C = $C1394, 'Fund Data'!$A:$A = $A1394, 'Fund Data'!$B:$B &lt;= $B1394)),0)"),253375.0)</f>
        <v>253375</v>
      </c>
      <c r="T1394" s="44"/>
      <c r="U1394" s="44"/>
      <c r="V1394" s="44">
        <f t="shared" si="3"/>
        <v>0</v>
      </c>
      <c r="W1394" s="123"/>
      <c r="X1394" s="123"/>
      <c r="Y1394" s="123">
        <v>0.0</v>
      </c>
      <c r="Z1394" s="123">
        <v>0.0</v>
      </c>
      <c r="AA1394" s="123">
        <v>0.0</v>
      </c>
      <c r="AB1394" s="123"/>
      <c r="AC1394" s="123">
        <v>0.0</v>
      </c>
      <c r="AD1394" s="44">
        <f t="shared" si="7"/>
        <v>-20000</v>
      </c>
      <c r="AE1394" s="123">
        <v>0.0</v>
      </c>
    </row>
    <row r="1395">
      <c r="A1395" s="120">
        <v>1999.0</v>
      </c>
      <c r="B1395" s="121">
        <v>12.0</v>
      </c>
      <c r="C1395" s="122" t="s">
        <v>46</v>
      </c>
      <c r="D1395" s="123">
        <v>3375.0</v>
      </c>
      <c r="E1395" s="123">
        <v>8902.75</v>
      </c>
      <c r="F1395" s="123">
        <v>-10000.0</v>
      </c>
      <c r="G1395" s="123">
        <v>297.06</v>
      </c>
      <c r="H1395" s="123">
        <v>-912.67</v>
      </c>
      <c r="I1395" s="123"/>
      <c r="J1395" s="123">
        <v>17084.75</v>
      </c>
      <c r="K1395" s="123">
        <v>-1369.0</v>
      </c>
      <c r="L1395" s="123">
        <v>-9688.73</v>
      </c>
      <c r="M1395" s="123">
        <v>81.49</v>
      </c>
      <c r="N1395" s="123">
        <v>20389.25</v>
      </c>
      <c r="O1395" s="123">
        <v>367566.0</v>
      </c>
      <c r="P1395" s="52">
        <f t="shared" si="23"/>
        <v>367565.03</v>
      </c>
      <c r="Q1395" s="124">
        <f t="shared" si="2"/>
        <v>0.97</v>
      </c>
      <c r="R1395" s="52">
        <f t="array" ref="R1395">IFERROR(INDEX('Fund YTD Target Values'!$1:$1000, MATCH($C1395,'Fund YTD Target Values'!$A:$A,0), MATCH($A1395,'Fund YTD Target Values'!$1:$1,0)),0)</f>
        <v>300167.4403</v>
      </c>
      <c r="S1395" s="52">
        <f>IFERROR(__xludf.DUMMYFUNCTION("IFERROR(sum(FILTER('Fund Data'!$V:$V, 'Fund Data'!$C:$C = $C1395, 'Fund Data'!$A:$A &lt; $A1395)),0) + IFERROR(sum(FILTER('Fund Data'!$V:$V, 'Fund Data'!$C:$C = $C1395, 'Fund Data'!$A:$A = $A1395, 'Fund Data'!$B:$B &lt;= $B1395)),0)"),253375.0)</f>
        <v>253375</v>
      </c>
      <c r="T1395" s="44"/>
      <c r="U1395" s="44"/>
      <c r="V1395" s="44">
        <f t="shared" si="3"/>
        <v>3375</v>
      </c>
      <c r="W1395" s="123"/>
      <c r="X1395" s="123"/>
      <c r="Y1395" s="123">
        <v>0.0</v>
      </c>
      <c r="Z1395" s="123">
        <v>0.0</v>
      </c>
      <c r="AA1395" s="123">
        <v>0.0</v>
      </c>
      <c r="AB1395" s="123"/>
      <c r="AC1395" s="123">
        <v>0.0</v>
      </c>
      <c r="AD1395" s="44">
        <f t="shared" si="7"/>
        <v>-10000</v>
      </c>
      <c r="AE1395" s="123">
        <v>0.0</v>
      </c>
    </row>
    <row r="1396">
      <c r="A1396" s="120">
        <v>1998.0</v>
      </c>
      <c r="B1396" s="121">
        <v>12.0</v>
      </c>
      <c r="C1396" s="122" t="s">
        <v>46</v>
      </c>
      <c r="D1396" s="44"/>
      <c r="E1396" s="123">
        <v>9904.94</v>
      </c>
      <c r="F1396" s="123">
        <v>-14500.0</v>
      </c>
      <c r="G1396" s="123"/>
      <c r="H1396" s="44"/>
      <c r="I1396" s="123"/>
      <c r="J1396" s="123">
        <v>6628.77</v>
      </c>
      <c r="K1396" s="44"/>
      <c r="L1396" s="123">
        <v>17859.32</v>
      </c>
      <c r="M1396" s="123">
        <v>-24.86</v>
      </c>
      <c r="N1396" s="123">
        <v>12033.33</v>
      </c>
      <c r="O1396" s="123">
        <v>339406.0</v>
      </c>
      <c r="P1396" s="52">
        <f t="shared" si="23"/>
        <v>339405.13</v>
      </c>
      <c r="Q1396" s="124">
        <f t="shared" si="2"/>
        <v>0.87</v>
      </c>
      <c r="R1396" s="52">
        <f t="array" ref="R1396">IFERROR(INDEX('Fund YTD Target Values'!$1:$1000, MATCH($C1396,'Fund YTD Target Values'!$A:$A,0), MATCH($A1396,'Fund YTD Target Values'!$1:$1,0)),0)</f>
        <v>290442.3082</v>
      </c>
      <c r="S1396" s="52">
        <f>IFERROR(__xludf.DUMMYFUNCTION("IFERROR(sum(FILTER('Fund Data'!$V:$V, 'Fund Data'!$C:$C = $C1396, 'Fund Data'!$A:$A &lt; $A1396)),0) + IFERROR(sum(FILTER('Fund Data'!$V:$V, 'Fund Data'!$C:$C = $C1396, 'Fund Data'!$A:$A = $A1396, 'Fund Data'!$B:$B &lt;= $B1396)),0)"),250000.0)</f>
        <v>250000</v>
      </c>
      <c r="T1396" s="44"/>
      <c r="U1396" s="44"/>
      <c r="V1396" s="44">
        <f t="shared" si="3"/>
        <v>0</v>
      </c>
      <c r="W1396" s="123"/>
      <c r="X1396" s="123"/>
      <c r="Y1396" s="123">
        <v>0.0</v>
      </c>
      <c r="Z1396" s="123">
        <v>0.0</v>
      </c>
      <c r="AA1396" s="123">
        <v>0.0</v>
      </c>
      <c r="AB1396" s="123"/>
      <c r="AC1396" s="123">
        <v>0.0</v>
      </c>
      <c r="AD1396" s="44">
        <f t="shared" si="7"/>
        <v>-14500</v>
      </c>
      <c r="AE1396" s="123">
        <v>0.0</v>
      </c>
    </row>
    <row r="1397">
      <c r="A1397" s="120">
        <v>1997.0</v>
      </c>
      <c r="B1397" s="121">
        <v>12.0</v>
      </c>
      <c r="C1397" s="122" t="s">
        <v>46</v>
      </c>
      <c r="D1397" s="44"/>
      <c r="E1397" s="123">
        <v>10217.43</v>
      </c>
      <c r="F1397" s="123">
        <v>-9000.0</v>
      </c>
      <c r="G1397" s="123"/>
      <c r="H1397" s="44"/>
      <c r="I1397" s="123"/>
      <c r="J1397" s="123">
        <v>938.76</v>
      </c>
      <c r="K1397" s="123">
        <v>-597.4</v>
      </c>
      <c r="L1397" s="123">
        <v>35422.0</v>
      </c>
      <c r="M1397" s="123">
        <v>15.0</v>
      </c>
      <c r="N1397" s="123">
        <v>6325.84</v>
      </c>
      <c r="O1397" s="123">
        <v>307504.0</v>
      </c>
      <c r="P1397" s="52">
        <f t="shared" si="23"/>
        <v>307503.63</v>
      </c>
      <c r="Q1397" s="124">
        <f t="shared" si="2"/>
        <v>0.37</v>
      </c>
      <c r="R1397" s="52">
        <f t="array" ref="R1397">IFERROR(INDEX('Fund YTD Target Values'!$1:$1000, MATCH($C1397,'Fund YTD Target Values'!$A:$A,0), MATCH($A1397,'Fund YTD Target Values'!$1:$1,0)),0)</f>
        <v>286002.8371</v>
      </c>
      <c r="S1397" s="52">
        <f>IFERROR(__xludf.DUMMYFUNCTION("IFERROR(sum(FILTER('Fund Data'!$V:$V, 'Fund Data'!$C:$C = $C1397, 'Fund Data'!$A:$A &lt; $A1397)),0) + IFERROR(sum(FILTER('Fund Data'!$V:$V, 'Fund Data'!$C:$C = $C1397, 'Fund Data'!$A:$A = $A1397, 'Fund Data'!$B:$B &lt;= $B1397)),0)"),250000.0)</f>
        <v>250000</v>
      </c>
      <c r="T1397" s="44"/>
      <c r="U1397" s="44"/>
      <c r="V1397" s="44">
        <f t="shared" si="3"/>
        <v>0</v>
      </c>
      <c r="W1397" s="123"/>
      <c r="X1397" s="123"/>
      <c r="Y1397" s="123">
        <v>0.0</v>
      </c>
      <c r="Z1397" s="123">
        <v>0.0</v>
      </c>
      <c r="AA1397" s="123">
        <v>0.0</v>
      </c>
      <c r="AB1397" s="123"/>
      <c r="AC1397" s="123">
        <v>0.0</v>
      </c>
      <c r="AD1397" s="44">
        <f t="shared" si="7"/>
        <v>-9000</v>
      </c>
      <c r="AE1397" s="123">
        <v>0.0</v>
      </c>
    </row>
    <row r="1398">
      <c r="A1398" s="120">
        <v>1996.0</v>
      </c>
      <c r="B1398" s="121">
        <v>12.0</v>
      </c>
      <c r="C1398" s="122" t="s">
        <v>46</v>
      </c>
      <c r="D1398" s="44"/>
      <c r="E1398" s="123">
        <v>15619.18</v>
      </c>
      <c r="F1398" s="123">
        <v>-13000.0</v>
      </c>
      <c r="G1398" s="123"/>
      <c r="H1398" s="123">
        <v>-423.0</v>
      </c>
      <c r="I1398" s="44"/>
      <c r="J1398" s="44"/>
      <c r="K1398" s="123">
        <v>-1669.0</v>
      </c>
      <c r="L1398" s="123">
        <v>-2132.0</v>
      </c>
      <c r="M1398" s="123">
        <v>-56.0</v>
      </c>
      <c r="N1398" s="44"/>
      <c r="O1398" s="123">
        <v>264182.0</v>
      </c>
      <c r="P1398" s="52">
        <f t="shared" si="23"/>
        <v>264182</v>
      </c>
      <c r="Q1398" s="124">
        <f t="shared" si="2"/>
        <v>0</v>
      </c>
      <c r="R1398" s="52">
        <f t="array" ref="R1398">IFERROR(INDEX('Fund YTD Target Values'!$1:$1000, MATCH($C1398,'Fund YTD Target Values'!$A:$A,0), MATCH($A1398,'Fund YTD Target Values'!$1:$1,0)),0)</f>
        <v>279460.6459</v>
      </c>
      <c r="S1398" s="52">
        <f>IFERROR(__xludf.DUMMYFUNCTION("IFERROR(sum(FILTER('Fund Data'!$V:$V, 'Fund Data'!$C:$C = $C1398, 'Fund Data'!$A:$A &lt; $A1398)),0) + IFERROR(sum(FILTER('Fund Data'!$V:$V, 'Fund Data'!$C:$C = $C1398, 'Fund Data'!$A:$A = $A1398, 'Fund Data'!$B:$B &lt;= $B1398)),0)"),250000.0)</f>
        <v>250000</v>
      </c>
      <c r="T1398" s="44"/>
      <c r="U1398" s="44"/>
      <c r="V1398" s="44">
        <f t="shared" si="3"/>
        <v>0</v>
      </c>
      <c r="W1398" s="123"/>
      <c r="X1398" s="123"/>
      <c r="Y1398" s="123">
        <v>0.0</v>
      </c>
      <c r="Z1398" s="123">
        <v>0.0</v>
      </c>
      <c r="AA1398" s="123">
        <v>0.0</v>
      </c>
      <c r="AB1398" s="123"/>
      <c r="AC1398" s="123">
        <v>0.0</v>
      </c>
      <c r="AD1398" s="44">
        <f t="shared" si="7"/>
        <v>-13000</v>
      </c>
      <c r="AE1398" s="123">
        <v>0.0</v>
      </c>
    </row>
    <row r="1399">
      <c r="A1399" s="120">
        <v>1995.0</v>
      </c>
      <c r="B1399" s="121">
        <v>12.0</v>
      </c>
      <c r="C1399" s="122" t="s">
        <v>46</v>
      </c>
      <c r="D1399" s="44"/>
      <c r="E1399" s="123"/>
      <c r="F1399" s="123"/>
      <c r="G1399" s="44">
        <v>15842.820000000007</v>
      </c>
      <c r="H1399" s="123"/>
      <c r="I1399" s="44"/>
      <c r="J1399" s="44"/>
      <c r="K1399" s="123"/>
      <c r="L1399" s="123"/>
      <c r="M1399" s="123"/>
      <c r="N1399" s="44"/>
      <c r="O1399" s="44">
        <v>265842.82</v>
      </c>
      <c r="P1399" s="52">
        <f t="shared" si="23"/>
        <v>265842.82</v>
      </c>
      <c r="Q1399" s="124">
        <f t="shared" si="2"/>
        <v>0</v>
      </c>
      <c r="R1399" s="52">
        <f t="array" ref="R1399">IFERROR(INDEX('Fund YTD Target Values'!$1:$1000, MATCH($C1399,'Fund YTD Target Values'!$A:$A,0), MATCH($A1399,'Fund YTD Target Values'!$1:$1,0)),0)</f>
        <v>271505.0661</v>
      </c>
      <c r="S1399" s="52">
        <f>IFERROR(__xludf.DUMMYFUNCTION("IFERROR(sum(FILTER('Fund Data'!$V:$V, 'Fund Data'!$C:$C = $C1399, 'Fund Data'!$A:$A &lt; $A1399)),0) + IFERROR(sum(FILTER('Fund Data'!$V:$V, 'Fund Data'!$C:$C = $C1399, 'Fund Data'!$A:$A = $A1399, 'Fund Data'!$B:$B &lt;= $B1399)),0)"),250000.0)</f>
        <v>250000</v>
      </c>
      <c r="T1399" s="44"/>
      <c r="U1399" s="44"/>
      <c r="V1399" s="44">
        <f t="shared" si="3"/>
        <v>0</v>
      </c>
      <c r="W1399" s="123"/>
      <c r="X1399" s="123"/>
      <c r="Y1399" s="123">
        <v>0.0</v>
      </c>
      <c r="Z1399" s="123">
        <v>0.0</v>
      </c>
      <c r="AA1399" s="123">
        <v>0.0</v>
      </c>
      <c r="AB1399" s="123"/>
      <c r="AC1399" s="123">
        <v>0.0</v>
      </c>
      <c r="AD1399" s="44">
        <f t="shared" si="7"/>
        <v>0</v>
      </c>
      <c r="AE1399" s="123">
        <v>0.0</v>
      </c>
    </row>
    <row r="1400">
      <c r="A1400" s="120">
        <v>1994.0</v>
      </c>
      <c r="B1400" s="121">
        <v>12.0</v>
      </c>
      <c r="C1400" s="122" t="s">
        <v>46</v>
      </c>
      <c r="D1400" s="44"/>
      <c r="E1400" s="123"/>
      <c r="F1400" s="123"/>
      <c r="G1400" s="123"/>
      <c r="H1400" s="123"/>
      <c r="I1400" s="44"/>
      <c r="J1400" s="44"/>
      <c r="K1400" s="123"/>
      <c r="L1400" s="123"/>
      <c r="M1400" s="123"/>
      <c r="N1400" s="44"/>
      <c r="O1400" s="176">
        <f t="shared" ref="O1400:O1402" si="129">IFERROR(__xludf.DUMMYFUNCTION("sum(FILTER($D:$M,$C:$C = $C1400,$A:$A &lt;= $A1400))"),250000.0)</f>
        <v>250000</v>
      </c>
      <c r="P1400" s="52">
        <f t="shared" si="23"/>
        <v>250000</v>
      </c>
      <c r="Q1400" s="124">
        <f t="shared" si="2"/>
        <v>0</v>
      </c>
      <c r="R1400" s="52">
        <f t="array" ref="R1400">IFERROR(INDEX('Fund YTD Target Values'!$1:$1000, MATCH($C1400,'Fund YTD Target Values'!$A:$A,0), MATCH($A1400,'Fund YTD Target Values'!$1:$1,0)),0)</f>
        <v>264093.4447</v>
      </c>
      <c r="S1400" s="52">
        <f>IFERROR(__xludf.DUMMYFUNCTION("IFERROR(sum(FILTER('Fund Data'!$V:$V, 'Fund Data'!$C:$C = $C1400, 'Fund Data'!$A:$A &lt; $A1400)),0) + IFERROR(sum(FILTER('Fund Data'!$V:$V, 'Fund Data'!$C:$C = $C1400, 'Fund Data'!$A:$A = $A1400, 'Fund Data'!$B:$B &lt;= $B1400)),0)"),250000.0)</f>
        <v>250000</v>
      </c>
      <c r="T1400" s="44"/>
      <c r="U1400" s="44"/>
      <c r="V1400" s="44">
        <f t="shared" si="3"/>
        <v>0</v>
      </c>
      <c r="W1400" s="123"/>
      <c r="X1400" s="123"/>
      <c r="Y1400" s="123">
        <v>0.0</v>
      </c>
      <c r="Z1400" s="123">
        <v>0.0</v>
      </c>
      <c r="AA1400" s="123">
        <v>0.0</v>
      </c>
      <c r="AB1400" s="123"/>
      <c r="AC1400" s="123">
        <v>0.0</v>
      </c>
      <c r="AD1400" s="44">
        <f t="shared" si="7"/>
        <v>0</v>
      </c>
      <c r="AE1400" s="123">
        <v>0.0</v>
      </c>
    </row>
    <row r="1401">
      <c r="A1401" s="120">
        <v>1993.0</v>
      </c>
      <c r="B1401" s="121">
        <v>12.0</v>
      </c>
      <c r="C1401" s="122" t="s">
        <v>46</v>
      </c>
      <c r="D1401" s="44"/>
      <c r="E1401" s="123"/>
      <c r="F1401" s="123"/>
      <c r="G1401" s="123"/>
      <c r="H1401" s="123"/>
      <c r="I1401" s="44"/>
      <c r="J1401" s="44"/>
      <c r="K1401" s="123"/>
      <c r="L1401" s="123"/>
      <c r="M1401" s="123"/>
      <c r="N1401" s="44"/>
      <c r="O1401" s="176">
        <f t="shared" si="129"/>
        <v>250000</v>
      </c>
      <c r="P1401" s="52">
        <f t="shared" si="23"/>
        <v>250000</v>
      </c>
      <c r="Q1401" s="124">
        <f t="shared" si="2"/>
        <v>0</v>
      </c>
      <c r="R1401" s="52">
        <f t="array" ref="R1401">IFERROR(INDEX('Fund YTD Target Values'!$1:$1000, MATCH($C1401,'Fund YTD Target Values'!$A:$A,0), MATCH($A1401,'Fund YTD Target Values'!$1:$1,0)),0)</f>
        <v>257383.8953</v>
      </c>
      <c r="S1401" s="52">
        <f>IFERROR(__xludf.DUMMYFUNCTION("IFERROR(sum(FILTER('Fund Data'!$V:$V, 'Fund Data'!$C:$C = $C1401, 'Fund Data'!$A:$A &lt; $A1401)),0) + IFERROR(sum(FILTER('Fund Data'!$V:$V, 'Fund Data'!$C:$C = $C1401, 'Fund Data'!$A:$A = $A1401, 'Fund Data'!$B:$B &lt;= $B1401)),0)"),250000.0)</f>
        <v>250000</v>
      </c>
      <c r="T1401" s="44"/>
      <c r="U1401" s="44"/>
      <c r="V1401" s="44">
        <f t="shared" si="3"/>
        <v>0</v>
      </c>
      <c r="W1401" s="123"/>
      <c r="X1401" s="123"/>
      <c r="Y1401" s="123">
        <v>0.0</v>
      </c>
      <c r="Z1401" s="123">
        <v>0.0</v>
      </c>
      <c r="AA1401" s="123">
        <v>0.0</v>
      </c>
      <c r="AB1401" s="123"/>
      <c r="AC1401" s="123">
        <v>0.0</v>
      </c>
      <c r="AD1401" s="44">
        <f t="shared" si="7"/>
        <v>0</v>
      </c>
      <c r="AE1401" s="123">
        <v>0.0</v>
      </c>
    </row>
    <row r="1402">
      <c r="A1402" s="120">
        <v>1992.0</v>
      </c>
      <c r="B1402" s="121">
        <v>12.0</v>
      </c>
      <c r="C1402" s="122" t="s">
        <v>46</v>
      </c>
      <c r="D1402" s="177">
        <v>250000.0</v>
      </c>
      <c r="E1402" s="44"/>
      <c r="F1402" s="44"/>
      <c r="G1402" s="44"/>
      <c r="H1402" s="44"/>
      <c r="I1402" s="44"/>
      <c r="J1402" s="44"/>
      <c r="K1402" s="44"/>
      <c r="L1402" s="44"/>
      <c r="M1402" s="44"/>
      <c r="N1402" s="44"/>
      <c r="O1402" s="176">
        <f t="shared" si="129"/>
        <v>250000</v>
      </c>
      <c r="P1402" s="52">
        <f t="shared" si="23"/>
        <v>250000</v>
      </c>
      <c r="Q1402" s="124">
        <f t="shared" si="2"/>
        <v>0</v>
      </c>
      <c r="R1402" s="52">
        <f t="array" ref="R1402">IFERROR(INDEX('Fund YTD Target Values'!$1:$1000, MATCH($C1402,'Fund YTD Target Values'!$A:$A,0), MATCH($A1402,'Fund YTD Target Values'!$1:$1,0)),0)</f>
        <v>250000</v>
      </c>
      <c r="S1402" s="52">
        <f>IFERROR(__xludf.DUMMYFUNCTION("IFERROR(sum(FILTER('Fund Data'!$V:$V, 'Fund Data'!$C:$C = $C1402, 'Fund Data'!$A:$A &lt; $A1402)),0) + IFERROR(sum(FILTER('Fund Data'!$V:$V, 'Fund Data'!$C:$C = $C1402, 'Fund Data'!$A:$A = $A1402, 'Fund Data'!$B:$B &lt;= $B1402)),0)"),250000.0)</f>
        <v>250000</v>
      </c>
      <c r="T1402" s="44"/>
      <c r="U1402" s="44"/>
      <c r="V1402" s="44">
        <f t="shared" si="3"/>
        <v>250000</v>
      </c>
      <c r="W1402" s="123"/>
      <c r="X1402" s="123"/>
      <c r="Y1402" s="123">
        <v>0.0</v>
      </c>
      <c r="Z1402" s="123">
        <v>0.0</v>
      </c>
      <c r="AA1402" s="123">
        <v>0.0</v>
      </c>
      <c r="AB1402" s="123"/>
      <c r="AC1402" s="123">
        <v>0.0</v>
      </c>
      <c r="AD1402" s="44">
        <f t="shared" si="7"/>
        <v>0</v>
      </c>
      <c r="AE1402" s="123">
        <v>0.0</v>
      </c>
    </row>
    <row r="1403">
      <c r="A1403" s="120">
        <v>2019.0</v>
      </c>
      <c r="B1403" s="121">
        <v>6.0</v>
      </c>
      <c r="C1403" s="122" t="s">
        <v>79</v>
      </c>
      <c r="D1403" s="44"/>
      <c r="E1403" s="123">
        <v>13334.31</v>
      </c>
      <c r="F1403" s="44"/>
      <c r="G1403" s="44"/>
      <c r="H1403" s="123">
        <v>-3012.17</v>
      </c>
      <c r="I1403" s="44"/>
      <c r="J1403" s="44"/>
      <c r="K1403" s="44"/>
      <c r="L1403" s="123">
        <v>104597.78</v>
      </c>
      <c r="M1403" s="44"/>
      <c r="N1403" s="44"/>
      <c r="O1403" s="123">
        <v>1114332.63</v>
      </c>
      <c r="P1403" s="52">
        <f t="shared" si="23"/>
        <v>1114332.63</v>
      </c>
      <c r="Q1403" s="124">
        <f t="shared" si="2"/>
        <v>0</v>
      </c>
      <c r="R1403" s="52">
        <f t="array" ref="R1403">IFERROR(INDEX('Fund YTD Target Values'!$1:$1000, MATCH($C1403,'Fund YTD Target Values'!$A:$A,0), MATCH($A1403,'Fund YTD Target Values'!$1:$1,0)),0)</f>
        <v>1079225.841</v>
      </c>
      <c r="S1403" s="52">
        <f>IFERROR(__xludf.DUMMYFUNCTION("IFERROR(sum(FILTER('Fund Data'!$V:$V, 'Fund Data'!$C:$C = $C1403, 'Fund Data'!$A:$A &lt; $A1403)),0) + IFERROR(sum(FILTER('Fund Data'!$V:$V, 'Fund Data'!$C:$C = $C1403, 'Fund Data'!$A:$A = $A1403, 'Fund Data'!$B:$B &lt;= $B1403)),0)"),1000000.0)</f>
        <v>1000000</v>
      </c>
      <c r="T1403" s="123">
        <v>1000000.0</v>
      </c>
      <c r="U1403" s="44">
        <f t="shared" ref="U1403:U1477" si="130">S1403-T1403</f>
        <v>0</v>
      </c>
      <c r="V1403" s="44">
        <f t="shared" si="3"/>
        <v>0</v>
      </c>
      <c r="W1403" s="52">
        <f>IFERROR(__xludf.DUMMYFUNCTION("iFERROR((FILTER('Fund Data'!$Y:$Y, 'Fund Data'!$C:$C = $C1403, 'Fund Data'!$A:$A = $A1403 - 1, 'Fund Data'!$B:$B = 12) + FILTER('Fund Data'!$AA:$AA, 'Fund Data'!$C:$C = $C1403, 'Fund Data'!$A:$A = $A1403 - 1, 'Fund Data'!$B:$B = 12)) * (1 + AVERAGE(FILTER"&amp;"('Inflation Data'!$C:$C,'Inflation Data'!$A:$A = ($A1403 - 2)))) * 'Parameters and Distribution Sum'!$A$4,0)"),33311.397321480836)</f>
        <v>33311.39732</v>
      </c>
      <c r="X1403" s="52">
        <f>IFERROR(__xludf.DUMMYFUNCTION("IFERROR((IFERROR(FILTER('Fund Data'!$P:$P,'Fund Data'!$C:$C = $C1403,'Fund Data'!$A:$A = ($A1403 - 2), 'Fund Data'!$B:$B = 12),0) - SUM(FILTER('Fund Data'!$V:$V, 'Fund Data'!$C:$C = $C1403, 'Fund Data'!$A:$A = ($A1403 - 2), 'Fund Data'!$B:$B &gt; 3)))  * 'Pa"&amp;"rameters and Distribution Sum'!$B$4 * (1 - 'Parameters and Distribution Sum'!$A$4),0)"),15295.200705000003)</f>
        <v>15295.20071</v>
      </c>
      <c r="Y1403" s="52">
        <f t="shared" ref="Y1403:Y1408" si="131">sum($W1403:$X1403)</f>
        <v>48606.59803</v>
      </c>
      <c r="Z1403" s="52">
        <f>IFERROR(__xludf.DUMMYFUNCTION("((IFERROR((SUM(FILTER('Fund Data'!$V:$V, 'Fund Data'!$C:$C = $C1403, 'Fund Data'!$A:$A = $A1403 - 1, 'Fund Data'!$B:$B &gt;= 4, 'Fund Data'!$B:$B &lt;= ($B1403 + 5))) / 12) * ($B1403 - 3) * 'Parameters and Distribution Sum'!$B$4, 0) + IF($B1403 &gt;= 9, IFERROR(SU"&amp;"M(FILTER('Fund Data'!$V:$V, 'Fund Data'!$C:$C = $C1403, 'Fund Data'!$A:$A = $A1403, 'Fund Data'!$B:$B &lt;= 3)) * 'Parameters and Distribution Sum'!$B$4, 0),0)))"),0.0)</f>
        <v>0</v>
      </c>
      <c r="AA1403" s="44">
        <f>IFERROR(__xludf.DUMMYFUNCTION("IFERROR(((IFERROR(SUM(FILTER('Fund Data'!$V:$V, 'Fund Data'!$C:$C = $C1403, 'Fund Data'!$A:$A = $A1403 - 2, 'Fund Data'!$B:$B &gt;= 4)) * 'Parameters and Distribution Sum'!$B$4,0) + IFERROR(SUM(FILTER('Fund Data'!$V:$V, 'Fund Data'!$C:$C = $C1403, 'Fund Data"&amp;"'!$A:$A = $A1403 - 1, 'Fund Data'!$B:$B &lt;= 3)) * 'Parameters and Distribution Sum'!$B$4,0))),0)"),0.0)</f>
        <v>0</v>
      </c>
      <c r="AB1403" s="44">
        <f t="shared" ref="AB1403:AB1409" si="132">IFERROR(__xludf.DUMMYFUNCTION("IFERROR(FILTER($AE:$AE,$C:$C = $C1403,$A:$A = $A1403 - 1,$B:$B = 12),0)"),0.0)</f>
        <v>0</v>
      </c>
      <c r="AC1403" s="44">
        <f t="shared" ref="AC1403:AC1409" si="133">sum($Y1403:$AB1403)</f>
        <v>48606.59803</v>
      </c>
      <c r="AD1403" s="44">
        <f t="shared" si="7"/>
        <v>48606.59803</v>
      </c>
      <c r="AE1403" s="44"/>
    </row>
    <row r="1404">
      <c r="A1404" s="120">
        <v>2019.0</v>
      </c>
      <c r="B1404" s="121">
        <v>5.0</v>
      </c>
      <c r="C1404" s="122" t="s">
        <v>79</v>
      </c>
      <c r="D1404" s="44"/>
      <c r="E1404" s="123">
        <v>12166.31</v>
      </c>
      <c r="F1404" s="44"/>
      <c r="G1404" s="44"/>
      <c r="H1404" s="123">
        <v>-2506.19</v>
      </c>
      <c r="I1404" s="44"/>
      <c r="J1404" s="44"/>
      <c r="K1404" s="44"/>
      <c r="L1404" s="123">
        <v>62513.88</v>
      </c>
      <c r="M1404" s="44"/>
      <c r="N1404" s="44"/>
      <c r="O1404" s="123">
        <v>1071586.71</v>
      </c>
      <c r="P1404" s="52">
        <f t="shared" si="23"/>
        <v>1071586.71</v>
      </c>
      <c r="Q1404" s="124">
        <f t="shared" si="2"/>
        <v>0</v>
      </c>
      <c r="R1404" s="52">
        <f t="array" ref="R1404">IFERROR(INDEX('Fund YTD Target Values'!$1:$1000, MATCH($C1404,'Fund YTD Target Values'!$A:$A,0), MATCH($A1404,'Fund YTD Target Values'!$1:$1,0)),0)</f>
        <v>1079225.841</v>
      </c>
      <c r="S1404" s="52">
        <f>IFERROR(__xludf.DUMMYFUNCTION("IFERROR(sum(FILTER('Fund Data'!$V:$V, 'Fund Data'!$C:$C = $C1404, 'Fund Data'!$A:$A &lt; $A1404)),0) + IFERROR(sum(FILTER('Fund Data'!$V:$V, 'Fund Data'!$C:$C = $C1404, 'Fund Data'!$A:$A = $A1404, 'Fund Data'!$B:$B &lt;= $B1404)),0)"),1000000.0)</f>
        <v>1000000</v>
      </c>
      <c r="T1404" s="123">
        <v>1000000.0</v>
      </c>
      <c r="U1404" s="44">
        <f t="shared" si="130"/>
        <v>0</v>
      </c>
      <c r="V1404" s="44">
        <f t="shared" si="3"/>
        <v>0</v>
      </c>
      <c r="W1404" s="52">
        <f>IFERROR(__xludf.DUMMYFUNCTION("iFERROR((FILTER('Fund Data'!$Y:$Y, 'Fund Data'!$C:$C = $C1404, 'Fund Data'!$A:$A = $A1404 - 1, 'Fund Data'!$B:$B = 12) + FILTER('Fund Data'!$AA:$AA, 'Fund Data'!$C:$C = $C1404, 'Fund Data'!$A:$A = $A1404 - 1, 'Fund Data'!$B:$B = 12)) * (1 + AVERAGE(FILTER"&amp;"('Inflation Data'!$C:$C,'Inflation Data'!$A:$A = ($A1404 - 2)))) * 'Parameters and Distribution Sum'!$A$4,0)"),33311.397321480836)</f>
        <v>33311.39732</v>
      </c>
      <c r="X1404" s="52">
        <f>IFERROR(__xludf.DUMMYFUNCTION("IFERROR((IFERROR(FILTER('Fund Data'!$P:$P,'Fund Data'!$C:$C = $C1404,'Fund Data'!$A:$A = ($A1404 - 2), 'Fund Data'!$B:$B = 12),0) - SUM(FILTER('Fund Data'!$V:$V, 'Fund Data'!$C:$C = $C1404, 'Fund Data'!$A:$A = ($A1404 - 2), 'Fund Data'!$B:$B &gt; 3)))  * 'Pa"&amp;"rameters and Distribution Sum'!$B$4 * (1 - 'Parameters and Distribution Sum'!$A$4),0)"),15295.200705000003)</f>
        <v>15295.20071</v>
      </c>
      <c r="Y1404" s="52">
        <f t="shared" si="131"/>
        <v>48606.59803</v>
      </c>
      <c r="Z1404" s="52">
        <f>IFERROR(__xludf.DUMMYFUNCTION("((IFERROR((SUM(FILTER('Fund Data'!$V:$V, 'Fund Data'!$C:$C = $C1404, 'Fund Data'!$A:$A = $A1404 - 1, 'Fund Data'!$B:$B &gt;= 4, 'Fund Data'!$B:$B &lt;= ($B1404 + 5))) / 12) * ($B1404 - 3) * 'Parameters and Distribution Sum'!$B$4, 0) + IF($B1404 &gt;= 9, IFERROR(SU"&amp;"M(FILTER('Fund Data'!$V:$V, 'Fund Data'!$C:$C = $C1404, 'Fund Data'!$A:$A = $A1404, 'Fund Data'!$B:$B &lt;= 3)) * 'Parameters and Distribution Sum'!$B$4, 0),0)))"),0.0)</f>
        <v>0</v>
      </c>
      <c r="AA1404" s="44">
        <f>IFERROR(__xludf.DUMMYFUNCTION("IFERROR(((IFERROR(SUM(FILTER('Fund Data'!$V:$V, 'Fund Data'!$C:$C = $C1404, 'Fund Data'!$A:$A = $A1404 - 2, 'Fund Data'!$B:$B &gt;= 4)) * 'Parameters and Distribution Sum'!$B$4,0) + IFERROR(SUM(FILTER('Fund Data'!$V:$V, 'Fund Data'!$C:$C = $C1404, 'Fund Data"&amp;"'!$A:$A = $A1404 - 1, 'Fund Data'!$B:$B &lt;= 3)) * 'Parameters and Distribution Sum'!$B$4,0))),0)"),0.0)</f>
        <v>0</v>
      </c>
      <c r="AB1404" s="44">
        <f t="shared" si="132"/>
        <v>0</v>
      </c>
      <c r="AC1404" s="44">
        <f t="shared" si="133"/>
        <v>48606.59803</v>
      </c>
      <c r="AD1404" s="44">
        <f t="shared" si="7"/>
        <v>48606.59803</v>
      </c>
      <c r="AE1404" s="44"/>
    </row>
    <row r="1405">
      <c r="A1405" s="120">
        <v>2019.0</v>
      </c>
      <c r="B1405" s="121">
        <v>4.0</v>
      </c>
      <c r="C1405" s="122" t="s">
        <v>79</v>
      </c>
      <c r="D1405" s="44"/>
      <c r="E1405" s="123">
        <v>11213.22</v>
      </c>
      <c r="F1405" s="44"/>
      <c r="G1405" s="44"/>
      <c r="H1405" s="123">
        <v>-1986.35</v>
      </c>
      <c r="I1405" s="44"/>
      <c r="J1405" s="44"/>
      <c r="K1405" s="44"/>
      <c r="L1405" s="123">
        <v>105032.3</v>
      </c>
      <c r="M1405" s="44"/>
      <c r="N1405" s="44"/>
      <c r="O1405" s="123">
        <v>1113672.0</v>
      </c>
      <c r="P1405" s="52">
        <f t="shared" si="23"/>
        <v>1113671.88</v>
      </c>
      <c r="Q1405" s="124">
        <f t="shared" si="2"/>
        <v>0.1200000001</v>
      </c>
      <c r="R1405" s="52">
        <f t="array" ref="R1405">IFERROR(INDEX('Fund YTD Target Values'!$1:$1000, MATCH($C1405,'Fund YTD Target Values'!$A:$A,0), MATCH($A1405,'Fund YTD Target Values'!$1:$1,0)),0)</f>
        <v>1079225.841</v>
      </c>
      <c r="S1405" s="52">
        <f>IFERROR(__xludf.DUMMYFUNCTION("IFERROR(sum(FILTER('Fund Data'!$V:$V, 'Fund Data'!$C:$C = $C1405, 'Fund Data'!$A:$A &lt; $A1405)),0) + IFERROR(sum(FILTER('Fund Data'!$V:$V, 'Fund Data'!$C:$C = $C1405, 'Fund Data'!$A:$A = $A1405, 'Fund Data'!$B:$B &lt;= $B1405)),0)"),1000000.0)</f>
        <v>1000000</v>
      </c>
      <c r="T1405" s="123">
        <v>1000000.0</v>
      </c>
      <c r="U1405" s="44">
        <f t="shared" si="130"/>
        <v>0</v>
      </c>
      <c r="V1405" s="44">
        <f t="shared" si="3"/>
        <v>0</v>
      </c>
      <c r="W1405" s="52">
        <f>IFERROR(__xludf.DUMMYFUNCTION("iFERROR((FILTER('Fund Data'!$Y:$Y, 'Fund Data'!$C:$C = $C1405, 'Fund Data'!$A:$A = $A1405 - 1, 'Fund Data'!$B:$B = 12) + FILTER('Fund Data'!$AA:$AA, 'Fund Data'!$C:$C = $C1405, 'Fund Data'!$A:$A = $A1405 - 1, 'Fund Data'!$B:$B = 12)) * (1 + AVERAGE(FILTER"&amp;"('Inflation Data'!$C:$C,'Inflation Data'!$A:$A = ($A1405 - 2)))) * 'Parameters and Distribution Sum'!$A$4,0)"),33311.397321480836)</f>
        <v>33311.39732</v>
      </c>
      <c r="X1405" s="52">
        <f>IFERROR(__xludf.DUMMYFUNCTION("IFERROR((IFERROR(FILTER('Fund Data'!$P:$P,'Fund Data'!$C:$C = $C1405,'Fund Data'!$A:$A = ($A1405 - 2), 'Fund Data'!$B:$B = 12),0) - SUM(FILTER('Fund Data'!$V:$V, 'Fund Data'!$C:$C = $C1405, 'Fund Data'!$A:$A = ($A1405 - 2), 'Fund Data'!$B:$B &gt; 3)))  * 'Pa"&amp;"rameters and Distribution Sum'!$B$4 * (1 - 'Parameters and Distribution Sum'!$A$4),0)"),15295.200705000003)</f>
        <v>15295.20071</v>
      </c>
      <c r="Y1405" s="52">
        <f t="shared" si="131"/>
        <v>48606.59803</v>
      </c>
      <c r="Z1405" s="52">
        <f>IFERROR(__xludf.DUMMYFUNCTION("((IFERROR((SUM(FILTER('Fund Data'!$V:$V, 'Fund Data'!$C:$C = $C1405, 'Fund Data'!$A:$A = $A1405 - 1, 'Fund Data'!$B:$B &gt;= 4, 'Fund Data'!$B:$B &lt;= ($B1405 + 5))) / 12) * ($B1405 - 3) * 'Parameters and Distribution Sum'!$B$4, 0) + IF($B1405 &gt;= 9, IFERROR(SU"&amp;"M(FILTER('Fund Data'!$V:$V, 'Fund Data'!$C:$C = $C1405, 'Fund Data'!$A:$A = $A1405, 'Fund Data'!$B:$B &lt;= 3)) * 'Parameters and Distribution Sum'!$B$4, 0),0)))"),0.0)</f>
        <v>0</v>
      </c>
      <c r="AA1405" s="44">
        <f>IFERROR(__xludf.DUMMYFUNCTION("IFERROR(((IFERROR(SUM(FILTER('Fund Data'!$V:$V, 'Fund Data'!$C:$C = $C1405, 'Fund Data'!$A:$A = $A1405 - 2, 'Fund Data'!$B:$B &gt;= 4)) * 'Parameters and Distribution Sum'!$B$4,0) + IFERROR(SUM(FILTER('Fund Data'!$V:$V, 'Fund Data'!$C:$C = $C1405, 'Fund Data"&amp;"'!$A:$A = $A1405 - 1, 'Fund Data'!$B:$B &lt;= 3)) * 'Parameters and Distribution Sum'!$B$4,0))),0)"),0.0)</f>
        <v>0</v>
      </c>
      <c r="AB1405" s="44">
        <f t="shared" si="132"/>
        <v>0</v>
      </c>
      <c r="AC1405" s="44">
        <f t="shared" si="133"/>
        <v>48606.59803</v>
      </c>
      <c r="AD1405" s="44">
        <f t="shared" si="7"/>
        <v>48606.59803</v>
      </c>
      <c r="AE1405" s="44"/>
    </row>
    <row r="1406">
      <c r="A1406" s="120">
        <v>2019.0</v>
      </c>
      <c r="B1406" s="121">
        <v>3.0</v>
      </c>
      <c r="C1406" s="122" t="s">
        <v>79</v>
      </c>
      <c r="D1406" s="44"/>
      <c r="E1406" s="123">
        <v>8474.25</v>
      </c>
      <c r="F1406" s="44"/>
      <c r="G1406" s="44"/>
      <c r="H1406" s="123">
        <v>-1476.83</v>
      </c>
      <c r="I1406" s="44"/>
      <c r="J1406" s="44"/>
      <c r="K1406" s="44"/>
      <c r="L1406" s="123">
        <v>83342.19</v>
      </c>
      <c r="M1406" s="44"/>
      <c r="N1406" s="44"/>
      <c r="O1406" s="123">
        <v>1089752.0</v>
      </c>
      <c r="P1406" s="52">
        <f t="shared" si="23"/>
        <v>1089752.32</v>
      </c>
      <c r="Q1406" s="124">
        <f t="shared" si="2"/>
        <v>-0.3200000001</v>
      </c>
      <c r="R1406" s="52">
        <f t="array" ref="R1406">IFERROR(INDEX('Fund YTD Target Values'!$1:$1000, MATCH($C1406,'Fund YTD Target Values'!$A:$A,0), MATCH($A1406,'Fund YTD Target Values'!$1:$1,0)),0)</f>
        <v>1079225.841</v>
      </c>
      <c r="S1406" s="52">
        <f>IFERROR(__xludf.DUMMYFUNCTION("IFERROR(sum(FILTER('Fund Data'!$V:$V, 'Fund Data'!$C:$C = $C1406, 'Fund Data'!$A:$A &lt; $A1406)),0) + IFERROR(sum(FILTER('Fund Data'!$V:$V, 'Fund Data'!$C:$C = $C1406, 'Fund Data'!$A:$A = $A1406, 'Fund Data'!$B:$B &lt;= $B1406)),0)"),1000000.0)</f>
        <v>1000000</v>
      </c>
      <c r="T1406" s="123">
        <v>1000000.0</v>
      </c>
      <c r="U1406" s="44">
        <f t="shared" si="130"/>
        <v>0</v>
      </c>
      <c r="V1406" s="44">
        <f t="shared" si="3"/>
        <v>0</v>
      </c>
      <c r="W1406" s="52">
        <f>IFERROR(__xludf.DUMMYFUNCTION("iFERROR((FILTER('Fund Data'!$Y:$Y, 'Fund Data'!$C:$C = $C1406, 'Fund Data'!$A:$A = $A1406 - 1, 'Fund Data'!$B:$B = 12) + FILTER('Fund Data'!$AA:$AA, 'Fund Data'!$C:$C = $C1406, 'Fund Data'!$A:$A = $A1406 - 1, 'Fund Data'!$B:$B = 12)) * (1 + AVERAGE(FILTER"&amp;"('Inflation Data'!$C:$C,'Inflation Data'!$A:$A = ($A1406 - 2)))) * 'Parameters and Distribution Sum'!$A$4,0)"),33311.397321480836)</f>
        <v>33311.39732</v>
      </c>
      <c r="X1406" s="52">
        <f>IFERROR(__xludf.DUMMYFUNCTION("IFERROR((IFERROR(FILTER('Fund Data'!$P:$P,'Fund Data'!$C:$C = $C1406,'Fund Data'!$A:$A = ($A1406 - 2), 'Fund Data'!$B:$B = 12),0) - SUM(FILTER('Fund Data'!$V:$V, 'Fund Data'!$C:$C = $C1406, 'Fund Data'!$A:$A = ($A1406 - 2), 'Fund Data'!$B:$B &gt; 3)))  * 'Pa"&amp;"rameters and Distribution Sum'!$B$4 * (1 - 'Parameters and Distribution Sum'!$A$4),0)"),15295.200705000003)</f>
        <v>15295.20071</v>
      </c>
      <c r="Y1406" s="52">
        <f t="shared" si="131"/>
        <v>48606.59803</v>
      </c>
      <c r="Z1406" s="52">
        <f>IFERROR(__xludf.DUMMYFUNCTION("((IFERROR((SUM(FILTER('Fund Data'!$V:$V, 'Fund Data'!$C:$C = $C1406, 'Fund Data'!$A:$A = $A1406 - 1, 'Fund Data'!$B:$B &gt;= 4, 'Fund Data'!$B:$B &lt;= ($B1406 + 5))) / 12) * ($B1406 - 3) * 'Parameters and Distribution Sum'!$B$4, 0) + IF($B1406 &gt;= 9, IFERROR(SU"&amp;"M(FILTER('Fund Data'!$V:$V, 'Fund Data'!$C:$C = $C1406, 'Fund Data'!$A:$A = $A1406, 'Fund Data'!$B:$B &lt;= 3)) * 'Parameters and Distribution Sum'!$B$4, 0),0)))"),0.0)</f>
        <v>0</v>
      </c>
      <c r="AA1406" s="44">
        <f>IFERROR(__xludf.DUMMYFUNCTION("IFERROR(((IFERROR(SUM(FILTER('Fund Data'!$V:$V, 'Fund Data'!$C:$C = $C1406, 'Fund Data'!$A:$A = $A1406 - 2, 'Fund Data'!$B:$B &gt;= 4)) * 'Parameters and Distribution Sum'!$B$4,0) + IFERROR(SUM(FILTER('Fund Data'!$V:$V, 'Fund Data'!$C:$C = $C1406, 'Fund Data"&amp;"'!$A:$A = $A1406 - 1, 'Fund Data'!$B:$B &lt;= 3)) * 'Parameters and Distribution Sum'!$B$4,0))),0)"),0.0)</f>
        <v>0</v>
      </c>
      <c r="AB1406" s="44">
        <f t="shared" si="132"/>
        <v>0</v>
      </c>
      <c r="AC1406" s="44">
        <f t="shared" si="133"/>
        <v>48606.59803</v>
      </c>
      <c r="AD1406" s="44">
        <f t="shared" si="7"/>
        <v>48606.59803</v>
      </c>
      <c r="AE1406" s="44"/>
    </row>
    <row r="1407">
      <c r="A1407" s="120">
        <v>2019.0</v>
      </c>
      <c r="B1407" s="121">
        <v>2.0</v>
      </c>
      <c r="C1407" s="122" t="s">
        <v>79</v>
      </c>
      <c r="D1407" s="44"/>
      <c r="E1407" s="123">
        <v>7164.52</v>
      </c>
      <c r="F1407" s="44"/>
      <c r="G1407" s="44"/>
      <c r="H1407" s="123">
        <v>-970.54</v>
      </c>
      <c r="I1407" s="44"/>
      <c r="J1407" s="44"/>
      <c r="K1407" s="44"/>
      <c r="L1407" s="123">
        <v>77150.19</v>
      </c>
      <c r="M1407" s="44"/>
      <c r="N1407" s="44"/>
      <c r="O1407" s="123">
        <v>1082757.0</v>
      </c>
      <c r="P1407" s="52">
        <f t="shared" si="23"/>
        <v>1082756.88</v>
      </c>
      <c r="Q1407" s="124">
        <f t="shared" si="2"/>
        <v>0.1200000001</v>
      </c>
      <c r="R1407" s="52">
        <f t="array" ref="R1407">IFERROR(INDEX('Fund YTD Target Values'!$1:$1000, MATCH($C1407,'Fund YTD Target Values'!$A:$A,0), MATCH($A1407,'Fund YTD Target Values'!$1:$1,0)),0)</f>
        <v>1079225.841</v>
      </c>
      <c r="S1407" s="52">
        <f>IFERROR(__xludf.DUMMYFUNCTION("IFERROR(sum(FILTER('Fund Data'!$V:$V, 'Fund Data'!$C:$C = $C1407, 'Fund Data'!$A:$A &lt; $A1407)),0) + IFERROR(sum(FILTER('Fund Data'!$V:$V, 'Fund Data'!$C:$C = $C1407, 'Fund Data'!$A:$A = $A1407, 'Fund Data'!$B:$B &lt;= $B1407)),0)"),1000000.0)</f>
        <v>1000000</v>
      </c>
      <c r="T1407" s="123">
        <v>1000000.0</v>
      </c>
      <c r="U1407" s="44">
        <f t="shared" si="130"/>
        <v>0</v>
      </c>
      <c r="V1407" s="44">
        <f t="shared" si="3"/>
        <v>0</v>
      </c>
      <c r="W1407" s="52">
        <f>IFERROR(__xludf.DUMMYFUNCTION("iFERROR((FILTER('Fund Data'!$Y:$Y, 'Fund Data'!$C:$C = $C1407, 'Fund Data'!$A:$A = $A1407 - 1, 'Fund Data'!$B:$B = 12) + FILTER('Fund Data'!$AA:$AA, 'Fund Data'!$C:$C = $C1407, 'Fund Data'!$A:$A = $A1407 - 1, 'Fund Data'!$B:$B = 12)) * (1 + AVERAGE(FILTER"&amp;"('Inflation Data'!$C:$C,'Inflation Data'!$A:$A = ($A1407 - 2)))) * 'Parameters and Distribution Sum'!$A$4,0)"),33311.397321480836)</f>
        <v>33311.39732</v>
      </c>
      <c r="X1407" s="52">
        <f>IFERROR(__xludf.DUMMYFUNCTION("IFERROR((IFERROR(FILTER('Fund Data'!$P:$P,'Fund Data'!$C:$C = $C1407,'Fund Data'!$A:$A = ($A1407 - 2), 'Fund Data'!$B:$B = 12),0) - SUM(FILTER('Fund Data'!$V:$V, 'Fund Data'!$C:$C = $C1407, 'Fund Data'!$A:$A = ($A1407 - 2), 'Fund Data'!$B:$B &gt; 3)))  * 'Pa"&amp;"rameters and Distribution Sum'!$B$4 * (1 - 'Parameters and Distribution Sum'!$A$4),0)"),15295.200705000003)</f>
        <v>15295.20071</v>
      </c>
      <c r="Y1407" s="52">
        <f t="shared" si="131"/>
        <v>48606.59803</v>
      </c>
      <c r="Z1407" s="52">
        <f>IFERROR(__xludf.DUMMYFUNCTION("((IFERROR((SUM(FILTER('Fund Data'!$V:$V, 'Fund Data'!$C:$C = $C1407, 'Fund Data'!$A:$A = $A1407 - 1, 'Fund Data'!$B:$B &gt;= 4, 'Fund Data'!$B:$B &lt;= ($B1407 + 5))) / 12) * ($B1407 - 3) * 'Parameters and Distribution Sum'!$B$4, 0) + IF($B1407 &gt;= 9, IFERROR(SU"&amp;"M(FILTER('Fund Data'!$V:$V, 'Fund Data'!$C:$C = $C1407, 'Fund Data'!$A:$A = $A1407, 'Fund Data'!$B:$B &lt;= 3)) * 'Parameters and Distribution Sum'!$B$4, 0),0)))"),0.0)</f>
        <v>0</v>
      </c>
      <c r="AA1407" s="44">
        <f>IFERROR(__xludf.DUMMYFUNCTION("IFERROR(((IFERROR(SUM(FILTER('Fund Data'!$V:$V, 'Fund Data'!$C:$C = $C1407, 'Fund Data'!$A:$A = $A1407 - 2, 'Fund Data'!$B:$B &gt;= 4)) * 'Parameters and Distribution Sum'!$B$4,0) + IFERROR(SUM(FILTER('Fund Data'!$V:$V, 'Fund Data'!$C:$C = $C1407, 'Fund Data"&amp;"'!$A:$A = $A1407 - 1, 'Fund Data'!$B:$B &lt;= 3)) * 'Parameters and Distribution Sum'!$B$4,0))),0)"),0.0)</f>
        <v>0</v>
      </c>
      <c r="AB1407" s="44">
        <f t="shared" si="132"/>
        <v>0</v>
      </c>
      <c r="AC1407" s="44">
        <f t="shared" si="133"/>
        <v>48606.59803</v>
      </c>
      <c r="AD1407" s="44">
        <f t="shared" si="7"/>
        <v>48606.59803</v>
      </c>
      <c r="AE1407" s="44"/>
    </row>
    <row r="1408">
      <c r="A1408" s="120">
        <v>2019.0</v>
      </c>
      <c r="B1408" s="121">
        <v>1.0</v>
      </c>
      <c r="C1408" s="122" t="s">
        <v>79</v>
      </c>
      <c r="D1408" s="44"/>
      <c r="E1408" s="123">
        <v>6626.49</v>
      </c>
      <c r="F1408" s="44"/>
      <c r="G1408" s="44"/>
      <c r="H1408" s="123">
        <v>-471.54</v>
      </c>
      <c r="I1408" s="44"/>
      <c r="J1408" s="44"/>
      <c r="K1408" s="44"/>
      <c r="L1408" s="123">
        <v>59682.22</v>
      </c>
      <c r="M1408" s="44"/>
      <c r="N1408" s="44"/>
      <c r="O1408" s="123">
        <v>1065250.0</v>
      </c>
      <c r="P1408" s="52">
        <f t="shared" si="23"/>
        <v>1065249.88</v>
      </c>
      <c r="Q1408" s="124">
        <f t="shared" si="2"/>
        <v>0.1200000001</v>
      </c>
      <c r="R1408" s="52">
        <f t="array" ref="R1408">IFERROR(INDEX('Fund YTD Target Values'!$1:$1000, MATCH($C1408,'Fund YTD Target Values'!$A:$A,0), MATCH($A1408,'Fund YTD Target Values'!$1:$1,0)),0)</f>
        <v>1079225.841</v>
      </c>
      <c r="S1408" s="52">
        <f>IFERROR(__xludf.DUMMYFUNCTION("IFERROR(sum(FILTER('Fund Data'!$V:$V, 'Fund Data'!$C:$C = $C1408, 'Fund Data'!$A:$A &lt; $A1408)),0) + IFERROR(sum(FILTER('Fund Data'!$V:$V, 'Fund Data'!$C:$C = $C1408, 'Fund Data'!$A:$A = $A1408, 'Fund Data'!$B:$B &lt;= $B1408)),0)"),1000000.0)</f>
        <v>1000000</v>
      </c>
      <c r="T1408" s="123">
        <v>1000000.0</v>
      </c>
      <c r="U1408" s="44">
        <f t="shared" si="130"/>
        <v>0</v>
      </c>
      <c r="V1408" s="44">
        <f t="shared" si="3"/>
        <v>0</v>
      </c>
      <c r="W1408" s="52">
        <f>IFERROR(__xludf.DUMMYFUNCTION("iFERROR((FILTER('Fund Data'!$Y:$Y, 'Fund Data'!$C:$C = $C1408, 'Fund Data'!$A:$A = $A1408 - 1, 'Fund Data'!$B:$B = 12) + FILTER('Fund Data'!$AA:$AA, 'Fund Data'!$C:$C = $C1408, 'Fund Data'!$A:$A = $A1408 - 1, 'Fund Data'!$B:$B = 12)) * (1 + AVERAGE(FILTER"&amp;"('Inflation Data'!$C:$C,'Inflation Data'!$A:$A = ($A1408 - 2)))) * 'Parameters and Distribution Sum'!$A$4,0)"),33311.397321480836)</f>
        <v>33311.39732</v>
      </c>
      <c r="X1408" s="52">
        <f>IFERROR(__xludf.DUMMYFUNCTION("IFERROR((IFERROR(FILTER('Fund Data'!$P:$P,'Fund Data'!$C:$C = $C1408,'Fund Data'!$A:$A = ($A1408 - 2), 'Fund Data'!$B:$B = 12),0) - SUM(FILTER('Fund Data'!$V:$V, 'Fund Data'!$C:$C = $C1408, 'Fund Data'!$A:$A = ($A1408 - 2), 'Fund Data'!$B:$B &gt; 3)))  * 'Pa"&amp;"rameters and Distribution Sum'!$B$4 * (1 - 'Parameters and Distribution Sum'!$A$4),0)"),15295.200705000003)</f>
        <v>15295.20071</v>
      </c>
      <c r="Y1408" s="52">
        <f t="shared" si="131"/>
        <v>48606.59803</v>
      </c>
      <c r="Z1408" s="52">
        <f>IFERROR(__xludf.DUMMYFUNCTION("((IFERROR((SUM(FILTER('Fund Data'!$V:$V, 'Fund Data'!$C:$C = $C1408, 'Fund Data'!$A:$A = $A1408 - 1, 'Fund Data'!$B:$B &gt;= 4, 'Fund Data'!$B:$B &lt;= ($B1408 + 5))) / 12) * ($B1408 - 3) * 'Parameters and Distribution Sum'!$B$4, 0) + IF($B1408 &gt;= 9, IFERROR(SU"&amp;"M(FILTER('Fund Data'!$V:$V, 'Fund Data'!$C:$C = $C1408, 'Fund Data'!$A:$A = $A1408, 'Fund Data'!$B:$B &lt;= 3)) * 'Parameters and Distribution Sum'!$B$4, 0),0)))"),0.0)</f>
        <v>0</v>
      </c>
      <c r="AA1408" s="44">
        <f>IFERROR(__xludf.DUMMYFUNCTION("IFERROR(((IFERROR(SUM(FILTER('Fund Data'!$V:$V, 'Fund Data'!$C:$C = $C1408, 'Fund Data'!$A:$A = $A1408 - 2, 'Fund Data'!$B:$B &gt;= 4)) * 'Parameters and Distribution Sum'!$B$4,0) + IFERROR(SUM(FILTER('Fund Data'!$V:$V, 'Fund Data'!$C:$C = $C1408, 'Fund Data"&amp;"'!$A:$A = $A1408 - 1, 'Fund Data'!$B:$B &lt;= 3)) * 'Parameters and Distribution Sum'!$B$4,0))),0)"),0.0)</f>
        <v>0</v>
      </c>
      <c r="AB1408" s="44">
        <f t="shared" si="132"/>
        <v>0</v>
      </c>
      <c r="AC1408" s="44">
        <f t="shared" si="133"/>
        <v>48606.59803</v>
      </c>
      <c r="AD1408" s="44">
        <f t="shared" si="7"/>
        <v>48606.59803</v>
      </c>
      <c r="AE1408" s="44"/>
    </row>
    <row r="1409">
      <c r="A1409" s="120">
        <v>2018.0</v>
      </c>
      <c r="B1409" s="121">
        <v>12.0</v>
      </c>
      <c r="C1409" s="122" t="s">
        <v>79</v>
      </c>
      <c r="D1409" s="44"/>
      <c r="E1409" s="123">
        <v>23823.97</v>
      </c>
      <c r="F1409" s="123">
        <v>-50000.0</v>
      </c>
      <c r="G1409" s="44"/>
      <c r="H1409" s="123">
        <v>-6599.49</v>
      </c>
      <c r="I1409" s="44"/>
      <c r="J1409" s="123">
        <v>3463.53</v>
      </c>
      <c r="K1409" s="44"/>
      <c r="L1409" s="123">
        <v>-104253.13</v>
      </c>
      <c r="M1409" s="44"/>
      <c r="N1409" s="44"/>
      <c r="O1409" s="123">
        <v>999413.0</v>
      </c>
      <c r="P1409" s="52">
        <f t="shared" si="23"/>
        <v>999412.71</v>
      </c>
      <c r="Q1409" s="124">
        <f t="shared" si="2"/>
        <v>0.2899999999</v>
      </c>
      <c r="R1409" s="52">
        <f t="array" ref="R1409">IFERROR(INDEX('Fund YTD Target Values'!$1:$1000, MATCH($C1409,'Fund YTD Target Values'!$A:$A,0), MATCH($A1409,'Fund YTD Target Values'!$1:$1,0)),0)</f>
        <v>1060725.595</v>
      </c>
      <c r="S1409" s="52">
        <f>IFERROR(__xludf.DUMMYFUNCTION("IFERROR(sum(FILTER('Fund Data'!$V:$V, 'Fund Data'!$C:$C = $C1409, 'Fund Data'!$A:$A &lt; $A1409)),0) + IFERROR(sum(FILTER('Fund Data'!$V:$V, 'Fund Data'!$C:$C = $C1409, 'Fund Data'!$A:$A = $A1409, 'Fund Data'!$B:$B &lt;= $B1409)),0)"),1000000.0)</f>
        <v>1000000</v>
      </c>
      <c r="T1409" s="123">
        <v>1000000.0</v>
      </c>
      <c r="U1409" s="44">
        <f t="shared" si="130"/>
        <v>0</v>
      </c>
      <c r="V1409" s="44">
        <f t="shared" si="3"/>
        <v>0</v>
      </c>
      <c r="W1409" s="52"/>
      <c r="X1409" s="52"/>
      <c r="Y1409" s="52">
        <v>46594.49524440029</v>
      </c>
      <c r="Z1409" s="123">
        <v>0.0</v>
      </c>
      <c r="AA1409" s="123">
        <v>0.0</v>
      </c>
      <c r="AB1409" s="44">
        <f t="shared" si="132"/>
        <v>0</v>
      </c>
      <c r="AC1409" s="44">
        <f t="shared" si="133"/>
        <v>46594.49524</v>
      </c>
      <c r="AD1409" s="44">
        <f t="shared" si="7"/>
        <v>-3405.504756</v>
      </c>
      <c r="AE1409" s="123">
        <v>0.0</v>
      </c>
    </row>
    <row r="1410">
      <c r="A1410" s="120">
        <v>2018.0</v>
      </c>
      <c r="B1410" s="121">
        <v>11.0</v>
      </c>
      <c r="C1410" s="122" t="s">
        <v>79</v>
      </c>
      <c r="D1410" s="44"/>
      <c r="E1410" s="123">
        <v>22415.61</v>
      </c>
      <c r="F1410" s="123">
        <v>-50000.0</v>
      </c>
      <c r="G1410" s="44"/>
      <c r="H1410" s="123">
        <v>-6103.39</v>
      </c>
      <c r="I1410" s="44"/>
      <c r="J1410" s="123">
        <v>3463.53</v>
      </c>
      <c r="K1410" s="44"/>
      <c r="L1410" s="123">
        <v>-45200.97</v>
      </c>
      <c r="M1410" s="44"/>
      <c r="N1410" s="44"/>
      <c r="O1410" s="123">
        <v>1057553.0</v>
      </c>
      <c r="P1410" s="52">
        <f t="shared" si="23"/>
        <v>1057552.61</v>
      </c>
      <c r="Q1410" s="124">
        <f t="shared" si="2"/>
        <v>0.3899999999</v>
      </c>
      <c r="R1410" s="52">
        <f t="array" ref="R1410">IFERROR(INDEX('Fund YTD Target Values'!$1:$1000, MATCH($C1410,'Fund YTD Target Values'!$A:$A,0), MATCH($A1410,'Fund YTD Target Values'!$1:$1,0)),0)</f>
        <v>1060725.595</v>
      </c>
      <c r="S1410" s="52">
        <f>IFERROR(__xludf.DUMMYFUNCTION("IFERROR(sum(FILTER('Fund Data'!$V:$V, 'Fund Data'!$C:$C = $C1410, 'Fund Data'!$A:$A &lt; $A1410)),0) + IFERROR(sum(FILTER('Fund Data'!$V:$V, 'Fund Data'!$C:$C = $C1410, 'Fund Data'!$A:$A = $A1410, 'Fund Data'!$B:$B &lt;= $B1410)),0)"),1000000.0)</f>
        <v>1000000</v>
      </c>
      <c r="T1410" s="123">
        <v>1000000.0</v>
      </c>
      <c r="U1410" s="44">
        <f t="shared" si="130"/>
        <v>0</v>
      </c>
      <c r="V1410" s="44">
        <f t="shared" si="3"/>
        <v>0</v>
      </c>
      <c r="W1410" s="123"/>
      <c r="X1410" s="123"/>
      <c r="Y1410" s="123">
        <v>0.0</v>
      </c>
      <c r="Z1410" s="123">
        <v>0.0</v>
      </c>
      <c r="AA1410" s="123">
        <v>0.0</v>
      </c>
      <c r="AB1410" s="123"/>
      <c r="AC1410" s="123">
        <v>0.0</v>
      </c>
      <c r="AD1410" s="44">
        <f t="shared" si="7"/>
        <v>-50000</v>
      </c>
      <c r="AE1410" s="123">
        <v>0.0</v>
      </c>
    </row>
    <row r="1411">
      <c r="A1411" s="120">
        <v>2018.0</v>
      </c>
      <c r="B1411" s="121">
        <v>10.0</v>
      </c>
      <c r="C1411" s="135" t="s">
        <v>79</v>
      </c>
      <c r="D1411" s="138"/>
      <c r="E1411" s="137">
        <v>21475.98</v>
      </c>
      <c r="F1411" s="136">
        <v>-50000.0</v>
      </c>
      <c r="G1411" s="138"/>
      <c r="H1411" s="137">
        <v>-5096.78</v>
      </c>
      <c r="I1411" s="138"/>
      <c r="J1411" s="136">
        <v>3463.53</v>
      </c>
      <c r="K1411" s="138"/>
      <c r="L1411" s="136">
        <v>-54326.03</v>
      </c>
      <c r="M1411" s="44"/>
      <c r="N1411" s="44"/>
      <c r="O1411" s="136">
        <v>1048495.0</v>
      </c>
      <c r="P1411" s="52">
        <f t="shared" si="23"/>
        <v>1048494.53</v>
      </c>
      <c r="Q1411" s="124">
        <f t="shared" si="2"/>
        <v>0.47</v>
      </c>
      <c r="R1411" s="52">
        <f t="array" ref="R1411">IFERROR(INDEX('Fund YTD Target Values'!$1:$1000, MATCH($C1411,'Fund YTD Target Values'!$A:$A,0), MATCH($A1411,'Fund YTD Target Values'!$1:$1,0)),0)</f>
        <v>1060725.595</v>
      </c>
      <c r="S1411" s="52">
        <f>IFERROR(__xludf.DUMMYFUNCTION("IFERROR(sum(FILTER('Fund Data'!$V:$V, 'Fund Data'!$C:$C = $C1411, 'Fund Data'!$A:$A &lt; $A1411)),0) + IFERROR(sum(FILTER('Fund Data'!$V:$V, 'Fund Data'!$C:$C = $C1411, 'Fund Data'!$A:$A = $A1411, 'Fund Data'!$B:$B &lt;= $B1411)),0)"),1000000.0)</f>
        <v>1000000</v>
      </c>
      <c r="T1411" s="123">
        <v>1000000.0</v>
      </c>
      <c r="U1411" s="44">
        <f t="shared" si="130"/>
        <v>0</v>
      </c>
      <c r="V1411" s="44">
        <f t="shared" si="3"/>
        <v>0</v>
      </c>
      <c r="W1411" s="123"/>
      <c r="X1411" s="123"/>
      <c r="Y1411" s="123">
        <v>0.0</v>
      </c>
      <c r="Z1411" s="123">
        <v>0.0</v>
      </c>
      <c r="AA1411" s="123">
        <v>0.0</v>
      </c>
      <c r="AB1411" s="123"/>
      <c r="AC1411" s="123">
        <v>0.0</v>
      </c>
      <c r="AD1411" s="44">
        <f t="shared" si="7"/>
        <v>-50000</v>
      </c>
      <c r="AE1411" s="123">
        <v>0.0</v>
      </c>
    </row>
    <row r="1412">
      <c r="A1412" s="120">
        <v>2018.0</v>
      </c>
      <c r="B1412" s="121">
        <v>9.0</v>
      </c>
      <c r="C1412" s="122" t="s">
        <v>79</v>
      </c>
      <c r="D1412" s="44"/>
      <c r="E1412" s="123">
        <v>18323.09</v>
      </c>
      <c r="F1412" s="123">
        <v>-50000.0</v>
      </c>
      <c r="G1412" s="44"/>
      <c r="H1412" s="123">
        <v>-5096.78</v>
      </c>
      <c r="I1412" s="44"/>
      <c r="J1412" s="123">
        <v>3463.53</v>
      </c>
      <c r="K1412" s="44"/>
      <c r="L1412" s="123">
        <v>1923.43</v>
      </c>
      <c r="M1412" s="44"/>
      <c r="N1412" s="44"/>
      <c r="O1412" s="123">
        <v>1101591.0</v>
      </c>
      <c r="P1412" s="52">
        <f t="shared" si="23"/>
        <v>1101591.1</v>
      </c>
      <c r="Q1412" s="124">
        <f t="shared" si="2"/>
        <v>-0.1000000001</v>
      </c>
      <c r="R1412" s="52">
        <f t="array" ref="R1412">IFERROR(INDEX('Fund YTD Target Values'!$1:$1000, MATCH($C1412,'Fund YTD Target Values'!$A:$A,0), MATCH($A1412,'Fund YTD Target Values'!$1:$1,0)),0)</f>
        <v>1060725.595</v>
      </c>
      <c r="S1412" s="52">
        <f>IFERROR(__xludf.DUMMYFUNCTION("IFERROR(sum(FILTER('Fund Data'!$V:$V, 'Fund Data'!$C:$C = $C1412, 'Fund Data'!$A:$A &lt; $A1412)),0) + IFERROR(sum(FILTER('Fund Data'!$V:$V, 'Fund Data'!$C:$C = $C1412, 'Fund Data'!$A:$A = $A1412, 'Fund Data'!$B:$B &lt;= $B1412)),0)"),1000000.0)</f>
        <v>1000000</v>
      </c>
      <c r="T1412" s="123">
        <v>1000000.0</v>
      </c>
      <c r="U1412" s="44">
        <f t="shared" si="130"/>
        <v>0</v>
      </c>
      <c r="V1412" s="44">
        <f t="shared" si="3"/>
        <v>0</v>
      </c>
      <c r="W1412" s="123"/>
      <c r="X1412" s="123"/>
      <c r="Y1412" s="123">
        <v>0.0</v>
      </c>
      <c r="Z1412" s="123">
        <v>0.0</v>
      </c>
      <c r="AA1412" s="123">
        <v>0.0</v>
      </c>
      <c r="AB1412" s="123"/>
      <c r="AC1412" s="123">
        <v>0.0</v>
      </c>
      <c r="AD1412" s="44">
        <f t="shared" si="7"/>
        <v>-50000</v>
      </c>
      <c r="AE1412" s="123">
        <v>0.0</v>
      </c>
    </row>
    <row r="1413">
      <c r="A1413" s="120">
        <v>2018.0</v>
      </c>
      <c r="B1413" s="121">
        <v>8.0</v>
      </c>
      <c r="C1413" s="122" t="s">
        <v>79</v>
      </c>
      <c r="D1413" s="44"/>
      <c r="E1413" s="123">
        <v>17369.48</v>
      </c>
      <c r="F1413" s="123">
        <v>-38800.0</v>
      </c>
      <c r="G1413" s="44"/>
      <c r="H1413" s="123">
        <v>-4538.48</v>
      </c>
      <c r="I1413" s="44"/>
      <c r="J1413" s="123">
        <v>2507.0</v>
      </c>
      <c r="K1413" s="44"/>
      <c r="L1413" s="123">
        <v>6957.09</v>
      </c>
      <c r="M1413" s="44"/>
      <c r="N1413" s="44"/>
      <c r="O1413" s="123">
        <v>1116473.0</v>
      </c>
      <c r="P1413" s="52">
        <f t="shared" si="23"/>
        <v>1116472.92</v>
      </c>
      <c r="Q1413" s="124">
        <f t="shared" si="2"/>
        <v>0.07999999984</v>
      </c>
      <c r="R1413" s="52">
        <f t="array" ref="R1413">IFERROR(INDEX('Fund YTD Target Values'!$1:$1000, MATCH($C1413,'Fund YTD Target Values'!$A:$A,0), MATCH($A1413,'Fund YTD Target Values'!$1:$1,0)),0)</f>
        <v>1060725.595</v>
      </c>
      <c r="S1413" s="52">
        <f>IFERROR(__xludf.DUMMYFUNCTION("IFERROR(sum(FILTER('Fund Data'!$V:$V, 'Fund Data'!$C:$C = $C1413, 'Fund Data'!$A:$A &lt; $A1413)),0) + IFERROR(sum(FILTER('Fund Data'!$V:$V, 'Fund Data'!$C:$C = $C1413, 'Fund Data'!$A:$A = $A1413, 'Fund Data'!$B:$B &lt;= $B1413)),0)"),1000000.0)</f>
        <v>1000000</v>
      </c>
      <c r="T1413" s="123">
        <v>1000000.0</v>
      </c>
      <c r="U1413" s="44">
        <f t="shared" si="130"/>
        <v>0</v>
      </c>
      <c r="V1413" s="44">
        <f t="shared" si="3"/>
        <v>0</v>
      </c>
      <c r="W1413" s="123"/>
      <c r="X1413" s="123"/>
      <c r="Y1413" s="123">
        <v>0.0</v>
      </c>
      <c r="Z1413" s="123">
        <v>0.0</v>
      </c>
      <c r="AA1413" s="123">
        <v>0.0</v>
      </c>
      <c r="AB1413" s="123"/>
      <c r="AC1413" s="123">
        <v>0.0</v>
      </c>
      <c r="AD1413" s="44">
        <f t="shared" si="7"/>
        <v>-38800</v>
      </c>
      <c r="AE1413" s="123">
        <v>0.0</v>
      </c>
    </row>
    <row r="1414">
      <c r="A1414" s="120">
        <v>2018.0</v>
      </c>
      <c r="B1414" s="121">
        <v>7.0</v>
      </c>
      <c r="C1414" s="122" t="s">
        <v>79</v>
      </c>
      <c r="D1414" s="44"/>
      <c r="E1414" s="123">
        <v>16443.75</v>
      </c>
      <c r="F1414" s="123">
        <v>-28800.0</v>
      </c>
      <c r="G1414" s="44"/>
      <c r="H1414" s="123">
        <v>-3977.17</v>
      </c>
      <c r="I1414" s="44"/>
      <c r="J1414" s="123">
        <v>1776.67</v>
      </c>
      <c r="K1414" s="44"/>
      <c r="L1414" s="123">
        <v>4201.37</v>
      </c>
      <c r="M1414" s="44"/>
      <c r="N1414" s="44"/>
      <c r="O1414" s="123">
        <v>1122622.0</v>
      </c>
      <c r="P1414" s="52">
        <f t="shared" si="23"/>
        <v>1122622.45</v>
      </c>
      <c r="Q1414" s="124">
        <f t="shared" si="2"/>
        <v>-0.4500000002</v>
      </c>
      <c r="R1414" s="52">
        <f t="array" ref="R1414">IFERROR(INDEX('Fund YTD Target Values'!$1:$1000, MATCH($C1414,'Fund YTD Target Values'!$A:$A,0), MATCH($A1414,'Fund YTD Target Values'!$1:$1,0)),0)</f>
        <v>1060725.595</v>
      </c>
      <c r="S1414" s="52">
        <f>IFERROR(__xludf.DUMMYFUNCTION("IFERROR(sum(FILTER('Fund Data'!$V:$V, 'Fund Data'!$C:$C = $C1414, 'Fund Data'!$A:$A &lt; $A1414)),0) + IFERROR(sum(FILTER('Fund Data'!$V:$V, 'Fund Data'!$C:$C = $C1414, 'Fund Data'!$A:$A = $A1414, 'Fund Data'!$B:$B &lt;= $B1414)),0)"),1000000.0)</f>
        <v>1000000</v>
      </c>
      <c r="T1414" s="123">
        <v>1000000.0</v>
      </c>
      <c r="U1414" s="44">
        <f t="shared" si="130"/>
        <v>0</v>
      </c>
      <c r="V1414" s="44">
        <f t="shared" si="3"/>
        <v>0</v>
      </c>
      <c r="W1414" s="123"/>
      <c r="X1414" s="123"/>
      <c r="Y1414" s="123">
        <v>0.0</v>
      </c>
      <c r="Z1414" s="123">
        <v>0.0</v>
      </c>
      <c r="AA1414" s="123">
        <v>0.0</v>
      </c>
      <c r="AB1414" s="123"/>
      <c r="AC1414" s="123">
        <v>0.0</v>
      </c>
      <c r="AD1414" s="44">
        <f t="shared" si="7"/>
        <v>-28800</v>
      </c>
      <c r="AE1414" s="123">
        <v>0.0</v>
      </c>
    </row>
    <row r="1415">
      <c r="A1415" s="120">
        <v>2018.0</v>
      </c>
      <c r="B1415" s="121">
        <v>6.0</v>
      </c>
      <c r="C1415" s="122" t="s">
        <v>79</v>
      </c>
      <c r="D1415" s="44"/>
      <c r="E1415" s="123">
        <v>13931.16</v>
      </c>
      <c r="F1415" s="123">
        <v>-26300.0</v>
      </c>
      <c r="G1415" s="44"/>
      <c r="H1415" s="123">
        <v>-3424.73</v>
      </c>
      <c r="I1415" s="44"/>
      <c r="J1415" s="123">
        <v>1776.67</v>
      </c>
      <c r="K1415" s="44"/>
      <c r="L1415" s="123">
        <v>-14085.6</v>
      </c>
      <c r="M1415" s="44"/>
      <c r="N1415" s="44"/>
      <c r="O1415" s="123">
        <v>1104875.0</v>
      </c>
      <c r="P1415" s="52">
        <f t="shared" si="23"/>
        <v>1104875.33</v>
      </c>
      <c r="Q1415" s="124">
        <f t="shared" si="2"/>
        <v>-0.3300000001</v>
      </c>
      <c r="R1415" s="52">
        <f t="array" ref="R1415">IFERROR(INDEX('Fund YTD Target Values'!$1:$1000, MATCH($C1415,'Fund YTD Target Values'!$A:$A,0), MATCH($A1415,'Fund YTD Target Values'!$1:$1,0)),0)</f>
        <v>1060725.595</v>
      </c>
      <c r="S1415" s="52">
        <f>IFERROR(__xludf.DUMMYFUNCTION("IFERROR(sum(FILTER('Fund Data'!$V:$V, 'Fund Data'!$C:$C = $C1415, 'Fund Data'!$A:$A &lt; $A1415)),0) + IFERROR(sum(FILTER('Fund Data'!$V:$V, 'Fund Data'!$C:$C = $C1415, 'Fund Data'!$A:$A = $A1415, 'Fund Data'!$B:$B &lt;= $B1415)),0)"),1000000.0)</f>
        <v>1000000</v>
      </c>
      <c r="T1415" s="123">
        <v>1000000.0</v>
      </c>
      <c r="U1415" s="44">
        <f t="shared" si="130"/>
        <v>0</v>
      </c>
      <c r="V1415" s="44">
        <f t="shared" si="3"/>
        <v>0</v>
      </c>
      <c r="W1415" s="123"/>
      <c r="X1415" s="123"/>
      <c r="Y1415" s="123">
        <v>0.0</v>
      </c>
      <c r="Z1415" s="123">
        <v>0.0</v>
      </c>
      <c r="AA1415" s="123">
        <v>0.0</v>
      </c>
      <c r="AB1415" s="123"/>
      <c r="AC1415" s="123">
        <v>0.0</v>
      </c>
      <c r="AD1415" s="44">
        <f t="shared" si="7"/>
        <v>-26300</v>
      </c>
      <c r="AE1415" s="123">
        <v>0.0</v>
      </c>
    </row>
    <row r="1416">
      <c r="A1416" s="120">
        <v>2018.0</v>
      </c>
      <c r="B1416" s="121">
        <v>5.0</v>
      </c>
      <c r="C1416" s="122" t="s">
        <v>79</v>
      </c>
      <c r="D1416" s="44"/>
      <c r="E1416" s="123">
        <v>12313.0</v>
      </c>
      <c r="F1416" s="44"/>
      <c r="G1416" s="44"/>
      <c r="H1416" s="123">
        <v>-2855.58</v>
      </c>
      <c r="I1416" s="44"/>
      <c r="J1416" s="44"/>
      <c r="K1416" s="44"/>
      <c r="L1416" s="123">
        <v>-4132.74</v>
      </c>
      <c r="M1416" s="44"/>
      <c r="N1416" s="44"/>
      <c r="O1416" s="123">
        <v>1138303.0</v>
      </c>
      <c r="P1416" s="52">
        <f t="shared" si="23"/>
        <v>1138302.51</v>
      </c>
      <c r="Q1416" s="124">
        <f t="shared" si="2"/>
        <v>0.49</v>
      </c>
      <c r="R1416" s="52">
        <f t="array" ref="R1416">IFERROR(INDEX('Fund YTD Target Values'!$1:$1000, MATCH($C1416,'Fund YTD Target Values'!$A:$A,0), MATCH($A1416,'Fund YTD Target Values'!$1:$1,0)),0)</f>
        <v>1060725.595</v>
      </c>
      <c r="S1416" s="52">
        <f>IFERROR(__xludf.DUMMYFUNCTION("IFERROR(sum(FILTER('Fund Data'!$V:$V, 'Fund Data'!$C:$C = $C1416, 'Fund Data'!$A:$A &lt; $A1416)),0) + IFERROR(sum(FILTER('Fund Data'!$V:$V, 'Fund Data'!$C:$C = $C1416, 'Fund Data'!$A:$A = $A1416, 'Fund Data'!$B:$B &lt;= $B1416)),0)"),1000000.0)</f>
        <v>1000000</v>
      </c>
      <c r="T1416" s="123">
        <v>1000000.0</v>
      </c>
      <c r="U1416" s="44">
        <f t="shared" si="130"/>
        <v>0</v>
      </c>
      <c r="V1416" s="44">
        <f t="shared" si="3"/>
        <v>0</v>
      </c>
      <c r="W1416" s="123"/>
      <c r="X1416" s="123"/>
      <c r="Y1416" s="123">
        <v>0.0</v>
      </c>
      <c r="Z1416" s="123">
        <v>0.0</v>
      </c>
      <c r="AA1416" s="123">
        <v>0.0</v>
      </c>
      <c r="AB1416" s="123"/>
      <c r="AC1416" s="123">
        <v>0.0</v>
      </c>
      <c r="AD1416" s="44">
        <f t="shared" si="7"/>
        <v>0</v>
      </c>
      <c r="AE1416" s="123">
        <v>0.0</v>
      </c>
    </row>
    <row r="1417">
      <c r="A1417" s="120">
        <v>2018.0</v>
      </c>
      <c r="B1417" s="121">
        <v>4.0</v>
      </c>
      <c r="C1417" s="122" t="s">
        <v>79</v>
      </c>
      <c r="D1417" s="44"/>
      <c r="E1417" s="123">
        <v>11419.57</v>
      </c>
      <c r="F1417" s="44"/>
      <c r="G1417" s="44"/>
      <c r="H1417" s="123">
        <v>-2287.79</v>
      </c>
      <c r="I1417" s="44"/>
      <c r="J1417" s="44"/>
      <c r="K1417" s="44"/>
      <c r="L1417" s="123">
        <v>-6527.73</v>
      </c>
      <c r="M1417" s="44"/>
      <c r="N1417" s="44"/>
      <c r="O1417" s="123">
        <v>1135582.0</v>
      </c>
      <c r="P1417" s="52">
        <f t="shared" si="23"/>
        <v>1135581.88</v>
      </c>
      <c r="Q1417" s="124">
        <f t="shared" si="2"/>
        <v>0.1199999999</v>
      </c>
      <c r="R1417" s="52">
        <f t="array" ref="R1417">IFERROR(INDEX('Fund YTD Target Values'!$1:$1000, MATCH($C1417,'Fund YTD Target Values'!$A:$A,0), MATCH($A1417,'Fund YTD Target Values'!$1:$1,0)),0)</f>
        <v>1060725.595</v>
      </c>
      <c r="S1417" s="52">
        <f>IFERROR(__xludf.DUMMYFUNCTION("IFERROR(sum(FILTER('Fund Data'!$V:$V, 'Fund Data'!$C:$C = $C1417, 'Fund Data'!$A:$A &lt; $A1417)),0) + IFERROR(sum(FILTER('Fund Data'!$V:$V, 'Fund Data'!$C:$C = $C1417, 'Fund Data'!$A:$A = $A1417, 'Fund Data'!$B:$B &lt;= $B1417)),0)"),1000000.0)</f>
        <v>1000000</v>
      </c>
      <c r="T1417" s="123">
        <v>1000000.0</v>
      </c>
      <c r="U1417" s="44">
        <f t="shared" si="130"/>
        <v>0</v>
      </c>
      <c r="V1417" s="44">
        <f t="shared" si="3"/>
        <v>0</v>
      </c>
      <c r="W1417" s="123"/>
      <c r="X1417" s="123"/>
      <c r="Y1417" s="123">
        <v>0.0</v>
      </c>
      <c r="Z1417" s="123">
        <v>0.0</v>
      </c>
      <c r="AA1417" s="123">
        <v>0.0</v>
      </c>
      <c r="AB1417" s="123"/>
      <c r="AC1417" s="123">
        <v>0.0</v>
      </c>
      <c r="AD1417" s="44">
        <f t="shared" si="7"/>
        <v>0</v>
      </c>
      <c r="AE1417" s="123">
        <v>0.0</v>
      </c>
    </row>
    <row r="1418">
      <c r="A1418" s="120">
        <v>2018.0</v>
      </c>
      <c r="B1418" s="121">
        <v>3.0</v>
      </c>
      <c r="C1418" s="122" t="s">
        <v>79</v>
      </c>
      <c r="D1418" s="44"/>
      <c r="E1418" s="123">
        <v>8679.63</v>
      </c>
      <c r="F1418" s="44"/>
      <c r="G1418" s="44"/>
      <c r="H1418" s="123">
        <v>-1721.55</v>
      </c>
      <c r="I1418" s="44"/>
      <c r="J1418" s="44"/>
      <c r="K1418" s="44"/>
      <c r="L1418" s="123">
        <v>-7458.7</v>
      </c>
      <c r="M1418" s="44"/>
      <c r="N1418" s="44"/>
      <c r="O1418" s="123">
        <v>1132477.0</v>
      </c>
      <c r="P1418" s="52">
        <f t="shared" si="23"/>
        <v>1132477.21</v>
      </c>
      <c r="Q1418" s="124">
        <f t="shared" si="2"/>
        <v>-0.21</v>
      </c>
      <c r="R1418" s="52">
        <f t="array" ref="R1418">IFERROR(INDEX('Fund YTD Target Values'!$1:$1000, MATCH($C1418,'Fund YTD Target Values'!$A:$A,0), MATCH($A1418,'Fund YTD Target Values'!$1:$1,0)),0)</f>
        <v>1060725.595</v>
      </c>
      <c r="S1418" s="52">
        <f>IFERROR(__xludf.DUMMYFUNCTION("IFERROR(sum(FILTER('Fund Data'!$V:$V, 'Fund Data'!$C:$C = $C1418, 'Fund Data'!$A:$A &lt; $A1418)),0) + IFERROR(sum(FILTER('Fund Data'!$V:$V, 'Fund Data'!$C:$C = $C1418, 'Fund Data'!$A:$A = $A1418, 'Fund Data'!$B:$B &lt;= $B1418)),0)"),1000000.0)</f>
        <v>1000000</v>
      </c>
      <c r="T1418" s="123">
        <v>1000000.0</v>
      </c>
      <c r="U1418" s="44">
        <f t="shared" si="130"/>
        <v>0</v>
      </c>
      <c r="V1418" s="44">
        <f t="shared" si="3"/>
        <v>0</v>
      </c>
      <c r="W1418" s="123"/>
      <c r="X1418" s="123"/>
      <c r="Y1418" s="123">
        <v>0.0</v>
      </c>
      <c r="Z1418" s="123">
        <v>0.0</v>
      </c>
      <c r="AA1418" s="123">
        <v>0.0</v>
      </c>
      <c r="AB1418" s="123"/>
      <c r="AC1418" s="123">
        <v>0.0</v>
      </c>
      <c r="AD1418" s="44">
        <f t="shared" si="7"/>
        <v>0</v>
      </c>
      <c r="AE1418" s="123">
        <v>0.0</v>
      </c>
    </row>
    <row r="1419">
      <c r="A1419" s="120">
        <v>2018.0</v>
      </c>
      <c r="B1419" s="121">
        <v>2.0</v>
      </c>
      <c r="C1419" s="122" t="s">
        <v>79</v>
      </c>
      <c r="D1419" s="44"/>
      <c r="E1419" s="123">
        <v>7656.27</v>
      </c>
      <c r="F1419" s="44"/>
      <c r="G1419" s="44"/>
      <c r="H1419" s="123">
        <v>-2754.78</v>
      </c>
      <c r="I1419" s="44"/>
      <c r="J1419" s="44"/>
      <c r="K1419" s="44"/>
      <c r="L1419" s="123">
        <v>469.56</v>
      </c>
      <c r="M1419" s="44"/>
      <c r="N1419" s="44"/>
      <c r="O1419" s="123">
        <v>1138349.0</v>
      </c>
      <c r="P1419" s="52">
        <f t="shared" si="23"/>
        <v>1138348.88</v>
      </c>
      <c r="Q1419" s="124">
        <f t="shared" si="2"/>
        <v>0.1199999999</v>
      </c>
      <c r="R1419" s="52">
        <f t="array" ref="R1419">IFERROR(INDEX('Fund YTD Target Values'!$1:$1000, MATCH($C1419,'Fund YTD Target Values'!$A:$A,0), MATCH($A1419,'Fund YTD Target Values'!$1:$1,0)),0)</f>
        <v>1060725.595</v>
      </c>
      <c r="S1419" s="52">
        <f>IFERROR(__xludf.DUMMYFUNCTION("IFERROR(sum(FILTER('Fund Data'!$V:$V, 'Fund Data'!$C:$C = $C1419, 'Fund Data'!$A:$A &lt; $A1419)),0) + IFERROR(sum(FILTER('Fund Data'!$V:$V, 'Fund Data'!$C:$C = $C1419, 'Fund Data'!$A:$A = $A1419, 'Fund Data'!$B:$B &lt;= $B1419)),0)"),1000000.0)</f>
        <v>1000000</v>
      </c>
      <c r="T1419" s="123">
        <v>1000000.0</v>
      </c>
      <c r="U1419" s="44">
        <f t="shared" si="130"/>
        <v>0</v>
      </c>
      <c r="V1419" s="44">
        <f t="shared" si="3"/>
        <v>0</v>
      </c>
      <c r="W1419" s="123"/>
      <c r="X1419" s="123"/>
      <c r="Y1419" s="123">
        <v>0.0</v>
      </c>
      <c r="Z1419" s="123">
        <v>0.0</v>
      </c>
      <c r="AA1419" s="123">
        <v>0.0</v>
      </c>
      <c r="AB1419" s="123"/>
      <c r="AC1419" s="123">
        <v>0.0</v>
      </c>
      <c r="AD1419" s="44">
        <f t="shared" si="7"/>
        <v>0</v>
      </c>
      <c r="AE1419" s="123">
        <v>0.0</v>
      </c>
    </row>
    <row r="1420">
      <c r="A1420" s="120">
        <v>2018.0</v>
      </c>
      <c r="B1420" s="121">
        <v>1.0</v>
      </c>
      <c r="C1420" s="122" t="s">
        <v>79</v>
      </c>
      <c r="D1420" s="44"/>
      <c r="E1420" s="123">
        <v>6803.55</v>
      </c>
      <c r="F1420" s="44"/>
      <c r="G1420" s="44"/>
      <c r="H1420" s="123">
        <v>-2168.89</v>
      </c>
      <c r="I1420" s="44"/>
      <c r="J1420" s="44"/>
      <c r="K1420" s="44"/>
      <c r="L1420" s="123">
        <v>34161.67</v>
      </c>
      <c r="M1420" s="44"/>
      <c r="N1420" s="44"/>
      <c r="O1420" s="123">
        <v>1171774.0</v>
      </c>
      <c r="P1420" s="52">
        <f t="shared" si="23"/>
        <v>1171774.16</v>
      </c>
      <c r="Q1420" s="124">
        <f t="shared" si="2"/>
        <v>-0.1600000001</v>
      </c>
      <c r="R1420" s="52">
        <f t="array" ref="R1420">IFERROR(INDEX('Fund YTD Target Values'!$1:$1000, MATCH($C1420,'Fund YTD Target Values'!$A:$A,0), MATCH($A1420,'Fund YTD Target Values'!$1:$1,0)),0)</f>
        <v>1060725.595</v>
      </c>
      <c r="S1420" s="52">
        <f>IFERROR(__xludf.DUMMYFUNCTION("IFERROR(sum(FILTER('Fund Data'!$V:$V, 'Fund Data'!$C:$C = $C1420, 'Fund Data'!$A:$A &lt; $A1420)),0) + IFERROR(sum(FILTER('Fund Data'!$V:$V, 'Fund Data'!$C:$C = $C1420, 'Fund Data'!$A:$A = $A1420, 'Fund Data'!$B:$B &lt;= $B1420)),0)"),1000000.0)</f>
        <v>1000000</v>
      </c>
      <c r="T1420" s="123">
        <v>1000000.0</v>
      </c>
      <c r="U1420" s="44">
        <f t="shared" si="130"/>
        <v>0</v>
      </c>
      <c r="V1420" s="44">
        <f t="shared" si="3"/>
        <v>0</v>
      </c>
      <c r="W1420" s="123"/>
      <c r="X1420" s="123"/>
      <c r="Y1420" s="123">
        <v>0.0</v>
      </c>
      <c r="Z1420" s="123">
        <v>0.0</v>
      </c>
      <c r="AA1420" s="123">
        <v>0.0</v>
      </c>
      <c r="AB1420" s="123"/>
      <c r="AC1420" s="123">
        <v>0.0</v>
      </c>
      <c r="AD1420" s="44">
        <f t="shared" si="7"/>
        <v>0</v>
      </c>
      <c r="AE1420" s="123">
        <v>0.0</v>
      </c>
    </row>
    <row r="1421">
      <c r="A1421" s="120">
        <v>2017.0</v>
      </c>
      <c r="B1421" s="121">
        <v>12.0</v>
      </c>
      <c r="C1421" s="122" t="s">
        <v>79</v>
      </c>
      <c r="D1421" s="44"/>
      <c r="E1421" s="123">
        <v>22953.67</v>
      </c>
      <c r="F1421" s="123">
        <v>-12000.0</v>
      </c>
      <c r="G1421" s="123"/>
      <c r="H1421" s="123">
        <v>-6416.56</v>
      </c>
      <c r="I1421" s="44"/>
      <c r="J1421" s="44"/>
      <c r="K1421" s="44"/>
      <c r="L1421" s="123">
        <v>128722.1</v>
      </c>
      <c r="M1421" s="44"/>
      <c r="N1421" s="44"/>
      <c r="O1421" s="123">
        <v>1132978.0</v>
      </c>
      <c r="P1421" s="52">
        <f t="shared" si="23"/>
        <v>1132977.83</v>
      </c>
      <c r="Q1421" s="124">
        <f t="shared" si="2"/>
        <v>0.1699999999</v>
      </c>
      <c r="R1421" s="52">
        <f t="array" ref="R1421">IFERROR(INDEX('Fund YTD Target Values'!$1:$1000, MATCH($C1421,'Fund YTD Target Values'!$A:$A,0), MATCH($A1421,'Fund YTD Target Values'!$1:$1,0)),0)</f>
        <v>1035433.228</v>
      </c>
      <c r="S1421" s="52">
        <f>IFERROR(__xludf.DUMMYFUNCTION("IFERROR(sum(FILTER('Fund Data'!$V:$V, 'Fund Data'!$C:$C = $C1421, 'Fund Data'!$A:$A &lt; $A1421)),0) + IFERROR(sum(FILTER('Fund Data'!$V:$V, 'Fund Data'!$C:$C = $C1421, 'Fund Data'!$A:$A = $A1421, 'Fund Data'!$B:$B &lt;= $B1421)),0)"),1000000.0)</f>
        <v>1000000</v>
      </c>
      <c r="T1421" s="123">
        <v>1000000.0</v>
      </c>
      <c r="U1421" s="44">
        <f t="shared" si="130"/>
        <v>0</v>
      </c>
      <c r="V1421" s="44">
        <f t="shared" si="3"/>
        <v>0</v>
      </c>
      <c r="W1421" s="123"/>
      <c r="X1421" s="123"/>
      <c r="Y1421" s="123">
        <v>0.0</v>
      </c>
      <c r="Z1421" s="123">
        <v>0.0</v>
      </c>
      <c r="AA1421" s="123">
        <v>0.0</v>
      </c>
      <c r="AB1421" s="123"/>
      <c r="AC1421" s="123">
        <v>0.0</v>
      </c>
      <c r="AD1421" s="44">
        <f t="shared" si="7"/>
        <v>-12000</v>
      </c>
      <c r="AE1421" s="123">
        <v>0.0</v>
      </c>
    </row>
    <row r="1422">
      <c r="A1422" s="120">
        <v>2017.0</v>
      </c>
      <c r="B1422" s="121">
        <v>11.0</v>
      </c>
      <c r="C1422" s="122" t="s">
        <v>79</v>
      </c>
      <c r="D1422" s="44"/>
      <c r="E1422" s="123">
        <v>21389.29</v>
      </c>
      <c r="F1422" s="123">
        <v>-12000.0</v>
      </c>
      <c r="G1422" s="44"/>
      <c r="H1422" s="123">
        <v>-5853.2</v>
      </c>
      <c r="I1422" s="44"/>
      <c r="J1422" s="44"/>
      <c r="K1422" s="44"/>
      <c r="L1422" s="123">
        <v>123463.12</v>
      </c>
      <c r="M1422" s="44"/>
      <c r="N1422" s="44"/>
      <c r="O1422" s="123">
        <v>1126718.0</v>
      </c>
      <c r="P1422" s="52">
        <f t="shared" si="23"/>
        <v>1126717.83</v>
      </c>
      <c r="Q1422" s="124">
        <f t="shared" si="2"/>
        <v>0.1699999999</v>
      </c>
      <c r="R1422" s="52">
        <f t="array" ref="R1422">IFERROR(INDEX('Fund YTD Target Values'!$1:$1000, MATCH($C1422,'Fund YTD Target Values'!$A:$A,0), MATCH($A1422,'Fund YTD Target Values'!$1:$1,0)),0)</f>
        <v>1035433.228</v>
      </c>
      <c r="S1422" s="52">
        <f>IFERROR(__xludf.DUMMYFUNCTION("IFERROR(sum(FILTER('Fund Data'!$V:$V, 'Fund Data'!$C:$C = $C1422, 'Fund Data'!$A:$A &lt; $A1422)),0) + IFERROR(sum(FILTER('Fund Data'!$V:$V, 'Fund Data'!$C:$C = $C1422, 'Fund Data'!$A:$A = $A1422, 'Fund Data'!$B:$B &lt;= $B1422)),0)"),1000000.0)</f>
        <v>1000000</v>
      </c>
      <c r="T1422" s="123">
        <v>1000000.0</v>
      </c>
      <c r="U1422" s="44">
        <f t="shared" si="130"/>
        <v>0</v>
      </c>
      <c r="V1422" s="44">
        <f t="shared" si="3"/>
        <v>0</v>
      </c>
      <c r="W1422" s="123"/>
      <c r="X1422" s="123"/>
      <c r="Y1422" s="123">
        <v>0.0</v>
      </c>
      <c r="Z1422" s="123">
        <v>0.0</v>
      </c>
      <c r="AA1422" s="123">
        <v>0.0</v>
      </c>
      <c r="AB1422" s="123"/>
      <c r="AC1422" s="123">
        <v>0.0</v>
      </c>
      <c r="AD1422" s="44">
        <f t="shared" si="7"/>
        <v>-12000</v>
      </c>
      <c r="AE1422" s="123">
        <v>0.0</v>
      </c>
    </row>
    <row r="1423">
      <c r="A1423" s="120">
        <v>2017.0</v>
      </c>
      <c r="B1423" s="121">
        <v>10.0</v>
      </c>
      <c r="C1423" s="122" t="s">
        <v>79</v>
      </c>
      <c r="D1423" s="44"/>
      <c r="E1423" s="123">
        <v>20633.74</v>
      </c>
      <c r="F1423" s="123">
        <v>-12000.0</v>
      </c>
      <c r="G1423" s="44"/>
      <c r="H1423" s="123">
        <v>-5296.02</v>
      </c>
      <c r="I1423" s="44"/>
      <c r="J1423" s="44"/>
      <c r="K1423" s="44"/>
      <c r="L1423" s="123">
        <v>111305.35</v>
      </c>
      <c r="M1423" s="44"/>
      <c r="N1423" s="44"/>
      <c r="O1423" s="123">
        <v>1114362.0</v>
      </c>
      <c r="P1423" s="52">
        <f t="shared" si="23"/>
        <v>1114361.69</v>
      </c>
      <c r="Q1423" s="124">
        <f t="shared" si="2"/>
        <v>0.3100000001</v>
      </c>
      <c r="R1423" s="52">
        <f t="array" ref="R1423">IFERROR(INDEX('Fund YTD Target Values'!$1:$1000, MATCH($C1423,'Fund YTD Target Values'!$A:$A,0), MATCH($A1423,'Fund YTD Target Values'!$1:$1,0)),0)</f>
        <v>1035433.228</v>
      </c>
      <c r="S1423" s="52">
        <f>IFERROR(__xludf.DUMMYFUNCTION("IFERROR(sum(FILTER('Fund Data'!$V:$V, 'Fund Data'!$C:$C = $C1423, 'Fund Data'!$A:$A &lt; $A1423)),0) + IFERROR(sum(FILTER('Fund Data'!$V:$V, 'Fund Data'!$C:$C = $C1423, 'Fund Data'!$A:$A = $A1423, 'Fund Data'!$B:$B &lt;= $B1423)),0)"),1000000.0)</f>
        <v>1000000</v>
      </c>
      <c r="T1423" s="123">
        <v>1000000.0</v>
      </c>
      <c r="U1423" s="44">
        <f t="shared" si="130"/>
        <v>0</v>
      </c>
      <c r="V1423" s="44">
        <f t="shared" si="3"/>
        <v>0</v>
      </c>
      <c r="W1423" s="123"/>
      <c r="X1423" s="123"/>
      <c r="Y1423" s="123">
        <v>0.0</v>
      </c>
      <c r="Z1423" s="123">
        <v>0.0</v>
      </c>
      <c r="AA1423" s="123">
        <v>0.0</v>
      </c>
      <c r="AB1423" s="123"/>
      <c r="AC1423" s="123">
        <v>0.0</v>
      </c>
      <c r="AD1423" s="44">
        <f t="shared" si="7"/>
        <v>-12000</v>
      </c>
      <c r="AE1423" s="123">
        <v>0.0</v>
      </c>
    </row>
    <row r="1424">
      <c r="A1424" s="120">
        <v>2017.0</v>
      </c>
      <c r="B1424" s="121">
        <v>9.0</v>
      </c>
      <c r="C1424" s="122" t="s">
        <v>79</v>
      </c>
      <c r="D1424" s="44"/>
      <c r="E1424" s="123">
        <v>18388.54</v>
      </c>
      <c r="F1424" s="123">
        <v>-12000.0</v>
      </c>
      <c r="G1424" s="44"/>
      <c r="H1424" s="123">
        <v>-4746.58</v>
      </c>
      <c r="I1424" s="44"/>
      <c r="J1424" s="44"/>
      <c r="K1424" s="44"/>
      <c r="L1424" s="123">
        <v>97514.99</v>
      </c>
      <c r="M1424" s="44"/>
      <c r="N1424" s="44"/>
      <c r="O1424" s="123">
        <v>1098876.0</v>
      </c>
      <c r="P1424" s="52">
        <f t="shared" si="23"/>
        <v>1098875.57</v>
      </c>
      <c r="Q1424" s="124">
        <f t="shared" si="2"/>
        <v>0.4299999999</v>
      </c>
      <c r="R1424" s="52">
        <f t="array" ref="R1424">IFERROR(INDEX('Fund YTD Target Values'!$1:$1000, MATCH($C1424,'Fund YTD Target Values'!$A:$A,0), MATCH($A1424,'Fund YTD Target Values'!$1:$1,0)),0)</f>
        <v>1035433.228</v>
      </c>
      <c r="S1424" s="52">
        <f>IFERROR(__xludf.DUMMYFUNCTION("IFERROR(sum(FILTER('Fund Data'!$V:$V, 'Fund Data'!$C:$C = $C1424, 'Fund Data'!$A:$A &lt; $A1424)),0) + IFERROR(sum(FILTER('Fund Data'!$V:$V, 'Fund Data'!$C:$C = $C1424, 'Fund Data'!$A:$A = $A1424, 'Fund Data'!$B:$B &lt;= $B1424)),0)"),1000000.0)</f>
        <v>1000000</v>
      </c>
      <c r="T1424" s="123">
        <v>1000000.0</v>
      </c>
      <c r="U1424" s="44">
        <f t="shared" si="130"/>
        <v>0</v>
      </c>
      <c r="V1424" s="44">
        <f t="shared" si="3"/>
        <v>0</v>
      </c>
      <c r="W1424" s="123"/>
      <c r="X1424" s="123"/>
      <c r="Y1424" s="123">
        <v>0.0</v>
      </c>
      <c r="Z1424" s="123">
        <v>0.0</v>
      </c>
      <c r="AA1424" s="123">
        <v>0.0</v>
      </c>
      <c r="AB1424" s="123"/>
      <c r="AC1424" s="123">
        <v>0.0</v>
      </c>
      <c r="AD1424" s="44">
        <f t="shared" si="7"/>
        <v>-12000</v>
      </c>
      <c r="AE1424" s="123">
        <v>0.0</v>
      </c>
    </row>
    <row r="1425">
      <c r="A1425" s="120">
        <v>2017.0</v>
      </c>
      <c r="B1425" s="121">
        <v>8.0</v>
      </c>
      <c r="C1425" s="122" t="s">
        <v>79</v>
      </c>
      <c r="D1425" s="44"/>
      <c r="E1425" s="123">
        <v>17031.37</v>
      </c>
      <c r="F1425" s="123">
        <v>-3000.0</v>
      </c>
      <c r="G1425" s="44"/>
      <c r="H1425" s="123">
        <v>-4198.26</v>
      </c>
      <c r="I1425" s="44"/>
      <c r="J1425" s="44"/>
      <c r="K1425" s="44"/>
      <c r="L1425" s="123">
        <v>87090.95</v>
      </c>
      <c r="M1425" s="44"/>
      <c r="N1425" s="44"/>
      <c r="O1425" s="123">
        <v>1096643.0</v>
      </c>
      <c r="P1425" s="52">
        <f t="shared" si="23"/>
        <v>1096642.68</v>
      </c>
      <c r="Q1425" s="124">
        <f t="shared" si="2"/>
        <v>0.3200000001</v>
      </c>
      <c r="R1425" s="52">
        <f t="array" ref="R1425">IFERROR(INDEX('Fund YTD Target Values'!$1:$1000, MATCH($C1425,'Fund YTD Target Values'!$A:$A,0), MATCH($A1425,'Fund YTD Target Values'!$1:$1,0)),0)</f>
        <v>1035433.228</v>
      </c>
      <c r="S1425" s="52">
        <f>IFERROR(__xludf.DUMMYFUNCTION("IFERROR(sum(FILTER('Fund Data'!$V:$V, 'Fund Data'!$C:$C = $C1425, 'Fund Data'!$A:$A &lt; $A1425)),0) + IFERROR(sum(FILTER('Fund Data'!$V:$V, 'Fund Data'!$C:$C = $C1425, 'Fund Data'!$A:$A = $A1425, 'Fund Data'!$B:$B &lt;= $B1425)),0)"),1000000.0)</f>
        <v>1000000</v>
      </c>
      <c r="T1425" s="123">
        <v>1000000.0</v>
      </c>
      <c r="U1425" s="44">
        <f t="shared" si="130"/>
        <v>0</v>
      </c>
      <c r="V1425" s="44">
        <f t="shared" si="3"/>
        <v>0</v>
      </c>
      <c r="W1425" s="123"/>
      <c r="X1425" s="123"/>
      <c r="Y1425" s="123">
        <v>0.0</v>
      </c>
      <c r="Z1425" s="123">
        <v>0.0</v>
      </c>
      <c r="AA1425" s="123">
        <v>0.0</v>
      </c>
      <c r="AB1425" s="123"/>
      <c r="AC1425" s="123">
        <v>0.0</v>
      </c>
      <c r="AD1425" s="44">
        <f t="shared" si="7"/>
        <v>-3000</v>
      </c>
      <c r="AE1425" s="123">
        <v>0.0</v>
      </c>
    </row>
    <row r="1426">
      <c r="A1426" s="120">
        <v>2017.0</v>
      </c>
      <c r="B1426" s="121">
        <v>7.0</v>
      </c>
      <c r="C1426" s="122" t="s">
        <v>79</v>
      </c>
      <c r="D1426" s="44"/>
      <c r="E1426" s="123">
        <v>16282.81</v>
      </c>
      <c r="F1426" s="123">
        <v>-3000.0</v>
      </c>
      <c r="G1426" s="44"/>
      <c r="H1426" s="123">
        <v>-3651.41</v>
      </c>
      <c r="I1426" s="44"/>
      <c r="J1426" s="44"/>
      <c r="K1426" s="44"/>
      <c r="L1426" s="123">
        <v>84345.88</v>
      </c>
      <c r="M1426" s="44"/>
      <c r="N1426" s="44"/>
      <c r="O1426" s="123">
        <v>1093696.0</v>
      </c>
      <c r="P1426" s="52">
        <f t="shared" si="23"/>
        <v>1093695.9</v>
      </c>
      <c r="Q1426" s="124">
        <f t="shared" si="2"/>
        <v>0.1000000001</v>
      </c>
      <c r="R1426" s="52">
        <f t="array" ref="R1426">IFERROR(INDEX('Fund YTD Target Values'!$1:$1000, MATCH($C1426,'Fund YTD Target Values'!$A:$A,0), MATCH($A1426,'Fund YTD Target Values'!$1:$1,0)),0)</f>
        <v>1035433.228</v>
      </c>
      <c r="S1426" s="52">
        <f>IFERROR(__xludf.DUMMYFUNCTION("IFERROR(sum(FILTER('Fund Data'!$V:$V, 'Fund Data'!$C:$C = $C1426, 'Fund Data'!$A:$A &lt; $A1426)),0) + IFERROR(sum(FILTER('Fund Data'!$V:$V, 'Fund Data'!$C:$C = $C1426, 'Fund Data'!$A:$A = $A1426, 'Fund Data'!$B:$B &lt;= $B1426)),0)"),1000000.0)</f>
        <v>1000000</v>
      </c>
      <c r="T1426" s="123">
        <v>1000000.0</v>
      </c>
      <c r="U1426" s="44">
        <f t="shared" si="130"/>
        <v>0</v>
      </c>
      <c r="V1426" s="44">
        <f t="shared" si="3"/>
        <v>0</v>
      </c>
      <c r="W1426" s="123"/>
      <c r="X1426" s="123"/>
      <c r="Y1426" s="123">
        <v>0.0</v>
      </c>
      <c r="Z1426" s="123">
        <v>0.0</v>
      </c>
      <c r="AA1426" s="123">
        <v>0.0</v>
      </c>
      <c r="AB1426" s="123"/>
      <c r="AC1426" s="123">
        <v>0.0</v>
      </c>
      <c r="AD1426" s="44">
        <f t="shared" si="7"/>
        <v>-3000</v>
      </c>
      <c r="AE1426" s="123">
        <v>0.0</v>
      </c>
    </row>
    <row r="1427">
      <c r="A1427" s="120">
        <v>2017.0</v>
      </c>
      <c r="B1427" s="121">
        <v>6.0</v>
      </c>
      <c r="C1427" s="122" t="s">
        <v>79</v>
      </c>
      <c r="D1427" s="44"/>
      <c r="E1427" s="123">
        <v>12954.57</v>
      </c>
      <c r="F1427" s="123">
        <v>-3000.0</v>
      </c>
      <c r="G1427" s="44"/>
      <c r="H1427" s="123">
        <v>-3116.81</v>
      </c>
      <c r="I1427" s="44"/>
      <c r="J1427" s="44"/>
      <c r="K1427" s="44"/>
      <c r="L1427" s="123">
        <v>62638.16</v>
      </c>
      <c r="M1427" s="44"/>
      <c r="N1427" s="44"/>
      <c r="O1427" s="123">
        <v>1069195.0</v>
      </c>
      <c r="P1427" s="52">
        <f t="shared" si="23"/>
        <v>1069194.54</v>
      </c>
      <c r="Q1427" s="124">
        <f t="shared" si="2"/>
        <v>0.46</v>
      </c>
      <c r="R1427" s="52">
        <f t="array" ref="R1427">IFERROR(INDEX('Fund YTD Target Values'!$1:$1000, MATCH($C1427,'Fund YTD Target Values'!$A:$A,0), MATCH($A1427,'Fund YTD Target Values'!$1:$1,0)),0)</f>
        <v>1035433.228</v>
      </c>
      <c r="S1427" s="52">
        <f>IFERROR(__xludf.DUMMYFUNCTION("IFERROR(sum(FILTER('Fund Data'!$V:$V, 'Fund Data'!$C:$C = $C1427, 'Fund Data'!$A:$A &lt; $A1427)),0) + IFERROR(sum(FILTER('Fund Data'!$V:$V, 'Fund Data'!$C:$C = $C1427, 'Fund Data'!$A:$A = $A1427, 'Fund Data'!$B:$B &lt;= $B1427)),0)"),1000000.0)</f>
        <v>1000000</v>
      </c>
      <c r="T1427" s="123">
        <v>1000000.0</v>
      </c>
      <c r="U1427" s="44">
        <f t="shared" si="130"/>
        <v>0</v>
      </c>
      <c r="V1427" s="44">
        <f t="shared" si="3"/>
        <v>0</v>
      </c>
      <c r="W1427" s="123"/>
      <c r="X1427" s="123"/>
      <c r="Y1427" s="123">
        <v>0.0</v>
      </c>
      <c r="Z1427" s="123">
        <v>0.0</v>
      </c>
      <c r="AA1427" s="123">
        <v>0.0</v>
      </c>
      <c r="AB1427" s="123"/>
      <c r="AC1427" s="123">
        <v>0.0</v>
      </c>
      <c r="AD1427" s="44">
        <f t="shared" si="7"/>
        <v>-3000</v>
      </c>
      <c r="AE1427" s="123">
        <v>0.0</v>
      </c>
    </row>
    <row r="1428">
      <c r="A1428" s="168">
        <v>2017.0</v>
      </c>
      <c r="B1428" s="169">
        <v>5.0</v>
      </c>
      <c r="C1428" s="122" t="s">
        <v>79</v>
      </c>
      <c r="D1428" s="44"/>
      <c r="E1428" s="123">
        <v>12246.0</v>
      </c>
      <c r="F1428" s="123">
        <v>-3000.0</v>
      </c>
      <c r="G1428" s="44"/>
      <c r="H1428" s="123">
        <v>-2583.42</v>
      </c>
      <c r="I1428" s="44"/>
      <c r="J1428" s="44"/>
      <c r="K1428" s="44"/>
      <c r="L1428" s="123">
        <v>60405.98</v>
      </c>
      <c r="M1428" s="44"/>
      <c r="N1428" s="44"/>
      <c r="O1428" s="123">
        <v>1066787.0</v>
      </c>
      <c r="P1428" s="52">
        <f t="shared" si="23"/>
        <v>1066787.18</v>
      </c>
      <c r="Q1428" s="124">
        <f t="shared" si="2"/>
        <v>-0.1799999999</v>
      </c>
      <c r="R1428" s="52">
        <f t="array" ref="R1428">IFERROR(INDEX('Fund YTD Target Values'!$1:$1000, MATCH($C1428,'Fund YTD Target Values'!$A:$A,0), MATCH($A1428,'Fund YTD Target Values'!$1:$1,0)),0)</f>
        <v>1035433.228</v>
      </c>
      <c r="S1428" s="52">
        <f>IFERROR(__xludf.DUMMYFUNCTION("IFERROR(sum(FILTER('Fund Data'!$V:$V, 'Fund Data'!$C:$C = $C1428, 'Fund Data'!$A:$A &lt; $A1428)),0) + IFERROR(sum(FILTER('Fund Data'!$V:$V, 'Fund Data'!$C:$C = $C1428, 'Fund Data'!$A:$A = $A1428, 'Fund Data'!$B:$B &lt;= $B1428)),0)"),1000000.0)</f>
        <v>1000000</v>
      </c>
      <c r="T1428" s="123">
        <v>1000000.0</v>
      </c>
      <c r="U1428" s="44">
        <f t="shared" si="130"/>
        <v>0</v>
      </c>
      <c r="V1428" s="44">
        <f t="shared" si="3"/>
        <v>0</v>
      </c>
      <c r="W1428" s="123"/>
      <c r="X1428" s="123"/>
      <c r="Y1428" s="123">
        <v>0.0</v>
      </c>
      <c r="Z1428" s="123">
        <v>0.0</v>
      </c>
      <c r="AA1428" s="123">
        <v>0.0</v>
      </c>
      <c r="AB1428" s="123"/>
      <c r="AC1428" s="123">
        <v>0.0</v>
      </c>
      <c r="AD1428" s="44">
        <f t="shared" si="7"/>
        <v>-3000</v>
      </c>
      <c r="AE1428" s="123">
        <v>0.0</v>
      </c>
    </row>
    <row r="1429">
      <c r="A1429" s="120">
        <v>2017.0</v>
      </c>
      <c r="B1429" s="121">
        <v>4.0</v>
      </c>
      <c r="C1429" s="122" t="s">
        <v>79</v>
      </c>
      <c r="D1429" s="44"/>
      <c r="E1429" s="123">
        <v>11563.94</v>
      </c>
      <c r="F1429" s="44"/>
      <c r="G1429" s="44"/>
      <c r="H1429" s="123">
        <v>-2054.39</v>
      </c>
      <c r="I1429" s="44"/>
      <c r="J1429" s="44"/>
      <c r="K1429" s="44"/>
      <c r="L1429" s="123">
        <v>48833.35</v>
      </c>
      <c r="M1429" s="44"/>
      <c r="N1429" s="44"/>
      <c r="O1429" s="123">
        <v>1058062.0</v>
      </c>
      <c r="P1429" s="52">
        <f t="shared" si="23"/>
        <v>1058061.52</v>
      </c>
      <c r="Q1429" s="124">
        <f t="shared" si="2"/>
        <v>0.48</v>
      </c>
      <c r="R1429" s="52">
        <f t="array" ref="R1429">IFERROR(INDEX('Fund YTD Target Values'!$1:$1000, MATCH($C1429,'Fund YTD Target Values'!$A:$A,0), MATCH($A1429,'Fund YTD Target Values'!$1:$1,0)),0)</f>
        <v>1035433.228</v>
      </c>
      <c r="S1429" s="52">
        <f>IFERROR(__xludf.DUMMYFUNCTION("IFERROR(sum(FILTER('Fund Data'!$V:$V, 'Fund Data'!$C:$C = $C1429, 'Fund Data'!$A:$A &lt; $A1429)),0) + IFERROR(sum(FILTER('Fund Data'!$V:$V, 'Fund Data'!$C:$C = $C1429, 'Fund Data'!$A:$A = $A1429, 'Fund Data'!$B:$B &lt;= $B1429)),0)"),1000000.0)</f>
        <v>1000000</v>
      </c>
      <c r="T1429" s="123">
        <v>1000000.0</v>
      </c>
      <c r="U1429" s="44">
        <f t="shared" si="130"/>
        <v>0</v>
      </c>
      <c r="V1429" s="44">
        <f t="shared" si="3"/>
        <v>0</v>
      </c>
      <c r="W1429" s="123"/>
      <c r="X1429" s="123"/>
      <c r="Y1429" s="123">
        <v>0.0</v>
      </c>
      <c r="Z1429" s="123">
        <v>0.0</v>
      </c>
      <c r="AA1429" s="123">
        <v>0.0</v>
      </c>
      <c r="AB1429" s="123"/>
      <c r="AC1429" s="123">
        <v>0.0</v>
      </c>
      <c r="AD1429" s="44">
        <f t="shared" si="7"/>
        <v>0</v>
      </c>
      <c r="AE1429" s="123">
        <v>0.0</v>
      </c>
    </row>
    <row r="1430">
      <c r="A1430" s="120">
        <v>2017.0</v>
      </c>
      <c r="B1430" s="121">
        <v>3.0</v>
      </c>
      <c r="C1430" s="122" t="s">
        <v>79</v>
      </c>
      <c r="D1430" s="44"/>
      <c r="E1430" s="123">
        <v>8746.58</v>
      </c>
      <c r="F1430" s="44"/>
      <c r="G1430" s="44"/>
      <c r="H1430" s="123">
        <v>-1531.64</v>
      </c>
      <c r="I1430" s="44"/>
      <c r="J1430" s="44"/>
      <c r="K1430" s="44"/>
      <c r="L1430" s="123">
        <v>38561.01</v>
      </c>
      <c r="M1430" s="44"/>
      <c r="N1430" s="44"/>
      <c r="O1430" s="123">
        <v>1045495.0</v>
      </c>
      <c r="P1430" s="52">
        <f t="shared" si="23"/>
        <v>1045494.57</v>
      </c>
      <c r="Q1430" s="124">
        <f t="shared" si="2"/>
        <v>0.4300000001</v>
      </c>
      <c r="R1430" s="52">
        <f t="array" ref="R1430">IFERROR(INDEX('Fund YTD Target Values'!$1:$1000, MATCH($C1430,'Fund YTD Target Values'!$A:$A,0), MATCH($A1430,'Fund YTD Target Values'!$1:$1,0)),0)</f>
        <v>1035433.228</v>
      </c>
      <c r="S1430" s="52">
        <f>IFERROR(__xludf.DUMMYFUNCTION("IFERROR(sum(FILTER('Fund Data'!$V:$V, 'Fund Data'!$C:$C = $C1430, 'Fund Data'!$A:$A &lt; $A1430)),0) + IFERROR(sum(FILTER('Fund Data'!$V:$V, 'Fund Data'!$C:$C = $C1430, 'Fund Data'!$A:$A = $A1430, 'Fund Data'!$B:$B &lt;= $B1430)),0)"),1000000.0)</f>
        <v>1000000</v>
      </c>
      <c r="T1430" s="123">
        <v>1000000.0</v>
      </c>
      <c r="U1430" s="44">
        <f t="shared" si="130"/>
        <v>0</v>
      </c>
      <c r="V1430" s="44">
        <f t="shared" si="3"/>
        <v>0</v>
      </c>
      <c r="W1430" s="123"/>
      <c r="X1430" s="123"/>
      <c r="Y1430" s="123">
        <v>0.0</v>
      </c>
      <c r="Z1430" s="123">
        <v>0.0</v>
      </c>
      <c r="AA1430" s="123">
        <v>0.0</v>
      </c>
      <c r="AB1430" s="123"/>
      <c r="AC1430" s="123">
        <v>0.0</v>
      </c>
      <c r="AD1430" s="44">
        <f t="shared" si="7"/>
        <v>0</v>
      </c>
      <c r="AE1430" s="123">
        <v>0.0</v>
      </c>
    </row>
    <row r="1431">
      <c r="A1431" s="168">
        <v>2017.0</v>
      </c>
      <c r="B1431" s="169">
        <v>2.0</v>
      </c>
      <c r="C1431" s="122" t="s">
        <v>79</v>
      </c>
      <c r="D1431" s="44"/>
      <c r="E1431" s="123">
        <v>8058.49</v>
      </c>
      <c r="F1431" s="44"/>
      <c r="G1431" s="44"/>
      <c r="H1431" s="123">
        <v>-1010.78</v>
      </c>
      <c r="I1431" s="44"/>
      <c r="J1431" s="44"/>
      <c r="K1431" s="44"/>
      <c r="L1431" s="123">
        <v>34949.07</v>
      </c>
      <c r="M1431" s="44"/>
      <c r="N1431" s="44"/>
      <c r="O1431" s="123">
        <v>1041715.0</v>
      </c>
      <c r="P1431" s="52">
        <f t="shared" si="23"/>
        <v>1041715.4</v>
      </c>
      <c r="Q1431" s="124">
        <f t="shared" si="2"/>
        <v>-0.4</v>
      </c>
      <c r="R1431" s="52">
        <f t="array" ref="R1431">IFERROR(INDEX('Fund YTD Target Values'!$1:$1000, MATCH($C1431,'Fund YTD Target Values'!$A:$A,0), MATCH($A1431,'Fund YTD Target Values'!$1:$1,0)),0)</f>
        <v>1035433.228</v>
      </c>
      <c r="S1431" s="52">
        <f>IFERROR(__xludf.DUMMYFUNCTION("IFERROR(sum(FILTER('Fund Data'!$V:$V, 'Fund Data'!$C:$C = $C1431, 'Fund Data'!$A:$A &lt; $A1431)),0) + IFERROR(sum(FILTER('Fund Data'!$V:$V, 'Fund Data'!$C:$C = $C1431, 'Fund Data'!$A:$A = $A1431, 'Fund Data'!$B:$B &lt;= $B1431)),0)"),1000000.0)</f>
        <v>1000000</v>
      </c>
      <c r="T1431" s="123">
        <v>1000000.0</v>
      </c>
      <c r="U1431" s="44">
        <f t="shared" si="130"/>
        <v>0</v>
      </c>
      <c r="V1431" s="44">
        <f t="shared" si="3"/>
        <v>0</v>
      </c>
      <c r="W1431" s="123"/>
      <c r="X1431" s="123"/>
      <c r="Y1431" s="123">
        <v>0.0</v>
      </c>
      <c r="Z1431" s="123">
        <v>0.0</v>
      </c>
      <c r="AA1431" s="123">
        <v>0.0</v>
      </c>
      <c r="AB1431" s="123"/>
      <c r="AC1431" s="123">
        <v>0.0</v>
      </c>
      <c r="AD1431" s="44">
        <f t="shared" si="7"/>
        <v>0</v>
      </c>
      <c r="AE1431" s="123">
        <v>0.0</v>
      </c>
    </row>
    <row r="1432">
      <c r="A1432" s="168">
        <v>2017.0</v>
      </c>
      <c r="B1432" s="169">
        <v>1.0</v>
      </c>
      <c r="C1432" s="122" t="s">
        <v>79</v>
      </c>
      <c r="D1432" s="44"/>
      <c r="E1432" s="123">
        <v>7352.95</v>
      </c>
      <c r="F1432" s="44"/>
      <c r="G1432" s="44"/>
      <c r="H1432" s="123">
        <v>-499.86</v>
      </c>
      <c r="I1432" s="44"/>
      <c r="J1432" s="44"/>
      <c r="K1432" s="44"/>
      <c r="L1432" s="123">
        <v>15278.48</v>
      </c>
      <c r="M1432" s="44"/>
      <c r="N1432" s="44"/>
      <c r="O1432" s="123">
        <v>1021850.0</v>
      </c>
      <c r="P1432" s="52">
        <f t="shared" si="23"/>
        <v>1021850.19</v>
      </c>
      <c r="Q1432" s="124">
        <f t="shared" si="2"/>
        <v>-0.1899999999</v>
      </c>
      <c r="R1432" s="52">
        <f t="array" ref="R1432">IFERROR(INDEX('Fund YTD Target Values'!$1:$1000, MATCH($C1432,'Fund YTD Target Values'!$A:$A,0), MATCH($A1432,'Fund YTD Target Values'!$1:$1,0)),0)</f>
        <v>1035433.228</v>
      </c>
      <c r="S1432" s="52">
        <f>IFERROR(__xludf.DUMMYFUNCTION("IFERROR(sum(FILTER('Fund Data'!$V:$V, 'Fund Data'!$C:$C = $C1432, 'Fund Data'!$A:$A &lt; $A1432)),0) + IFERROR(sum(FILTER('Fund Data'!$V:$V, 'Fund Data'!$C:$C = $C1432, 'Fund Data'!$A:$A = $A1432, 'Fund Data'!$B:$B &lt;= $B1432)),0)"),1000000.0)</f>
        <v>1000000</v>
      </c>
      <c r="T1432" s="123">
        <v>1000000.0</v>
      </c>
      <c r="U1432" s="44">
        <f t="shared" si="130"/>
        <v>0</v>
      </c>
      <c r="V1432" s="44">
        <f t="shared" si="3"/>
        <v>0</v>
      </c>
      <c r="W1432" s="123"/>
      <c r="X1432" s="123"/>
      <c r="Y1432" s="123">
        <v>0.0</v>
      </c>
      <c r="Z1432" s="123">
        <v>0.0</v>
      </c>
      <c r="AA1432" s="123">
        <v>0.0</v>
      </c>
      <c r="AB1432" s="123"/>
      <c r="AC1432" s="123">
        <v>0.0</v>
      </c>
      <c r="AD1432" s="44">
        <f t="shared" si="7"/>
        <v>0</v>
      </c>
      <c r="AE1432" s="123">
        <v>0.0</v>
      </c>
    </row>
    <row r="1433">
      <c r="A1433" s="120">
        <v>2016.0</v>
      </c>
      <c r="B1433" s="121">
        <v>12.0</v>
      </c>
      <c r="C1433" s="122" t="s">
        <v>79</v>
      </c>
      <c r="D1433" s="44"/>
      <c r="E1433" s="123">
        <v>20686.13</v>
      </c>
      <c r="F1433" s="44"/>
      <c r="G1433" s="123"/>
      <c r="H1433" s="123">
        <v>-5809.31</v>
      </c>
      <c r="I1433" s="44"/>
      <c r="J1433" s="44"/>
      <c r="K1433" s="44"/>
      <c r="L1433" s="123">
        <v>41515.57</v>
      </c>
      <c r="M1433" s="44"/>
      <c r="N1433" s="44"/>
      <c r="O1433" s="123">
        <v>999719.0</v>
      </c>
      <c r="P1433" s="52">
        <f t="shared" si="23"/>
        <v>999718.62</v>
      </c>
      <c r="Q1433" s="124">
        <f t="shared" si="2"/>
        <v>0.38</v>
      </c>
      <c r="R1433" s="52">
        <f t="array" ref="R1433">IFERROR(INDEX('Fund YTD Target Values'!$1:$1000, MATCH($C1433,'Fund YTD Target Values'!$A:$A,0), MATCH($A1433,'Fund YTD Target Values'!$1:$1,0)),0)</f>
        <v>1013822.437</v>
      </c>
      <c r="S1433" s="52">
        <f>IFERROR(__xludf.DUMMYFUNCTION("IFERROR(sum(FILTER('Fund Data'!$V:$V, 'Fund Data'!$C:$C = $C1433, 'Fund Data'!$A:$A &lt; $A1433)),0) + IFERROR(sum(FILTER('Fund Data'!$V:$V, 'Fund Data'!$C:$C = $C1433, 'Fund Data'!$A:$A = $A1433, 'Fund Data'!$B:$B &lt;= $B1433)),0)"),1000000.0)</f>
        <v>1000000</v>
      </c>
      <c r="T1433" s="123">
        <v>1000000.0</v>
      </c>
      <c r="U1433" s="44">
        <f t="shared" si="130"/>
        <v>0</v>
      </c>
      <c r="V1433" s="44">
        <f t="shared" si="3"/>
        <v>0</v>
      </c>
      <c r="W1433" s="123"/>
      <c r="X1433" s="123"/>
      <c r="Y1433" s="123">
        <v>0.0</v>
      </c>
      <c r="Z1433" s="123">
        <v>0.0</v>
      </c>
      <c r="AA1433" s="123">
        <v>0.0</v>
      </c>
      <c r="AB1433" s="123"/>
      <c r="AC1433" s="123">
        <v>0.0</v>
      </c>
      <c r="AD1433" s="44">
        <f t="shared" si="7"/>
        <v>0</v>
      </c>
      <c r="AE1433" s="123">
        <v>0.0</v>
      </c>
    </row>
    <row r="1434">
      <c r="A1434" s="120">
        <v>2015.0</v>
      </c>
      <c r="B1434" s="121">
        <v>12.0</v>
      </c>
      <c r="C1434" s="122" t="s">
        <v>79</v>
      </c>
      <c r="D1434" s="44"/>
      <c r="E1434" s="123">
        <v>22761.04</v>
      </c>
      <c r="F1434" s="44"/>
      <c r="G1434" s="123"/>
      <c r="H1434" s="123">
        <v>-5870.81</v>
      </c>
      <c r="I1434" s="44"/>
      <c r="J1434" s="44"/>
      <c r="K1434" s="44"/>
      <c r="L1434" s="123">
        <v>-42367.99</v>
      </c>
      <c r="M1434" s="44"/>
      <c r="N1434" s="44"/>
      <c r="O1434" s="123">
        <v>943326.0</v>
      </c>
      <c r="P1434" s="52">
        <f t="shared" si="23"/>
        <v>943326.23</v>
      </c>
      <c r="Q1434" s="124">
        <f t="shared" si="2"/>
        <v>-0.23</v>
      </c>
      <c r="R1434" s="52">
        <f t="array" ref="R1434">IFERROR(INDEX('Fund YTD Target Values'!$1:$1000, MATCH($C1434,'Fund YTD Target Values'!$A:$A,0), MATCH($A1434,'Fund YTD Target Values'!$1:$1,0)),0)</f>
        <v>1001188.996</v>
      </c>
      <c r="S1434" s="52">
        <f>IFERROR(__xludf.DUMMYFUNCTION("IFERROR(sum(FILTER('Fund Data'!$V:$V, 'Fund Data'!$C:$C = $C1434, 'Fund Data'!$A:$A &lt; $A1434)),0) + IFERROR(sum(FILTER('Fund Data'!$V:$V, 'Fund Data'!$C:$C = $C1434, 'Fund Data'!$A:$A = $A1434, 'Fund Data'!$B:$B &lt;= $B1434)),0)"),1000000.0)</f>
        <v>1000000</v>
      </c>
      <c r="T1434" s="123">
        <v>1000000.0</v>
      </c>
      <c r="U1434" s="44">
        <f t="shared" si="130"/>
        <v>0</v>
      </c>
      <c r="V1434" s="44">
        <f t="shared" si="3"/>
        <v>0</v>
      </c>
      <c r="W1434" s="123"/>
      <c r="X1434" s="123"/>
      <c r="Y1434" s="123">
        <v>0.0</v>
      </c>
      <c r="Z1434" s="123">
        <v>0.0</v>
      </c>
      <c r="AA1434" s="123">
        <v>0.0</v>
      </c>
      <c r="AB1434" s="123"/>
      <c r="AC1434" s="123">
        <v>0.0</v>
      </c>
      <c r="AD1434" s="44">
        <f t="shared" si="7"/>
        <v>0</v>
      </c>
      <c r="AE1434" s="123">
        <v>0.0</v>
      </c>
    </row>
    <row r="1435">
      <c r="A1435" s="120">
        <v>2014.0</v>
      </c>
      <c r="B1435" s="121">
        <v>12.0</v>
      </c>
      <c r="C1435" s="122" t="s">
        <v>79</v>
      </c>
      <c r="D1435" s="123">
        <v>1000000.0</v>
      </c>
      <c r="E1435" s="123">
        <v>6016.41</v>
      </c>
      <c r="F1435" s="44"/>
      <c r="G1435" s="123"/>
      <c r="H1435" s="123">
        <v>-2841.26</v>
      </c>
      <c r="I1435" s="44"/>
      <c r="J1435" s="44"/>
      <c r="K1435" s="44"/>
      <c r="L1435" s="123">
        <v>-34371.16</v>
      </c>
      <c r="M1435" s="44"/>
      <c r="N1435" s="44"/>
      <c r="O1435" s="123">
        <v>968804.0</v>
      </c>
      <c r="P1435" s="52">
        <f t="shared" si="23"/>
        <v>968803.99</v>
      </c>
      <c r="Q1435" s="124">
        <f t="shared" si="2"/>
        <v>0.01000000001</v>
      </c>
      <c r="R1435" s="52">
        <f t="array" ref="R1435">IFERROR(INDEX('Fund YTD Target Values'!$1:$1000, MATCH($C1435,'Fund YTD Target Values'!$A:$A,0), MATCH($A1435,'Fund YTD Target Values'!$1:$1,0)),0)</f>
        <v>1000000</v>
      </c>
      <c r="S1435" s="52">
        <f>IFERROR(__xludf.DUMMYFUNCTION("IFERROR(sum(FILTER('Fund Data'!$V:$V, 'Fund Data'!$C:$C = $C1435, 'Fund Data'!$A:$A &lt; $A1435)),0) + IFERROR(sum(FILTER('Fund Data'!$V:$V, 'Fund Data'!$C:$C = $C1435, 'Fund Data'!$A:$A = $A1435, 'Fund Data'!$B:$B &lt;= $B1435)),0)"),1000000.0)</f>
        <v>1000000</v>
      </c>
      <c r="T1435" s="123">
        <v>1000000.0</v>
      </c>
      <c r="U1435" s="44">
        <f t="shared" si="130"/>
        <v>0</v>
      </c>
      <c r="V1435" s="44">
        <f t="shared" si="3"/>
        <v>1000000</v>
      </c>
      <c r="W1435" s="123"/>
      <c r="X1435" s="123"/>
      <c r="Y1435" s="123">
        <v>0.0</v>
      </c>
      <c r="Z1435" s="123">
        <v>0.0</v>
      </c>
      <c r="AA1435" s="123">
        <v>0.0</v>
      </c>
      <c r="AB1435" s="123"/>
      <c r="AC1435" s="123">
        <v>0.0</v>
      </c>
      <c r="AD1435" s="44">
        <f t="shared" si="7"/>
        <v>0</v>
      </c>
      <c r="AE1435" s="123">
        <v>0.0</v>
      </c>
    </row>
    <row r="1436">
      <c r="A1436" s="120">
        <v>2019.0</v>
      </c>
      <c r="B1436" s="121">
        <v>6.0</v>
      </c>
      <c r="C1436" s="122" t="s">
        <v>80</v>
      </c>
      <c r="D1436" s="44"/>
      <c r="E1436" s="123">
        <v>24912.83</v>
      </c>
      <c r="F1436" s="123">
        <v>-17000.0</v>
      </c>
      <c r="G1436" s="44"/>
      <c r="H1436" s="123">
        <v>-5650.41</v>
      </c>
      <c r="I1436" s="44"/>
      <c r="J1436" s="44"/>
      <c r="K1436" s="44"/>
      <c r="L1436" s="123">
        <v>192700.63</v>
      </c>
      <c r="M1436" s="44"/>
      <c r="N1436" s="44"/>
      <c r="O1436" s="123">
        <v>2075477.52</v>
      </c>
      <c r="P1436" s="52">
        <f t="shared" si="23"/>
        <v>2075477.52</v>
      </c>
      <c r="Q1436" s="124">
        <f t="shared" si="2"/>
        <v>-0.0000000002328306437</v>
      </c>
      <c r="R1436" s="52">
        <f t="array" ref="R1436">IFERROR(INDEX('Fund YTD Target Values'!$1:$1000, MATCH($C1436,'Fund YTD Target Values'!$A:$A,0), MATCH($A1436,'Fund YTD Target Values'!$1:$1,0)),0)</f>
        <v>2084588</v>
      </c>
      <c r="S1436" s="52">
        <f>IFERROR(__xludf.DUMMYFUNCTION("IFERROR(sum(FILTER('Fund Data'!$V:$V, 'Fund Data'!$C:$C = $C1436, 'Fund Data'!$A:$A &lt; $A1436)),0) + IFERROR(sum(FILTER('Fund Data'!$V:$V, 'Fund Data'!$C:$C = $C1436, 'Fund Data'!$A:$A = $A1436, 'Fund Data'!$B:$B &lt;= $B1436)),0)"),2000000.0)</f>
        <v>2000000</v>
      </c>
      <c r="T1436" s="123">
        <v>2000000.0</v>
      </c>
      <c r="U1436" s="44">
        <f t="shared" si="130"/>
        <v>0</v>
      </c>
      <c r="V1436" s="44">
        <f t="shared" si="3"/>
        <v>0</v>
      </c>
      <c r="W1436" s="52">
        <f>IFERROR(__xludf.DUMMYFUNCTION("iFERROR((FILTER('Fund Data'!$Y:$Y, 'Fund Data'!$C:$C = $C1436, 'Fund Data'!$A:$A = $A1436 - 1, 'Fund Data'!$B:$B = 12) + FILTER('Fund Data'!$AA:$AA, 'Fund Data'!$C:$C = $C1436, 'Fund Data'!$A:$A = $A1436 - 1, 'Fund Data'!$B:$B = 12)) * (1 + AVERAGE(FILTER"&amp;"('Inflation Data'!$C:$C,'Inflation Data'!$A:$A = ($A1436 - 2)))) * 'Parameters and Distribution Sum'!$A$4,0)"),0.0)</f>
        <v>0</v>
      </c>
      <c r="X1436" s="52">
        <f>IFERROR(__xludf.DUMMYFUNCTION("IFERROR((IFERROR(FILTER('Fund Data'!$P:$P,'Fund Data'!$C:$C = $C1436,'Fund Data'!$A:$A = ($A1436 - 2), 'Fund Data'!$B:$B = 12),0) - SUM(FILTER('Fund Data'!$V:$V, 'Fund Data'!$C:$C = $C1436, 'Fund Data'!$A:$A = ($A1436 - 2), 'Fund Data'!$B:$B &gt; 3)))  * 'Pa"&amp;"rameters and Distribution Sum'!$B$4 * (1 - 'Parameters and Distribution Sum'!$A$4),0)"),474.91420500000106)</f>
        <v>474.914205</v>
      </c>
      <c r="Y1436" s="52">
        <f t="shared" ref="Y1436:Y1441" si="134">sum($W1436:$X1436)</f>
        <v>474.914205</v>
      </c>
      <c r="Z1436" s="52">
        <f>IFERROR(__xludf.DUMMYFUNCTION("((IFERROR((SUM(FILTER('Fund Data'!$V:$V, 'Fund Data'!$C:$C = $C1436, 'Fund Data'!$A:$A = $A1436 - 1, 'Fund Data'!$B:$B &gt;= 4, 'Fund Data'!$B:$B &lt;= ($B1436 + 5))) / 12) * ($B1436 - 3) * 'Parameters and Distribution Sum'!$B$4, 0) + IF($B1436 &gt;= 9, IFERROR(SU"&amp;"M(FILTER('Fund Data'!$V:$V, 'Fund Data'!$C:$C = $C1436, 'Fund Data'!$A:$A = $A1436, 'Fund Data'!$B:$B &lt;= 3)) * 'Parameters and Distribution Sum'!$B$4, 0),0)))"),0.0)</f>
        <v>0</v>
      </c>
      <c r="AA1436" s="44">
        <f>IFERROR(__xludf.DUMMYFUNCTION("IFERROR(((IFERROR(SUM(FILTER('Fund Data'!$V:$V, 'Fund Data'!$C:$C = $C1436, 'Fund Data'!$A:$A = $A1436 - 2, 'Fund Data'!$B:$B &gt;= 4)) * 'Parameters and Distribution Sum'!$B$4,0) + IFERROR(SUM(FILTER('Fund Data'!$V:$V, 'Fund Data'!$C:$C = $C1436, 'Fund Data"&amp;"'!$A:$A = $A1436 - 1, 'Fund Data'!$B:$B &lt;= 3)) * 'Parameters and Distribution Sum'!$B$4,0))),0)"),90000.0)</f>
        <v>90000</v>
      </c>
      <c r="AB1436" s="44">
        <f t="shared" ref="AB1436:AB1442" si="135">IFERROR(__xludf.DUMMYFUNCTION("IFERROR(FILTER($AE:$AE,$C:$C = $C1436,$A:$A = $A1436 - 1,$B:$B = 12),0)"),45000.0)</f>
        <v>45000</v>
      </c>
      <c r="AC1436" s="44">
        <f t="shared" ref="AC1436:AC1442" si="136">sum($Y1436:$AB1436)</f>
        <v>135474.9142</v>
      </c>
      <c r="AD1436" s="44">
        <f t="shared" si="7"/>
        <v>118474.9142</v>
      </c>
      <c r="AE1436" s="44"/>
    </row>
    <row r="1437">
      <c r="A1437" s="120">
        <v>2019.0</v>
      </c>
      <c r="B1437" s="121">
        <v>5.0</v>
      </c>
      <c r="C1437" s="122" t="s">
        <v>80</v>
      </c>
      <c r="D1437" s="44"/>
      <c r="E1437" s="123">
        <v>22707.11</v>
      </c>
      <c r="F1437" s="123">
        <v>-12100.0</v>
      </c>
      <c r="G1437" s="44"/>
      <c r="H1437" s="123">
        <v>-4705.29</v>
      </c>
      <c r="I1437" s="44"/>
      <c r="J1437" s="44"/>
      <c r="K1437" s="44"/>
      <c r="L1437" s="123">
        <v>115169.41</v>
      </c>
      <c r="M1437" s="44"/>
      <c r="N1437" s="44"/>
      <c r="O1437" s="123">
        <v>2001585.7</v>
      </c>
      <c r="P1437" s="52">
        <f t="shared" si="23"/>
        <v>2001585.7</v>
      </c>
      <c r="Q1437" s="124">
        <f t="shared" si="2"/>
        <v>-0.0000000002328306437</v>
      </c>
      <c r="R1437" s="52">
        <f t="array" ref="R1437">IFERROR(INDEX('Fund YTD Target Values'!$1:$1000, MATCH($C1437,'Fund YTD Target Values'!$A:$A,0), MATCH($A1437,'Fund YTD Target Values'!$1:$1,0)),0)</f>
        <v>2084588</v>
      </c>
      <c r="S1437" s="52">
        <f>IFERROR(__xludf.DUMMYFUNCTION("IFERROR(sum(FILTER('Fund Data'!$V:$V, 'Fund Data'!$C:$C = $C1437, 'Fund Data'!$A:$A &lt; $A1437)),0) + IFERROR(sum(FILTER('Fund Data'!$V:$V, 'Fund Data'!$C:$C = $C1437, 'Fund Data'!$A:$A = $A1437, 'Fund Data'!$B:$B &lt;= $B1437)),0)"),2000000.0)</f>
        <v>2000000</v>
      </c>
      <c r="T1437" s="123">
        <v>2000000.0</v>
      </c>
      <c r="U1437" s="44">
        <f t="shared" si="130"/>
        <v>0</v>
      </c>
      <c r="V1437" s="44">
        <f t="shared" si="3"/>
        <v>0</v>
      </c>
      <c r="W1437" s="52">
        <f>IFERROR(__xludf.DUMMYFUNCTION("iFERROR((FILTER('Fund Data'!$Y:$Y, 'Fund Data'!$C:$C = $C1437, 'Fund Data'!$A:$A = $A1437 - 1, 'Fund Data'!$B:$B = 12) + FILTER('Fund Data'!$AA:$AA, 'Fund Data'!$C:$C = $C1437, 'Fund Data'!$A:$A = $A1437 - 1, 'Fund Data'!$B:$B = 12)) * (1 + AVERAGE(FILTER"&amp;"('Inflation Data'!$C:$C,'Inflation Data'!$A:$A = ($A1437 - 2)))) * 'Parameters and Distribution Sum'!$A$4,0)"),0.0)</f>
        <v>0</v>
      </c>
      <c r="X1437" s="52">
        <f>IFERROR(__xludf.DUMMYFUNCTION("IFERROR((IFERROR(FILTER('Fund Data'!$P:$P,'Fund Data'!$C:$C = $C1437,'Fund Data'!$A:$A = ($A1437 - 2), 'Fund Data'!$B:$B = 12),0) - SUM(FILTER('Fund Data'!$V:$V, 'Fund Data'!$C:$C = $C1437, 'Fund Data'!$A:$A = ($A1437 - 2), 'Fund Data'!$B:$B &gt; 3)))  * 'Pa"&amp;"rameters and Distribution Sum'!$B$4 * (1 - 'Parameters and Distribution Sum'!$A$4),0)"),474.91420500000106)</f>
        <v>474.914205</v>
      </c>
      <c r="Y1437" s="52">
        <f t="shared" si="134"/>
        <v>474.914205</v>
      </c>
      <c r="Z1437" s="52">
        <f>IFERROR(__xludf.DUMMYFUNCTION("((IFERROR((SUM(FILTER('Fund Data'!$V:$V, 'Fund Data'!$C:$C = $C1437, 'Fund Data'!$A:$A = $A1437 - 1, 'Fund Data'!$B:$B &gt;= 4, 'Fund Data'!$B:$B &lt;= ($B1437 + 5))) / 12) * ($B1437 - 3) * 'Parameters and Distribution Sum'!$B$4, 0) + IF($B1437 &gt;= 9, IFERROR(SU"&amp;"M(FILTER('Fund Data'!$V:$V, 'Fund Data'!$C:$C = $C1437, 'Fund Data'!$A:$A = $A1437, 'Fund Data'!$B:$B &lt;= 3)) * 'Parameters and Distribution Sum'!$B$4, 0),0)))"),0.0)</f>
        <v>0</v>
      </c>
      <c r="AA1437" s="44">
        <f>IFERROR(__xludf.DUMMYFUNCTION("IFERROR(((IFERROR(SUM(FILTER('Fund Data'!$V:$V, 'Fund Data'!$C:$C = $C1437, 'Fund Data'!$A:$A = $A1437 - 2, 'Fund Data'!$B:$B &gt;= 4)) * 'Parameters and Distribution Sum'!$B$4,0) + IFERROR(SUM(FILTER('Fund Data'!$V:$V, 'Fund Data'!$C:$C = $C1437, 'Fund Data"&amp;"'!$A:$A = $A1437 - 1, 'Fund Data'!$B:$B &lt;= 3)) * 'Parameters and Distribution Sum'!$B$4,0))),0)"),90000.0)</f>
        <v>90000</v>
      </c>
      <c r="AB1437" s="44">
        <f t="shared" si="135"/>
        <v>45000</v>
      </c>
      <c r="AC1437" s="44">
        <f t="shared" si="136"/>
        <v>135474.9142</v>
      </c>
      <c r="AD1437" s="44">
        <f t="shared" si="7"/>
        <v>123374.9142</v>
      </c>
      <c r="AE1437" s="44"/>
    </row>
    <row r="1438">
      <c r="A1438" s="120">
        <v>2019.0</v>
      </c>
      <c r="B1438" s="121">
        <v>4.0</v>
      </c>
      <c r="C1438" s="122" t="s">
        <v>80</v>
      </c>
      <c r="D1438" s="44"/>
      <c r="E1438" s="123">
        <v>20884.23</v>
      </c>
      <c r="F1438" s="123">
        <v>-6100.0</v>
      </c>
      <c r="G1438" s="44"/>
      <c r="H1438" s="123">
        <v>-3732.01</v>
      </c>
      <c r="I1438" s="44"/>
      <c r="J1438" s="44"/>
      <c r="K1438" s="44"/>
      <c r="L1438" s="123">
        <v>193501.15</v>
      </c>
      <c r="M1438" s="44"/>
      <c r="N1438" s="44"/>
      <c r="O1438" s="123">
        <v>2085068.0</v>
      </c>
      <c r="P1438" s="52">
        <f t="shared" si="23"/>
        <v>2085067.84</v>
      </c>
      <c r="Q1438" s="124">
        <f t="shared" si="2"/>
        <v>0.1599999997</v>
      </c>
      <c r="R1438" s="52">
        <f t="array" ref="R1438">IFERROR(INDEX('Fund YTD Target Values'!$1:$1000, MATCH($C1438,'Fund YTD Target Values'!$A:$A,0), MATCH($A1438,'Fund YTD Target Values'!$1:$1,0)),0)</f>
        <v>2084588</v>
      </c>
      <c r="S1438" s="52">
        <f>IFERROR(__xludf.DUMMYFUNCTION("IFERROR(sum(FILTER('Fund Data'!$V:$V, 'Fund Data'!$C:$C = $C1438, 'Fund Data'!$A:$A &lt; $A1438)),0) + IFERROR(sum(FILTER('Fund Data'!$V:$V, 'Fund Data'!$C:$C = $C1438, 'Fund Data'!$A:$A = $A1438, 'Fund Data'!$B:$B &lt;= $B1438)),0)"),2000000.0)</f>
        <v>2000000</v>
      </c>
      <c r="T1438" s="123">
        <v>2000000.0</v>
      </c>
      <c r="U1438" s="44">
        <f t="shared" si="130"/>
        <v>0</v>
      </c>
      <c r="V1438" s="44">
        <f t="shared" si="3"/>
        <v>0</v>
      </c>
      <c r="W1438" s="52">
        <f>IFERROR(__xludf.DUMMYFUNCTION("iFERROR((FILTER('Fund Data'!$Y:$Y, 'Fund Data'!$C:$C = $C1438, 'Fund Data'!$A:$A = $A1438 - 1, 'Fund Data'!$B:$B = 12) + FILTER('Fund Data'!$AA:$AA, 'Fund Data'!$C:$C = $C1438, 'Fund Data'!$A:$A = $A1438 - 1, 'Fund Data'!$B:$B = 12)) * (1 + AVERAGE(FILTER"&amp;"('Inflation Data'!$C:$C,'Inflation Data'!$A:$A = ($A1438 - 2)))) * 'Parameters and Distribution Sum'!$A$4,0)"),0.0)</f>
        <v>0</v>
      </c>
      <c r="X1438" s="52">
        <f>IFERROR(__xludf.DUMMYFUNCTION("IFERROR((IFERROR(FILTER('Fund Data'!$P:$P,'Fund Data'!$C:$C = $C1438,'Fund Data'!$A:$A = ($A1438 - 2), 'Fund Data'!$B:$B = 12),0) - SUM(FILTER('Fund Data'!$V:$V, 'Fund Data'!$C:$C = $C1438, 'Fund Data'!$A:$A = ($A1438 - 2), 'Fund Data'!$B:$B &gt; 3)))  * 'Pa"&amp;"rameters and Distribution Sum'!$B$4 * (1 - 'Parameters and Distribution Sum'!$A$4),0)"),474.91420500000106)</f>
        <v>474.914205</v>
      </c>
      <c r="Y1438" s="52">
        <f t="shared" si="134"/>
        <v>474.914205</v>
      </c>
      <c r="Z1438" s="52">
        <f>IFERROR(__xludf.DUMMYFUNCTION("((IFERROR((SUM(FILTER('Fund Data'!$V:$V, 'Fund Data'!$C:$C = $C1438, 'Fund Data'!$A:$A = $A1438 - 1, 'Fund Data'!$B:$B &gt;= 4, 'Fund Data'!$B:$B &lt;= ($B1438 + 5))) / 12) * ($B1438 - 3) * 'Parameters and Distribution Sum'!$B$4, 0) + IF($B1438 &gt;= 9, IFERROR(SU"&amp;"M(FILTER('Fund Data'!$V:$V, 'Fund Data'!$C:$C = $C1438, 'Fund Data'!$A:$A = $A1438, 'Fund Data'!$B:$B &lt;= 3)) * 'Parameters and Distribution Sum'!$B$4, 0),0)))"),0.0)</f>
        <v>0</v>
      </c>
      <c r="AA1438" s="44">
        <f>IFERROR(__xludf.DUMMYFUNCTION("IFERROR(((IFERROR(SUM(FILTER('Fund Data'!$V:$V, 'Fund Data'!$C:$C = $C1438, 'Fund Data'!$A:$A = $A1438 - 2, 'Fund Data'!$B:$B &gt;= 4)) * 'Parameters and Distribution Sum'!$B$4,0) + IFERROR(SUM(FILTER('Fund Data'!$V:$V, 'Fund Data'!$C:$C = $C1438, 'Fund Data"&amp;"'!$A:$A = $A1438 - 1, 'Fund Data'!$B:$B &lt;= 3)) * 'Parameters and Distribution Sum'!$B$4,0))),0)"),90000.0)</f>
        <v>90000</v>
      </c>
      <c r="AB1438" s="44">
        <f t="shared" si="135"/>
        <v>45000</v>
      </c>
      <c r="AC1438" s="44">
        <f t="shared" si="136"/>
        <v>135474.9142</v>
      </c>
      <c r="AD1438" s="44">
        <f t="shared" si="7"/>
        <v>129374.9142</v>
      </c>
      <c r="AE1438" s="44"/>
    </row>
    <row r="1439">
      <c r="A1439" s="120">
        <v>2019.0</v>
      </c>
      <c r="B1439" s="121">
        <v>3.0</v>
      </c>
      <c r="C1439" s="122" t="s">
        <v>80</v>
      </c>
      <c r="D1439" s="44"/>
      <c r="E1439" s="123">
        <v>15763.2</v>
      </c>
      <c r="F1439" s="123">
        <v>-2600.0</v>
      </c>
      <c r="G1439" s="44"/>
      <c r="H1439" s="123">
        <v>-2776.11</v>
      </c>
      <c r="I1439" s="44"/>
      <c r="J1439" s="44"/>
      <c r="K1439" s="44"/>
      <c r="L1439" s="123">
        <v>153541.43</v>
      </c>
      <c r="M1439" s="44"/>
      <c r="N1439" s="44"/>
      <c r="O1439" s="123">
        <v>2044443.0</v>
      </c>
      <c r="P1439" s="52">
        <f t="shared" si="23"/>
        <v>2044442.99</v>
      </c>
      <c r="Q1439" s="124">
        <f t="shared" si="2"/>
        <v>0.009999999776</v>
      </c>
      <c r="R1439" s="52">
        <f t="array" ref="R1439">IFERROR(INDEX('Fund YTD Target Values'!$1:$1000, MATCH($C1439,'Fund YTD Target Values'!$A:$A,0), MATCH($A1439,'Fund YTD Target Values'!$1:$1,0)),0)</f>
        <v>2084588</v>
      </c>
      <c r="S1439" s="52">
        <f>IFERROR(__xludf.DUMMYFUNCTION("IFERROR(sum(FILTER('Fund Data'!$V:$V, 'Fund Data'!$C:$C = $C1439, 'Fund Data'!$A:$A &lt; $A1439)),0) + IFERROR(sum(FILTER('Fund Data'!$V:$V, 'Fund Data'!$C:$C = $C1439, 'Fund Data'!$A:$A = $A1439, 'Fund Data'!$B:$B &lt;= $B1439)),0)"),2000000.0)</f>
        <v>2000000</v>
      </c>
      <c r="T1439" s="123">
        <v>2000000.0</v>
      </c>
      <c r="U1439" s="44">
        <f t="shared" si="130"/>
        <v>0</v>
      </c>
      <c r="V1439" s="44">
        <f t="shared" si="3"/>
        <v>0</v>
      </c>
      <c r="W1439" s="52">
        <f>IFERROR(__xludf.DUMMYFUNCTION("iFERROR((FILTER('Fund Data'!$Y:$Y, 'Fund Data'!$C:$C = $C1439, 'Fund Data'!$A:$A = $A1439 - 1, 'Fund Data'!$B:$B = 12) + FILTER('Fund Data'!$AA:$AA, 'Fund Data'!$C:$C = $C1439, 'Fund Data'!$A:$A = $A1439 - 1, 'Fund Data'!$B:$B = 12)) * (1 + AVERAGE(FILTER"&amp;"('Inflation Data'!$C:$C,'Inflation Data'!$A:$A = ($A1439 - 2)))) * 'Parameters and Distribution Sum'!$A$4,0)"),0.0)</f>
        <v>0</v>
      </c>
      <c r="X1439" s="52">
        <f>IFERROR(__xludf.DUMMYFUNCTION("IFERROR((IFERROR(FILTER('Fund Data'!$P:$P,'Fund Data'!$C:$C = $C1439,'Fund Data'!$A:$A = ($A1439 - 2), 'Fund Data'!$B:$B = 12),0) - SUM(FILTER('Fund Data'!$V:$V, 'Fund Data'!$C:$C = $C1439, 'Fund Data'!$A:$A = ($A1439 - 2), 'Fund Data'!$B:$B &gt; 3)))  * 'Pa"&amp;"rameters and Distribution Sum'!$B$4 * (1 - 'Parameters and Distribution Sum'!$A$4),0)"),474.91420500000106)</f>
        <v>474.914205</v>
      </c>
      <c r="Y1439" s="52">
        <f t="shared" si="134"/>
        <v>474.914205</v>
      </c>
      <c r="Z1439" s="52">
        <f>IFERROR(__xludf.DUMMYFUNCTION("((IFERROR((SUM(FILTER('Fund Data'!$V:$V, 'Fund Data'!$C:$C = $C1439, 'Fund Data'!$A:$A = $A1439 - 1, 'Fund Data'!$B:$B &gt;= 4, 'Fund Data'!$B:$B &lt;= ($B1439 + 5))) / 12) * ($B1439 - 3) * 'Parameters and Distribution Sum'!$B$4, 0) + IF($B1439 &gt;= 9, IFERROR(SU"&amp;"M(FILTER('Fund Data'!$V:$V, 'Fund Data'!$C:$C = $C1439, 'Fund Data'!$A:$A = $A1439, 'Fund Data'!$B:$B &lt;= 3)) * 'Parameters and Distribution Sum'!$B$4, 0),0)))"),0.0)</f>
        <v>0</v>
      </c>
      <c r="AA1439" s="44">
        <f>IFERROR(__xludf.DUMMYFUNCTION("IFERROR(((IFERROR(SUM(FILTER('Fund Data'!$V:$V, 'Fund Data'!$C:$C = $C1439, 'Fund Data'!$A:$A = $A1439 - 2, 'Fund Data'!$B:$B &gt;= 4)) * 'Parameters and Distribution Sum'!$B$4,0) + IFERROR(SUM(FILTER('Fund Data'!$V:$V, 'Fund Data'!$C:$C = $C1439, 'Fund Data"&amp;"'!$A:$A = $A1439 - 1, 'Fund Data'!$B:$B &lt;= 3)) * 'Parameters and Distribution Sum'!$B$4,0))),0)"),90000.0)</f>
        <v>90000</v>
      </c>
      <c r="AB1439" s="44">
        <f t="shared" si="135"/>
        <v>45000</v>
      </c>
      <c r="AC1439" s="44">
        <f t="shared" si="136"/>
        <v>135474.9142</v>
      </c>
      <c r="AD1439" s="44">
        <f t="shared" si="7"/>
        <v>132874.9142</v>
      </c>
      <c r="AE1439" s="44"/>
    </row>
    <row r="1440">
      <c r="A1440" s="120">
        <v>2019.0</v>
      </c>
      <c r="B1440" s="121">
        <v>2.0</v>
      </c>
      <c r="C1440" s="122" t="s">
        <v>80</v>
      </c>
      <c r="D1440" s="44"/>
      <c r="E1440" s="123">
        <v>13281.33</v>
      </c>
      <c r="F1440" s="44"/>
      <c r="G1440" s="44"/>
      <c r="H1440" s="123">
        <v>-1824.98</v>
      </c>
      <c r="I1440" s="44"/>
      <c r="J1440" s="44"/>
      <c r="K1440" s="44"/>
      <c r="L1440" s="123">
        <v>142133.89</v>
      </c>
      <c r="M1440" s="44"/>
      <c r="N1440" s="44"/>
      <c r="O1440" s="123">
        <v>2034105.0</v>
      </c>
      <c r="P1440" s="52">
        <f t="shared" si="23"/>
        <v>2034104.71</v>
      </c>
      <c r="Q1440" s="124">
        <f t="shared" si="2"/>
        <v>0.2899999998</v>
      </c>
      <c r="R1440" s="52">
        <f t="array" ref="R1440">IFERROR(INDEX('Fund YTD Target Values'!$1:$1000, MATCH($C1440,'Fund YTD Target Values'!$A:$A,0), MATCH($A1440,'Fund YTD Target Values'!$1:$1,0)),0)</f>
        <v>2084588</v>
      </c>
      <c r="S1440" s="52">
        <f>IFERROR(__xludf.DUMMYFUNCTION("IFERROR(sum(FILTER('Fund Data'!$V:$V, 'Fund Data'!$C:$C = $C1440, 'Fund Data'!$A:$A &lt; $A1440)),0) + IFERROR(sum(FILTER('Fund Data'!$V:$V, 'Fund Data'!$C:$C = $C1440, 'Fund Data'!$A:$A = $A1440, 'Fund Data'!$B:$B &lt;= $B1440)),0)"),2000000.0)</f>
        <v>2000000</v>
      </c>
      <c r="T1440" s="123">
        <v>2000000.0</v>
      </c>
      <c r="U1440" s="44">
        <f t="shared" si="130"/>
        <v>0</v>
      </c>
      <c r="V1440" s="44">
        <f t="shared" si="3"/>
        <v>0</v>
      </c>
      <c r="W1440" s="52">
        <f>IFERROR(__xludf.DUMMYFUNCTION("iFERROR((FILTER('Fund Data'!$Y:$Y, 'Fund Data'!$C:$C = $C1440, 'Fund Data'!$A:$A = $A1440 - 1, 'Fund Data'!$B:$B = 12) + FILTER('Fund Data'!$AA:$AA, 'Fund Data'!$C:$C = $C1440, 'Fund Data'!$A:$A = $A1440 - 1, 'Fund Data'!$B:$B = 12)) * (1 + AVERAGE(FILTER"&amp;"('Inflation Data'!$C:$C,'Inflation Data'!$A:$A = ($A1440 - 2)))) * 'Parameters and Distribution Sum'!$A$4,0)"),0.0)</f>
        <v>0</v>
      </c>
      <c r="X1440" s="52">
        <f>IFERROR(__xludf.DUMMYFUNCTION("IFERROR((IFERROR(FILTER('Fund Data'!$P:$P,'Fund Data'!$C:$C = $C1440,'Fund Data'!$A:$A = ($A1440 - 2), 'Fund Data'!$B:$B = 12),0) - SUM(FILTER('Fund Data'!$V:$V, 'Fund Data'!$C:$C = $C1440, 'Fund Data'!$A:$A = ($A1440 - 2), 'Fund Data'!$B:$B &gt; 3)))  * 'Pa"&amp;"rameters and Distribution Sum'!$B$4 * (1 - 'Parameters and Distribution Sum'!$A$4),0)"),474.91420500000106)</f>
        <v>474.914205</v>
      </c>
      <c r="Y1440" s="52">
        <f t="shared" si="134"/>
        <v>474.914205</v>
      </c>
      <c r="Z1440" s="52">
        <f>IFERROR(__xludf.DUMMYFUNCTION("((IFERROR((SUM(FILTER('Fund Data'!$V:$V, 'Fund Data'!$C:$C = $C1440, 'Fund Data'!$A:$A = $A1440 - 1, 'Fund Data'!$B:$B &gt;= 4, 'Fund Data'!$B:$B &lt;= ($B1440 + 5))) / 12) * ($B1440 - 3) * 'Parameters and Distribution Sum'!$B$4, 0) + IF($B1440 &gt;= 9, IFERROR(SU"&amp;"M(FILTER('Fund Data'!$V:$V, 'Fund Data'!$C:$C = $C1440, 'Fund Data'!$A:$A = $A1440, 'Fund Data'!$B:$B &lt;= 3)) * 'Parameters and Distribution Sum'!$B$4, 0),0)))"),0.0)</f>
        <v>0</v>
      </c>
      <c r="AA1440" s="44">
        <f>IFERROR(__xludf.DUMMYFUNCTION("IFERROR(((IFERROR(SUM(FILTER('Fund Data'!$V:$V, 'Fund Data'!$C:$C = $C1440, 'Fund Data'!$A:$A = $A1440 - 2, 'Fund Data'!$B:$B &gt;= 4)) * 'Parameters and Distribution Sum'!$B$4,0) + IFERROR(SUM(FILTER('Fund Data'!$V:$V, 'Fund Data'!$C:$C = $C1440, 'Fund Data"&amp;"'!$A:$A = $A1440 - 1, 'Fund Data'!$B:$B &lt;= 3)) * 'Parameters and Distribution Sum'!$B$4,0))),0)"),90000.0)</f>
        <v>90000</v>
      </c>
      <c r="AB1440" s="44">
        <f t="shared" si="135"/>
        <v>45000</v>
      </c>
      <c r="AC1440" s="44">
        <f t="shared" si="136"/>
        <v>135474.9142</v>
      </c>
      <c r="AD1440" s="44">
        <f t="shared" si="7"/>
        <v>135474.9142</v>
      </c>
      <c r="AE1440" s="44"/>
    </row>
    <row r="1441">
      <c r="A1441" s="120">
        <v>2019.0</v>
      </c>
      <c r="B1441" s="121">
        <v>1.0</v>
      </c>
      <c r="C1441" s="122" t="s">
        <v>80</v>
      </c>
      <c r="D1441" s="44"/>
      <c r="E1441" s="123">
        <v>12214.18</v>
      </c>
      <c r="F1441" s="44"/>
      <c r="G1441" s="44"/>
      <c r="H1441" s="123">
        <v>-887.26</v>
      </c>
      <c r="I1441" s="44"/>
      <c r="J1441" s="44"/>
      <c r="K1441" s="44"/>
      <c r="L1441" s="123">
        <v>109952.63</v>
      </c>
      <c r="M1441" s="44"/>
      <c r="N1441" s="44"/>
      <c r="O1441" s="123">
        <v>2001794.0</v>
      </c>
      <c r="P1441" s="52">
        <f t="shared" si="23"/>
        <v>2001794.02</v>
      </c>
      <c r="Q1441" s="124">
        <f t="shared" si="2"/>
        <v>-0.02000000025</v>
      </c>
      <c r="R1441" s="52">
        <f t="array" ref="R1441">IFERROR(INDEX('Fund YTD Target Values'!$1:$1000, MATCH($C1441,'Fund YTD Target Values'!$A:$A,0), MATCH($A1441,'Fund YTD Target Values'!$1:$1,0)),0)</f>
        <v>2084588</v>
      </c>
      <c r="S1441" s="52">
        <f>IFERROR(__xludf.DUMMYFUNCTION("IFERROR(sum(FILTER('Fund Data'!$V:$V, 'Fund Data'!$C:$C = $C1441, 'Fund Data'!$A:$A &lt; $A1441)),0) + IFERROR(sum(FILTER('Fund Data'!$V:$V, 'Fund Data'!$C:$C = $C1441, 'Fund Data'!$A:$A = $A1441, 'Fund Data'!$B:$B &lt;= $B1441)),0)"),2000000.0)</f>
        <v>2000000</v>
      </c>
      <c r="T1441" s="123">
        <v>2000000.0</v>
      </c>
      <c r="U1441" s="44">
        <f t="shared" si="130"/>
        <v>0</v>
      </c>
      <c r="V1441" s="44">
        <f t="shared" si="3"/>
        <v>0</v>
      </c>
      <c r="W1441" s="52">
        <f>IFERROR(__xludf.DUMMYFUNCTION("iFERROR((FILTER('Fund Data'!$Y:$Y, 'Fund Data'!$C:$C = $C1441, 'Fund Data'!$A:$A = $A1441 - 1, 'Fund Data'!$B:$B = 12) + FILTER('Fund Data'!$AA:$AA, 'Fund Data'!$C:$C = $C1441, 'Fund Data'!$A:$A = $A1441 - 1, 'Fund Data'!$B:$B = 12)) * (1 + AVERAGE(FILTER"&amp;"('Inflation Data'!$C:$C,'Inflation Data'!$A:$A = ($A1441 - 2)))) * 'Parameters and Distribution Sum'!$A$4,0)"),0.0)</f>
        <v>0</v>
      </c>
      <c r="X1441" s="52">
        <f>IFERROR(__xludf.DUMMYFUNCTION("IFERROR((IFERROR(FILTER('Fund Data'!$P:$P,'Fund Data'!$C:$C = $C1441,'Fund Data'!$A:$A = ($A1441 - 2), 'Fund Data'!$B:$B = 12),0) - SUM(FILTER('Fund Data'!$V:$V, 'Fund Data'!$C:$C = $C1441, 'Fund Data'!$A:$A = ($A1441 - 2), 'Fund Data'!$B:$B &gt; 3)))  * 'Pa"&amp;"rameters and Distribution Sum'!$B$4 * (1 - 'Parameters and Distribution Sum'!$A$4),0)"),474.91420500000106)</f>
        <v>474.914205</v>
      </c>
      <c r="Y1441" s="52">
        <f t="shared" si="134"/>
        <v>474.914205</v>
      </c>
      <c r="Z1441" s="52">
        <f>IFERROR(__xludf.DUMMYFUNCTION("((IFERROR((SUM(FILTER('Fund Data'!$V:$V, 'Fund Data'!$C:$C = $C1441, 'Fund Data'!$A:$A = $A1441 - 1, 'Fund Data'!$B:$B &gt;= 4, 'Fund Data'!$B:$B &lt;= ($B1441 + 5))) / 12) * ($B1441 - 3) * 'Parameters and Distribution Sum'!$B$4, 0) + IF($B1441 &gt;= 9, IFERROR(SU"&amp;"M(FILTER('Fund Data'!$V:$V, 'Fund Data'!$C:$C = $C1441, 'Fund Data'!$A:$A = $A1441, 'Fund Data'!$B:$B &lt;= 3)) * 'Parameters and Distribution Sum'!$B$4, 0),0)))"),0.0)</f>
        <v>0</v>
      </c>
      <c r="AA1441" s="44">
        <f>IFERROR(__xludf.DUMMYFUNCTION("IFERROR(((IFERROR(SUM(FILTER('Fund Data'!$V:$V, 'Fund Data'!$C:$C = $C1441, 'Fund Data'!$A:$A = $A1441 - 2, 'Fund Data'!$B:$B &gt;= 4)) * 'Parameters and Distribution Sum'!$B$4,0) + IFERROR(SUM(FILTER('Fund Data'!$V:$V, 'Fund Data'!$C:$C = $C1441, 'Fund Data"&amp;"'!$A:$A = $A1441 - 1, 'Fund Data'!$B:$B &lt;= 3)) * 'Parameters and Distribution Sum'!$B$4,0))),0)"),90000.0)</f>
        <v>90000</v>
      </c>
      <c r="AB1441" s="44">
        <f t="shared" si="135"/>
        <v>45000</v>
      </c>
      <c r="AC1441" s="44">
        <f t="shared" si="136"/>
        <v>135474.9142</v>
      </c>
      <c r="AD1441" s="44">
        <f t="shared" si="7"/>
        <v>135474.9142</v>
      </c>
      <c r="AE1441" s="44"/>
    </row>
    <row r="1442">
      <c r="A1442" s="120">
        <v>2018.0</v>
      </c>
      <c r="B1442" s="121">
        <v>12.0</v>
      </c>
      <c r="C1442" s="122" t="s">
        <v>80</v>
      </c>
      <c r="D1442" s="44"/>
      <c r="E1442" s="123">
        <v>43667.15</v>
      </c>
      <c r="F1442" s="123">
        <v>-45000.0</v>
      </c>
      <c r="G1442" s="123">
        <v>45000.0</v>
      </c>
      <c r="H1442" s="123">
        <v>-12044.82</v>
      </c>
      <c r="I1442" s="44"/>
      <c r="J1442" s="44"/>
      <c r="K1442" s="123">
        <v>-387.94</v>
      </c>
      <c r="L1442" s="123">
        <v>-185898.75</v>
      </c>
      <c r="M1442" s="44"/>
      <c r="N1442" s="44"/>
      <c r="O1442" s="123">
        <v>1880514.0</v>
      </c>
      <c r="P1442" s="52">
        <f t="shared" si="23"/>
        <v>1880514.47</v>
      </c>
      <c r="Q1442" s="124">
        <f t="shared" si="2"/>
        <v>-0.4700000002</v>
      </c>
      <c r="R1442" s="52">
        <f t="array" ref="R1442">IFERROR(INDEX('Fund YTD Target Values'!$1:$1000, MATCH($C1442,'Fund YTD Target Values'!$A:$A,0), MATCH($A1442,'Fund YTD Target Values'!$1:$1,0)),0)</f>
        <v>2048853.692</v>
      </c>
      <c r="S1442" s="52">
        <f>IFERROR(__xludf.DUMMYFUNCTION("IFERROR(sum(FILTER('Fund Data'!$V:$V, 'Fund Data'!$C:$C = $C1442, 'Fund Data'!$A:$A &lt; $A1442)),0) + IFERROR(sum(FILTER('Fund Data'!$V:$V, 'Fund Data'!$C:$C = $C1442, 'Fund Data'!$A:$A = $A1442, 'Fund Data'!$B:$B &lt;= $B1442)),0)"),2000000.0)</f>
        <v>2000000</v>
      </c>
      <c r="T1442" s="123">
        <v>2000000.0</v>
      </c>
      <c r="U1442" s="44">
        <f t="shared" si="130"/>
        <v>0</v>
      </c>
      <c r="V1442" s="44">
        <f t="shared" si="3"/>
        <v>0</v>
      </c>
      <c r="W1442" s="52"/>
      <c r="X1442" s="52"/>
      <c r="Y1442" s="52">
        <v>0.0</v>
      </c>
      <c r="Z1442" s="123">
        <v>45000.0</v>
      </c>
      <c r="AA1442" s="123">
        <v>0.0</v>
      </c>
      <c r="AB1442" s="44">
        <f t="shared" si="135"/>
        <v>0</v>
      </c>
      <c r="AC1442" s="44">
        <f t="shared" si="136"/>
        <v>45000</v>
      </c>
      <c r="AD1442" s="44">
        <f t="shared" si="7"/>
        <v>0</v>
      </c>
      <c r="AE1442" s="123">
        <v>45000.0</v>
      </c>
    </row>
    <row r="1443">
      <c r="A1443" s="120">
        <v>2018.0</v>
      </c>
      <c r="B1443" s="121">
        <v>11.0</v>
      </c>
      <c r="C1443" s="122" t="s">
        <v>80</v>
      </c>
      <c r="D1443" s="44"/>
      <c r="E1443" s="123">
        <v>41078.29</v>
      </c>
      <c r="F1443" s="123">
        <v>-45000.0</v>
      </c>
      <c r="G1443" s="44"/>
      <c r="H1443" s="123">
        <v>-11133.43</v>
      </c>
      <c r="I1443" s="44"/>
      <c r="J1443" s="44"/>
      <c r="K1443" s="123">
        <v>-387.94</v>
      </c>
      <c r="L1443" s="123">
        <v>-77106.86</v>
      </c>
      <c r="M1443" s="44"/>
      <c r="N1443" s="44"/>
      <c r="O1443" s="123">
        <v>1942629.0</v>
      </c>
      <c r="P1443" s="52">
        <f t="shared" si="23"/>
        <v>1942628.89</v>
      </c>
      <c r="Q1443" s="124">
        <f t="shared" si="2"/>
        <v>0.1099999999</v>
      </c>
      <c r="R1443" s="52">
        <f t="array" ref="R1443">IFERROR(INDEX('Fund YTD Target Values'!$1:$1000, MATCH($C1443,'Fund YTD Target Values'!$A:$A,0), MATCH($A1443,'Fund YTD Target Values'!$1:$1,0)),0)</f>
        <v>2048853.692</v>
      </c>
      <c r="S1443" s="52">
        <f>IFERROR(__xludf.DUMMYFUNCTION("IFERROR(sum(FILTER('Fund Data'!$V:$V, 'Fund Data'!$C:$C = $C1443, 'Fund Data'!$A:$A &lt; $A1443)),0) + IFERROR(sum(FILTER('Fund Data'!$V:$V, 'Fund Data'!$C:$C = $C1443, 'Fund Data'!$A:$A = $A1443, 'Fund Data'!$B:$B &lt;= $B1443)),0)"),2000000.0)</f>
        <v>2000000</v>
      </c>
      <c r="T1443" s="123">
        <v>2000000.0</v>
      </c>
      <c r="U1443" s="44">
        <f t="shared" si="130"/>
        <v>0</v>
      </c>
      <c r="V1443" s="44">
        <f t="shared" si="3"/>
        <v>0</v>
      </c>
      <c r="W1443" s="123"/>
      <c r="X1443" s="123"/>
      <c r="Y1443" s="123">
        <v>0.0</v>
      </c>
      <c r="Z1443" s="123">
        <v>0.0</v>
      </c>
      <c r="AA1443" s="123">
        <v>0.0</v>
      </c>
      <c r="AB1443" s="123"/>
      <c r="AC1443" s="123">
        <v>0.0</v>
      </c>
      <c r="AD1443" s="44">
        <f t="shared" si="7"/>
        <v>-45000</v>
      </c>
      <c r="AE1443" s="123">
        <v>0.0</v>
      </c>
    </row>
    <row r="1444">
      <c r="A1444" s="120">
        <v>2018.0</v>
      </c>
      <c r="B1444" s="121">
        <v>10.0</v>
      </c>
      <c r="C1444" s="135" t="s">
        <v>80</v>
      </c>
      <c r="D1444" s="138"/>
      <c r="E1444" s="137">
        <v>39294.63</v>
      </c>
      <c r="F1444" s="138"/>
      <c r="G1444" s="138"/>
      <c r="H1444" s="137">
        <v>-9242.01</v>
      </c>
      <c r="I1444" s="138"/>
      <c r="J1444" s="138"/>
      <c r="K1444" s="138"/>
      <c r="L1444" s="136">
        <v>-94305.93</v>
      </c>
      <c r="M1444" s="44"/>
      <c r="N1444" s="44"/>
      <c r="O1444" s="136">
        <v>1970926.0</v>
      </c>
      <c r="P1444" s="52">
        <f t="shared" si="23"/>
        <v>1970925.52</v>
      </c>
      <c r="Q1444" s="124">
        <f t="shared" si="2"/>
        <v>0.48</v>
      </c>
      <c r="R1444" s="52">
        <f t="array" ref="R1444">IFERROR(INDEX('Fund YTD Target Values'!$1:$1000, MATCH($C1444,'Fund YTD Target Values'!$A:$A,0), MATCH($A1444,'Fund YTD Target Values'!$1:$1,0)),0)</f>
        <v>2048853.692</v>
      </c>
      <c r="S1444" s="52">
        <f>IFERROR(__xludf.DUMMYFUNCTION("IFERROR(sum(FILTER('Fund Data'!$V:$V, 'Fund Data'!$C:$C = $C1444, 'Fund Data'!$A:$A &lt; $A1444)),0) + IFERROR(sum(FILTER('Fund Data'!$V:$V, 'Fund Data'!$C:$C = $C1444, 'Fund Data'!$A:$A = $A1444, 'Fund Data'!$B:$B &lt;= $B1444)),0)"),2000000.0)</f>
        <v>2000000</v>
      </c>
      <c r="T1444" s="123">
        <v>2000000.0</v>
      </c>
      <c r="U1444" s="44">
        <f t="shared" si="130"/>
        <v>0</v>
      </c>
      <c r="V1444" s="44">
        <f t="shared" si="3"/>
        <v>0</v>
      </c>
      <c r="W1444" s="123"/>
      <c r="X1444" s="123"/>
      <c r="Y1444" s="123">
        <v>0.0</v>
      </c>
      <c r="Z1444" s="123">
        <v>0.0</v>
      </c>
      <c r="AA1444" s="123">
        <v>0.0</v>
      </c>
      <c r="AB1444" s="123"/>
      <c r="AC1444" s="123">
        <v>0.0</v>
      </c>
      <c r="AD1444" s="44">
        <f t="shared" si="7"/>
        <v>0</v>
      </c>
      <c r="AE1444" s="123">
        <v>0.0</v>
      </c>
    </row>
    <row r="1445">
      <c r="A1445" s="120">
        <v>2018.0</v>
      </c>
      <c r="B1445" s="121">
        <v>9.0</v>
      </c>
      <c r="C1445" s="122" t="s">
        <v>80</v>
      </c>
      <c r="D1445" s="123"/>
      <c r="E1445" s="123">
        <v>33409.52</v>
      </c>
      <c r="F1445" s="44"/>
      <c r="G1445" s="44"/>
      <c r="H1445" s="123">
        <v>-9242.01</v>
      </c>
      <c r="I1445" s="44"/>
      <c r="J1445" s="44"/>
      <c r="K1445" s="44"/>
      <c r="L1445" s="123">
        <v>9975.7</v>
      </c>
      <c r="M1445" s="44"/>
      <c r="N1445" s="44"/>
      <c r="O1445" s="123">
        <v>2069322.0</v>
      </c>
      <c r="P1445" s="52">
        <f t="shared" si="23"/>
        <v>2069322.04</v>
      </c>
      <c r="Q1445" s="124">
        <f t="shared" si="2"/>
        <v>-0.04000000004</v>
      </c>
      <c r="R1445" s="52">
        <f t="array" ref="R1445">IFERROR(INDEX('Fund YTD Target Values'!$1:$1000, MATCH($C1445,'Fund YTD Target Values'!$A:$A,0), MATCH($A1445,'Fund YTD Target Values'!$1:$1,0)),0)</f>
        <v>2048853.692</v>
      </c>
      <c r="S1445" s="52">
        <f>IFERROR(__xludf.DUMMYFUNCTION("IFERROR(sum(FILTER('Fund Data'!$V:$V, 'Fund Data'!$C:$C = $C1445, 'Fund Data'!$A:$A &lt; $A1445)),0) + IFERROR(sum(FILTER('Fund Data'!$V:$V, 'Fund Data'!$C:$C = $C1445, 'Fund Data'!$A:$A = $A1445, 'Fund Data'!$B:$B &lt;= $B1445)),0)"),2000000.0)</f>
        <v>2000000</v>
      </c>
      <c r="T1445" s="123">
        <v>2000000.0</v>
      </c>
      <c r="U1445" s="44">
        <f t="shared" si="130"/>
        <v>0</v>
      </c>
      <c r="V1445" s="44">
        <f t="shared" si="3"/>
        <v>0</v>
      </c>
      <c r="W1445" s="123"/>
      <c r="X1445" s="123"/>
      <c r="Y1445" s="123">
        <v>0.0</v>
      </c>
      <c r="Z1445" s="123">
        <v>0.0</v>
      </c>
      <c r="AA1445" s="123">
        <v>0.0</v>
      </c>
      <c r="AB1445" s="123"/>
      <c r="AC1445" s="123">
        <v>0.0</v>
      </c>
      <c r="AD1445" s="44">
        <f t="shared" si="7"/>
        <v>0</v>
      </c>
      <c r="AE1445" s="123">
        <v>0.0</v>
      </c>
    </row>
    <row r="1446">
      <c r="A1446" s="120">
        <v>2018.0</v>
      </c>
      <c r="B1446" s="121">
        <v>8.0</v>
      </c>
      <c r="C1446" s="122" t="s">
        <v>80</v>
      </c>
      <c r="D1446" s="44"/>
      <c r="E1446" s="123">
        <v>31621.84</v>
      </c>
      <c r="F1446" s="44"/>
      <c r="G1446" s="44"/>
      <c r="H1446" s="123">
        <v>-8204.0</v>
      </c>
      <c r="I1446" s="44"/>
      <c r="J1446" s="44"/>
      <c r="K1446" s="44"/>
      <c r="L1446" s="123">
        <v>17427.26</v>
      </c>
      <c r="M1446" s="44"/>
      <c r="N1446" s="44"/>
      <c r="O1446" s="123">
        <v>2076024.0</v>
      </c>
      <c r="P1446" s="52">
        <f t="shared" si="23"/>
        <v>2076023.93</v>
      </c>
      <c r="Q1446" s="124">
        <f t="shared" si="2"/>
        <v>0.06999999983</v>
      </c>
      <c r="R1446" s="52">
        <f t="array" ref="R1446">IFERROR(INDEX('Fund YTD Target Values'!$1:$1000, MATCH($C1446,'Fund YTD Target Values'!$A:$A,0), MATCH($A1446,'Fund YTD Target Values'!$1:$1,0)),0)</f>
        <v>2048853.692</v>
      </c>
      <c r="S1446" s="52">
        <f>IFERROR(__xludf.DUMMYFUNCTION("IFERROR(sum(FILTER('Fund Data'!$V:$V, 'Fund Data'!$C:$C = $C1446, 'Fund Data'!$A:$A &lt; $A1446)),0) + IFERROR(sum(FILTER('Fund Data'!$V:$V, 'Fund Data'!$C:$C = $C1446, 'Fund Data'!$A:$A = $A1446, 'Fund Data'!$B:$B &lt;= $B1446)),0)"),2000000.0)</f>
        <v>2000000</v>
      </c>
      <c r="T1446" s="123">
        <v>2000000.0</v>
      </c>
      <c r="U1446" s="44">
        <f t="shared" si="130"/>
        <v>0</v>
      </c>
      <c r="V1446" s="44">
        <f t="shared" si="3"/>
        <v>0</v>
      </c>
      <c r="W1446" s="123"/>
      <c r="X1446" s="123"/>
      <c r="Y1446" s="123">
        <v>0.0</v>
      </c>
      <c r="Z1446" s="123">
        <v>0.0</v>
      </c>
      <c r="AA1446" s="123">
        <v>0.0</v>
      </c>
      <c r="AB1446" s="123"/>
      <c r="AC1446" s="123">
        <v>0.0</v>
      </c>
      <c r="AD1446" s="44">
        <f t="shared" si="7"/>
        <v>0</v>
      </c>
      <c r="AE1446" s="123">
        <v>0.0</v>
      </c>
    </row>
    <row r="1447">
      <c r="A1447" s="120">
        <v>2018.0</v>
      </c>
      <c r="B1447" s="121">
        <v>7.0</v>
      </c>
      <c r="C1447" s="122" t="s">
        <v>80</v>
      </c>
      <c r="D1447" s="44"/>
      <c r="E1447" s="123">
        <v>29903.77</v>
      </c>
      <c r="F1447" s="44"/>
      <c r="G1447" s="44"/>
      <c r="H1447" s="123">
        <v>-7169.66</v>
      </c>
      <c r="I1447" s="44"/>
      <c r="J1447" s="44"/>
      <c r="K1447" s="44"/>
      <c r="L1447" s="123">
        <v>10767.85</v>
      </c>
      <c r="M1447" s="44"/>
      <c r="N1447" s="44"/>
      <c r="O1447" s="123">
        <v>2068681.0</v>
      </c>
      <c r="P1447" s="52">
        <f t="shared" si="23"/>
        <v>2068680.79</v>
      </c>
      <c r="Q1447" s="124">
        <f t="shared" si="2"/>
        <v>0.21</v>
      </c>
      <c r="R1447" s="52">
        <f t="array" ref="R1447">IFERROR(INDEX('Fund YTD Target Values'!$1:$1000, MATCH($C1447,'Fund YTD Target Values'!$A:$A,0), MATCH($A1447,'Fund YTD Target Values'!$1:$1,0)),0)</f>
        <v>2048853.692</v>
      </c>
      <c r="S1447" s="52">
        <f>IFERROR(__xludf.DUMMYFUNCTION("IFERROR(sum(FILTER('Fund Data'!$V:$V, 'Fund Data'!$C:$C = $C1447, 'Fund Data'!$A:$A &lt; $A1447)),0) + IFERROR(sum(FILTER('Fund Data'!$V:$V, 'Fund Data'!$C:$C = $C1447, 'Fund Data'!$A:$A = $A1447, 'Fund Data'!$B:$B &lt;= $B1447)),0)"),2000000.0)</f>
        <v>2000000</v>
      </c>
      <c r="T1447" s="123">
        <v>2000000.0</v>
      </c>
      <c r="U1447" s="44">
        <f t="shared" si="130"/>
        <v>0</v>
      </c>
      <c r="V1447" s="44">
        <f t="shared" si="3"/>
        <v>0</v>
      </c>
      <c r="W1447" s="123"/>
      <c r="X1447" s="123"/>
      <c r="Y1447" s="123">
        <v>0.0</v>
      </c>
      <c r="Z1447" s="123">
        <v>0.0</v>
      </c>
      <c r="AA1447" s="123">
        <v>0.0</v>
      </c>
      <c r="AB1447" s="123"/>
      <c r="AC1447" s="123">
        <v>0.0</v>
      </c>
      <c r="AD1447" s="44">
        <f t="shared" si="7"/>
        <v>0</v>
      </c>
      <c r="AE1447" s="123">
        <v>0.0</v>
      </c>
    </row>
    <row r="1448">
      <c r="A1448" s="120">
        <v>2018.0</v>
      </c>
      <c r="B1448" s="121">
        <v>6.0</v>
      </c>
      <c r="C1448" s="122" t="s">
        <v>80</v>
      </c>
      <c r="D1448" s="44"/>
      <c r="E1448" s="123">
        <v>25309.38</v>
      </c>
      <c r="F1448" s="44"/>
      <c r="G1448" s="44"/>
      <c r="H1448" s="123">
        <v>-6153.75</v>
      </c>
      <c r="I1448" s="44"/>
      <c r="J1448" s="44"/>
      <c r="K1448" s="44"/>
      <c r="L1448" s="123">
        <v>-22515.81</v>
      </c>
      <c r="M1448" s="44"/>
      <c r="N1448" s="44"/>
      <c r="O1448" s="123">
        <v>2031819.0</v>
      </c>
      <c r="P1448" s="52">
        <f t="shared" si="23"/>
        <v>2031818.65</v>
      </c>
      <c r="Q1448" s="124">
        <f t="shared" si="2"/>
        <v>0.3499999999</v>
      </c>
      <c r="R1448" s="52">
        <f t="array" ref="R1448">IFERROR(INDEX('Fund YTD Target Values'!$1:$1000, MATCH($C1448,'Fund YTD Target Values'!$A:$A,0), MATCH($A1448,'Fund YTD Target Values'!$1:$1,0)),0)</f>
        <v>2048853.692</v>
      </c>
      <c r="S1448" s="52">
        <f>IFERROR(__xludf.DUMMYFUNCTION("IFERROR(sum(FILTER('Fund Data'!$V:$V, 'Fund Data'!$C:$C = $C1448, 'Fund Data'!$A:$A &lt; $A1448)),0) + IFERROR(sum(FILTER('Fund Data'!$V:$V, 'Fund Data'!$C:$C = $C1448, 'Fund Data'!$A:$A = $A1448, 'Fund Data'!$B:$B &lt;= $B1448)),0)"),2000000.0)</f>
        <v>2000000</v>
      </c>
      <c r="T1448" s="123">
        <v>2000000.0</v>
      </c>
      <c r="U1448" s="44">
        <f t="shared" si="130"/>
        <v>0</v>
      </c>
      <c r="V1448" s="44">
        <f t="shared" si="3"/>
        <v>0</v>
      </c>
      <c r="W1448" s="123"/>
      <c r="X1448" s="123"/>
      <c r="Y1448" s="123">
        <v>0.0</v>
      </c>
      <c r="Z1448" s="123">
        <v>0.0</v>
      </c>
      <c r="AA1448" s="123">
        <v>0.0</v>
      </c>
      <c r="AB1448" s="123"/>
      <c r="AC1448" s="123">
        <v>0.0</v>
      </c>
      <c r="AD1448" s="44">
        <f t="shared" si="7"/>
        <v>0</v>
      </c>
      <c r="AE1448" s="123">
        <v>0.0</v>
      </c>
    </row>
    <row r="1449">
      <c r="A1449" s="120">
        <v>2018.0</v>
      </c>
      <c r="B1449" s="121">
        <v>5.0</v>
      </c>
      <c r="C1449" s="122" t="s">
        <v>80</v>
      </c>
      <c r="D1449" s="44"/>
      <c r="E1449" s="123">
        <v>22402.63</v>
      </c>
      <c r="F1449" s="44"/>
      <c r="G1449" s="44"/>
      <c r="H1449" s="123">
        <v>-5131.21</v>
      </c>
      <c r="I1449" s="44"/>
      <c r="J1449" s="44"/>
      <c r="K1449" s="44"/>
      <c r="L1449" s="123">
        <v>-7357.58</v>
      </c>
      <c r="M1449" s="44"/>
      <c r="N1449" s="44"/>
      <c r="O1449" s="123">
        <v>2045093.0</v>
      </c>
      <c r="P1449" s="52">
        <f t="shared" si="23"/>
        <v>2045092.67</v>
      </c>
      <c r="Q1449" s="124">
        <f t="shared" si="2"/>
        <v>0.3299999998</v>
      </c>
      <c r="R1449" s="52">
        <f t="array" ref="R1449">IFERROR(INDEX('Fund YTD Target Values'!$1:$1000, MATCH($C1449,'Fund YTD Target Values'!$A:$A,0), MATCH($A1449,'Fund YTD Target Values'!$1:$1,0)),0)</f>
        <v>2048853.692</v>
      </c>
      <c r="S1449" s="52">
        <f>IFERROR(__xludf.DUMMYFUNCTION("IFERROR(sum(FILTER('Fund Data'!$V:$V, 'Fund Data'!$C:$C = $C1449, 'Fund Data'!$A:$A &lt; $A1449)),0) + IFERROR(sum(FILTER('Fund Data'!$V:$V, 'Fund Data'!$C:$C = $C1449, 'Fund Data'!$A:$A = $A1449, 'Fund Data'!$B:$B &lt;= $B1449)),0)"),2000000.0)</f>
        <v>2000000</v>
      </c>
      <c r="T1449" s="123">
        <v>2000000.0</v>
      </c>
      <c r="U1449" s="44">
        <f t="shared" si="130"/>
        <v>0</v>
      </c>
      <c r="V1449" s="44">
        <f t="shared" si="3"/>
        <v>0</v>
      </c>
      <c r="W1449" s="123"/>
      <c r="X1449" s="123"/>
      <c r="Y1449" s="123">
        <v>0.0</v>
      </c>
      <c r="Z1449" s="123">
        <v>0.0</v>
      </c>
      <c r="AA1449" s="123">
        <v>0.0</v>
      </c>
      <c r="AB1449" s="123"/>
      <c r="AC1449" s="123">
        <v>0.0</v>
      </c>
      <c r="AD1449" s="44">
        <f t="shared" si="7"/>
        <v>0</v>
      </c>
      <c r="AE1449" s="123">
        <v>0.0</v>
      </c>
    </row>
    <row r="1450">
      <c r="A1450" s="120">
        <v>2018.0</v>
      </c>
      <c r="B1450" s="121">
        <v>4.0</v>
      </c>
      <c r="C1450" s="122" t="s">
        <v>80</v>
      </c>
      <c r="D1450" s="44"/>
      <c r="E1450" s="123">
        <v>20792.89</v>
      </c>
      <c r="F1450" s="44"/>
      <c r="G1450" s="44"/>
      <c r="H1450" s="123">
        <v>-4111.1</v>
      </c>
      <c r="I1450" s="44"/>
      <c r="J1450" s="44"/>
      <c r="K1450" s="44"/>
      <c r="L1450" s="123">
        <v>-11640.55</v>
      </c>
      <c r="M1450" s="44"/>
      <c r="N1450" s="44"/>
      <c r="O1450" s="123">
        <v>2040220.0</v>
      </c>
      <c r="P1450" s="52">
        <f t="shared" si="23"/>
        <v>2040220.07</v>
      </c>
      <c r="Q1450" s="124">
        <f t="shared" si="2"/>
        <v>-0.07000000007</v>
      </c>
      <c r="R1450" s="52">
        <f t="array" ref="R1450">IFERROR(INDEX('Fund YTD Target Values'!$1:$1000, MATCH($C1450,'Fund YTD Target Values'!$A:$A,0), MATCH($A1450,'Fund YTD Target Values'!$1:$1,0)),0)</f>
        <v>2048853.692</v>
      </c>
      <c r="S1450" s="52">
        <f>IFERROR(__xludf.DUMMYFUNCTION("IFERROR(sum(FILTER('Fund Data'!$V:$V, 'Fund Data'!$C:$C = $C1450, 'Fund Data'!$A:$A &lt; $A1450)),0) + IFERROR(sum(FILTER('Fund Data'!$V:$V, 'Fund Data'!$C:$C = $C1450, 'Fund Data'!$A:$A = $A1450, 'Fund Data'!$B:$B &lt;= $B1450)),0)"),2000000.0)</f>
        <v>2000000</v>
      </c>
      <c r="T1450" s="123">
        <v>2000000.0</v>
      </c>
      <c r="U1450" s="44">
        <f t="shared" si="130"/>
        <v>0</v>
      </c>
      <c r="V1450" s="44">
        <f t="shared" si="3"/>
        <v>0</v>
      </c>
      <c r="W1450" s="123"/>
      <c r="X1450" s="123"/>
      <c r="Y1450" s="123">
        <v>0.0</v>
      </c>
      <c r="Z1450" s="123">
        <v>0.0</v>
      </c>
      <c r="AA1450" s="123">
        <v>0.0</v>
      </c>
      <c r="AB1450" s="123"/>
      <c r="AC1450" s="123">
        <v>0.0</v>
      </c>
      <c r="AD1450" s="44">
        <f t="shared" si="7"/>
        <v>0</v>
      </c>
      <c r="AE1450" s="123">
        <v>0.0</v>
      </c>
    </row>
    <row r="1451">
      <c r="A1451" s="120">
        <v>2018.0</v>
      </c>
      <c r="B1451" s="121">
        <v>3.0</v>
      </c>
      <c r="C1451" s="122" t="s">
        <v>80</v>
      </c>
      <c r="D1451" s="44"/>
      <c r="E1451" s="123">
        <v>15884.76</v>
      </c>
      <c r="F1451" s="44"/>
      <c r="G1451" s="44"/>
      <c r="H1451" s="123">
        <v>-3093.77</v>
      </c>
      <c r="I1451" s="44"/>
      <c r="J1451" s="44"/>
      <c r="K1451" s="44"/>
      <c r="L1451" s="123">
        <v>-13305.41</v>
      </c>
      <c r="M1451" s="44"/>
      <c r="N1451" s="44"/>
      <c r="O1451" s="123">
        <v>2034664.0</v>
      </c>
      <c r="P1451" s="52">
        <f t="shared" si="23"/>
        <v>2034664.41</v>
      </c>
      <c r="Q1451" s="124">
        <f t="shared" si="2"/>
        <v>-0.4100000001</v>
      </c>
      <c r="R1451" s="52">
        <f t="array" ref="R1451">IFERROR(INDEX('Fund YTD Target Values'!$1:$1000, MATCH($C1451,'Fund YTD Target Values'!$A:$A,0), MATCH($A1451,'Fund YTD Target Values'!$1:$1,0)),0)</f>
        <v>2048853.692</v>
      </c>
      <c r="S1451" s="52">
        <f>IFERROR(__xludf.DUMMYFUNCTION("IFERROR(sum(FILTER('Fund Data'!$V:$V, 'Fund Data'!$C:$C = $C1451, 'Fund Data'!$A:$A &lt; $A1451)),0) + IFERROR(sum(FILTER('Fund Data'!$V:$V, 'Fund Data'!$C:$C = $C1451, 'Fund Data'!$A:$A = $A1451, 'Fund Data'!$B:$B &lt;= $B1451)),0)"),2000000.0)</f>
        <v>2000000</v>
      </c>
      <c r="T1451" s="123">
        <v>2000000.0</v>
      </c>
      <c r="U1451" s="44">
        <f t="shared" si="130"/>
        <v>0</v>
      </c>
      <c r="V1451" s="44">
        <f t="shared" si="3"/>
        <v>0</v>
      </c>
      <c r="W1451" s="123"/>
      <c r="X1451" s="123"/>
      <c r="Y1451" s="123">
        <v>0.0</v>
      </c>
      <c r="Z1451" s="123">
        <v>0.0</v>
      </c>
      <c r="AA1451" s="123">
        <v>0.0</v>
      </c>
      <c r="AB1451" s="123"/>
      <c r="AC1451" s="123">
        <v>0.0</v>
      </c>
      <c r="AD1451" s="44">
        <f t="shared" si="7"/>
        <v>0</v>
      </c>
      <c r="AE1451" s="123">
        <v>0.0</v>
      </c>
    </row>
    <row r="1452">
      <c r="A1452" s="120">
        <v>2018.0</v>
      </c>
      <c r="B1452" s="121">
        <v>2.0</v>
      </c>
      <c r="C1452" s="122" t="s">
        <v>80</v>
      </c>
      <c r="D1452" s="44"/>
      <c r="E1452" s="123">
        <v>14093.99</v>
      </c>
      <c r="F1452" s="44"/>
      <c r="G1452" s="44"/>
      <c r="H1452" s="123">
        <v>-5049.44</v>
      </c>
      <c r="I1452" s="44"/>
      <c r="J1452" s="44"/>
      <c r="K1452" s="44"/>
      <c r="L1452" s="123">
        <v>872.71</v>
      </c>
      <c r="M1452" s="44"/>
      <c r="N1452" s="44"/>
      <c r="O1452" s="123">
        <v>2045096.0</v>
      </c>
      <c r="P1452" s="52">
        <f t="shared" si="23"/>
        <v>2045096.09</v>
      </c>
      <c r="Q1452" s="124">
        <f t="shared" si="2"/>
        <v>-0.09000000008</v>
      </c>
      <c r="R1452" s="52">
        <f t="array" ref="R1452">IFERROR(INDEX('Fund YTD Target Values'!$1:$1000, MATCH($C1452,'Fund YTD Target Values'!$A:$A,0), MATCH($A1452,'Fund YTD Target Values'!$1:$1,0)),0)</f>
        <v>2048853.692</v>
      </c>
      <c r="S1452" s="52">
        <f>IFERROR(__xludf.DUMMYFUNCTION("IFERROR(sum(FILTER('Fund Data'!$V:$V, 'Fund Data'!$C:$C = $C1452, 'Fund Data'!$A:$A &lt; $A1452)),0) + IFERROR(sum(FILTER('Fund Data'!$V:$V, 'Fund Data'!$C:$C = $C1452, 'Fund Data'!$A:$A = $A1452, 'Fund Data'!$B:$B &lt;= $B1452)),0)"),2000000.0)</f>
        <v>2000000</v>
      </c>
      <c r="T1452" s="123">
        <v>2000000.0</v>
      </c>
      <c r="U1452" s="44">
        <f t="shared" si="130"/>
        <v>0</v>
      </c>
      <c r="V1452" s="44">
        <f t="shared" si="3"/>
        <v>0</v>
      </c>
      <c r="W1452" s="123"/>
      <c r="X1452" s="123"/>
      <c r="Y1452" s="123">
        <v>0.0</v>
      </c>
      <c r="Z1452" s="123">
        <v>0.0</v>
      </c>
      <c r="AA1452" s="123">
        <v>0.0</v>
      </c>
      <c r="AB1452" s="123"/>
      <c r="AC1452" s="123">
        <v>0.0</v>
      </c>
      <c r="AD1452" s="44">
        <f t="shared" si="7"/>
        <v>0</v>
      </c>
      <c r="AE1452" s="123">
        <v>0.0</v>
      </c>
    </row>
    <row r="1453">
      <c r="A1453" s="120">
        <v>2018.0</v>
      </c>
      <c r="B1453" s="121">
        <v>1.0</v>
      </c>
      <c r="C1453" s="122" t="s">
        <v>80</v>
      </c>
      <c r="D1453" s="44"/>
      <c r="E1453" s="123">
        <v>12580.79</v>
      </c>
      <c r="F1453" s="44"/>
      <c r="G1453" s="44"/>
      <c r="H1453" s="123">
        <v>-3995.81</v>
      </c>
      <c r="I1453" s="44"/>
      <c r="J1453" s="44"/>
      <c r="K1453" s="44"/>
      <c r="L1453" s="123">
        <v>63492.7</v>
      </c>
      <c r="M1453" s="44"/>
      <c r="N1453" s="44"/>
      <c r="O1453" s="123">
        <v>2107257.0</v>
      </c>
      <c r="P1453" s="52">
        <f t="shared" si="23"/>
        <v>2107256.51</v>
      </c>
      <c r="Q1453" s="124">
        <f t="shared" si="2"/>
        <v>0.4899999998</v>
      </c>
      <c r="R1453" s="52">
        <f t="array" ref="R1453">IFERROR(INDEX('Fund YTD Target Values'!$1:$1000, MATCH($C1453,'Fund YTD Target Values'!$A:$A,0), MATCH($A1453,'Fund YTD Target Values'!$1:$1,0)),0)</f>
        <v>2048853.692</v>
      </c>
      <c r="S1453" s="52">
        <f>IFERROR(__xludf.DUMMYFUNCTION("IFERROR(sum(FILTER('Fund Data'!$V:$V, 'Fund Data'!$C:$C = $C1453, 'Fund Data'!$A:$A &lt; $A1453)),0) + IFERROR(sum(FILTER('Fund Data'!$V:$V, 'Fund Data'!$C:$C = $C1453, 'Fund Data'!$A:$A = $A1453, 'Fund Data'!$B:$B &lt;= $B1453)),0)"),2000000.0)</f>
        <v>2000000</v>
      </c>
      <c r="T1453" s="123">
        <v>2000000.0</v>
      </c>
      <c r="U1453" s="44">
        <f t="shared" si="130"/>
        <v>0</v>
      </c>
      <c r="V1453" s="44">
        <f t="shared" si="3"/>
        <v>0</v>
      </c>
      <c r="W1453" s="123"/>
      <c r="X1453" s="123"/>
      <c r="Y1453" s="123">
        <v>0.0</v>
      </c>
      <c r="Z1453" s="123">
        <v>0.0</v>
      </c>
      <c r="AA1453" s="123">
        <v>0.0</v>
      </c>
      <c r="AB1453" s="123"/>
      <c r="AC1453" s="123">
        <v>0.0</v>
      </c>
      <c r="AD1453" s="44">
        <f t="shared" si="7"/>
        <v>0</v>
      </c>
      <c r="AE1453" s="123">
        <v>0.0</v>
      </c>
    </row>
    <row r="1454">
      <c r="A1454" s="120">
        <v>2017.0</v>
      </c>
      <c r="B1454" s="121">
        <v>12.0</v>
      </c>
      <c r="C1454" s="4" t="s">
        <v>80</v>
      </c>
      <c r="D1454" s="123">
        <v>2000000.0</v>
      </c>
      <c r="E1454" s="123">
        <v>4336.05</v>
      </c>
      <c r="F1454" s="44"/>
      <c r="G1454" s="123"/>
      <c r="H1454" s="123">
        <v>-1527.89</v>
      </c>
      <c r="I1454" s="44"/>
      <c r="J1454" s="44"/>
      <c r="K1454" s="44"/>
      <c r="L1454" s="123">
        <v>32370.67</v>
      </c>
      <c r="M1454" s="44"/>
      <c r="N1454" s="44"/>
      <c r="O1454" s="123">
        <v>2035179.0</v>
      </c>
      <c r="P1454" s="52">
        <f t="shared" si="23"/>
        <v>2035178.83</v>
      </c>
      <c r="Q1454" s="124">
        <f t="shared" si="2"/>
        <v>0.1699999999</v>
      </c>
      <c r="R1454" s="52">
        <f t="array" ref="R1454">IFERROR(INDEX('Fund YTD Target Values'!$1:$1000, MATCH($C1454,'Fund YTD Target Values'!$A:$A,0), MATCH($A1454,'Fund YTD Target Values'!$1:$1,0)),0)</f>
        <v>2000000</v>
      </c>
      <c r="S1454" s="52">
        <f>IFERROR(__xludf.DUMMYFUNCTION("IFERROR(sum(FILTER('Fund Data'!$V:$V, 'Fund Data'!$C:$C = $C1454, 'Fund Data'!$A:$A &lt; $A1454)),0) + IFERROR(sum(FILTER('Fund Data'!$V:$V, 'Fund Data'!$C:$C = $C1454, 'Fund Data'!$A:$A = $A1454, 'Fund Data'!$B:$B &lt;= $B1454)),0)"),2000000.0)</f>
        <v>2000000</v>
      </c>
      <c r="T1454" s="123">
        <v>2000000.0</v>
      </c>
      <c r="U1454" s="44">
        <f t="shared" si="130"/>
        <v>0</v>
      </c>
      <c r="V1454" s="44">
        <f t="shared" si="3"/>
        <v>0</v>
      </c>
      <c r="W1454" s="123"/>
      <c r="X1454" s="123"/>
      <c r="Y1454" s="123">
        <v>0.0</v>
      </c>
      <c r="Z1454" s="123">
        <v>0.0</v>
      </c>
      <c r="AA1454" s="123">
        <v>0.0</v>
      </c>
      <c r="AB1454" s="123"/>
      <c r="AC1454" s="123">
        <v>0.0</v>
      </c>
      <c r="AD1454" s="44">
        <f t="shared" si="7"/>
        <v>0</v>
      </c>
      <c r="AE1454" s="123">
        <v>0.0</v>
      </c>
    </row>
    <row r="1455">
      <c r="A1455" s="120">
        <v>2017.0</v>
      </c>
      <c r="B1455" s="121">
        <v>11.0</v>
      </c>
      <c r="C1455" s="122" t="s">
        <v>80</v>
      </c>
      <c r="D1455" s="123">
        <v>2000000.0</v>
      </c>
      <c r="E1455" s="123">
        <v>1433.45</v>
      </c>
      <c r="F1455" s="44"/>
      <c r="G1455" s="44"/>
      <c r="H1455" s="123">
        <v>-516.13</v>
      </c>
      <c r="I1455" s="44"/>
      <c r="J1455" s="44"/>
      <c r="K1455" s="44"/>
      <c r="L1455" s="123">
        <v>22596.37</v>
      </c>
      <c r="M1455" s="44"/>
      <c r="N1455" s="44"/>
      <c r="O1455" s="123">
        <v>2023514.0</v>
      </c>
      <c r="P1455" s="52">
        <f t="shared" si="23"/>
        <v>2023513.69</v>
      </c>
      <c r="Q1455" s="124">
        <f t="shared" si="2"/>
        <v>0.3099999998</v>
      </c>
      <c r="R1455" s="52">
        <f t="array" ref="R1455">IFERROR(INDEX('Fund YTD Target Values'!$1:$1000, MATCH($C1455,'Fund YTD Target Values'!$A:$A,0), MATCH($A1455,'Fund YTD Target Values'!$1:$1,0)),0)</f>
        <v>2000000</v>
      </c>
      <c r="S1455" s="52">
        <f>IFERROR(__xludf.DUMMYFUNCTION("IFERROR(sum(FILTER('Fund Data'!$V:$V, 'Fund Data'!$C:$C = $C1455, 'Fund Data'!$A:$A &lt; $A1455)),0) + IFERROR(sum(FILTER('Fund Data'!$V:$V, 'Fund Data'!$C:$C = $C1455, 'Fund Data'!$A:$A = $A1455, 'Fund Data'!$B:$B &lt;= $B1455)),0)"),2000000.0)</f>
        <v>2000000</v>
      </c>
      <c r="T1455" s="123">
        <v>2000000.0</v>
      </c>
      <c r="U1455" s="44">
        <f t="shared" si="130"/>
        <v>0</v>
      </c>
      <c r="V1455" s="44">
        <f t="shared" si="3"/>
        <v>0</v>
      </c>
      <c r="W1455" s="123"/>
      <c r="X1455" s="123"/>
      <c r="Y1455" s="123">
        <v>0.0</v>
      </c>
      <c r="Z1455" s="123">
        <v>0.0</v>
      </c>
      <c r="AA1455" s="123">
        <v>0.0</v>
      </c>
      <c r="AB1455" s="123"/>
      <c r="AC1455" s="123">
        <v>0.0</v>
      </c>
      <c r="AD1455" s="44">
        <f t="shared" si="7"/>
        <v>0</v>
      </c>
      <c r="AE1455" s="123">
        <v>0.0</v>
      </c>
    </row>
    <row r="1456">
      <c r="A1456" s="120">
        <v>2017.0</v>
      </c>
      <c r="B1456" s="121">
        <v>10.0</v>
      </c>
      <c r="C1456" s="122" t="s">
        <v>80</v>
      </c>
      <c r="D1456" s="123">
        <v>2000000.0</v>
      </c>
      <c r="E1456" s="123">
        <v>0.0</v>
      </c>
      <c r="F1456" s="44"/>
      <c r="G1456" s="44"/>
      <c r="H1456" s="123">
        <v>0.0</v>
      </c>
      <c r="I1456" s="44"/>
      <c r="J1456" s="44"/>
      <c r="K1456" s="44"/>
      <c r="L1456" s="123">
        <v>0.0</v>
      </c>
      <c r="M1456" s="44"/>
      <c r="N1456" s="44"/>
      <c r="O1456" s="123">
        <v>2000000.0</v>
      </c>
      <c r="P1456" s="52">
        <f t="shared" si="23"/>
        <v>2000000</v>
      </c>
      <c r="Q1456" s="124">
        <f t="shared" si="2"/>
        <v>0</v>
      </c>
      <c r="R1456" s="52">
        <f t="array" ref="R1456">IFERROR(INDEX('Fund YTD Target Values'!$1:$1000, MATCH($C1456,'Fund YTD Target Values'!$A:$A,0), MATCH($A1456,'Fund YTD Target Values'!$1:$1,0)),0)</f>
        <v>2000000</v>
      </c>
      <c r="S1456" s="52">
        <f>IFERROR(__xludf.DUMMYFUNCTION("IFERROR(sum(FILTER('Fund Data'!$V:$V, 'Fund Data'!$C:$C = $C1456, 'Fund Data'!$A:$A &lt; $A1456)),0) + IFERROR(sum(FILTER('Fund Data'!$V:$V, 'Fund Data'!$C:$C = $C1456, 'Fund Data'!$A:$A = $A1456, 'Fund Data'!$B:$B &lt;= $B1456)),0)"),2000000.0)</f>
        <v>2000000</v>
      </c>
      <c r="T1456" s="123">
        <v>2000000.0</v>
      </c>
      <c r="U1456" s="44">
        <f t="shared" si="130"/>
        <v>0</v>
      </c>
      <c r="V1456" s="44">
        <f t="shared" si="3"/>
        <v>2000000</v>
      </c>
      <c r="W1456" s="123"/>
      <c r="X1456" s="123"/>
      <c r="Y1456" s="123">
        <v>0.0</v>
      </c>
      <c r="Z1456" s="123">
        <v>0.0</v>
      </c>
      <c r="AA1456" s="123">
        <v>0.0</v>
      </c>
      <c r="AB1456" s="123"/>
      <c r="AC1456" s="123">
        <v>0.0</v>
      </c>
      <c r="AD1456" s="44">
        <f t="shared" si="7"/>
        <v>0</v>
      </c>
      <c r="AE1456" s="123">
        <v>0.0</v>
      </c>
    </row>
    <row r="1457">
      <c r="A1457" s="120">
        <v>2019.0</v>
      </c>
      <c r="B1457" s="121">
        <v>6.0</v>
      </c>
      <c r="C1457" s="122" t="s">
        <v>81</v>
      </c>
      <c r="D1457" s="44"/>
      <c r="E1457" s="123">
        <v>24679.61</v>
      </c>
      <c r="F1457" s="123">
        <v>-23400.0</v>
      </c>
      <c r="G1457" s="44"/>
      <c r="H1457" s="123">
        <v>-5582.42</v>
      </c>
      <c r="I1457" s="44"/>
      <c r="J1457" s="44"/>
      <c r="K1457" s="44"/>
      <c r="L1457" s="123">
        <v>192700.63</v>
      </c>
      <c r="M1457" s="44"/>
      <c r="N1457" s="44"/>
      <c r="O1457" s="123">
        <v>2048912.27</v>
      </c>
      <c r="P1457" s="52">
        <f t="shared" si="23"/>
        <v>2048912.27</v>
      </c>
      <c r="Q1457" s="124">
        <f t="shared" si="2"/>
        <v>-0.0000000002328306437</v>
      </c>
      <c r="R1457" s="52">
        <f t="array" ref="R1457">IFERROR(INDEX('Fund YTD Target Values'!$1:$1000, MATCH($C1457,'Fund YTD Target Values'!$A:$A,0), MATCH($A1457,'Fund YTD Target Values'!$1:$1,0)),0)</f>
        <v>2084588</v>
      </c>
      <c r="S1457" s="52">
        <f>IFERROR(__xludf.DUMMYFUNCTION("IFERROR(sum(FILTER('Fund Data'!$V:$V, 'Fund Data'!$C:$C = $C1457, 'Fund Data'!$A:$A &lt; $A1457)),0) + IFERROR(sum(FILTER('Fund Data'!$V:$V, 'Fund Data'!$C:$C = $C1457, 'Fund Data'!$A:$A = $A1457, 'Fund Data'!$B:$B &lt;= $B1457)),0)"),2000000.0)</f>
        <v>2000000</v>
      </c>
      <c r="T1457" s="123">
        <v>2000000.0</v>
      </c>
      <c r="U1457" s="44">
        <f t="shared" si="130"/>
        <v>0</v>
      </c>
      <c r="V1457" s="44">
        <f t="shared" si="3"/>
        <v>0</v>
      </c>
      <c r="W1457" s="52">
        <f>IFERROR(__xludf.DUMMYFUNCTION("iFERROR((FILTER('Fund Data'!$Y:$Y, 'Fund Data'!$C:$C = $C1457, 'Fund Data'!$A:$A = $A1457 - 1, 'Fund Data'!$B:$B = 12) + FILTER('Fund Data'!$AA:$AA, 'Fund Data'!$C:$C = $C1457, 'Fund Data'!$A:$A = $A1457 - 1, 'Fund Data'!$B:$B = 12)) * (1 + AVERAGE(FILTER"&amp;"('Inflation Data'!$C:$C,'Inflation Data'!$A:$A = ($A1457 - 2)))) * 'Parameters and Distribution Sum'!$A$4,0)"),0.0)</f>
        <v>0</v>
      </c>
      <c r="X1457" s="52">
        <f>IFERROR(__xludf.DUMMYFUNCTION("IFERROR((IFERROR(FILTER('Fund Data'!$P:$P,'Fund Data'!$C:$C = $C1457,'Fund Data'!$A:$A = ($A1457 - 2), 'Fund Data'!$B:$B = 12),0) - SUM(FILTER('Fund Data'!$V:$V, 'Fund Data'!$C:$C = $C1457, 'Fund Data'!$A:$A = ($A1457 - 2), 'Fund Data'!$B:$B &gt; 3)))  * 'Pa"&amp;"rameters and Distribution Sum'!$B$4 * (1 - 'Parameters and Distribution Sum'!$A$4),0)"),474.91420500000106)</f>
        <v>474.914205</v>
      </c>
      <c r="Y1457" s="52">
        <f t="shared" ref="Y1457:Y1462" si="137">sum($W1457:$X1457)</f>
        <v>474.914205</v>
      </c>
      <c r="Z1457" s="52">
        <f>IFERROR(__xludf.DUMMYFUNCTION("((IFERROR((SUM(FILTER('Fund Data'!$V:$V, 'Fund Data'!$C:$C = $C1457, 'Fund Data'!$A:$A = $A1457 - 1, 'Fund Data'!$B:$B &gt;= 4, 'Fund Data'!$B:$B &lt;= ($B1457 + 5))) / 12) * ($B1457 - 3) * 'Parameters and Distribution Sum'!$B$4, 0) + IF($B1457 &gt;= 9, IFERROR(SU"&amp;"M(FILTER('Fund Data'!$V:$V, 'Fund Data'!$C:$C = $C1457, 'Fund Data'!$A:$A = $A1457, 'Fund Data'!$B:$B &lt;= 3)) * 'Parameters and Distribution Sum'!$B$4, 0),0)))"),0.0)</f>
        <v>0</v>
      </c>
      <c r="AA1457" s="44">
        <f>IFERROR(__xludf.DUMMYFUNCTION("IFERROR(((IFERROR(SUM(FILTER('Fund Data'!$V:$V, 'Fund Data'!$C:$C = $C1457, 'Fund Data'!$A:$A = $A1457 - 2, 'Fund Data'!$B:$B &gt;= 4)) * 'Parameters and Distribution Sum'!$B$4,0) + IFERROR(SUM(FILTER('Fund Data'!$V:$V, 'Fund Data'!$C:$C = $C1457, 'Fund Data"&amp;"'!$A:$A = $A1457 - 1, 'Fund Data'!$B:$B &lt;= 3)) * 'Parameters and Distribution Sum'!$B$4,0))),0)"),90000.0)</f>
        <v>90000</v>
      </c>
      <c r="AB1457" s="44">
        <f t="shared" ref="AB1457:AB1463" si="138">IFERROR(__xludf.DUMMYFUNCTION("IFERROR(FILTER($AE:$AE,$C:$C = $C1457,$A:$A = $A1457 - 1,$B:$B = 12),0)"),25000.0)</f>
        <v>25000</v>
      </c>
      <c r="AC1457" s="44">
        <f t="shared" ref="AC1457:AC1463" si="139">sum($Y1457:$AB1457)</f>
        <v>115474.9142</v>
      </c>
      <c r="AD1457" s="44">
        <f t="shared" si="7"/>
        <v>92074.91421</v>
      </c>
      <c r="AE1457" s="44"/>
    </row>
    <row r="1458">
      <c r="A1458" s="120">
        <v>2019.0</v>
      </c>
      <c r="B1458" s="121">
        <v>5.0</v>
      </c>
      <c r="C1458" s="122" t="s">
        <v>81</v>
      </c>
      <c r="D1458" s="44"/>
      <c r="E1458" s="123">
        <v>22525.09</v>
      </c>
      <c r="F1458" s="123">
        <v>-18100.0</v>
      </c>
      <c r="G1458" s="44"/>
      <c r="H1458" s="123">
        <v>-4649.64</v>
      </c>
      <c r="I1458" s="44"/>
      <c r="J1458" s="44"/>
      <c r="K1458" s="44"/>
      <c r="L1458" s="123">
        <v>115169.41</v>
      </c>
      <c r="M1458" s="44"/>
      <c r="N1458" s="44"/>
      <c r="O1458" s="123">
        <v>1975459.31</v>
      </c>
      <c r="P1458" s="52">
        <f t="shared" si="23"/>
        <v>1975459.31</v>
      </c>
      <c r="Q1458" s="124">
        <f t="shared" si="2"/>
        <v>-0.0000000002328306437</v>
      </c>
      <c r="R1458" s="52">
        <f t="array" ref="R1458">IFERROR(INDEX('Fund YTD Target Values'!$1:$1000, MATCH($C1458,'Fund YTD Target Values'!$A:$A,0), MATCH($A1458,'Fund YTD Target Values'!$1:$1,0)),0)</f>
        <v>2084588</v>
      </c>
      <c r="S1458" s="52">
        <f>IFERROR(__xludf.DUMMYFUNCTION("IFERROR(sum(FILTER('Fund Data'!$V:$V, 'Fund Data'!$C:$C = $C1458, 'Fund Data'!$A:$A &lt; $A1458)),0) + IFERROR(sum(FILTER('Fund Data'!$V:$V, 'Fund Data'!$C:$C = $C1458, 'Fund Data'!$A:$A = $A1458, 'Fund Data'!$B:$B &lt;= $B1458)),0)"),2000000.0)</f>
        <v>2000000</v>
      </c>
      <c r="T1458" s="123">
        <v>2000000.0</v>
      </c>
      <c r="U1458" s="44">
        <f t="shared" si="130"/>
        <v>0</v>
      </c>
      <c r="V1458" s="44">
        <f t="shared" si="3"/>
        <v>0</v>
      </c>
      <c r="W1458" s="52">
        <f>IFERROR(__xludf.DUMMYFUNCTION("iFERROR((FILTER('Fund Data'!$Y:$Y, 'Fund Data'!$C:$C = $C1458, 'Fund Data'!$A:$A = $A1458 - 1, 'Fund Data'!$B:$B = 12) + FILTER('Fund Data'!$AA:$AA, 'Fund Data'!$C:$C = $C1458, 'Fund Data'!$A:$A = $A1458 - 1, 'Fund Data'!$B:$B = 12)) * (1 + AVERAGE(FILTER"&amp;"('Inflation Data'!$C:$C,'Inflation Data'!$A:$A = ($A1458 - 2)))) * 'Parameters and Distribution Sum'!$A$4,0)"),0.0)</f>
        <v>0</v>
      </c>
      <c r="X1458" s="52">
        <f>IFERROR(__xludf.DUMMYFUNCTION("IFERROR((IFERROR(FILTER('Fund Data'!$P:$P,'Fund Data'!$C:$C = $C1458,'Fund Data'!$A:$A = ($A1458 - 2), 'Fund Data'!$B:$B = 12),0) - SUM(FILTER('Fund Data'!$V:$V, 'Fund Data'!$C:$C = $C1458, 'Fund Data'!$A:$A = ($A1458 - 2), 'Fund Data'!$B:$B &gt; 3)))  * 'Pa"&amp;"rameters and Distribution Sum'!$B$4 * (1 - 'Parameters and Distribution Sum'!$A$4),0)"),474.91420500000106)</f>
        <v>474.914205</v>
      </c>
      <c r="Y1458" s="52">
        <f t="shared" si="137"/>
        <v>474.914205</v>
      </c>
      <c r="Z1458" s="52">
        <f>IFERROR(__xludf.DUMMYFUNCTION("((IFERROR((SUM(FILTER('Fund Data'!$V:$V, 'Fund Data'!$C:$C = $C1458, 'Fund Data'!$A:$A = $A1458 - 1, 'Fund Data'!$B:$B &gt;= 4, 'Fund Data'!$B:$B &lt;= ($B1458 + 5))) / 12) * ($B1458 - 3) * 'Parameters and Distribution Sum'!$B$4, 0) + IF($B1458 &gt;= 9, IFERROR(SU"&amp;"M(FILTER('Fund Data'!$V:$V, 'Fund Data'!$C:$C = $C1458, 'Fund Data'!$A:$A = $A1458, 'Fund Data'!$B:$B &lt;= 3)) * 'Parameters and Distribution Sum'!$B$4, 0),0)))"),0.0)</f>
        <v>0</v>
      </c>
      <c r="AA1458" s="44">
        <f>IFERROR(__xludf.DUMMYFUNCTION("IFERROR(((IFERROR(SUM(FILTER('Fund Data'!$V:$V, 'Fund Data'!$C:$C = $C1458, 'Fund Data'!$A:$A = $A1458 - 2, 'Fund Data'!$B:$B &gt;= 4)) * 'Parameters and Distribution Sum'!$B$4,0) + IFERROR(SUM(FILTER('Fund Data'!$V:$V, 'Fund Data'!$C:$C = $C1458, 'Fund Data"&amp;"'!$A:$A = $A1458 - 1, 'Fund Data'!$B:$B &lt;= 3)) * 'Parameters and Distribution Sum'!$B$4,0))),0)"),90000.0)</f>
        <v>90000</v>
      </c>
      <c r="AB1458" s="44">
        <f t="shared" si="138"/>
        <v>25000</v>
      </c>
      <c r="AC1458" s="44">
        <f t="shared" si="139"/>
        <v>115474.9142</v>
      </c>
      <c r="AD1458" s="44">
        <f t="shared" si="7"/>
        <v>97374.91421</v>
      </c>
      <c r="AE1458" s="44"/>
    </row>
    <row r="1459">
      <c r="A1459" s="120">
        <v>2019.0</v>
      </c>
      <c r="B1459" s="121">
        <v>4.0</v>
      </c>
      <c r="C1459" s="122" t="s">
        <v>81</v>
      </c>
      <c r="D1459" s="44"/>
      <c r="E1459" s="123">
        <v>20757.87</v>
      </c>
      <c r="F1459" s="123">
        <v>-16100.0</v>
      </c>
      <c r="G1459" s="44"/>
      <c r="H1459" s="123">
        <v>-3690.41</v>
      </c>
      <c r="I1459" s="44"/>
      <c r="J1459" s="44"/>
      <c r="K1459" s="44"/>
      <c r="L1459" s="123">
        <v>193501.15</v>
      </c>
      <c r="M1459" s="44"/>
      <c r="N1459" s="44"/>
      <c r="O1459" s="123">
        <v>2054983.0</v>
      </c>
      <c r="P1459" s="52">
        <f t="shared" si="23"/>
        <v>2054983.06</v>
      </c>
      <c r="Q1459" s="124">
        <f t="shared" si="2"/>
        <v>-0.06000000006</v>
      </c>
      <c r="R1459" s="52">
        <f t="array" ref="R1459">IFERROR(INDEX('Fund YTD Target Values'!$1:$1000, MATCH($C1459,'Fund YTD Target Values'!$A:$A,0), MATCH($A1459,'Fund YTD Target Values'!$1:$1,0)),0)</f>
        <v>2084588</v>
      </c>
      <c r="S1459" s="52">
        <f>IFERROR(__xludf.DUMMYFUNCTION("IFERROR(sum(FILTER('Fund Data'!$V:$V, 'Fund Data'!$C:$C = $C1459, 'Fund Data'!$A:$A &lt; $A1459)),0) + IFERROR(sum(FILTER('Fund Data'!$V:$V, 'Fund Data'!$C:$C = $C1459, 'Fund Data'!$A:$A = $A1459, 'Fund Data'!$B:$B &lt;= $B1459)),0)"),2000000.0)</f>
        <v>2000000</v>
      </c>
      <c r="T1459" s="123">
        <v>2000000.0</v>
      </c>
      <c r="U1459" s="44">
        <f t="shared" si="130"/>
        <v>0</v>
      </c>
      <c r="V1459" s="44">
        <f t="shared" si="3"/>
        <v>0</v>
      </c>
      <c r="W1459" s="52">
        <f>IFERROR(__xludf.DUMMYFUNCTION("iFERROR((FILTER('Fund Data'!$Y:$Y, 'Fund Data'!$C:$C = $C1459, 'Fund Data'!$A:$A = $A1459 - 1, 'Fund Data'!$B:$B = 12) + FILTER('Fund Data'!$AA:$AA, 'Fund Data'!$C:$C = $C1459, 'Fund Data'!$A:$A = $A1459 - 1, 'Fund Data'!$B:$B = 12)) * (1 + AVERAGE(FILTER"&amp;"('Inflation Data'!$C:$C,'Inflation Data'!$A:$A = ($A1459 - 2)))) * 'Parameters and Distribution Sum'!$A$4,0)"),0.0)</f>
        <v>0</v>
      </c>
      <c r="X1459" s="52">
        <f>IFERROR(__xludf.DUMMYFUNCTION("IFERROR((IFERROR(FILTER('Fund Data'!$P:$P,'Fund Data'!$C:$C = $C1459,'Fund Data'!$A:$A = ($A1459 - 2), 'Fund Data'!$B:$B = 12),0) - SUM(FILTER('Fund Data'!$V:$V, 'Fund Data'!$C:$C = $C1459, 'Fund Data'!$A:$A = ($A1459 - 2), 'Fund Data'!$B:$B &gt; 3)))  * 'Pa"&amp;"rameters and Distribution Sum'!$B$4 * (1 - 'Parameters and Distribution Sum'!$A$4),0)"),474.91420500000106)</f>
        <v>474.914205</v>
      </c>
      <c r="Y1459" s="52">
        <f t="shared" si="137"/>
        <v>474.914205</v>
      </c>
      <c r="Z1459" s="52">
        <f>IFERROR(__xludf.DUMMYFUNCTION("((IFERROR((SUM(FILTER('Fund Data'!$V:$V, 'Fund Data'!$C:$C = $C1459, 'Fund Data'!$A:$A = $A1459 - 1, 'Fund Data'!$B:$B &gt;= 4, 'Fund Data'!$B:$B &lt;= ($B1459 + 5))) / 12) * ($B1459 - 3) * 'Parameters and Distribution Sum'!$B$4, 0) + IF($B1459 &gt;= 9, IFERROR(SU"&amp;"M(FILTER('Fund Data'!$V:$V, 'Fund Data'!$C:$C = $C1459, 'Fund Data'!$A:$A = $A1459, 'Fund Data'!$B:$B &lt;= 3)) * 'Parameters and Distribution Sum'!$B$4, 0),0)))"),0.0)</f>
        <v>0</v>
      </c>
      <c r="AA1459" s="44">
        <f>IFERROR(__xludf.DUMMYFUNCTION("IFERROR(((IFERROR(SUM(FILTER('Fund Data'!$V:$V, 'Fund Data'!$C:$C = $C1459, 'Fund Data'!$A:$A = $A1459 - 2, 'Fund Data'!$B:$B &gt;= 4)) * 'Parameters and Distribution Sum'!$B$4,0) + IFERROR(SUM(FILTER('Fund Data'!$V:$V, 'Fund Data'!$C:$C = $C1459, 'Fund Data"&amp;"'!$A:$A = $A1459 - 1, 'Fund Data'!$B:$B &lt;= 3)) * 'Parameters and Distribution Sum'!$B$4,0))),0)"),90000.0)</f>
        <v>90000</v>
      </c>
      <c r="AB1459" s="44">
        <f t="shared" si="138"/>
        <v>25000</v>
      </c>
      <c r="AC1459" s="44">
        <f t="shared" si="139"/>
        <v>115474.9142</v>
      </c>
      <c r="AD1459" s="44">
        <f t="shared" si="7"/>
        <v>99374.91421</v>
      </c>
      <c r="AE1459" s="44"/>
    </row>
    <row r="1460">
      <c r="A1460" s="120">
        <v>2019.0</v>
      </c>
      <c r="B1460" s="121">
        <v>3.0</v>
      </c>
      <c r="C1460" s="122" t="s">
        <v>81</v>
      </c>
      <c r="D1460" s="44"/>
      <c r="E1460" s="123">
        <v>15682.01</v>
      </c>
      <c r="F1460" s="123">
        <v>-11300.0</v>
      </c>
      <c r="G1460" s="44"/>
      <c r="H1460" s="123">
        <v>-2747.95</v>
      </c>
      <c r="I1460" s="44"/>
      <c r="J1460" s="44"/>
      <c r="K1460" s="44"/>
      <c r="L1460" s="123">
        <v>153541.43</v>
      </c>
      <c r="M1460" s="44"/>
      <c r="N1460" s="44"/>
      <c r="O1460" s="123">
        <v>2015690.0</v>
      </c>
      <c r="P1460" s="52">
        <f t="shared" si="23"/>
        <v>2015689.94</v>
      </c>
      <c r="Q1460" s="124">
        <f t="shared" si="2"/>
        <v>0.05999999982</v>
      </c>
      <c r="R1460" s="52">
        <f t="array" ref="R1460">IFERROR(INDEX('Fund YTD Target Values'!$1:$1000, MATCH($C1460,'Fund YTD Target Values'!$A:$A,0), MATCH($A1460,'Fund YTD Target Values'!$1:$1,0)),0)</f>
        <v>2084588</v>
      </c>
      <c r="S1460" s="52">
        <f>IFERROR(__xludf.DUMMYFUNCTION("IFERROR(sum(FILTER('Fund Data'!$V:$V, 'Fund Data'!$C:$C = $C1460, 'Fund Data'!$A:$A &lt; $A1460)),0) + IFERROR(sum(FILTER('Fund Data'!$V:$V, 'Fund Data'!$C:$C = $C1460, 'Fund Data'!$A:$A = $A1460, 'Fund Data'!$B:$B &lt;= $B1460)),0)"),2000000.0)</f>
        <v>2000000</v>
      </c>
      <c r="T1460" s="123">
        <v>2000000.0</v>
      </c>
      <c r="U1460" s="44">
        <f t="shared" si="130"/>
        <v>0</v>
      </c>
      <c r="V1460" s="44">
        <f t="shared" si="3"/>
        <v>0</v>
      </c>
      <c r="W1460" s="52">
        <f>IFERROR(__xludf.DUMMYFUNCTION("iFERROR((FILTER('Fund Data'!$Y:$Y, 'Fund Data'!$C:$C = $C1460, 'Fund Data'!$A:$A = $A1460 - 1, 'Fund Data'!$B:$B = 12) + FILTER('Fund Data'!$AA:$AA, 'Fund Data'!$C:$C = $C1460, 'Fund Data'!$A:$A = $A1460 - 1, 'Fund Data'!$B:$B = 12)) * (1 + AVERAGE(FILTER"&amp;"('Inflation Data'!$C:$C,'Inflation Data'!$A:$A = ($A1460 - 2)))) * 'Parameters and Distribution Sum'!$A$4,0)"),0.0)</f>
        <v>0</v>
      </c>
      <c r="X1460" s="52">
        <f>IFERROR(__xludf.DUMMYFUNCTION("IFERROR((IFERROR(FILTER('Fund Data'!$P:$P,'Fund Data'!$C:$C = $C1460,'Fund Data'!$A:$A = ($A1460 - 2), 'Fund Data'!$B:$B = 12),0) - SUM(FILTER('Fund Data'!$V:$V, 'Fund Data'!$C:$C = $C1460, 'Fund Data'!$A:$A = ($A1460 - 2), 'Fund Data'!$B:$B &gt; 3)))  * 'Pa"&amp;"rameters and Distribution Sum'!$B$4 * (1 - 'Parameters and Distribution Sum'!$A$4),0)"),474.91420500000106)</f>
        <v>474.914205</v>
      </c>
      <c r="Y1460" s="52">
        <f t="shared" si="137"/>
        <v>474.914205</v>
      </c>
      <c r="Z1460" s="52">
        <f>IFERROR(__xludf.DUMMYFUNCTION("((IFERROR((SUM(FILTER('Fund Data'!$V:$V, 'Fund Data'!$C:$C = $C1460, 'Fund Data'!$A:$A = $A1460 - 1, 'Fund Data'!$B:$B &gt;= 4, 'Fund Data'!$B:$B &lt;= ($B1460 + 5))) / 12) * ($B1460 - 3) * 'Parameters and Distribution Sum'!$B$4, 0) + IF($B1460 &gt;= 9, IFERROR(SU"&amp;"M(FILTER('Fund Data'!$V:$V, 'Fund Data'!$C:$C = $C1460, 'Fund Data'!$A:$A = $A1460, 'Fund Data'!$B:$B &lt;= 3)) * 'Parameters and Distribution Sum'!$B$4, 0),0)))"),0.0)</f>
        <v>0</v>
      </c>
      <c r="AA1460" s="44">
        <f>IFERROR(__xludf.DUMMYFUNCTION("IFERROR(((IFERROR(SUM(FILTER('Fund Data'!$V:$V, 'Fund Data'!$C:$C = $C1460, 'Fund Data'!$A:$A = $A1460 - 2, 'Fund Data'!$B:$B &gt;= 4)) * 'Parameters and Distribution Sum'!$B$4,0) + IFERROR(SUM(FILTER('Fund Data'!$V:$V, 'Fund Data'!$C:$C = $C1460, 'Fund Data"&amp;"'!$A:$A = $A1460 - 1, 'Fund Data'!$B:$B &lt;= 3)) * 'Parameters and Distribution Sum'!$B$4,0))),0)"),90000.0)</f>
        <v>90000</v>
      </c>
      <c r="AB1460" s="44">
        <f t="shared" si="138"/>
        <v>25000</v>
      </c>
      <c r="AC1460" s="44">
        <f t="shared" si="139"/>
        <v>115474.9142</v>
      </c>
      <c r="AD1460" s="44">
        <f t="shared" si="7"/>
        <v>104174.9142</v>
      </c>
      <c r="AE1460" s="44"/>
    </row>
    <row r="1461">
      <c r="A1461" s="120">
        <v>2019.0</v>
      </c>
      <c r="B1461" s="121">
        <v>2.0</v>
      </c>
      <c r="C1461" s="122" t="s">
        <v>81</v>
      </c>
      <c r="D1461" s="44"/>
      <c r="E1461" s="123">
        <v>13235.24</v>
      </c>
      <c r="F1461" s="44"/>
      <c r="G1461" s="44"/>
      <c r="H1461" s="123">
        <v>-1806.18</v>
      </c>
      <c r="I1461" s="44"/>
      <c r="J1461" s="44"/>
      <c r="K1461" s="44"/>
      <c r="L1461" s="123">
        <v>142133.89</v>
      </c>
      <c r="M1461" s="44"/>
      <c r="N1461" s="44"/>
      <c r="O1461" s="123">
        <v>2014077.0</v>
      </c>
      <c r="P1461" s="52">
        <f t="shared" si="23"/>
        <v>2014077.4</v>
      </c>
      <c r="Q1461" s="124">
        <f t="shared" si="2"/>
        <v>-0.4000000001</v>
      </c>
      <c r="R1461" s="52">
        <f t="array" ref="R1461">IFERROR(INDEX('Fund YTD Target Values'!$1:$1000, MATCH($C1461,'Fund YTD Target Values'!$A:$A,0), MATCH($A1461,'Fund YTD Target Values'!$1:$1,0)),0)</f>
        <v>2084588</v>
      </c>
      <c r="S1461" s="52">
        <f>IFERROR(__xludf.DUMMYFUNCTION("IFERROR(sum(FILTER('Fund Data'!$V:$V, 'Fund Data'!$C:$C = $C1461, 'Fund Data'!$A:$A &lt; $A1461)),0) + IFERROR(sum(FILTER('Fund Data'!$V:$V, 'Fund Data'!$C:$C = $C1461, 'Fund Data'!$A:$A = $A1461, 'Fund Data'!$B:$B &lt;= $B1461)),0)"),2000000.0)</f>
        <v>2000000</v>
      </c>
      <c r="T1461" s="123">
        <v>2000000.0</v>
      </c>
      <c r="U1461" s="44">
        <f t="shared" si="130"/>
        <v>0</v>
      </c>
      <c r="V1461" s="44">
        <f t="shared" si="3"/>
        <v>0</v>
      </c>
      <c r="W1461" s="52">
        <f>IFERROR(__xludf.DUMMYFUNCTION("iFERROR((FILTER('Fund Data'!$Y:$Y, 'Fund Data'!$C:$C = $C1461, 'Fund Data'!$A:$A = $A1461 - 1, 'Fund Data'!$B:$B = 12) + FILTER('Fund Data'!$AA:$AA, 'Fund Data'!$C:$C = $C1461, 'Fund Data'!$A:$A = $A1461 - 1, 'Fund Data'!$B:$B = 12)) * (1 + AVERAGE(FILTER"&amp;"('Inflation Data'!$C:$C,'Inflation Data'!$A:$A = ($A1461 - 2)))) * 'Parameters and Distribution Sum'!$A$4,0)"),0.0)</f>
        <v>0</v>
      </c>
      <c r="X1461" s="52">
        <f>IFERROR(__xludf.DUMMYFUNCTION("IFERROR((IFERROR(FILTER('Fund Data'!$P:$P,'Fund Data'!$C:$C = $C1461,'Fund Data'!$A:$A = ($A1461 - 2), 'Fund Data'!$B:$B = 12),0) - SUM(FILTER('Fund Data'!$V:$V, 'Fund Data'!$C:$C = $C1461, 'Fund Data'!$A:$A = ($A1461 - 2), 'Fund Data'!$B:$B &gt; 3)))  * 'Pa"&amp;"rameters and Distribution Sum'!$B$4 * (1 - 'Parameters and Distribution Sum'!$A$4),0)"),474.91420500000106)</f>
        <v>474.914205</v>
      </c>
      <c r="Y1461" s="52">
        <f t="shared" si="137"/>
        <v>474.914205</v>
      </c>
      <c r="Z1461" s="52">
        <f>IFERROR(__xludf.DUMMYFUNCTION("((IFERROR((SUM(FILTER('Fund Data'!$V:$V, 'Fund Data'!$C:$C = $C1461, 'Fund Data'!$A:$A = $A1461 - 1, 'Fund Data'!$B:$B &gt;= 4, 'Fund Data'!$B:$B &lt;= ($B1461 + 5))) / 12) * ($B1461 - 3) * 'Parameters and Distribution Sum'!$B$4, 0) + IF($B1461 &gt;= 9, IFERROR(SU"&amp;"M(FILTER('Fund Data'!$V:$V, 'Fund Data'!$C:$C = $C1461, 'Fund Data'!$A:$A = $A1461, 'Fund Data'!$B:$B &lt;= 3)) * 'Parameters and Distribution Sum'!$B$4, 0),0)))"),0.0)</f>
        <v>0</v>
      </c>
      <c r="AA1461" s="44">
        <f>IFERROR(__xludf.DUMMYFUNCTION("IFERROR(((IFERROR(SUM(FILTER('Fund Data'!$V:$V, 'Fund Data'!$C:$C = $C1461, 'Fund Data'!$A:$A = $A1461 - 2, 'Fund Data'!$B:$B &gt;= 4)) * 'Parameters and Distribution Sum'!$B$4,0) + IFERROR(SUM(FILTER('Fund Data'!$V:$V, 'Fund Data'!$C:$C = $C1461, 'Fund Data"&amp;"'!$A:$A = $A1461 - 1, 'Fund Data'!$B:$B &lt;= 3)) * 'Parameters and Distribution Sum'!$B$4,0))),0)"),90000.0)</f>
        <v>90000</v>
      </c>
      <c r="AB1461" s="44">
        <f t="shared" si="138"/>
        <v>25000</v>
      </c>
      <c r="AC1461" s="44">
        <f t="shared" si="139"/>
        <v>115474.9142</v>
      </c>
      <c r="AD1461" s="44">
        <f t="shared" si="7"/>
        <v>115474.9142</v>
      </c>
      <c r="AE1461" s="44"/>
    </row>
    <row r="1462">
      <c r="A1462" s="120">
        <v>2019.0</v>
      </c>
      <c r="B1462" s="121">
        <v>1.0</v>
      </c>
      <c r="C1462" s="122" t="s">
        <v>81</v>
      </c>
      <c r="D1462" s="44"/>
      <c r="E1462" s="123">
        <v>12206.76</v>
      </c>
      <c r="F1462" s="44"/>
      <c r="G1462" s="44"/>
      <c r="H1462" s="123">
        <v>-877.83</v>
      </c>
      <c r="I1462" s="44"/>
      <c r="J1462" s="44"/>
      <c r="K1462" s="44"/>
      <c r="L1462" s="123">
        <v>109952.63</v>
      </c>
      <c r="M1462" s="44"/>
      <c r="N1462" s="44"/>
      <c r="O1462" s="123">
        <v>1981796.0</v>
      </c>
      <c r="P1462" s="52">
        <f t="shared" si="23"/>
        <v>1981796.01</v>
      </c>
      <c r="Q1462" s="124">
        <f t="shared" si="2"/>
        <v>-0.01000000024</v>
      </c>
      <c r="R1462" s="52">
        <f t="array" ref="R1462">IFERROR(INDEX('Fund YTD Target Values'!$1:$1000, MATCH($C1462,'Fund YTD Target Values'!$A:$A,0), MATCH($A1462,'Fund YTD Target Values'!$1:$1,0)),0)</f>
        <v>2084588</v>
      </c>
      <c r="S1462" s="52">
        <f>IFERROR(__xludf.DUMMYFUNCTION("IFERROR(sum(FILTER('Fund Data'!$V:$V, 'Fund Data'!$C:$C = $C1462, 'Fund Data'!$A:$A &lt; $A1462)),0) + IFERROR(sum(FILTER('Fund Data'!$V:$V, 'Fund Data'!$C:$C = $C1462, 'Fund Data'!$A:$A = $A1462, 'Fund Data'!$B:$B &lt;= $B1462)),0)"),2000000.0)</f>
        <v>2000000</v>
      </c>
      <c r="T1462" s="123">
        <v>2000000.0</v>
      </c>
      <c r="U1462" s="44">
        <f t="shared" si="130"/>
        <v>0</v>
      </c>
      <c r="V1462" s="44">
        <f t="shared" si="3"/>
        <v>0</v>
      </c>
      <c r="W1462" s="52">
        <f>IFERROR(__xludf.DUMMYFUNCTION("iFERROR((FILTER('Fund Data'!$Y:$Y, 'Fund Data'!$C:$C = $C1462, 'Fund Data'!$A:$A = $A1462 - 1, 'Fund Data'!$B:$B = 12) + FILTER('Fund Data'!$AA:$AA, 'Fund Data'!$C:$C = $C1462, 'Fund Data'!$A:$A = $A1462 - 1, 'Fund Data'!$B:$B = 12)) * (1 + AVERAGE(FILTER"&amp;"('Inflation Data'!$C:$C,'Inflation Data'!$A:$A = ($A1462 - 2)))) * 'Parameters and Distribution Sum'!$A$4,0)"),0.0)</f>
        <v>0</v>
      </c>
      <c r="X1462" s="52">
        <f>IFERROR(__xludf.DUMMYFUNCTION("IFERROR((IFERROR(FILTER('Fund Data'!$P:$P,'Fund Data'!$C:$C = $C1462,'Fund Data'!$A:$A = ($A1462 - 2), 'Fund Data'!$B:$B = 12),0) - SUM(FILTER('Fund Data'!$V:$V, 'Fund Data'!$C:$C = $C1462, 'Fund Data'!$A:$A = ($A1462 - 2), 'Fund Data'!$B:$B &gt; 3)))  * 'Pa"&amp;"rameters and Distribution Sum'!$B$4 * (1 - 'Parameters and Distribution Sum'!$A$4),0)"),474.91420500000106)</f>
        <v>474.914205</v>
      </c>
      <c r="Y1462" s="52">
        <f t="shared" si="137"/>
        <v>474.914205</v>
      </c>
      <c r="Z1462" s="52">
        <f>IFERROR(__xludf.DUMMYFUNCTION("((IFERROR((SUM(FILTER('Fund Data'!$V:$V, 'Fund Data'!$C:$C = $C1462, 'Fund Data'!$A:$A = $A1462 - 1, 'Fund Data'!$B:$B &gt;= 4, 'Fund Data'!$B:$B &lt;= ($B1462 + 5))) / 12) * ($B1462 - 3) * 'Parameters and Distribution Sum'!$B$4, 0) + IF($B1462 &gt;= 9, IFERROR(SU"&amp;"M(FILTER('Fund Data'!$V:$V, 'Fund Data'!$C:$C = $C1462, 'Fund Data'!$A:$A = $A1462, 'Fund Data'!$B:$B &lt;= 3)) * 'Parameters and Distribution Sum'!$B$4, 0),0)))"),0.0)</f>
        <v>0</v>
      </c>
      <c r="AA1462" s="44">
        <f>IFERROR(__xludf.DUMMYFUNCTION("IFERROR(((IFERROR(SUM(FILTER('Fund Data'!$V:$V, 'Fund Data'!$C:$C = $C1462, 'Fund Data'!$A:$A = $A1462 - 2, 'Fund Data'!$B:$B &gt;= 4)) * 'Parameters and Distribution Sum'!$B$4,0) + IFERROR(SUM(FILTER('Fund Data'!$V:$V, 'Fund Data'!$C:$C = $C1462, 'Fund Data"&amp;"'!$A:$A = $A1462 - 1, 'Fund Data'!$B:$B &lt;= 3)) * 'Parameters and Distribution Sum'!$B$4,0))),0)"),90000.0)</f>
        <v>90000</v>
      </c>
      <c r="AB1462" s="44">
        <f t="shared" si="138"/>
        <v>25000</v>
      </c>
      <c r="AC1462" s="44">
        <f t="shared" si="139"/>
        <v>115474.9142</v>
      </c>
      <c r="AD1462" s="44">
        <f t="shared" si="7"/>
        <v>115474.9142</v>
      </c>
      <c r="AE1462" s="44"/>
    </row>
    <row r="1463">
      <c r="A1463" s="120">
        <v>2018.0</v>
      </c>
      <c r="B1463" s="121">
        <v>12.0</v>
      </c>
      <c r="C1463" s="122" t="s">
        <v>81</v>
      </c>
      <c r="D1463" s="44"/>
      <c r="E1463" s="123">
        <v>43667.14</v>
      </c>
      <c r="F1463" s="123">
        <v>-45000.0</v>
      </c>
      <c r="G1463" s="123">
        <v>25000.0</v>
      </c>
      <c r="H1463" s="123">
        <v>-12044.83</v>
      </c>
      <c r="I1463" s="44"/>
      <c r="J1463" s="44"/>
      <c r="K1463" s="123">
        <v>-387.94</v>
      </c>
      <c r="L1463" s="123">
        <v>-185898.75</v>
      </c>
      <c r="M1463" s="44"/>
      <c r="N1463" s="44"/>
      <c r="O1463" s="123">
        <v>1860514.0</v>
      </c>
      <c r="P1463" s="52">
        <f t="shared" si="23"/>
        <v>1860514.45</v>
      </c>
      <c r="Q1463" s="124">
        <f t="shared" si="2"/>
        <v>-0.4500000002</v>
      </c>
      <c r="R1463" s="52">
        <f t="array" ref="R1463">IFERROR(INDEX('Fund YTD Target Values'!$1:$1000, MATCH($C1463,'Fund YTD Target Values'!$A:$A,0), MATCH($A1463,'Fund YTD Target Values'!$1:$1,0)),0)</f>
        <v>2048853.692</v>
      </c>
      <c r="S1463" s="52">
        <f>IFERROR(__xludf.DUMMYFUNCTION("IFERROR(sum(FILTER('Fund Data'!$V:$V, 'Fund Data'!$C:$C = $C1463, 'Fund Data'!$A:$A &lt; $A1463)),0) + IFERROR(sum(FILTER('Fund Data'!$V:$V, 'Fund Data'!$C:$C = $C1463, 'Fund Data'!$A:$A = $A1463, 'Fund Data'!$B:$B &lt;= $B1463)),0)"),2000000.0)</f>
        <v>2000000</v>
      </c>
      <c r="T1463" s="123">
        <v>2000000.0</v>
      </c>
      <c r="U1463" s="44">
        <f t="shared" si="130"/>
        <v>0</v>
      </c>
      <c r="V1463" s="44">
        <f t="shared" si="3"/>
        <v>0</v>
      </c>
      <c r="W1463" s="52"/>
      <c r="X1463" s="52"/>
      <c r="Y1463" s="52">
        <v>0.0</v>
      </c>
      <c r="Z1463" s="123">
        <v>45000.0</v>
      </c>
      <c r="AA1463" s="123">
        <v>0.0</v>
      </c>
      <c r="AB1463" s="44">
        <f t="shared" si="138"/>
        <v>0</v>
      </c>
      <c r="AC1463" s="44">
        <f t="shared" si="139"/>
        <v>45000</v>
      </c>
      <c r="AD1463" s="44">
        <f t="shared" si="7"/>
        <v>0</v>
      </c>
      <c r="AE1463" s="123">
        <v>25000.0</v>
      </c>
    </row>
    <row r="1464">
      <c r="A1464" s="120">
        <v>2018.0</v>
      </c>
      <c r="B1464" s="121">
        <v>11.0</v>
      </c>
      <c r="C1464" s="122" t="s">
        <v>81</v>
      </c>
      <c r="D1464" s="44"/>
      <c r="E1464" s="123">
        <v>41078.29</v>
      </c>
      <c r="F1464" s="123">
        <v>-45000.0</v>
      </c>
      <c r="G1464" s="44"/>
      <c r="H1464" s="123">
        <v>-11133.43</v>
      </c>
      <c r="I1464" s="44"/>
      <c r="J1464" s="44"/>
      <c r="K1464" s="123">
        <v>-387.94</v>
      </c>
      <c r="L1464" s="123">
        <v>-77106.88</v>
      </c>
      <c r="M1464" s="44"/>
      <c r="N1464" s="44"/>
      <c r="O1464" s="123">
        <v>1942629.0</v>
      </c>
      <c r="P1464" s="52">
        <f t="shared" si="23"/>
        <v>1942628.87</v>
      </c>
      <c r="Q1464" s="124">
        <f t="shared" si="2"/>
        <v>0.1299999999</v>
      </c>
      <c r="R1464" s="52">
        <f t="array" ref="R1464">IFERROR(INDEX('Fund YTD Target Values'!$1:$1000, MATCH($C1464,'Fund YTD Target Values'!$A:$A,0), MATCH($A1464,'Fund YTD Target Values'!$1:$1,0)),0)</f>
        <v>2048853.692</v>
      </c>
      <c r="S1464" s="52">
        <f>IFERROR(__xludf.DUMMYFUNCTION("IFERROR(sum(FILTER('Fund Data'!$V:$V, 'Fund Data'!$C:$C = $C1464, 'Fund Data'!$A:$A &lt; $A1464)),0) + IFERROR(sum(FILTER('Fund Data'!$V:$V, 'Fund Data'!$C:$C = $C1464, 'Fund Data'!$A:$A = $A1464, 'Fund Data'!$B:$B &lt;= $B1464)),0)"),2000000.0)</f>
        <v>2000000</v>
      </c>
      <c r="T1464" s="123">
        <v>2000000.0</v>
      </c>
      <c r="U1464" s="44">
        <f t="shared" si="130"/>
        <v>0</v>
      </c>
      <c r="V1464" s="44">
        <f t="shared" si="3"/>
        <v>0</v>
      </c>
      <c r="W1464" s="123"/>
      <c r="X1464" s="123"/>
      <c r="Y1464" s="123">
        <v>0.0</v>
      </c>
      <c r="Z1464" s="123">
        <v>0.0</v>
      </c>
      <c r="AA1464" s="123">
        <v>0.0</v>
      </c>
      <c r="AB1464" s="123"/>
      <c r="AC1464" s="123">
        <v>0.0</v>
      </c>
      <c r="AD1464" s="44">
        <f t="shared" si="7"/>
        <v>-45000</v>
      </c>
      <c r="AE1464" s="123">
        <v>0.0</v>
      </c>
    </row>
    <row r="1465">
      <c r="A1465" s="120">
        <v>2018.0</v>
      </c>
      <c r="B1465" s="121">
        <v>10.0</v>
      </c>
      <c r="C1465" s="135" t="s">
        <v>81</v>
      </c>
      <c r="D1465" s="138"/>
      <c r="E1465" s="137">
        <v>39294.63</v>
      </c>
      <c r="F1465" s="138"/>
      <c r="G1465" s="138"/>
      <c r="H1465" s="137">
        <v>-9242.01</v>
      </c>
      <c r="I1465" s="138"/>
      <c r="J1465" s="138"/>
      <c r="K1465" s="138"/>
      <c r="L1465" s="136">
        <v>-94305.93</v>
      </c>
      <c r="M1465" s="44"/>
      <c r="N1465" s="44"/>
      <c r="O1465" s="136">
        <v>1970926.0</v>
      </c>
      <c r="P1465" s="52">
        <f t="shared" si="23"/>
        <v>1970925.52</v>
      </c>
      <c r="Q1465" s="124">
        <f t="shared" si="2"/>
        <v>0.48</v>
      </c>
      <c r="R1465" s="52">
        <f t="array" ref="R1465">IFERROR(INDEX('Fund YTD Target Values'!$1:$1000, MATCH($C1465,'Fund YTD Target Values'!$A:$A,0), MATCH($A1465,'Fund YTD Target Values'!$1:$1,0)),0)</f>
        <v>2048853.692</v>
      </c>
      <c r="S1465" s="52">
        <f>IFERROR(__xludf.DUMMYFUNCTION("IFERROR(sum(FILTER('Fund Data'!$V:$V, 'Fund Data'!$C:$C = $C1465, 'Fund Data'!$A:$A &lt; $A1465)),0) + IFERROR(sum(FILTER('Fund Data'!$V:$V, 'Fund Data'!$C:$C = $C1465, 'Fund Data'!$A:$A = $A1465, 'Fund Data'!$B:$B &lt;= $B1465)),0)"),2000000.0)</f>
        <v>2000000</v>
      </c>
      <c r="T1465" s="123">
        <v>2000000.0</v>
      </c>
      <c r="U1465" s="44">
        <f t="shared" si="130"/>
        <v>0</v>
      </c>
      <c r="V1465" s="44">
        <f t="shared" si="3"/>
        <v>0</v>
      </c>
      <c r="W1465" s="123"/>
      <c r="X1465" s="123"/>
      <c r="Y1465" s="123">
        <v>0.0</v>
      </c>
      <c r="Z1465" s="123">
        <v>0.0</v>
      </c>
      <c r="AA1465" s="123">
        <v>0.0</v>
      </c>
      <c r="AB1465" s="123"/>
      <c r="AC1465" s="123">
        <v>0.0</v>
      </c>
      <c r="AD1465" s="44">
        <f t="shared" si="7"/>
        <v>0</v>
      </c>
      <c r="AE1465" s="123">
        <v>0.0</v>
      </c>
    </row>
    <row r="1466">
      <c r="A1466" s="120">
        <v>2018.0</v>
      </c>
      <c r="B1466" s="121">
        <v>9.0</v>
      </c>
      <c r="C1466" s="122" t="s">
        <v>81</v>
      </c>
      <c r="D1466" s="123"/>
      <c r="E1466" s="123">
        <v>33409.52</v>
      </c>
      <c r="F1466" s="44"/>
      <c r="G1466" s="44"/>
      <c r="H1466" s="123">
        <v>-9242.01</v>
      </c>
      <c r="I1466" s="44"/>
      <c r="J1466" s="44"/>
      <c r="K1466" s="44"/>
      <c r="L1466" s="123">
        <v>9975.7</v>
      </c>
      <c r="M1466" s="44"/>
      <c r="N1466" s="44"/>
      <c r="O1466" s="123">
        <v>2069322.0</v>
      </c>
      <c r="P1466" s="52">
        <f t="shared" si="23"/>
        <v>2069322.04</v>
      </c>
      <c r="Q1466" s="124">
        <f t="shared" si="2"/>
        <v>-0.04000000004</v>
      </c>
      <c r="R1466" s="52">
        <f t="array" ref="R1466">IFERROR(INDEX('Fund YTD Target Values'!$1:$1000, MATCH($C1466,'Fund YTD Target Values'!$A:$A,0), MATCH($A1466,'Fund YTD Target Values'!$1:$1,0)),0)</f>
        <v>2048853.692</v>
      </c>
      <c r="S1466" s="52">
        <f>IFERROR(__xludf.DUMMYFUNCTION("IFERROR(sum(FILTER('Fund Data'!$V:$V, 'Fund Data'!$C:$C = $C1466, 'Fund Data'!$A:$A &lt; $A1466)),0) + IFERROR(sum(FILTER('Fund Data'!$V:$V, 'Fund Data'!$C:$C = $C1466, 'Fund Data'!$A:$A = $A1466, 'Fund Data'!$B:$B &lt;= $B1466)),0)"),2000000.0)</f>
        <v>2000000</v>
      </c>
      <c r="T1466" s="123">
        <v>2000000.0</v>
      </c>
      <c r="U1466" s="44">
        <f t="shared" si="130"/>
        <v>0</v>
      </c>
      <c r="V1466" s="44">
        <f t="shared" si="3"/>
        <v>0</v>
      </c>
      <c r="W1466" s="123"/>
      <c r="X1466" s="123"/>
      <c r="Y1466" s="123">
        <v>0.0</v>
      </c>
      <c r="Z1466" s="123">
        <v>0.0</v>
      </c>
      <c r="AA1466" s="123">
        <v>0.0</v>
      </c>
      <c r="AB1466" s="123"/>
      <c r="AC1466" s="123">
        <v>0.0</v>
      </c>
      <c r="AD1466" s="44">
        <f t="shared" si="7"/>
        <v>0</v>
      </c>
      <c r="AE1466" s="123">
        <v>0.0</v>
      </c>
    </row>
    <row r="1467">
      <c r="A1467" s="120">
        <v>2018.0</v>
      </c>
      <c r="B1467" s="121">
        <v>8.0</v>
      </c>
      <c r="C1467" s="122" t="s">
        <v>81</v>
      </c>
      <c r="D1467" s="44"/>
      <c r="E1467" s="123">
        <v>31621.84</v>
      </c>
      <c r="F1467" s="44"/>
      <c r="G1467" s="44"/>
      <c r="H1467" s="123">
        <v>-8204.0</v>
      </c>
      <c r="I1467" s="44"/>
      <c r="J1467" s="44"/>
      <c r="K1467" s="44"/>
      <c r="L1467" s="123">
        <v>17427.26</v>
      </c>
      <c r="M1467" s="44"/>
      <c r="N1467" s="44"/>
      <c r="O1467" s="123">
        <v>2076024.0</v>
      </c>
      <c r="P1467" s="52">
        <f t="shared" si="23"/>
        <v>2076023.93</v>
      </c>
      <c r="Q1467" s="124">
        <f t="shared" si="2"/>
        <v>0.06999999983</v>
      </c>
      <c r="R1467" s="52">
        <f t="array" ref="R1467">IFERROR(INDEX('Fund YTD Target Values'!$1:$1000, MATCH($C1467,'Fund YTD Target Values'!$A:$A,0), MATCH($A1467,'Fund YTD Target Values'!$1:$1,0)),0)</f>
        <v>2048853.692</v>
      </c>
      <c r="S1467" s="52">
        <f>IFERROR(__xludf.DUMMYFUNCTION("IFERROR(sum(FILTER('Fund Data'!$V:$V, 'Fund Data'!$C:$C = $C1467, 'Fund Data'!$A:$A &lt; $A1467)),0) + IFERROR(sum(FILTER('Fund Data'!$V:$V, 'Fund Data'!$C:$C = $C1467, 'Fund Data'!$A:$A = $A1467, 'Fund Data'!$B:$B &lt;= $B1467)),0)"),2000000.0)</f>
        <v>2000000</v>
      </c>
      <c r="T1467" s="123">
        <v>2000000.0</v>
      </c>
      <c r="U1467" s="44">
        <f t="shared" si="130"/>
        <v>0</v>
      </c>
      <c r="V1467" s="44">
        <f t="shared" si="3"/>
        <v>0</v>
      </c>
      <c r="W1467" s="123"/>
      <c r="X1467" s="123"/>
      <c r="Y1467" s="123">
        <v>0.0</v>
      </c>
      <c r="Z1467" s="123">
        <v>0.0</v>
      </c>
      <c r="AA1467" s="123">
        <v>0.0</v>
      </c>
      <c r="AB1467" s="123"/>
      <c r="AC1467" s="123">
        <v>0.0</v>
      </c>
      <c r="AD1467" s="44">
        <f t="shared" si="7"/>
        <v>0</v>
      </c>
      <c r="AE1467" s="123">
        <v>0.0</v>
      </c>
    </row>
    <row r="1468">
      <c r="A1468" s="120">
        <v>2018.0</v>
      </c>
      <c r="B1468" s="121">
        <v>7.0</v>
      </c>
      <c r="C1468" s="122" t="s">
        <v>81</v>
      </c>
      <c r="D1468" s="44"/>
      <c r="E1468" s="123">
        <v>29903.77</v>
      </c>
      <c r="F1468" s="44"/>
      <c r="G1468" s="44"/>
      <c r="H1468" s="123">
        <v>-7169.66</v>
      </c>
      <c r="I1468" s="44"/>
      <c r="J1468" s="44"/>
      <c r="K1468" s="44"/>
      <c r="L1468" s="123">
        <v>10767.85</v>
      </c>
      <c r="M1468" s="44"/>
      <c r="N1468" s="44"/>
      <c r="O1468" s="123">
        <v>2068681.0</v>
      </c>
      <c r="P1468" s="52">
        <f t="shared" si="23"/>
        <v>2068680.79</v>
      </c>
      <c r="Q1468" s="124">
        <f t="shared" si="2"/>
        <v>0.21</v>
      </c>
      <c r="R1468" s="52">
        <f t="array" ref="R1468">IFERROR(INDEX('Fund YTD Target Values'!$1:$1000, MATCH($C1468,'Fund YTD Target Values'!$A:$A,0), MATCH($A1468,'Fund YTD Target Values'!$1:$1,0)),0)</f>
        <v>2048853.692</v>
      </c>
      <c r="S1468" s="52">
        <f>IFERROR(__xludf.DUMMYFUNCTION("IFERROR(sum(FILTER('Fund Data'!$V:$V, 'Fund Data'!$C:$C = $C1468, 'Fund Data'!$A:$A &lt; $A1468)),0) + IFERROR(sum(FILTER('Fund Data'!$V:$V, 'Fund Data'!$C:$C = $C1468, 'Fund Data'!$A:$A = $A1468, 'Fund Data'!$B:$B &lt;= $B1468)),0)"),2000000.0)</f>
        <v>2000000</v>
      </c>
      <c r="T1468" s="123">
        <v>2000000.0</v>
      </c>
      <c r="U1468" s="44">
        <f t="shared" si="130"/>
        <v>0</v>
      </c>
      <c r="V1468" s="44">
        <f t="shared" si="3"/>
        <v>0</v>
      </c>
      <c r="W1468" s="123"/>
      <c r="X1468" s="123"/>
      <c r="Y1468" s="123">
        <v>0.0</v>
      </c>
      <c r="Z1468" s="123">
        <v>0.0</v>
      </c>
      <c r="AA1468" s="123">
        <v>0.0</v>
      </c>
      <c r="AB1468" s="123"/>
      <c r="AC1468" s="123">
        <v>0.0</v>
      </c>
      <c r="AD1468" s="44">
        <f t="shared" si="7"/>
        <v>0</v>
      </c>
      <c r="AE1468" s="123">
        <v>0.0</v>
      </c>
    </row>
    <row r="1469">
      <c r="A1469" s="120">
        <v>2018.0</v>
      </c>
      <c r="B1469" s="121">
        <v>6.0</v>
      </c>
      <c r="C1469" s="122" t="s">
        <v>81</v>
      </c>
      <c r="D1469" s="44"/>
      <c r="E1469" s="123">
        <v>25309.38</v>
      </c>
      <c r="F1469" s="44"/>
      <c r="G1469" s="44"/>
      <c r="H1469" s="123">
        <v>-6153.75</v>
      </c>
      <c r="I1469" s="44"/>
      <c r="J1469" s="44"/>
      <c r="K1469" s="44"/>
      <c r="L1469" s="123">
        <v>-22515.81</v>
      </c>
      <c r="M1469" s="44"/>
      <c r="N1469" s="44"/>
      <c r="O1469" s="123">
        <v>2031819.0</v>
      </c>
      <c r="P1469" s="52">
        <f t="shared" si="23"/>
        <v>2031818.65</v>
      </c>
      <c r="Q1469" s="124">
        <f t="shared" si="2"/>
        <v>0.3499999999</v>
      </c>
      <c r="R1469" s="52">
        <f t="array" ref="R1469">IFERROR(INDEX('Fund YTD Target Values'!$1:$1000, MATCH($C1469,'Fund YTD Target Values'!$A:$A,0), MATCH($A1469,'Fund YTD Target Values'!$1:$1,0)),0)</f>
        <v>2048853.692</v>
      </c>
      <c r="S1469" s="52">
        <f>IFERROR(__xludf.DUMMYFUNCTION("IFERROR(sum(FILTER('Fund Data'!$V:$V, 'Fund Data'!$C:$C = $C1469, 'Fund Data'!$A:$A &lt; $A1469)),0) + IFERROR(sum(FILTER('Fund Data'!$V:$V, 'Fund Data'!$C:$C = $C1469, 'Fund Data'!$A:$A = $A1469, 'Fund Data'!$B:$B &lt;= $B1469)),0)"),2000000.0)</f>
        <v>2000000</v>
      </c>
      <c r="T1469" s="123">
        <v>2000000.0</v>
      </c>
      <c r="U1469" s="44">
        <f t="shared" si="130"/>
        <v>0</v>
      </c>
      <c r="V1469" s="44">
        <f t="shared" si="3"/>
        <v>0</v>
      </c>
      <c r="W1469" s="123"/>
      <c r="X1469" s="123"/>
      <c r="Y1469" s="123">
        <v>0.0</v>
      </c>
      <c r="Z1469" s="123">
        <v>0.0</v>
      </c>
      <c r="AA1469" s="123">
        <v>0.0</v>
      </c>
      <c r="AB1469" s="123"/>
      <c r="AC1469" s="123">
        <v>0.0</v>
      </c>
      <c r="AD1469" s="44">
        <f t="shared" si="7"/>
        <v>0</v>
      </c>
      <c r="AE1469" s="123">
        <v>0.0</v>
      </c>
    </row>
    <row r="1470">
      <c r="A1470" s="120">
        <v>2018.0</v>
      </c>
      <c r="B1470" s="121">
        <v>5.0</v>
      </c>
      <c r="C1470" s="122" t="s">
        <v>81</v>
      </c>
      <c r="D1470" s="44"/>
      <c r="E1470" s="123">
        <v>22402.63</v>
      </c>
      <c r="F1470" s="44"/>
      <c r="G1470" s="44"/>
      <c r="H1470" s="123">
        <v>-5131.21</v>
      </c>
      <c r="I1470" s="44"/>
      <c r="J1470" s="44"/>
      <c r="K1470" s="44"/>
      <c r="L1470" s="123">
        <v>-7357.58</v>
      </c>
      <c r="M1470" s="44"/>
      <c r="N1470" s="44"/>
      <c r="O1470" s="123">
        <v>2045093.0</v>
      </c>
      <c r="P1470" s="52">
        <f t="shared" si="23"/>
        <v>2045092.67</v>
      </c>
      <c r="Q1470" s="124">
        <f t="shared" si="2"/>
        <v>0.3299999998</v>
      </c>
      <c r="R1470" s="52">
        <f t="array" ref="R1470">IFERROR(INDEX('Fund YTD Target Values'!$1:$1000, MATCH($C1470,'Fund YTD Target Values'!$A:$A,0), MATCH($A1470,'Fund YTD Target Values'!$1:$1,0)),0)</f>
        <v>2048853.692</v>
      </c>
      <c r="S1470" s="52">
        <f>IFERROR(__xludf.DUMMYFUNCTION("IFERROR(sum(FILTER('Fund Data'!$V:$V, 'Fund Data'!$C:$C = $C1470, 'Fund Data'!$A:$A &lt; $A1470)),0) + IFERROR(sum(FILTER('Fund Data'!$V:$V, 'Fund Data'!$C:$C = $C1470, 'Fund Data'!$A:$A = $A1470, 'Fund Data'!$B:$B &lt;= $B1470)),0)"),2000000.0)</f>
        <v>2000000</v>
      </c>
      <c r="T1470" s="123">
        <v>2000000.0</v>
      </c>
      <c r="U1470" s="44">
        <f t="shared" si="130"/>
        <v>0</v>
      </c>
      <c r="V1470" s="44">
        <f t="shared" si="3"/>
        <v>0</v>
      </c>
      <c r="W1470" s="123"/>
      <c r="X1470" s="123"/>
      <c r="Y1470" s="123">
        <v>0.0</v>
      </c>
      <c r="Z1470" s="123">
        <v>0.0</v>
      </c>
      <c r="AA1470" s="123">
        <v>0.0</v>
      </c>
      <c r="AB1470" s="123"/>
      <c r="AC1470" s="123">
        <v>0.0</v>
      </c>
      <c r="AD1470" s="44">
        <f t="shared" si="7"/>
        <v>0</v>
      </c>
      <c r="AE1470" s="123">
        <v>0.0</v>
      </c>
    </row>
    <row r="1471">
      <c r="A1471" s="120">
        <v>2018.0</v>
      </c>
      <c r="B1471" s="121">
        <v>4.0</v>
      </c>
      <c r="C1471" s="122" t="s">
        <v>81</v>
      </c>
      <c r="D1471" s="44"/>
      <c r="E1471" s="123">
        <v>20792.89</v>
      </c>
      <c r="F1471" s="44"/>
      <c r="G1471" s="44"/>
      <c r="H1471" s="123">
        <v>-4111.1</v>
      </c>
      <c r="I1471" s="44"/>
      <c r="J1471" s="44"/>
      <c r="K1471" s="44"/>
      <c r="L1471" s="123">
        <v>-11640.55</v>
      </c>
      <c r="M1471" s="44"/>
      <c r="N1471" s="44"/>
      <c r="O1471" s="123">
        <v>2040220.0</v>
      </c>
      <c r="P1471" s="52">
        <f t="shared" si="23"/>
        <v>2040220.07</v>
      </c>
      <c r="Q1471" s="124">
        <f t="shared" si="2"/>
        <v>-0.07000000007</v>
      </c>
      <c r="R1471" s="52">
        <f t="array" ref="R1471">IFERROR(INDEX('Fund YTD Target Values'!$1:$1000, MATCH($C1471,'Fund YTD Target Values'!$A:$A,0), MATCH($A1471,'Fund YTD Target Values'!$1:$1,0)),0)</f>
        <v>2048853.692</v>
      </c>
      <c r="S1471" s="52">
        <f>IFERROR(__xludf.DUMMYFUNCTION("IFERROR(sum(FILTER('Fund Data'!$V:$V, 'Fund Data'!$C:$C = $C1471, 'Fund Data'!$A:$A &lt; $A1471)),0) + IFERROR(sum(FILTER('Fund Data'!$V:$V, 'Fund Data'!$C:$C = $C1471, 'Fund Data'!$A:$A = $A1471, 'Fund Data'!$B:$B &lt;= $B1471)),0)"),2000000.0)</f>
        <v>2000000</v>
      </c>
      <c r="T1471" s="123">
        <v>2000000.0</v>
      </c>
      <c r="U1471" s="44">
        <f t="shared" si="130"/>
        <v>0</v>
      </c>
      <c r="V1471" s="44">
        <f t="shared" si="3"/>
        <v>0</v>
      </c>
      <c r="W1471" s="123"/>
      <c r="X1471" s="123"/>
      <c r="Y1471" s="123">
        <v>0.0</v>
      </c>
      <c r="Z1471" s="123">
        <v>0.0</v>
      </c>
      <c r="AA1471" s="123">
        <v>0.0</v>
      </c>
      <c r="AB1471" s="123"/>
      <c r="AC1471" s="123">
        <v>0.0</v>
      </c>
      <c r="AD1471" s="44">
        <f t="shared" si="7"/>
        <v>0</v>
      </c>
      <c r="AE1471" s="123">
        <v>0.0</v>
      </c>
    </row>
    <row r="1472">
      <c r="A1472" s="120">
        <v>2018.0</v>
      </c>
      <c r="B1472" s="121">
        <v>3.0</v>
      </c>
      <c r="C1472" s="122" t="s">
        <v>81</v>
      </c>
      <c r="D1472" s="44"/>
      <c r="E1472" s="123">
        <v>15884.76</v>
      </c>
      <c r="F1472" s="44"/>
      <c r="G1472" s="44"/>
      <c r="H1472" s="123">
        <v>-3093.77</v>
      </c>
      <c r="I1472" s="44"/>
      <c r="J1472" s="44"/>
      <c r="K1472" s="44"/>
      <c r="L1472" s="123">
        <v>-13305.41</v>
      </c>
      <c r="M1472" s="44"/>
      <c r="N1472" s="44"/>
      <c r="O1472" s="123">
        <v>2034664.0</v>
      </c>
      <c r="P1472" s="52">
        <f t="shared" si="23"/>
        <v>2034664.41</v>
      </c>
      <c r="Q1472" s="124">
        <f t="shared" si="2"/>
        <v>-0.4100000001</v>
      </c>
      <c r="R1472" s="52">
        <f t="array" ref="R1472">IFERROR(INDEX('Fund YTD Target Values'!$1:$1000, MATCH($C1472,'Fund YTD Target Values'!$A:$A,0), MATCH($A1472,'Fund YTD Target Values'!$1:$1,0)),0)</f>
        <v>2048853.692</v>
      </c>
      <c r="S1472" s="52">
        <f>IFERROR(__xludf.DUMMYFUNCTION("IFERROR(sum(FILTER('Fund Data'!$V:$V, 'Fund Data'!$C:$C = $C1472, 'Fund Data'!$A:$A &lt; $A1472)),0) + IFERROR(sum(FILTER('Fund Data'!$V:$V, 'Fund Data'!$C:$C = $C1472, 'Fund Data'!$A:$A = $A1472, 'Fund Data'!$B:$B &lt;= $B1472)),0)"),2000000.0)</f>
        <v>2000000</v>
      </c>
      <c r="T1472" s="123">
        <v>2000000.0</v>
      </c>
      <c r="U1472" s="44">
        <f t="shared" si="130"/>
        <v>0</v>
      </c>
      <c r="V1472" s="44">
        <f t="shared" si="3"/>
        <v>0</v>
      </c>
      <c r="W1472" s="123"/>
      <c r="X1472" s="123"/>
      <c r="Y1472" s="123">
        <v>0.0</v>
      </c>
      <c r="Z1472" s="123">
        <v>0.0</v>
      </c>
      <c r="AA1472" s="123">
        <v>0.0</v>
      </c>
      <c r="AB1472" s="123"/>
      <c r="AC1472" s="123">
        <v>0.0</v>
      </c>
      <c r="AD1472" s="44">
        <f t="shared" si="7"/>
        <v>0</v>
      </c>
      <c r="AE1472" s="123">
        <v>0.0</v>
      </c>
    </row>
    <row r="1473">
      <c r="A1473" s="120">
        <v>2018.0</v>
      </c>
      <c r="B1473" s="121">
        <v>2.0</v>
      </c>
      <c r="C1473" s="122" t="s">
        <v>81</v>
      </c>
      <c r="D1473" s="44"/>
      <c r="E1473" s="123">
        <v>14093.99</v>
      </c>
      <c r="F1473" s="44"/>
      <c r="G1473" s="44"/>
      <c r="H1473" s="123">
        <v>-5049.44</v>
      </c>
      <c r="I1473" s="44"/>
      <c r="J1473" s="44"/>
      <c r="K1473" s="44"/>
      <c r="L1473" s="123">
        <v>872.71</v>
      </c>
      <c r="M1473" s="44"/>
      <c r="N1473" s="44"/>
      <c r="O1473" s="123">
        <v>2045096.0</v>
      </c>
      <c r="P1473" s="52">
        <f t="shared" si="23"/>
        <v>2045096.09</v>
      </c>
      <c r="Q1473" s="124">
        <f t="shared" si="2"/>
        <v>-0.09000000008</v>
      </c>
      <c r="R1473" s="52">
        <f t="array" ref="R1473">IFERROR(INDEX('Fund YTD Target Values'!$1:$1000, MATCH($C1473,'Fund YTD Target Values'!$A:$A,0), MATCH($A1473,'Fund YTD Target Values'!$1:$1,0)),0)</f>
        <v>2048853.692</v>
      </c>
      <c r="S1473" s="52">
        <f>IFERROR(__xludf.DUMMYFUNCTION("IFERROR(sum(FILTER('Fund Data'!$V:$V, 'Fund Data'!$C:$C = $C1473, 'Fund Data'!$A:$A &lt; $A1473)),0) + IFERROR(sum(FILTER('Fund Data'!$V:$V, 'Fund Data'!$C:$C = $C1473, 'Fund Data'!$A:$A = $A1473, 'Fund Data'!$B:$B &lt;= $B1473)),0)"),2000000.0)</f>
        <v>2000000</v>
      </c>
      <c r="T1473" s="123">
        <v>2000000.0</v>
      </c>
      <c r="U1473" s="44">
        <f t="shared" si="130"/>
        <v>0</v>
      </c>
      <c r="V1473" s="44">
        <f t="shared" si="3"/>
        <v>0</v>
      </c>
      <c r="W1473" s="123"/>
      <c r="X1473" s="123"/>
      <c r="Y1473" s="123">
        <v>0.0</v>
      </c>
      <c r="Z1473" s="123">
        <v>0.0</v>
      </c>
      <c r="AA1473" s="123">
        <v>0.0</v>
      </c>
      <c r="AB1473" s="123"/>
      <c r="AC1473" s="123">
        <v>0.0</v>
      </c>
      <c r="AD1473" s="44">
        <f t="shared" si="7"/>
        <v>0</v>
      </c>
      <c r="AE1473" s="123">
        <v>0.0</v>
      </c>
    </row>
    <row r="1474">
      <c r="A1474" s="120">
        <v>2018.0</v>
      </c>
      <c r="B1474" s="121">
        <v>1.0</v>
      </c>
      <c r="C1474" s="122" t="s">
        <v>81</v>
      </c>
      <c r="D1474" s="44"/>
      <c r="E1474" s="123">
        <v>12580.79</v>
      </c>
      <c r="F1474" s="44"/>
      <c r="G1474" s="44"/>
      <c r="H1474" s="123">
        <v>-3995.81</v>
      </c>
      <c r="I1474" s="44"/>
      <c r="J1474" s="44"/>
      <c r="K1474" s="44"/>
      <c r="L1474" s="123">
        <v>63492.7</v>
      </c>
      <c r="M1474" s="44"/>
      <c r="N1474" s="44"/>
      <c r="O1474" s="123">
        <v>2107257.0</v>
      </c>
      <c r="P1474" s="52">
        <f t="shared" si="23"/>
        <v>2107256.51</v>
      </c>
      <c r="Q1474" s="124">
        <f t="shared" si="2"/>
        <v>0.4899999998</v>
      </c>
      <c r="R1474" s="52">
        <f t="array" ref="R1474">IFERROR(INDEX('Fund YTD Target Values'!$1:$1000, MATCH($C1474,'Fund YTD Target Values'!$A:$A,0), MATCH($A1474,'Fund YTD Target Values'!$1:$1,0)),0)</f>
        <v>2048853.692</v>
      </c>
      <c r="S1474" s="52">
        <f>IFERROR(__xludf.DUMMYFUNCTION("IFERROR(sum(FILTER('Fund Data'!$V:$V, 'Fund Data'!$C:$C = $C1474, 'Fund Data'!$A:$A &lt; $A1474)),0) + IFERROR(sum(FILTER('Fund Data'!$V:$V, 'Fund Data'!$C:$C = $C1474, 'Fund Data'!$A:$A = $A1474, 'Fund Data'!$B:$B &lt;= $B1474)),0)"),2000000.0)</f>
        <v>2000000</v>
      </c>
      <c r="T1474" s="123">
        <v>2000000.0</v>
      </c>
      <c r="U1474" s="44">
        <f t="shared" si="130"/>
        <v>0</v>
      </c>
      <c r="V1474" s="44">
        <f t="shared" si="3"/>
        <v>0</v>
      </c>
      <c r="W1474" s="123"/>
      <c r="X1474" s="123"/>
      <c r="Y1474" s="123">
        <v>0.0</v>
      </c>
      <c r="Z1474" s="123">
        <v>0.0</v>
      </c>
      <c r="AA1474" s="123">
        <v>0.0</v>
      </c>
      <c r="AB1474" s="123"/>
      <c r="AC1474" s="123">
        <v>0.0</v>
      </c>
      <c r="AD1474" s="44">
        <f t="shared" si="7"/>
        <v>0</v>
      </c>
      <c r="AE1474" s="123">
        <v>0.0</v>
      </c>
    </row>
    <row r="1475">
      <c r="A1475" s="120">
        <v>2017.0</v>
      </c>
      <c r="B1475" s="121">
        <v>12.0</v>
      </c>
      <c r="C1475" s="4" t="s">
        <v>81</v>
      </c>
      <c r="D1475" s="123">
        <v>2000000.0</v>
      </c>
      <c r="E1475" s="123">
        <v>4336.05</v>
      </c>
      <c r="F1475" s="44"/>
      <c r="G1475" s="123"/>
      <c r="H1475" s="123">
        <v>-1527.89</v>
      </c>
      <c r="I1475" s="44"/>
      <c r="J1475" s="44"/>
      <c r="K1475" s="44"/>
      <c r="L1475" s="123">
        <v>32370.67</v>
      </c>
      <c r="M1475" s="44"/>
      <c r="N1475" s="44"/>
      <c r="O1475" s="123">
        <v>2035179.0</v>
      </c>
      <c r="P1475" s="52">
        <f t="shared" si="23"/>
        <v>2035178.83</v>
      </c>
      <c r="Q1475" s="124">
        <f t="shared" si="2"/>
        <v>0.1699999999</v>
      </c>
      <c r="R1475" s="52">
        <f t="array" ref="R1475">IFERROR(INDEX('Fund YTD Target Values'!$1:$1000, MATCH($C1475,'Fund YTD Target Values'!$A:$A,0), MATCH($A1475,'Fund YTD Target Values'!$1:$1,0)),0)</f>
        <v>2000000</v>
      </c>
      <c r="S1475" s="52">
        <f>IFERROR(__xludf.DUMMYFUNCTION("IFERROR(sum(FILTER('Fund Data'!$V:$V, 'Fund Data'!$C:$C = $C1475, 'Fund Data'!$A:$A &lt; $A1475)),0) + IFERROR(sum(FILTER('Fund Data'!$V:$V, 'Fund Data'!$C:$C = $C1475, 'Fund Data'!$A:$A = $A1475, 'Fund Data'!$B:$B &lt;= $B1475)),0)"),2000000.0)</f>
        <v>2000000</v>
      </c>
      <c r="T1475" s="123">
        <v>2000000.0</v>
      </c>
      <c r="U1475" s="44">
        <f t="shared" si="130"/>
        <v>0</v>
      </c>
      <c r="V1475" s="44">
        <f t="shared" si="3"/>
        <v>0</v>
      </c>
      <c r="W1475" s="123"/>
      <c r="X1475" s="123"/>
      <c r="Y1475" s="123">
        <v>0.0</v>
      </c>
      <c r="Z1475" s="123">
        <v>0.0</v>
      </c>
      <c r="AA1475" s="123">
        <v>0.0</v>
      </c>
      <c r="AB1475" s="123"/>
      <c r="AC1475" s="123">
        <v>0.0</v>
      </c>
      <c r="AD1475" s="44">
        <f t="shared" si="7"/>
        <v>0</v>
      </c>
      <c r="AE1475" s="123">
        <v>0.0</v>
      </c>
    </row>
    <row r="1476">
      <c r="A1476" s="120">
        <v>2017.0</v>
      </c>
      <c r="B1476" s="121">
        <v>11.0</v>
      </c>
      <c r="C1476" s="122" t="s">
        <v>81</v>
      </c>
      <c r="D1476" s="123">
        <v>2000000.0</v>
      </c>
      <c r="E1476" s="123">
        <v>1433.45</v>
      </c>
      <c r="F1476" s="44"/>
      <c r="G1476" s="44"/>
      <c r="H1476" s="123">
        <v>-516.13</v>
      </c>
      <c r="I1476" s="44"/>
      <c r="J1476" s="44"/>
      <c r="K1476" s="44"/>
      <c r="L1476" s="123">
        <v>22596.37</v>
      </c>
      <c r="M1476" s="44"/>
      <c r="N1476" s="44"/>
      <c r="O1476" s="123">
        <v>2023514.0</v>
      </c>
      <c r="P1476" s="52">
        <f t="shared" si="23"/>
        <v>2023513.69</v>
      </c>
      <c r="Q1476" s="124">
        <f t="shared" si="2"/>
        <v>0.3099999998</v>
      </c>
      <c r="R1476" s="52">
        <f t="array" ref="R1476">IFERROR(INDEX('Fund YTD Target Values'!$1:$1000, MATCH($C1476,'Fund YTD Target Values'!$A:$A,0), MATCH($A1476,'Fund YTD Target Values'!$1:$1,0)),0)</f>
        <v>2000000</v>
      </c>
      <c r="S1476" s="52">
        <f>IFERROR(__xludf.DUMMYFUNCTION("IFERROR(sum(FILTER('Fund Data'!$V:$V, 'Fund Data'!$C:$C = $C1476, 'Fund Data'!$A:$A &lt; $A1476)),0) + IFERROR(sum(FILTER('Fund Data'!$V:$V, 'Fund Data'!$C:$C = $C1476, 'Fund Data'!$A:$A = $A1476, 'Fund Data'!$B:$B &lt;= $B1476)),0)"),2000000.0)</f>
        <v>2000000</v>
      </c>
      <c r="T1476" s="123">
        <v>2000000.0</v>
      </c>
      <c r="U1476" s="44">
        <f t="shared" si="130"/>
        <v>0</v>
      </c>
      <c r="V1476" s="44">
        <f t="shared" si="3"/>
        <v>0</v>
      </c>
      <c r="W1476" s="123"/>
      <c r="X1476" s="123"/>
      <c r="Y1476" s="123">
        <v>0.0</v>
      </c>
      <c r="Z1476" s="123">
        <v>0.0</v>
      </c>
      <c r="AA1476" s="123">
        <v>0.0</v>
      </c>
      <c r="AB1476" s="123"/>
      <c r="AC1476" s="123">
        <v>0.0</v>
      </c>
      <c r="AD1476" s="44">
        <f t="shared" si="7"/>
        <v>0</v>
      </c>
      <c r="AE1476" s="123">
        <v>0.0</v>
      </c>
    </row>
    <row r="1477">
      <c r="A1477" s="120">
        <v>2017.0</v>
      </c>
      <c r="B1477" s="121">
        <v>10.0</v>
      </c>
      <c r="C1477" s="122" t="s">
        <v>81</v>
      </c>
      <c r="D1477" s="123">
        <v>2000000.0</v>
      </c>
      <c r="E1477" s="123">
        <v>0.0</v>
      </c>
      <c r="F1477" s="44"/>
      <c r="G1477" s="44"/>
      <c r="H1477" s="123">
        <v>0.0</v>
      </c>
      <c r="I1477" s="44"/>
      <c r="J1477" s="44"/>
      <c r="K1477" s="44"/>
      <c r="L1477" s="123">
        <v>0.0</v>
      </c>
      <c r="M1477" s="44"/>
      <c r="N1477" s="44"/>
      <c r="O1477" s="123">
        <v>2000000.0</v>
      </c>
      <c r="P1477" s="52">
        <f t="shared" si="23"/>
        <v>2000000</v>
      </c>
      <c r="Q1477" s="124">
        <f t="shared" si="2"/>
        <v>0</v>
      </c>
      <c r="R1477" s="52">
        <f t="array" ref="R1477">IFERROR(INDEX('Fund YTD Target Values'!$1:$1000, MATCH($C1477,'Fund YTD Target Values'!$A:$A,0), MATCH($A1477,'Fund YTD Target Values'!$1:$1,0)),0)</f>
        <v>2000000</v>
      </c>
      <c r="S1477" s="52">
        <f>IFERROR(__xludf.DUMMYFUNCTION("IFERROR(sum(FILTER('Fund Data'!$V:$V, 'Fund Data'!$C:$C = $C1477, 'Fund Data'!$A:$A &lt; $A1477)),0) + IFERROR(sum(FILTER('Fund Data'!$V:$V, 'Fund Data'!$C:$C = $C1477, 'Fund Data'!$A:$A = $A1477, 'Fund Data'!$B:$B &lt;= $B1477)),0)"),2000000.0)</f>
        <v>2000000</v>
      </c>
      <c r="T1477" s="123">
        <v>2000000.0</v>
      </c>
      <c r="U1477" s="44">
        <f t="shared" si="130"/>
        <v>0</v>
      </c>
      <c r="V1477" s="44">
        <f t="shared" si="3"/>
        <v>2000000</v>
      </c>
      <c r="W1477" s="123"/>
      <c r="X1477" s="123"/>
      <c r="Y1477" s="123">
        <v>0.0</v>
      </c>
      <c r="Z1477" s="123">
        <v>0.0</v>
      </c>
      <c r="AA1477" s="123">
        <v>0.0</v>
      </c>
      <c r="AB1477" s="123"/>
      <c r="AC1477" s="123">
        <v>0.0</v>
      </c>
      <c r="AD1477" s="44">
        <f t="shared" si="7"/>
        <v>0</v>
      </c>
      <c r="AE1477" s="123">
        <v>0.0</v>
      </c>
    </row>
    <row r="1478">
      <c r="A1478" s="178"/>
      <c r="B1478" s="179"/>
      <c r="C1478" s="147"/>
      <c r="D1478" s="44"/>
      <c r="E1478" s="44"/>
      <c r="F1478" s="44"/>
      <c r="G1478" s="44"/>
      <c r="H1478" s="44"/>
      <c r="I1478" s="44"/>
      <c r="J1478" s="44"/>
      <c r="K1478" s="44"/>
      <c r="L1478" s="44"/>
      <c r="M1478" s="44"/>
      <c r="N1478" s="44"/>
      <c r="O1478" s="44"/>
      <c r="P1478" s="52">
        <f t="shared" si="23"/>
        <v>0</v>
      </c>
      <c r="Q1478" s="124">
        <f t="shared" si="2"/>
        <v>0</v>
      </c>
      <c r="R1478" s="52">
        <f t="array" ref="R1478">IFERROR(INDEX('Fund YTD Target Values'!$1:$1000, MATCH($C1478,'Fund YTD Target Values'!$A:$A,0), MATCH($A1478,'Fund YTD Target Values'!$1:$1,0)),0)</f>
        <v>0</v>
      </c>
      <c r="S1478" s="52">
        <f>IFERROR(__xludf.DUMMYFUNCTION("IFERROR(sum(FILTER('Fund Data'!$V:$V, 'Fund Data'!$C:$C = $C1478, 'Fund Data'!$A:$A &lt; $A1478)),0) + IFERROR(sum(FILTER('Fund Data'!$V:$V, 'Fund Data'!$C:$C = $C1478, 'Fund Data'!$A:$A = $A1478, 'Fund Data'!$B:$B &lt;= $B1478)),0)"),0.0)</f>
        <v>0</v>
      </c>
      <c r="T1478" s="44"/>
      <c r="U1478" s="44"/>
      <c r="V1478" s="44">
        <f t="shared" si="3"/>
        <v>0</v>
      </c>
      <c r="W1478" s="52">
        <f>IFERROR(__xludf.DUMMYFUNCTION("iFERROR((FILTER('Fund Data'!$Y:$Y, 'Fund Data'!$C:$C = $C1478, 'Fund Data'!$A:$A = $A1478 - 1, 'Fund Data'!$B:$B = 12) + FILTER('Fund Data'!$AA:$AA, 'Fund Data'!$C:$C = $C1478, 'Fund Data'!$A:$A = $A1478 - 1, 'Fund Data'!$B:$B = 12)) * (1 + AVERAGE(FILTER"&amp;"('Inflation Data'!$C:$C,'Inflation Data'!$A:$A = ($A1478 - 2)))) * 'Parameters and Distribution Sum'!$A$4,0)"),0.0)</f>
        <v>0</v>
      </c>
      <c r="X1478" s="52">
        <f>IFERROR(__xludf.DUMMYFUNCTION("IFERROR((IFERROR(FILTER('Fund Data'!$P:$P,'Fund Data'!$C:$C = $C1478,'Fund Data'!$A:$A = ($A1478 - 2), 'Fund Data'!$B:$B = 12),0) - SUM(FILTER('Fund Data'!$V:$V, 'Fund Data'!$C:$C = $C1478, 'Fund Data'!$A:$A = ($A1478 - 2), 'Fund Data'!$B:$B &gt; 3)))  * 'Pa"&amp;"rameters and Distribution Sum'!$B$4 * (1 - 'Parameters and Distribution Sum'!$A$4),0)"),0.0)</f>
        <v>0</v>
      </c>
      <c r="Y1478" s="52">
        <f t="shared" ref="Y1478:Y1775" si="140">sum($W1478:$X1478)</f>
        <v>0</v>
      </c>
      <c r="Z1478" s="52">
        <f>IFERROR(__xludf.DUMMYFUNCTION("((IFERROR((SUM(FILTER('Fund Data'!$V:$V, 'Fund Data'!$C:$C = $C1478, 'Fund Data'!$A:$A = $A1478 - 1, 'Fund Data'!$B:$B &gt;= 4, 'Fund Data'!$B:$B &lt;= ($B1478 + 5))) / 12) * ($B1478 - 3) * 'Parameters and Distribution Sum'!$B$4, 0) + IF($B1478 &gt;= 9, IFERROR(SU"&amp;"M(FILTER('Fund Data'!$V:$V, 'Fund Data'!$C:$C = $C1478, 'Fund Data'!$A:$A = $A1478, 'Fund Data'!$B:$B &lt;= 3)) * 'Parameters and Distribution Sum'!$B$4, 0),0)))"),0.0)</f>
        <v>0</v>
      </c>
      <c r="AA1478" s="44">
        <f>IFERROR(__xludf.DUMMYFUNCTION("IFERROR(((IFERROR(SUM(FILTER('Fund Data'!$V:$V, 'Fund Data'!$C:$C = $C1478, 'Fund Data'!$A:$A = $A1478 - 2, 'Fund Data'!$B:$B &gt;= 4)) * 'Parameters and Distribution Sum'!$B$4,0) + IFERROR(SUM(FILTER('Fund Data'!$V:$V, 'Fund Data'!$C:$C = $C1478, 'Fund Data"&amp;"'!$A:$A = $A1478 - 1, 'Fund Data'!$B:$B &lt;= 3)) * 'Parameters and Distribution Sum'!$B$4,0))),0)"),0.0)</f>
        <v>0</v>
      </c>
      <c r="AB1478" s="44">
        <f t="shared" ref="AB1478:AB1775" si="141">IFERROR(__xludf.DUMMYFUNCTION("IFERROR(FILTER($AE:$AE,$C:$C = $C1478,$A:$A = $A1478 - 1,$B:$B = 12),0)"),0.0)</f>
        <v>0</v>
      </c>
      <c r="AC1478" s="44">
        <f t="shared" ref="AC1478:AC1775" si="142">sum($Y1478:$AB1478)</f>
        <v>0</v>
      </c>
      <c r="AD1478" s="44">
        <f t="shared" si="7"/>
        <v>0</v>
      </c>
      <c r="AE1478" s="44"/>
    </row>
    <row r="1479">
      <c r="A1479" s="178"/>
      <c r="B1479" s="179"/>
      <c r="C1479" s="147"/>
      <c r="D1479" s="44"/>
      <c r="E1479" s="44"/>
      <c r="F1479" s="44"/>
      <c r="G1479" s="44"/>
      <c r="H1479" s="44"/>
      <c r="I1479" s="44"/>
      <c r="J1479" s="44"/>
      <c r="K1479" s="44"/>
      <c r="L1479" s="44"/>
      <c r="M1479" s="44"/>
      <c r="N1479" s="44"/>
      <c r="O1479" s="44"/>
      <c r="P1479" s="52">
        <f t="shared" si="23"/>
        <v>0</v>
      </c>
      <c r="Q1479" s="124">
        <f t="shared" si="2"/>
        <v>0</v>
      </c>
      <c r="R1479" s="52">
        <f t="array" ref="R1479">IFERROR(INDEX('Fund YTD Target Values'!$1:$1000, MATCH($C1479,'Fund YTD Target Values'!$A:$A,0), MATCH($A1479,'Fund YTD Target Values'!$1:$1,0)),0)</f>
        <v>0</v>
      </c>
      <c r="S1479" s="52">
        <f>IFERROR(__xludf.DUMMYFUNCTION("IFERROR(sum(FILTER('Fund Data'!$V:$V, 'Fund Data'!$C:$C = $C1479, 'Fund Data'!$A:$A &lt; $A1479)),0) + IFERROR(sum(FILTER('Fund Data'!$V:$V, 'Fund Data'!$C:$C = $C1479, 'Fund Data'!$A:$A = $A1479, 'Fund Data'!$B:$B &lt;= $B1479)),0)"),0.0)</f>
        <v>0</v>
      </c>
      <c r="T1479" s="44"/>
      <c r="U1479" s="44"/>
      <c r="V1479" s="44">
        <f t="shared" si="3"/>
        <v>0</v>
      </c>
      <c r="W1479" s="52">
        <f>IFERROR(__xludf.DUMMYFUNCTION("iFERROR((FILTER('Fund Data'!$Y:$Y, 'Fund Data'!$C:$C = $C1479, 'Fund Data'!$A:$A = $A1479 - 1, 'Fund Data'!$B:$B = 12) + FILTER('Fund Data'!$AA:$AA, 'Fund Data'!$C:$C = $C1479, 'Fund Data'!$A:$A = $A1479 - 1, 'Fund Data'!$B:$B = 12)) * (1 + AVERAGE(FILTER"&amp;"('Inflation Data'!$C:$C,'Inflation Data'!$A:$A = ($A1479 - 2)))) * 'Parameters and Distribution Sum'!$A$4,0)"),0.0)</f>
        <v>0</v>
      </c>
      <c r="X1479" s="52">
        <f>IFERROR(__xludf.DUMMYFUNCTION("IFERROR((IFERROR(FILTER('Fund Data'!$P:$P,'Fund Data'!$C:$C = $C1479,'Fund Data'!$A:$A = ($A1479 - 2), 'Fund Data'!$B:$B = 12),0) - SUM(FILTER('Fund Data'!$V:$V, 'Fund Data'!$C:$C = $C1479, 'Fund Data'!$A:$A = ($A1479 - 2), 'Fund Data'!$B:$B &gt; 3)))  * 'Pa"&amp;"rameters and Distribution Sum'!$B$4 * (1 - 'Parameters and Distribution Sum'!$A$4),0)"),0.0)</f>
        <v>0</v>
      </c>
      <c r="Y1479" s="52">
        <f t="shared" si="140"/>
        <v>0</v>
      </c>
      <c r="Z1479" s="52">
        <f>IFERROR(__xludf.DUMMYFUNCTION("((IFERROR((SUM(FILTER('Fund Data'!$V:$V, 'Fund Data'!$C:$C = $C1479, 'Fund Data'!$A:$A = $A1479 - 1, 'Fund Data'!$B:$B &gt;= 4, 'Fund Data'!$B:$B &lt;= ($B1479 + 5))) / 12) * ($B1479 - 3) * 'Parameters and Distribution Sum'!$B$4, 0) + IF($B1479 &gt;= 9, IFERROR(SU"&amp;"M(FILTER('Fund Data'!$V:$V, 'Fund Data'!$C:$C = $C1479, 'Fund Data'!$A:$A = $A1479, 'Fund Data'!$B:$B &lt;= 3)) * 'Parameters and Distribution Sum'!$B$4, 0),0)))"),0.0)</f>
        <v>0</v>
      </c>
      <c r="AA1479" s="44">
        <f>IFERROR(__xludf.DUMMYFUNCTION("IFERROR(((IFERROR(SUM(FILTER('Fund Data'!$V:$V, 'Fund Data'!$C:$C = $C1479, 'Fund Data'!$A:$A = $A1479 - 2, 'Fund Data'!$B:$B &gt;= 4)) * 'Parameters and Distribution Sum'!$B$4,0) + IFERROR(SUM(FILTER('Fund Data'!$V:$V, 'Fund Data'!$C:$C = $C1479, 'Fund Data"&amp;"'!$A:$A = $A1479 - 1, 'Fund Data'!$B:$B &lt;= 3)) * 'Parameters and Distribution Sum'!$B$4,0))),0)"),0.0)</f>
        <v>0</v>
      </c>
      <c r="AB1479" s="44">
        <f t="shared" si="141"/>
        <v>0</v>
      </c>
      <c r="AC1479" s="44">
        <f t="shared" si="142"/>
        <v>0</v>
      </c>
      <c r="AD1479" s="44">
        <f t="shared" si="7"/>
        <v>0</v>
      </c>
      <c r="AE1479" s="44"/>
    </row>
    <row r="1480">
      <c r="A1480" s="178"/>
      <c r="B1480" s="179"/>
      <c r="C1480" s="147"/>
      <c r="D1480" s="44"/>
      <c r="E1480" s="44"/>
      <c r="F1480" s="44"/>
      <c r="G1480" s="44"/>
      <c r="H1480" s="44"/>
      <c r="I1480" s="44"/>
      <c r="J1480" s="44"/>
      <c r="K1480" s="44"/>
      <c r="L1480" s="44"/>
      <c r="M1480" s="44"/>
      <c r="N1480" s="44"/>
      <c r="O1480" s="44"/>
      <c r="P1480" s="52">
        <f t="shared" si="23"/>
        <v>0</v>
      </c>
      <c r="Q1480" s="124">
        <f t="shared" si="2"/>
        <v>0</v>
      </c>
      <c r="R1480" s="52">
        <f t="array" ref="R1480">IFERROR(INDEX('Fund YTD Target Values'!$1:$1000, MATCH($C1480,'Fund YTD Target Values'!$A:$A,0), MATCH($A1480,'Fund YTD Target Values'!$1:$1,0)),0)</f>
        <v>0</v>
      </c>
      <c r="S1480" s="52">
        <f>IFERROR(__xludf.DUMMYFUNCTION("IFERROR(sum(FILTER('Fund Data'!$V:$V, 'Fund Data'!$C:$C = $C1480, 'Fund Data'!$A:$A &lt; $A1480)),0) + IFERROR(sum(FILTER('Fund Data'!$V:$V, 'Fund Data'!$C:$C = $C1480, 'Fund Data'!$A:$A = $A1480, 'Fund Data'!$B:$B &lt;= $B1480)),0)"),0.0)</f>
        <v>0</v>
      </c>
      <c r="T1480" s="44"/>
      <c r="U1480" s="44"/>
      <c r="V1480" s="44">
        <f t="shared" si="3"/>
        <v>0</v>
      </c>
      <c r="W1480" s="52">
        <f>IFERROR(__xludf.DUMMYFUNCTION("iFERROR((FILTER('Fund Data'!$Y:$Y, 'Fund Data'!$C:$C = $C1480, 'Fund Data'!$A:$A = $A1480 - 1, 'Fund Data'!$B:$B = 12) + FILTER('Fund Data'!$AA:$AA, 'Fund Data'!$C:$C = $C1480, 'Fund Data'!$A:$A = $A1480 - 1, 'Fund Data'!$B:$B = 12)) * (1 + AVERAGE(FILTER"&amp;"('Inflation Data'!$C:$C,'Inflation Data'!$A:$A = ($A1480 - 2)))) * 'Parameters and Distribution Sum'!$A$4,0)"),0.0)</f>
        <v>0</v>
      </c>
      <c r="X1480" s="52">
        <f>IFERROR(__xludf.DUMMYFUNCTION("IFERROR((IFERROR(FILTER('Fund Data'!$P:$P,'Fund Data'!$C:$C = $C1480,'Fund Data'!$A:$A = ($A1480 - 2), 'Fund Data'!$B:$B = 12),0) - SUM(FILTER('Fund Data'!$V:$V, 'Fund Data'!$C:$C = $C1480, 'Fund Data'!$A:$A = ($A1480 - 2), 'Fund Data'!$B:$B &gt; 3)))  * 'Pa"&amp;"rameters and Distribution Sum'!$B$4 * (1 - 'Parameters and Distribution Sum'!$A$4),0)"),0.0)</f>
        <v>0</v>
      </c>
      <c r="Y1480" s="52">
        <f t="shared" si="140"/>
        <v>0</v>
      </c>
      <c r="Z1480" s="52">
        <f>IFERROR(__xludf.DUMMYFUNCTION("((IFERROR((SUM(FILTER('Fund Data'!$V:$V, 'Fund Data'!$C:$C = $C1480, 'Fund Data'!$A:$A = $A1480 - 1, 'Fund Data'!$B:$B &gt;= 4, 'Fund Data'!$B:$B &lt;= ($B1480 + 5))) / 12) * ($B1480 - 3) * 'Parameters and Distribution Sum'!$B$4, 0) + IF($B1480 &gt;= 9, IFERROR(SU"&amp;"M(FILTER('Fund Data'!$V:$V, 'Fund Data'!$C:$C = $C1480, 'Fund Data'!$A:$A = $A1480, 'Fund Data'!$B:$B &lt;= 3)) * 'Parameters and Distribution Sum'!$B$4, 0),0)))"),0.0)</f>
        <v>0</v>
      </c>
      <c r="AA1480" s="44">
        <f>IFERROR(__xludf.DUMMYFUNCTION("IFERROR(((IFERROR(SUM(FILTER('Fund Data'!$V:$V, 'Fund Data'!$C:$C = $C1480, 'Fund Data'!$A:$A = $A1480 - 2, 'Fund Data'!$B:$B &gt;= 4)) * 'Parameters and Distribution Sum'!$B$4,0) + IFERROR(SUM(FILTER('Fund Data'!$V:$V, 'Fund Data'!$C:$C = $C1480, 'Fund Data"&amp;"'!$A:$A = $A1480 - 1, 'Fund Data'!$B:$B &lt;= 3)) * 'Parameters and Distribution Sum'!$B$4,0))),0)"),0.0)</f>
        <v>0</v>
      </c>
      <c r="AB1480" s="44">
        <f t="shared" si="141"/>
        <v>0</v>
      </c>
      <c r="AC1480" s="44">
        <f t="shared" si="142"/>
        <v>0</v>
      </c>
      <c r="AD1480" s="44">
        <f t="shared" si="7"/>
        <v>0</v>
      </c>
      <c r="AE1480" s="44"/>
    </row>
    <row r="1481">
      <c r="A1481" s="178"/>
      <c r="B1481" s="179"/>
      <c r="C1481" s="147"/>
      <c r="D1481" s="44"/>
      <c r="E1481" s="44"/>
      <c r="F1481" s="44"/>
      <c r="G1481" s="44"/>
      <c r="H1481" s="44"/>
      <c r="I1481" s="44"/>
      <c r="J1481" s="44"/>
      <c r="K1481" s="44"/>
      <c r="L1481" s="44"/>
      <c r="M1481" s="44"/>
      <c r="N1481" s="44"/>
      <c r="O1481" s="44"/>
      <c r="P1481" s="52">
        <f t="shared" si="23"/>
        <v>0</v>
      </c>
      <c r="Q1481" s="124">
        <f t="shared" si="2"/>
        <v>0</v>
      </c>
      <c r="R1481" s="52">
        <f t="array" ref="R1481">IFERROR(INDEX('Fund YTD Target Values'!$1:$1000, MATCH($C1481,'Fund YTD Target Values'!$A:$A,0), MATCH($A1481,'Fund YTD Target Values'!$1:$1,0)),0)</f>
        <v>0</v>
      </c>
      <c r="S1481" s="52">
        <f>IFERROR(__xludf.DUMMYFUNCTION("IFERROR(sum(FILTER('Fund Data'!$V:$V, 'Fund Data'!$C:$C = $C1481, 'Fund Data'!$A:$A &lt; $A1481)),0) + IFERROR(sum(FILTER('Fund Data'!$V:$V, 'Fund Data'!$C:$C = $C1481, 'Fund Data'!$A:$A = $A1481, 'Fund Data'!$B:$B &lt;= $B1481)),0)"),0.0)</f>
        <v>0</v>
      </c>
      <c r="T1481" s="44"/>
      <c r="U1481" s="44"/>
      <c r="V1481" s="44">
        <f t="shared" si="3"/>
        <v>0</v>
      </c>
      <c r="W1481" s="52">
        <f>IFERROR(__xludf.DUMMYFUNCTION("iFERROR((FILTER('Fund Data'!$Y:$Y, 'Fund Data'!$C:$C = $C1481, 'Fund Data'!$A:$A = $A1481 - 1, 'Fund Data'!$B:$B = 12) + FILTER('Fund Data'!$AA:$AA, 'Fund Data'!$C:$C = $C1481, 'Fund Data'!$A:$A = $A1481 - 1, 'Fund Data'!$B:$B = 12)) * (1 + AVERAGE(FILTER"&amp;"('Inflation Data'!$C:$C,'Inflation Data'!$A:$A = ($A1481 - 2)))) * 'Parameters and Distribution Sum'!$A$4,0)"),0.0)</f>
        <v>0</v>
      </c>
      <c r="X1481" s="52">
        <f>IFERROR(__xludf.DUMMYFUNCTION("IFERROR((IFERROR(FILTER('Fund Data'!$P:$P,'Fund Data'!$C:$C = $C1481,'Fund Data'!$A:$A = ($A1481 - 2), 'Fund Data'!$B:$B = 12),0) - SUM(FILTER('Fund Data'!$V:$V, 'Fund Data'!$C:$C = $C1481, 'Fund Data'!$A:$A = ($A1481 - 2), 'Fund Data'!$B:$B &gt; 3)))  * 'Pa"&amp;"rameters and Distribution Sum'!$B$4 * (1 - 'Parameters and Distribution Sum'!$A$4),0)"),0.0)</f>
        <v>0</v>
      </c>
      <c r="Y1481" s="52">
        <f t="shared" si="140"/>
        <v>0</v>
      </c>
      <c r="Z1481" s="52">
        <f>IFERROR(__xludf.DUMMYFUNCTION("((IFERROR((SUM(FILTER('Fund Data'!$V:$V, 'Fund Data'!$C:$C = $C1481, 'Fund Data'!$A:$A = $A1481 - 1, 'Fund Data'!$B:$B &gt;= 4, 'Fund Data'!$B:$B &lt;= ($B1481 + 5))) / 12) * ($B1481 - 3) * 'Parameters and Distribution Sum'!$B$4, 0) + IF($B1481 &gt;= 9, IFERROR(SU"&amp;"M(FILTER('Fund Data'!$V:$V, 'Fund Data'!$C:$C = $C1481, 'Fund Data'!$A:$A = $A1481, 'Fund Data'!$B:$B &lt;= 3)) * 'Parameters and Distribution Sum'!$B$4, 0),0)))"),0.0)</f>
        <v>0</v>
      </c>
      <c r="AA1481" s="44">
        <f>IFERROR(__xludf.DUMMYFUNCTION("IFERROR(((IFERROR(SUM(FILTER('Fund Data'!$V:$V, 'Fund Data'!$C:$C = $C1481, 'Fund Data'!$A:$A = $A1481 - 2, 'Fund Data'!$B:$B &gt;= 4)) * 'Parameters and Distribution Sum'!$B$4,0) + IFERROR(SUM(FILTER('Fund Data'!$V:$V, 'Fund Data'!$C:$C = $C1481, 'Fund Data"&amp;"'!$A:$A = $A1481 - 1, 'Fund Data'!$B:$B &lt;= 3)) * 'Parameters and Distribution Sum'!$B$4,0))),0)"),0.0)</f>
        <v>0</v>
      </c>
      <c r="AB1481" s="44">
        <f t="shared" si="141"/>
        <v>0</v>
      </c>
      <c r="AC1481" s="44">
        <f t="shared" si="142"/>
        <v>0</v>
      </c>
      <c r="AD1481" s="44">
        <f t="shared" si="7"/>
        <v>0</v>
      </c>
      <c r="AE1481" s="44"/>
    </row>
    <row r="1482">
      <c r="A1482" s="178"/>
      <c r="B1482" s="179"/>
      <c r="C1482" s="147"/>
      <c r="D1482" s="44"/>
      <c r="E1482" s="44"/>
      <c r="F1482" s="44"/>
      <c r="G1482" s="44"/>
      <c r="H1482" s="44"/>
      <c r="I1482" s="44"/>
      <c r="J1482" s="44"/>
      <c r="K1482" s="44"/>
      <c r="L1482" s="44"/>
      <c r="M1482" s="44"/>
      <c r="N1482" s="44"/>
      <c r="O1482" s="44"/>
      <c r="P1482" s="52">
        <f t="shared" si="23"/>
        <v>0</v>
      </c>
      <c r="Q1482" s="124">
        <f t="shared" si="2"/>
        <v>0</v>
      </c>
      <c r="R1482" s="52">
        <f t="array" ref="R1482">IFERROR(INDEX('Fund YTD Target Values'!$1:$1000, MATCH($C1482,'Fund YTD Target Values'!$A:$A,0), MATCH($A1482,'Fund YTD Target Values'!$1:$1,0)),0)</f>
        <v>0</v>
      </c>
      <c r="S1482" s="52">
        <f>IFERROR(__xludf.DUMMYFUNCTION("IFERROR(sum(FILTER('Fund Data'!$V:$V, 'Fund Data'!$C:$C = $C1482, 'Fund Data'!$A:$A &lt; $A1482)),0) + IFERROR(sum(FILTER('Fund Data'!$V:$V, 'Fund Data'!$C:$C = $C1482, 'Fund Data'!$A:$A = $A1482, 'Fund Data'!$B:$B &lt;= $B1482)),0)"),0.0)</f>
        <v>0</v>
      </c>
      <c r="T1482" s="44"/>
      <c r="U1482" s="44"/>
      <c r="V1482" s="44">
        <f t="shared" si="3"/>
        <v>0</v>
      </c>
      <c r="W1482" s="52">
        <f>IFERROR(__xludf.DUMMYFUNCTION("iFERROR((FILTER('Fund Data'!$Y:$Y, 'Fund Data'!$C:$C = $C1482, 'Fund Data'!$A:$A = $A1482 - 1, 'Fund Data'!$B:$B = 12) + FILTER('Fund Data'!$AA:$AA, 'Fund Data'!$C:$C = $C1482, 'Fund Data'!$A:$A = $A1482 - 1, 'Fund Data'!$B:$B = 12)) * (1 + AVERAGE(FILTER"&amp;"('Inflation Data'!$C:$C,'Inflation Data'!$A:$A = ($A1482 - 2)))) * 'Parameters and Distribution Sum'!$A$4,0)"),0.0)</f>
        <v>0</v>
      </c>
      <c r="X1482" s="52">
        <f>IFERROR(__xludf.DUMMYFUNCTION("IFERROR((IFERROR(FILTER('Fund Data'!$P:$P,'Fund Data'!$C:$C = $C1482,'Fund Data'!$A:$A = ($A1482 - 2), 'Fund Data'!$B:$B = 12),0) - SUM(FILTER('Fund Data'!$V:$V, 'Fund Data'!$C:$C = $C1482, 'Fund Data'!$A:$A = ($A1482 - 2), 'Fund Data'!$B:$B &gt; 3)))  * 'Pa"&amp;"rameters and Distribution Sum'!$B$4 * (1 - 'Parameters and Distribution Sum'!$A$4),0)"),0.0)</f>
        <v>0</v>
      </c>
      <c r="Y1482" s="52">
        <f t="shared" si="140"/>
        <v>0</v>
      </c>
      <c r="Z1482" s="52">
        <f>IFERROR(__xludf.DUMMYFUNCTION("((IFERROR((SUM(FILTER('Fund Data'!$V:$V, 'Fund Data'!$C:$C = $C1482, 'Fund Data'!$A:$A = $A1482 - 1, 'Fund Data'!$B:$B &gt;= 4, 'Fund Data'!$B:$B &lt;= ($B1482 + 5))) / 12) * ($B1482 - 3) * 'Parameters and Distribution Sum'!$B$4, 0) + IF($B1482 &gt;= 9, IFERROR(SU"&amp;"M(FILTER('Fund Data'!$V:$V, 'Fund Data'!$C:$C = $C1482, 'Fund Data'!$A:$A = $A1482, 'Fund Data'!$B:$B &lt;= 3)) * 'Parameters and Distribution Sum'!$B$4, 0),0)))"),0.0)</f>
        <v>0</v>
      </c>
      <c r="AA1482" s="44">
        <f>IFERROR(__xludf.DUMMYFUNCTION("IFERROR(((IFERROR(SUM(FILTER('Fund Data'!$V:$V, 'Fund Data'!$C:$C = $C1482, 'Fund Data'!$A:$A = $A1482 - 2, 'Fund Data'!$B:$B &gt;= 4)) * 'Parameters and Distribution Sum'!$B$4,0) + IFERROR(SUM(FILTER('Fund Data'!$V:$V, 'Fund Data'!$C:$C = $C1482, 'Fund Data"&amp;"'!$A:$A = $A1482 - 1, 'Fund Data'!$B:$B &lt;= 3)) * 'Parameters and Distribution Sum'!$B$4,0))),0)"),0.0)</f>
        <v>0</v>
      </c>
      <c r="AB1482" s="44">
        <f t="shared" si="141"/>
        <v>0</v>
      </c>
      <c r="AC1482" s="44">
        <f t="shared" si="142"/>
        <v>0</v>
      </c>
      <c r="AD1482" s="44">
        <f t="shared" si="7"/>
        <v>0</v>
      </c>
      <c r="AE1482" s="44"/>
    </row>
    <row r="1483">
      <c r="A1483" s="178"/>
      <c r="B1483" s="179"/>
      <c r="C1483" s="147"/>
      <c r="D1483" s="44"/>
      <c r="E1483" s="44"/>
      <c r="F1483" s="44"/>
      <c r="G1483" s="44"/>
      <c r="H1483" s="44"/>
      <c r="I1483" s="44"/>
      <c r="J1483" s="44"/>
      <c r="K1483" s="44"/>
      <c r="L1483" s="44"/>
      <c r="M1483" s="44"/>
      <c r="N1483" s="44"/>
      <c r="O1483" s="44"/>
      <c r="P1483" s="52">
        <f t="shared" si="23"/>
        <v>0</v>
      </c>
      <c r="Q1483" s="124">
        <f t="shared" si="2"/>
        <v>0</v>
      </c>
      <c r="R1483" s="52">
        <f t="array" ref="R1483">IFERROR(INDEX('Fund YTD Target Values'!$1:$1000, MATCH($C1483,'Fund YTD Target Values'!$A:$A,0), MATCH($A1483,'Fund YTD Target Values'!$1:$1,0)),0)</f>
        <v>0</v>
      </c>
      <c r="S1483" s="52">
        <f>IFERROR(__xludf.DUMMYFUNCTION("IFERROR(sum(FILTER('Fund Data'!$V:$V, 'Fund Data'!$C:$C = $C1483, 'Fund Data'!$A:$A &lt; $A1483)),0) + IFERROR(sum(FILTER('Fund Data'!$V:$V, 'Fund Data'!$C:$C = $C1483, 'Fund Data'!$A:$A = $A1483, 'Fund Data'!$B:$B &lt;= $B1483)),0)"),0.0)</f>
        <v>0</v>
      </c>
      <c r="T1483" s="44"/>
      <c r="U1483" s="44"/>
      <c r="V1483" s="44">
        <f t="shared" si="3"/>
        <v>0</v>
      </c>
      <c r="W1483" s="52">
        <f>IFERROR(__xludf.DUMMYFUNCTION("iFERROR((FILTER('Fund Data'!$Y:$Y, 'Fund Data'!$C:$C = $C1483, 'Fund Data'!$A:$A = $A1483 - 1, 'Fund Data'!$B:$B = 12) + FILTER('Fund Data'!$AA:$AA, 'Fund Data'!$C:$C = $C1483, 'Fund Data'!$A:$A = $A1483 - 1, 'Fund Data'!$B:$B = 12)) * (1 + AVERAGE(FILTER"&amp;"('Inflation Data'!$C:$C,'Inflation Data'!$A:$A = ($A1483 - 2)))) * 'Parameters and Distribution Sum'!$A$4,0)"),0.0)</f>
        <v>0</v>
      </c>
      <c r="X1483" s="52">
        <f>IFERROR(__xludf.DUMMYFUNCTION("IFERROR((IFERROR(FILTER('Fund Data'!$P:$P,'Fund Data'!$C:$C = $C1483,'Fund Data'!$A:$A = ($A1483 - 2), 'Fund Data'!$B:$B = 12),0) - SUM(FILTER('Fund Data'!$V:$V, 'Fund Data'!$C:$C = $C1483, 'Fund Data'!$A:$A = ($A1483 - 2), 'Fund Data'!$B:$B &gt; 3)))  * 'Pa"&amp;"rameters and Distribution Sum'!$B$4 * (1 - 'Parameters and Distribution Sum'!$A$4),0)"),0.0)</f>
        <v>0</v>
      </c>
      <c r="Y1483" s="52">
        <f t="shared" si="140"/>
        <v>0</v>
      </c>
      <c r="Z1483" s="52">
        <f>IFERROR(__xludf.DUMMYFUNCTION("((IFERROR((SUM(FILTER('Fund Data'!$V:$V, 'Fund Data'!$C:$C = $C1483, 'Fund Data'!$A:$A = $A1483 - 1, 'Fund Data'!$B:$B &gt;= 4, 'Fund Data'!$B:$B &lt;= ($B1483 + 5))) / 12) * ($B1483 - 3) * 'Parameters and Distribution Sum'!$B$4, 0) + IF($B1483 &gt;= 9, IFERROR(SU"&amp;"M(FILTER('Fund Data'!$V:$V, 'Fund Data'!$C:$C = $C1483, 'Fund Data'!$A:$A = $A1483, 'Fund Data'!$B:$B &lt;= 3)) * 'Parameters and Distribution Sum'!$B$4, 0),0)))"),0.0)</f>
        <v>0</v>
      </c>
      <c r="AA1483" s="44">
        <f>IFERROR(__xludf.DUMMYFUNCTION("IFERROR(((IFERROR(SUM(FILTER('Fund Data'!$V:$V, 'Fund Data'!$C:$C = $C1483, 'Fund Data'!$A:$A = $A1483 - 2, 'Fund Data'!$B:$B &gt;= 4)) * 'Parameters and Distribution Sum'!$B$4,0) + IFERROR(SUM(FILTER('Fund Data'!$V:$V, 'Fund Data'!$C:$C = $C1483, 'Fund Data"&amp;"'!$A:$A = $A1483 - 1, 'Fund Data'!$B:$B &lt;= 3)) * 'Parameters and Distribution Sum'!$B$4,0))),0)"),0.0)</f>
        <v>0</v>
      </c>
      <c r="AB1483" s="44">
        <f t="shared" si="141"/>
        <v>0</v>
      </c>
      <c r="AC1483" s="44">
        <f t="shared" si="142"/>
        <v>0</v>
      </c>
      <c r="AD1483" s="44">
        <f t="shared" si="7"/>
        <v>0</v>
      </c>
      <c r="AE1483" s="44"/>
    </row>
    <row r="1484">
      <c r="A1484" s="178"/>
      <c r="B1484" s="179"/>
      <c r="C1484" s="147"/>
      <c r="D1484" s="44"/>
      <c r="E1484" s="44"/>
      <c r="F1484" s="44"/>
      <c r="G1484" s="44"/>
      <c r="H1484" s="44"/>
      <c r="I1484" s="44"/>
      <c r="J1484" s="44"/>
      <c r="K1484" s="44"/>
      <c r="L1484" s="44"/>
      <c r="M1484" s="44"/>
      <c r="N1484" s="44"/>
      <c r="O1484" s="44"/>
      <c r="P1484" s="52">
        <f t="shared" si="23"/>
        <v>0</v>
      </c>
      <c r="Q1484" s="124">
        <f t="shared" si="2"/>
        <v>0</v>
      </c>
      <c r="R1484" s="52">
        <f t="array" ref="R1484">IFERROR(INDEX('Fund YTD Target Values'!$1:$1000, MATCH($C1484,'Fund YTD Target Values'!$A:$A,0), MATCH($A1484,'Fund YTD Target Values'!$1:$1,0)),0)</f>
        <v>0</v>
      </c>
      <c r="S1484" s="52">
        <f>IFERROR(__xludf.DUMMYFUNCTION("IFERROR(sum(FILTER('Fund Data'!$V:$V, 'Fund Data'!$C:$C = $C1484, 'Fund Data'!$A:$A &lt; $A1484)),0) + IFERROR(sum(FILTER('Fund Data'!$V:$V, 'Fund Data'!$C:$C = $C1484, 'Fund Data'!$A:$A = $A1484, 'Fund Data'!$B:$B &lt;= $B1484)),0)"),0.0)</f>
        <v>0</v>
      </c>
      <c r="T1484" s="44"/>
      <c r="U1484" s="44"/>
      <c r="V1484" s="44">
        <f t="shared" si="3"/>
        <v>0</v>
      </c>
      <c r="W1484" s="52">
        <f>IFERROR(__xludf.DUMMYFUNCTION("iFERROR((FILTER('Fund Data'!$Y:$Y, 'Fund Data'!$C:$C = $C1484, 'Fund Data'!$A:$A = $A1484 - 1, 'Fund Data'!$B:$B = 12) + FILTER('Fund Data'!$AA:$AA, 'Fund Data'!$C:$C = $C1484, 'Fund Data'!$A:$A = $A1484 - 1, 'Fund Data'!$B:$B = 12)) * (1 + AVERAGE(FILTER"&amp;"('Inflation Data'!$C:$C,'Inflation Data'!$A:$A = ($A1484 - 2)))) * 'Parameters and Distribution Sum'!$A$4,0)"),0.0)</f>
        <v>0</v>
      </c>
      <c r="X1484" s="52">
        <f>IFERROR(__xludf.DUMMYFUNCTION("IFERROR((IFERROR(FILTER('Fund Data'!$P:$P,'Fund Data'!$C:$C = $C1484,'Fund Data'!$A:$A = ($A1484 - 2), 'Fund Data'!$B:$B = 12),0) - SUM(FILTER('Fund Data'!$V:$V, 'Fund Data'!$C:$C = $C1484, 'Fund Data'!$A:$A = ($A1484 - 2), 'Fund Data'!$B:$B &gt; 3)))  * 'Pa"&amp;"rameters and Distribution Sum'!$B$4 * (1 - 'Parameters and Distribution Sum'!$A$4),0)"),0.0)</f>
        <v>0</v>
      </c>
      <c r="Y1484" s="52">
        <f t="shared" si="140"/>
        <v>0</v>
      </c>
      <c r="Z1484" s="52">
        <f>IFERROR(__xludf.DUMMYFUNCTION("((IFERROR((SUM(FILTER('Fund Data'!$V:$V, 'Fund Data'!$C:$C = $C1484, 'Fund Data'!$A:$A = $A1484 - 1, 'Fund Data'!$B:$B &gt;= 4, 'Fund Data'!$B:$B &lt;= ($B1484 + 5))) / 12) * ($B1484 - 3) * 'Parameters and Distribution Sum'!$B$4, 0) + IF($B1484 &gt;= 9, IFERROR(SU"&amp;"M(FILTER('Fund Data'!$V:$V, 'Fund Data'!$C:$C = $C1484, 'Fund Data'!$A:$A = $A1484, 'Fund Data'!$B:$B &lt;= 3)) * 'Parameters and Distribution Sum'!$B$4, 0),0)))"),0.0)</f>
        <v>0</v>
      </c>
      <c r="AA1484" s="44">
        <f>IFERROR(__xludf.DUMMYFUNCTION("IFERROR(((IFERROR(SUM(FILTER('Fund Data'!$V:$V, 'Fund Data'!$C:$C = $C1484, 'Fund Data'!$A:$A = $A1484 - 2, 'Fund Data'!$B:$B &gt;= 4)) * 'Parameters and Distribution Sum'!$B$4,0) + IFERROR(SUM(FILTER('Fund Data'!$V:$V, 'Fund Data'!$C:$C = $C1484, 'Fund Data"&amp;"'!$A:$A = $A1484 - 1, 'Fund Data'!$B:$B &lt;= 3)) * 'Parameters and Distribution Sum'!$B$4,0))),0)"),0.0)</f>
        <v>0</v>
      </c>
      <c r="AB1484" s="44">
        <f t="shared" si="141"/>
        <v>0</v>
      </c>
      <c r="AC1484" s="44">
        <f t="shared" si="142"/>
        <v>0</v>
      </c>
      <c r="AD1484" s="44">
        <f t="shared" si="7"/>
        <v>0</v>
      </c>
      <c r="AE1484" s="44"/>
    </row>
    <row r="1485">
      <c r="A1485" s="178"/>
      <c r="B1485" s="179"/>
      <c r="C1485" s="147"/>
      <c r="D1485" s="44"/>
      <c r="E1485" s="44"/>
      <c r="F1485" s="44"/>
      <c r="G1485" s="44"/>
      <c r="H1485" s="44"/>
      <c r="I1485" s="44"/>
      <c r="J1485" s="44"/>
      <c r="K1485" s="44"/>
      <c r="L1485" s="44"/>
      <c r="M1485" s="44"/>
      <c r="N1485" s="44"/>
      <c r="O1485" s="44"/>
      <c r="P1485" s="52">
        <f t="shared" si="23"/>
        <v>0</v>
      </c>
      <c r="Q1485" s="124">
        <f t="shared" si="2"/>
        <v>0</v>
      </c>
      <c r="R1485" s="52">
        <f t="array" ref="R1485">IFERROR(INDEX('Fund YTD Target Values'!$1:$1000, MATCH($C1485,'Fund YTD Target Values'!$A:$A,0), MATCH($A1485,'Fund YTD Target Values'!$1:$1,0)),0)</f>
        <v>0</v>
      </c>
      <c r="S1485" s="52">
        <f>IFERROR(__xludf.DUMMYFUNCTION("IFERROR(sum(FILTER('Fund Data'!$V:$V, 'Fund Data'!$C:$C = $C1485, 'Fund Data'!$A:$A &lt; $A1485)),0) + IFERROR(sum(FILTER('Fund Data'!$V:$V, 'Fund Data'!$C:$C = $C1485, 'Fund Data'!$A:$A = $A1485, 'Fund Data'!$B:$B &lt;= $B1485)),0)"),0.0)</f>
        <v>0</v>
      </c>
      <c r="T1485" s="44"/>
      <c r="U1485" s="44"/>
      <c r="V1485" s="44">
        <f t="shared" si="3"/>
        <v>0</v>
      </c>
      <c r="W1485" s="52">
        <f>IFERROR(__xludf.DUMMYFUNCTION("iFERROR((FILTER('Fund Data'!$Y:$Y, 'Fund Data'!$C:$C = $C1485, 'Fund Data'!$A:$A = $A1485 - 1, 'Fund Data'!$B:$B = 12) + FILTER('Fund Data'!$AA:$AA, 'Fund Data'!$C:$C = $C1485, 'Fund Data'!$A:$A = $A1485 - 1, 'Fund Data'!$B:$B = 12)) * (1 + AVERAGE(FILTER"&amp;"('Inflation Data'!$C:$C,'Inflation Data'!$A:$A = ($A1485 - 2)))) * 'Parameters and Distribution Sum'!$A$4,0)"),0.0)</f>
        <v>0</v>
      </c>
      <c r="X1485" s="52">
        <f>IFERROR(__xludf.DUMMYFUNCTION("IFERROR((IFERROR(FILTER('Fund Data'!$P:$P,'Fund Data'!$C:$C = $C1485,'Fund Data'!$A:$A = ($A1485 - 2), 'Fund Data'!$B:$B = 12),0) - SUM(FILTER('Fund Data'!$V:$V, 'Fund Data'!$C:$C = $C1485, 'Fund Data'!$A:$A = ($A1485 - 2), 'Fund Data'!$B:$B &gt; 3)))  * 'Pa"&amp;"rameters and Distribution Sum'!$B$4 * (1 - 'Parameters and Distribution Sum'!$A$4),0)"),0.0)</f>
        <v>0</v>
      </c>
      <c r="Y1485" s="52">
        <f t="shared" si="140"/>
        <v>0</v>
      </c>
      <c r="Z1485" s="52">
        <f>IFERROR(__xludf.DUMMYFUNCTION("((IFERROR((SUM(FILTER('Fund Data'!$V:$V, 'Fund Data'!$C:$C = $C1485, 'Fund Data'!$A:$A = $A1485 - 1, 'Fund Data'!$B:$B &gt;= 4, 'Fund Data'!$B:$B &lt;= ($B1485 + 5))) / 12) * ($B1485 - 3) * 'Parameters and Distribution Sum'!$B$4, 0) + IF($B1485 &gt;= 9, IFERROR(SU"&amp;"M(FILTER('Fund Data'!$V:$V, 'Fund Data'!$C:$C = $C1485, 'Fund Data'!$A:$A = $A1485, 'Fund Data'!$B:$B &lt;= 3)) * 'Parameters and Distribution Sum'!$B$4, 0),0)))"),0.0)</f>
        <v>0</v>
      </c>
      <c r="AA1485" s="44">
        <f>IFERROR(__xludf.DUMMYFUNCTION("IFERROR(((IFERROR(SUM(FILTER('Fund Data'!$V:$V, 'Fund Data'!$C:$C = $C1485, 'Fund Data'!$A:$A = $A1485 - 2, 'Fund Data'!$B:$B &gt;= 4)) * 'Parameters and Distribution Sum'!$B$4,0) + IFERROR(SUM(FILTER('Fund Data'!$V:$V, 'Fund Data'!$C:$C = $C1485, 'Fund Data"&amp;"'!$A:$A = $A1485 - 1, 'Fund Data'!$B:$B &lt;= 3)) * 'Parameters and Distribution Sum'!$B$4,0))),0)"),0.0)</f>
        <v>0</v>
      </c>
      <c r="AB1485" s="44">
        <f t="shared" si="141"/>
        <v>0</v>
      </c>
      <c r="AC1485" s="44">
        <f t="shared" si="142"/>
        <v>0</v>
      </c>
      <c r="AD1485" s="44">
        <f t="shared" si="7"/>
        <v>0</v>
      </c>
      <c r="AE1485" s="44"/>
    </row>
    <row r="1486">
      <c r="A1486" s="178"/>
      <c r="B1486" s="179"/>
      <c r="C1486" s="147"/>
      <c r="D1486" s="44"/>
      <c r="E1486" s="44"/>
      <c r="F1486" s="44"/>
      <c r="G1486" s="44"/>
      <c r="H1486" s="44"/>
      <c r="I1486" s="44"/>
      <c r="J1486" s="44"/>
      <c r="K1486" s="44"/>
      <c r="L1486" s="44"/>
      <c r="M1486" s="44"/>
      <c r="N1486" s="44"/>
      <c r="O1486" s="44"/>
      <c r="P1486" s="52">
        <f t="shared" si="23"/>
        <v>0</v>
      </c>
      <c r="Q1486" s="124">
        <f t="shared" si="2"/>
        <v>0</v>
      </c>
      <c r="R1486" s="52">
        <f t="array" ref="R1486">IFERROR(INDEX('Fund YTD Target Values'!$1:$1000, MATCH($C1486,'Fund YTD Target Values'!$A:$A,0), MATCH($A1486,'Fund YTD Target Values'!$1:$1,0)),0)</f>
        <v>0</v>
      </c>
      <c r="S1486" s="52">
        <f>IFERROR(__xludf.DUMMYFUNCTION("IFERROR(sum(FILTER('Fund Data'!$V:$V, 'Fund Data'!$C:$C = $C1486, 'Fund Data'!$A:$A &lt; $A1486)),0) + IFERROR(sum(FILTER('Fund Data'!$V:$V, 'Fund Data'!$C:$C = $C1486, 'Fund Data'!$A:$A = $A1486, 'Fund Data'!$B:$B &lt;= $B1486)),0)"),0.0)</f>
        <v>0</v>
      </c>
      <c r="T1486" s="44"/>
      <c r="U1486" s="44"/>
      <c r="V1486" s="44">
        <f t="shared" si="3"/>
        <v>0</v>
      </c>
      <c r="W1486" s="52">
        <f>IFERROR(__xludf.DUMMYFUNCTION("iFERROR((FILTER('Fund Data'!$Y:$Y, 'Fund Data'!$C:$C = $C1486, 'Fund Data'!$A:$A = $A1486 - 1, 'Fund Data'!$B:$B = 12) + FILTER('Fund Data'!$AA:$AA, 'Fund Data'!$C:$C = $C1486, 'Fund Data'!$A:$A = $A1486 - 1, 'Fund Data'!$B:$B = 12)) * (1 + AVERAGE(FILTER"&amp;"('Inflation Data'!$C:$C,'Inflation Data'!$A:$A = ($A1486 - 2)))) * 'Parameters and Distribution Sum'!$A$4,0)"),0.0)</f>
        <v>0</v>
      </c>
      <c r="X1486" s="52">
        <f>IFERROR(__xludf.DUMMYFUNCTION("IFERROR((IFERROR(FILTER('Fund Data'!$P:$P,'Fund Data'!$C:$C = $C1486,'Fund Data'!$A:$A = ($A1486 - 2), 'Fund Data'!$B:$B = 12),0) - SUM(FILTER('Fund Data'!$V:$V, 'Fund Data'!$C:$C = $C1486, 'Fund Data'!$A:$A = ($A1486 - 2), 'Fund Data'!$B:$B &gt; 3)))  * 'Pa"&amp;"rameters and Distribution Sum'!$B$4 * (1 - 'Parameters and Distribution Sum'!$A$4),0)"),0.0)</f>
        <v>0</v>
      </c>
      <c r="Y1486" s="52">
        <f t="shared" si="140"/>
        <v>0</v>
      </c>
      <c r="Z1486" s="52">
        <f>IFERROR(__xludf.DUMMYFUNCTION("((IFERROR((SUM(FILTER('Fund Data'!$V:$V, 'Fund Data'!$C:$C = $C1486, 'Fund Data'!$A:$A = $A1486 - 1, 'Fund Data'!$B:$B &gt;= 4, 'Fund Data'!$B:$B &lt;= ($B1486 + 5))) / 12) * ($B1486 - 3) * 'Parameters and Distribution Sum'!$B$4, 0) + IF($B1486 &gt;= 9, IFERROR(SU"&amp;"M(FILTER('Fund Data'!$V:$V, 'Fund Data'!$C:$C = $C1486, 'Fund Data'!$A:$A = $A1486, 'Fund Data'!$B:$B &lt;= 3)) * 'Parameters and Distribution Sum'!$B$4, 0),0)))"),0.0)</f>
        <v>0</v>
      </c>
      <c r="AA1486" s="44">
        <f>IFERROR(__xludf.DUMMYFUNCTION("IFERROR(((IFERROR(SUM(FILTER('Fund Data'!$V:$V, 'Fund Data'!$C:$C = $C1486, 'Fund Data'!$A:$A = $A1486 - 2, 'Fund Data'!$B:$B &gt;= 4)) * 'Parameters and Distribution Sum'!$B$4,0) + IFERROR(SUM(FILTER('Fund Data'!$V:$V, 'Fund Data'!$C:$C = $C1486, 'Fund Data"&amp;"'!$A:$A = $A1486 - 1, 'Fund Data'!$B:$B &lt;= 3)) * 'Parameters and Distribution Sum'!$B$4,0))),0)"),0.0)</f>
        <v>0</v>
      </c>
      <c r="AB1486" s="44">
        <f t="shared" si="141"/>
        <v>0</v>
      </c>
      <c r="AC1486" s="44">
        <f t="shared" si="142"/>
        <v>0</v>
      </c>
      <c r="AD1486" s="44">
        <f t="shared" si="7"/>
        <v>0</v>
      </c>
      <c r="AE1486" s="44"/>
    </row>
    <row r="1487">
      <c r="A1487" s="178"/>
      <c r="B1487" s="179"/>
      <c r="C1487" s="147"/>
      <c r="D1487" s="44"/>
      <c r="E1487" s="44"/>
      <c r="F1487" s="44"/>
      <c r="G1487" s="44"/>
      <c r="H1487" s="44"/>
      <c r="I1487" s="44"/>
      <c r="J1487" s="44"/>
      <c r="K1487" s="44"/>
      <c r="L1487" s="44"/>
      <c r="M1487" s="44"/>
      <c r="N1487" s="44"/>
      <c r="O1487" s="44"/>
      <c r="P1487" s="52">
        <f t="shared" si="23"/>
        <v>0</v>
      </c>
      <c r="Q1487" s="124">
        <f t="shared" si="2"/>
        <v>0</v>
      </c>
      <c r="R1487" s="52">
        <f t="array" ref="R1487">IFERROR(INDEX('Fund YTD Target Values'!$1:$1000, MATCH($C1487,'Fund YTD Target Values'!$A:$A,0), MATCH($A1487,'Fund YTD Target Values'!$1:$1,0)),0)</f>
        <v>0</v>
      </c>
      <c r="S1487" s="52">
        <f>IFERROR(__xludf.DUMMYFUNCTION("IFERROR(sum(FILTER('Fund Data'!$V:$V, 'Fund Data'!$C:$C = $C1487, 'Fund Data'!$A:$A &lt; $A1487)),0) + IFERROR(sum(FILTER('Fund Data'!$V:$V, 'Fund Data'!$C:$C = $C1487, 'Fund Data'!$A:$A = $A1487, 'Fund Data'!$B:$B &lt;= $B1487)),0)"),0.0)</f>
        <v>0</v>
      </c>
      <c r="T1487" s="44"/>
      <c r="U1487" s="44"/>
      <c r="V1487" s="44">
        <f t="shared" si="3"/>
        <v>0</v>
      </c>
      <c r="W1487" s="52">
        <f>IFERROR(__xludf.DUMMYFUNCTION("iFERROR((FILTER('Fund Data'!$Y:$Y, 'Fund Data'!$C:$C = $C1487, 'Fund Data'!$A:$A = $A1487 - 1, 'Fund Data'!$B:$B = 12) + FILTER('Fund Data'!$AA:$AA, 'Fund Data'!$C:$C = $C1487, 'Fund Data'!$A:$A = $A1487 - 1, 'Fund Data'!$B:$B = 12)) * (1 + AVERAGE(FILTER"&amp;"('Inflation Data'!$C:$C,'Inflation Data'!$A:$A = ($A1487 - 2)))) * 'Parameters and Distribution Sum'!$A$4,0)"),0.0)</f>
        <v>0</v>
      </c>
      <c r="X1487" s="52">
        <f>IFERROR(__xludf.DUMMYFUNCTION("IFERROR((IFERROR(FILTER('Fund Data'!$P:$P,'Fund Data'!$C:$C = $C1487,'Fund Data'!$A:$A = ($A1487 - 2), 'Fund Data'!$B:$B = 12),0) - SUM(FILTER('Fund Data'!$V:$V, 'Fund Data'!$C:$C = $C1487, 'Fund Data'!$A:$A = ($A1487 - 2), 'Fund Data'!$B:$B &gt; 3)))  * 'Pa"&amp;"rameters and Distribution Sum'!$B$4 * (1 - 'Parameters and Distribution Sum'!$A$4),0)"),0.0)</f>
        <v>0</v>
      </c>
      <c r="Y1487" s="52">
        <f t="shared" si="140"/>
        <v>0</v>
      </c>
      <c r="Z1487" s="52">
        <f>IFERROR(__xludf.DUMMYFUNCTION("((IFERROR((SUM(FILTER('Fund Data'!$V:$V, 'Fund Data'!$C:$C = $C1487, 'Fund Data'!$A:$A = $A1487 - 1, 'Fund Data'!$B:$B &gt;= 4, 'Fund Data'!$B:$B &lt;= ($B1487 + 5))) / 12) * ($B1487 - 3) * 'Parameters and Distribution Sum'!$B$4, 0) + IF($B1487 &gt;= 9, IFERROR(SU"&amp;"M(FILTER('Fund Data'!$V:$V, 'Fund Data'!$C:$C = $C1487, 'Fund Data'!$A:$A = $A1487, 'Fund Data'!$B:$B &lt;= 3)) * 'Parameters and Distribution Sum'!$B$4, 0),0)))"),0.0)</f>
        <v>0</v>
      </c>
      <c r="AA1487" s="44">
        <f>IFERROR(__xludf.DUMMYFUNCTION("IFERROR(((IFERROR(SUM(FILTER('Fund Data'!$V:$V, 'Fund Data'!$C:$C = $C1487, 'Fund Data'!$A:$A = $A1487 - 2, 'Fund Data'!$B:$B &gt;= 4)) * 'Parameters and Distribution Sum'!$B$4,0) + IFERROR(SUM(FILTER('Fund Data'!$V:$V, 'Fund Data'!$C:$C = $C1487, 'Fund Data"&amp;"'!$A:$A = $A1487 - 1, 'Fund Data'!$B:$B &lt;= 3)) * 'Parameters and Distribution Sum'!$B$4,0))),0)"),0.0)</f>
        <v>0</v>
      </c>
      <c r="AB1487" s="44">
        <f t="shared" si="141"/>
        <v>0</v>
      </c>
      <c r="AC1487" s="44">
        <f t="shared" si="142"/>
        <v>0</v>
      </c>
      <c r="AD1487" s="44">
        <f t="shared" si="7"/>
        <v>0</v>
      </c>
      <c r="AE1487" s="44"/>
    </row>
    <row r="1488">
      <c r="A1488" s="178"/>
      <c r="B1488" s="179"/>
      <c r="C1488" s="147"/>
      <c r="D1488" s="44"/>
      <c r="E1488" s="44"/>
      <c r="F1488" s="44"/>
      <c r="G1488" s="44"/>
      <c r="H1488" s="44"/>
      <c r="I1488" s="44"/>
      <c r="J1488" s="44"/>
      <c r="K1488" s="44"/>
      <c r="L1488" s="44"/>
      <c r="M1488" s="44"/>
      <c r="N1488" s="44"/>
      <c r="O1488" s="44"/>
      <c r="P1488" s="52">
        <f t="shared" si="23"/>
        <v>0</v>
      </c>
      <c r="Q1488" s="124">
        <f t="shared" si="2"/>
        <v>0</v>
      </c>
      <c r="R1488" s="52">
        <f t="array" ref="R1488">IFERROR(INDEX('Fund YTD Target Values'!$1:$1000, MATCH($C1488,'Fund YTD Target Values'!$A:$A,0), MATCH($A1488,'Fund YTD Target Values'!$1:$1,0)),0)</f>
        <v>0</v>
      </c>
      <c r="S1488" s="52">
        <f>IFERROR(__xludf.DUMMYFUNCTION("IFERROR(sum(FILTER('Fund Data'!$V:$V, 'Fund Data'!$C:$C = $C1488, 'Fund Data'!$A:$A &lt; $A1488)),0) + IFERROR(sum(FILTER('Fund Data'!$V:$V, 'Fund Data'!$C:$C = $C1488, 'Fund Data'!$A:$A = $A1488, 'Fund Data'!$B:$B &lt;= $B1488)),0)"),0.0)</f>
        <v>0</v>
      </c>
      <c r="T1488" s="44"/>
      <c r="U1488" s="44"/>
      <c r="V1488" s="44">
        <f t="shared" si="3"/>
        <v>0</v>
      </c>
      <c r="W1488" s="52">
        <f>IFERROR(__xludf.DUMMYFUNCTION("iFERROR((FILTER('Fund Data'!$Y:$Y, 'Fund Data'!$C:$C = $C1488, 'Fund Data'!$A:$A = $A1488 - 1, 'Fund Data'!$B:$B = 12) + FILTER('Fund Data'!$AA:$AA, 'Fund Data'!$C:$C = $C1488, 'Fund Data'!$A:$A = $A1488 - 1, 'Fund Data'!$B:$B = 12)) * (1 + AVERAGE(FILTER"&amp;"('Inflation Data'!$C:$C,'Inflation Data'!$A:$A = ($A1488 - 2)))) * 'Parameters and Distribution Sum'!$A$4,0)"),0.0)</f>
        <v>0</v>
      </c>
      <c r="X1488" s="52">
        <f>IFERROR(__xludf.DUMMYFUNCTION("IFERROR((IFERROR(FILTER('Fund Data'!$P:$P,'Fund Data'!$C:$C = $C1488,'Fund Data'!$A:$A = ($A1488 - 2), 'Fund Data'!$B:$B = 12),0) - SUM(FILTER('Fund Data'!$V:$V, 'Fund Data'!$C:$C = $C1488, 'Fund Data'!$A:$A = ($A1488 - 2), 'Fund Data'!$B:$B &gt; 3)))  * 'Pa"&amp;"rameters and Distribution Sum'!$B$4 * (1 - 'Parameters and Distribution Sum'!$A$4),0)"),0.0)</f>
        <v>0</v>
      </c>
      <c r="Y1488" s="52">
        <f t="shared" si="140"/>
        <v>0</v>
      </c>
      <c r="Z1488" s="52">
        <f>IFERROR(__xludf.DUMMYFUNCTION("((IFERROR((SUM(FILTER('Fund Data'!$V:$V, 'Fund Data'!$C:$C = $C1488, 'Fund Data'!$A:$A = $A1488 - 1, 'Fund Data'!$B:$B &gt;= 4, 'Fund Data'!$B:$B &lt;= ($B1488 + 5))) / 12) * ($B1488 - 3) * 'Parameters and Distribution Sum'!$B$4, 0) + IF($B1488 &gt;= 9, IFERROR(SU"&amp;"M(FILTER('Fund Data'!$V:$V, 'Fund Data'!$C:$C = $C1488, 'Fund Data'!$A:$A = $A1488, 'Fund Data'!$B:$B &lt;= 3)) * 'Parameters and Distribution Sum'!$B$4, 0),0)))"),0.0)</f>
        <v>0</v>
      </c>
      <c r="AA1488" s="44">
        <f>IFERROR(__xludf.DUMMYFUNCTION("IFERROR(((IFERROR(SUM(FILTER('Fund Data'!$V:$V, 'Fund Data'!$C:$C = $C1488, 'Fund Data'!$A:$A = $A1488 - 2, 'Fund Data'!$B:$B &gt;= 4)) * 'Parameters and Distribution Sum'!$B$4,0) + IFERROR(SUM(FILTER('Fund Data'!$V:$V, 'Fund Data'!$C:$C = $C1488, 'Fund Data"&amp;"'!$A:$A = $A1488 - 1, 'Fund Data'!$B:$B &lt;= 3)) * 'Parameters and Distribution Sum'!$B$4,0))),0)"),0.0)</f>
        <v>0</v>
      </c>
      <c r="AB1488" s="44">
        <f t="shared" si="141"/>
        <v>0</v>
      </c>
      <c r="AC1488" s="44">
        <f t="shared" si="142"/>
        <v>0</v>
      </c>
      <c r="AD1488" s="44">
        <f t="shared" si="7"/>
        <v>0</v>
      </c>
      <c r="AE1488" s="44"/>
    </row>
    <row r="1489">
      <c r="A1489" s="178"/>
      <c r="B1489" s="179"/>
      <c r="C1489" s="147"/>
      <c r="D1489" s="44"/>
      <c r="E1489" s="44"/>
      <c r="F1489" s="44"/>
      <c r="G1489" s="44"/>
      <c r="H1489" s="44"/>
      <c r="I1489" s="44"/>
      <c r="J1489" s="44"/>
      <c r="K1489" s="44"/>
      <c r="L1489" s="44"/>
      <c r="M1489" s="44"/>
      <c r="N1489" s="44"/>
      <c r="O1489" s="44"/>
      <c r="P1489" s="52">
        <f t="shared" si="23"/>
        <v>0</v>
      </c>
      <c r="Q1489" s="124">
        <f t="shared" si="2"/>
        <v>0</v>
      </c>
      <c r="R1489" s="52">
        <f t="array" ref="R1489">IFERROR(INDEX('Fund YTD Target Values'!$1:$1000, MATCH($C1489,'Fund YTD Target Values'!$A:$A,0), MATCH($A1489,'Fund YTD Target Values'!$1:$1,0)),0)</f>
        <v>0</v>
      </c>
      <c r="S1489" s="52">
        <f>IFERROR(__xludf.DUMMYFUNCTION("IFERROR(sum(FILTER('Fund Data'!$V:$V, 'Fund Data'!$C:$C = $C1489, 'Fund Data'!$A:$A &lt; $A1489)),0) + IFERROR(sum(FILTER('Fund Data'!$V:$V, 'Fund Data'!$C:$C = $C1489, 'Fund Data'!$A:$A = $A1489, 'Fund Data'!$B:$B &lt;= $B1489)),0)"),0.0)</f>
        <v>0</v>
      </c>
      <c r="T1489" s="44"/>
      <c r="U1489" s="44"/>
      <c r="V1489" s="44">
        <f t="shared" si="3"/>
        <v>0</v>
      </c>
      <c r="W1489" s="52">
        <f>IFERROR(__xludf.DUMMYFUNCTION("iFERROR((FILTER('Fund Data'!$Y:$Y, 'Fund Data'!$C:$C = $C1489, 'Fund Data'!$A:$A = $A1489 - 1, 'Fund Data'!$B:$B = 12) + FILTER('Fund Data'!$AA:$AA, 'Fund Data'!$C:$C = $C1489, 'Fund Data'!$A:$A = $A1489 - 1, 'Fund Data'!$B:$B = 12)) * (1 + AVERAGE(FILTER"&amp;"('Inflation Data'!$C:$C,'Inflation Data'!$A:$A = ($A1489 - 2)))) * 'Parameters and Distribution Sum'!$A$4,0)"),0.0)</f>
        <v>0</v>
      </c>
      <c r="X1489" s="52">
        <f>IFERROR(__xludf.DUMMYFUNCTION("IFERROR((IFERROR(FILTER('Fund Data'!$P:$P,'Fund Data'!$C:$C = $C1489,'Fund Data'!$A:$A = ($A1489 - 2), 'Fund Data'!$B:$B = 12),0) - SUM(FILTER('Fund Data'!$V:$V, 'Fund Data'!$C:$C = $C1489, 'Fund Data'!$A:$A = ($A1489 - 2), 'Fund Data'!$B:$B &gt; 3)))  * 'Pa"&amp;"rameters and Distribution Sum'!$B$4 * (1 - 'Parameters and Distribution Sum'!$A$4),0)"),0.0)</f>
        <v>0</v>
      </c>
      <c r="Y1489" s="52">
        <f t="shared" si="140"/>
        <v>0</v>
      </c>
      <c r="Z1489" s="52">
        <f>IFERROR(__xludf.DUMMYFUNCTION("((IFERROR((SUM(FILTER('Fund Data'!$V:$V, 'Fund Data'!$C:$C = $C1489, 'Fund Data'!$A:$A = $A1489 - 1, 'Fund Data'!$B:$B &gt;= 4, 'Fund Data'!$B:$B &lt;= ($B1489 + 5))) / 12) * ($B1489 - 3) * 'Parameters and Distribution Sum'!$B$4, 0) + IF($B1489 &gt;= 9, IFERROR(SU"&amp;"M(FILTER('Fund Data'!$V:$V, 'Fund Data'!$C:$C = $C1489, 'Fund Data'!$A:$A = $A1489, 'Fund Data'!$B:$B &lt;= 3)) * 'Parameters and Distribution Sum'!$B$4, 0),0)))"),0.0)</f>
        <v>0</v>
      </c>
      <c r="AA1489" s="44">
        <f>IFERROR(__xludf.DUMMYFUNCTION("IFERROR(((IFERROR(SUM(FILTER('Fund Data'!$V:$V, 'Fund Data'!$C:$C = $C1489, 'Fund Data'!$A:$A = $A1489 - 2, 'Fund Data'!$B:$B &gt;= 4)) * 'Parameters and Distribution Sum'!$B$4,0) + IFERROR(SUM(FILTER('Fund Data'!$V:$V, 'Fund Data'!$C:$C = $C1489, 'Fund Data"&amp;"'!$A:$A = $A1489 - 1, 'Fund Data'!$B:$B &lt;= 3)) * 'Parameters and Distribution Sum'!$B$4,0))),0)"),0.0)</f>
        <v>0</v>
      </c>
      <c r="AB1489" s="44">
        <f t="shared" si="141"/>
        <v>0</v>
      </c>
      <c r="AC1489" s="44">
        <f t="shared" si="142"/>
        <v>0</v>
      </c>
      <c r="AD1489" s="44">
        <f t="shared" si="7"/>
        <v>0</v>
      </c>
      <c r="AE1489" s="44"/>
    </row>
    <row r="1490">
      <c r="A1490" s="178"/>
      <c r="B1490" s="179"/>
      <c r="C1490" s="147"/>
      <c r="D1490" s="44"/>
      <c r="E1490" s="44"/>
      <c r="F1490" s="44"/>
      <c r="G1490" s="44"/>
      <c r="H1490" s="44"/>
      <c r="I1490" s="44"/>
      <c r="J1490" s="44"/>
      <c r="K1490" s="44"/>
      <c r="L1490" s="44"/>
      <c r="M1490" s="44"/>
      <c r="N1490" s="44"/>
      <c r="O1490" s="44"/>
      <c r="P1490" s="52">
        <f t="shared" si="23"/>
        <v>0</v>
      </c>
      <c r="Q1490" s="124">
        <f t="shared" si="2"/>
        <v>0</v>
      </c>
      <c r="R1490" s="52">
        <f t="array" ref="R1490">IFERROR(INDEX('Fund YTD Target Values'!$1:$1000, MATCH($C1490,'Fund YTD Target Values'!$A:$A,0), MATCH($A1490,'Fund YTD Target Values'!$1:$1,0)),0)</f>
        <v>0</v>
      </c>
      <c r="S1490" s="52">
        <f>IFERROR(__xludf.DUMMYFUNCTION("IFERROR(sum(FILTER('Fund Data'!$V:$V, 'Fund Data'!$C:$C = $C1490, 'Fund Data'!$A:$A &lt; $A1490)),0) + IFERROR(sum(FILTER('Fund Data'!$V:$V, 'Fund Data'!$C:$C = $C1490, 'Fund Data'!$A:$A = $A1490, 'Fund Data'!$B:$B &lt;= $B1490)),0)"),0.0)</f>
        <v>0</v>
      </c>
      <c r="T1490" s="44"/>
      <c r="U1490" s="44"/>
      <c r="V1490" s="44">
        <f t="shared" si="3"/>
        <v>0</v>
      </c>
      <c r="W1490" s="52">
        <f>IFERROR(__xludf.DUMMYFUNCTION("iFERROR((FILTER('Fund Data'!$Y:$Y, 'Fund Data'!$C:$C = $C1490, 'Fund Data'!$A:$A = $A1490 - 1, 'Fund Data'!$B:$B = 12) + FILTER('Fund Data'!$AA:$AA, 'Fund Data'!$C:$C = $C1490, 'Fund Data'!$A:$A = $A1490 - 1, 'Fund Data'!$B:$B = 12)) * (1 + AVERAGE(FILTER"&amp;"('Inflation Data'!$C:$C,'Inflation Data'!$A:$A = ($A1490 - 2)))) * 'Parameters and Distribution Sum'!$A$4,0)"),0.0)</f>
        <v>0</v>
      </c>
      <c r="X1490" s="52">
        <f>IFERROR(__xludf.DUMMYFUNCTION("IFERROR((IFERROR(FILTER('Fund Data'!$P:$P,'Fund Data'!$C:$C = $C1490,'Fund Data'!$A:$A = ($A1490 - 2), 'Fund Data'!$B:$B = 12),0) - SUM(FILTER('Fund Data'!$V:$V, 'Fund Data'!$C:$C = $C1490, 'Fund Data'!$A:$A = ($A1490 - 2), 'Fund Data'!$B:$B &gt; 3)))  * 'Pa"&amp;"rameters and Distribution Sum'!$B$4 * (1 - 'Parameters and Distribution Sum'!$A$4),0)"),0.0)</f>
        <v>0</v>
      </c>
      <c r="Y1490" s="52">
        <f t="shared" si="140"/>
        <v>0</v>
      </c>
      <c r="Z1490" s="52">
        <f>IFERROR(__xludf.DUMMYFUNCTION("((IFERROR((SUM(FILTER('Fund Data'!$V:$V, 'Fund Data'!$C:$C = $C1490, 'Fund Data'!$A:$A = $A1490 - 1, 'Fund Data'!$B:$B &gt;= 4, 'Fund Data'!$B:$B &lt;= ($B1490 + 5))) / 12) * ($B1490 - 3) * 'Parameters and Distribution Sum'!$B$4, 0) + IF($B1490 &gt;= 9, IFERROR(SU"&amp;"M(FILTER('Fund Data'!$V:$V, 'Fund Data'!$C:$C = $C1490, 'Fund Data'!$A:$A = $A1490, 'Fund Data'!$B:$B &lt;= 3)) * 'Parameters and Distribution Sum'!$B$4, 0),0)))"),0.0)</f>
        <v>0</v>
      </c>
      <c r="AA1490" s="44">
        <f>IFERROR(__xludf.DUMMYFUNCTION("IFERROR(((IFERROR(SUM(FILTER('Fund Data'!$V:$V, 'Fund Data'!$C:$C = $C1490, 'Fund Data'!$A:$A = $A1490 - 2, 'Fund Data'!$B:$B &gt;= 4)) * 'Parameters and Distribution Sum'!$B$4,0) + IFERROR(SUM(FILTER('Fund Data'!$V:$V, 'Fund Data'!$C:$C = $C1490, 'Fund Data"&amp;"'!$A:$A = $A1490 - 1, 'Fund Data'!$B:$B &lt;= 3)) * 'Parameters and Distribution Sum'!$B$4,0))),0)"),0.0)</f>
        <v>0</v>
      </c>
      <c r="AB1490" s="44">
        <f t="shared" si="141"/>
        <v>0</v>
      </c>
      <c r="AC1490" s="44">
        <f t="shared" si="142"/>
        <v>0</v>
      </c>
      <c r="AD1490" s="44">
        <f t="shared" si="7"/>
        <v>0</v>
      </c>
      <c r="AE1490" s="44"/>
    </row>
    <row r="1491">
      <c r="A1491" s="178"/>
      <c r="B1491" s="179"/>
      <c r="C1491" s="147"/>
      <c r="D1491" s="44"/>
      <c r="E1491" s="44"/>
      <c r="F1491" s="44"/>
      <c r="G1491" s="44"/>
      <c r="H1491" s="44"/>
      <c r="I1491" s="44"/>
      <c r="J1491" s="44"/>
      <c r="K1491" s="44"/>
      <c r="L1491" s="44"/>
      <c r="M1491" s="44"/>
      <c r="N1491" s="44"/>
      <c r="O1491" s="44"/>
      <c r="P1491" s="52">
        <f t="shared" si="23"/>
        <v>0</v>
      </c>
      <c r="Q1491" s="124">
        <f t="shared" si="2"/>
        <v>0</v>
      </c>
      <c r="R1491" s="52">
        <f t="array" ref="R1491">IFERROR(INDEX('Fund YTD Target Values'!$1:$1000, MATCH($C1491,'Fund YTD Target Values'!$A:$A,0), MATCH($A1491,'Fund YTD Target Values'!$1:$1,0)),0)</f>
        <v>0</v>
      </c>
      <c r="S1491" s="52">
        <f>IFERROR(__xludf.DUMMYFUNCTION("IFERROR(sum(FILTER('Fund Data'!$V:$V, 'Fund Data'!$C:$C = $C1491, 'Fund Data'!$A:$A &lt; $A1491)),0) + IFERROR(sum(FILTER('Fund Data'!$V:$V, 'Fund Data'!$C:$C = $C1491, 'Fund Data'!$A:$A = $A1491, 'Fund Data'!$B:$B &lt;= $B1491)),0)"),0.0)</f>
        <v>0</v>
      </c>
      <c r="T1491" s="44"/>
      <c r="U1491" s="44"/>
      <c r="V1491" s="44">
        <f t="shared" si="3"/>
        <v>0</v>
      </c>
      <c r="W1491" s="52">
        <f>IFERROR(__xludf.DUMMYFUNCTION("iFERROR((FILTER('Fund Data'!$Y:$Y, 'Fund Data'!$C:$C = $C1491, 'Fund Data'!$A:$A = $A1491 - 1, 'Fund Data'!$B:$B = 12) + FILTER('Fund Data'!$AA:$AA, 'Fund Data'!$C:$C = $C1491, 'Fund Data'!$A:$A = $A1491 - 1, 'Fund Data'!$B:$B = 12)) * (1 + AVERAGE(FILTER"&amp;"('Inflation Data'!$C:$C,'Inflation Data'!$A:$A = ($A1491 - 2)))) * 'Parameters and Distribution Sum'!$A$4,0)"),0.0)</f>
        <v>0</v>
      </c>
      <c r="X1491" s="52">
        <f>IFERROR(__xludf.DUMMYFUNCTION("IFERROR((IFERROR(FILTER('Fund Data'!$P:$P,'Fund Data'!$C:$C = $C1491,'Fund Data'!$A:$A = ($A1491 - 2), 'Fund Data'!$B:$B = 12),0) - SUM(FILTER('Fund Data'!$V:$V, 'Fund Data'!$C:$C = $C1491, 'Fund Data'!$A:$A = ($A1491 - 2), 'Fund Data'!$B:$B &gt; 3)))  * 'Pa"&amp;"rameters and Distribution Sum'!$B$4 * (1 - 'Parameters and Distribution Sum'!$A$4),0)"),0.0)</f>
        <v>0</v>
      </c>
      <c r="Y1491" s="52">
        <f t="shared" si="140"/>
        <v>0</v>
      </c>
      <c r="Z1491" s="52">
        <f>IFERROR(__xludf.DUMMYFUNCTION("((IFERROR((SUM(FILTER('Fund Data'!$V:$V, 'Fund Data'!$C:$C = $C1491, 'Fund Data'!$A:$A = $A1491 - 1, 'Fund Data'!$B:$B &gt;= 4, 'Fund Data'!$B:$B &lt;= ($B1491 + 5))) / 12) * ($B1491 - 3) * 'Parameters and Distribution Sum'!$B$4, 0) + IF($B1491 &gt;= 9, IFERROR(SU"&amp;"M(FILTER('Fund Data'!$V:$V, 'Fund Data'!$C:$C = $C1491, 'Fund Data'!$A:$A = $A1491, 'Fund Data'!$B:$B &lt;= 3)) * 'Parameters and Distribution Sum'!$B$4, 0),0)))"),0.0)</f>
        <v>0</v>
      </c>
      <c r="AA1491" s="44">
        <f>IFERROR(__xludf.DUMMYFUNCTION("IFERROR(((IFERROR(SUM(FILTER('Fund Data'!$V:$V, 'Fund Data'!$C:$C = $C1491, 'Fund Data'!$A:$A = $A1491 - 2, 'Fund Data'!$B:$B &gt;= 4)) * 'Parameters and Distribution Sum'!$B$4,0) + IFERROR(SUM(FILTER('Fund Data'!$V:$V, 'Fund Data'!$C:$C = $C1491, 'Fund Data"&amp;"'!$A:$A = $A1491 - 1, 'Fund Data'!$B:$B &lt;= 3)) * 'Parameters and Distribution Sum'!$B$4,0))),0)"),0.0)</f>
        <v>0</v>
      </c>
      <c r="AB1491" s="44">
        <f t="shared" si="141"/>
        <v>0</v>
      </c>
      <c r="AC1491" s="44">
        <f t="shared" si="142"/>
        <v>0</v>
      </c>
      <c r="AD1491" s="44">
        <f t="shared" si="7"/>
        <v>0</v>
      </c>
      <c r="AE1491" s="44"/>
    </row>
    <row r="1492">
      <c r="A1492" s="178"/>
      <c r="B1492" s="179"/>
      <c r="C1492" s="147"/>
      <c r="D1492" s="44"/>
      <c r="E1492" s="44"/>
      <c r="F1492" s="44"/>
      <c r="G1492" s="44"/>
      <c r="H1492" s="44"/>
      <c r="I1492" s="44"/>
      <c r="J1492" s="44"/>
      <c r="K1492" s="44"/>
      <c r="L1492" s="44"/>
      <c r="M1492" s="44"/>
      <c r="N1492" s="44"/>
      <c r="O1492" s="44"/>
      <c r="P1492" s="52">
        <f t="shared" si="23"/>
        <v>0</v>
      </c>
      <c r="Q1492" s="124">
        <f t="shared" si="2"/>
        <v>0</v>
      </c>
      <c r="R1492" s="52">
        <f t="array" ref="R1492">IFERROR(INDEX('Fund YTD Target Values'!$1:$1000, MATCH($C1492,'Fund YTD Target Values'!$A:$A,0), MATCH($A1492,'Fund YTD Target Values'!$1:$1,0)),0)</f>
        <v>0</v>
      </c>
      <c r="S1492" s="52">
        <f>IFERROR(__xludf.DUMMYFUNCTION("IFERROR(sum(FILTER('Fund Data'!$V:$V, 'Fund Data'!$C:$C = $C1492, 'Fund Data'!$A:$A &lt; $A1492)),0) + IFERROR(sum(FILTER('Fund Data'!$V:$V, 'Fund Data'!$C:$C = $C1492, 'Fund Data'!$A:$A = $A1492, 'Fund Data'!$B:$B &lt;= $B1492)),0)"),0.0)</f>
        <v>0</v>
      </c>
      <c r="T1492" s="44"/>
      <c r="U1492" s="44"/>
      <c r="V1492" s="44">
        <f t="shared" si="3"/>
        <v>0</v>
      </c>
      <c r="W1492" s="52">
        <f>IFERROR(__xludf.DUMMYFUNCTION("iFERROR((FILTER('Fund Data'!$Y:$Y, 'Fund Data'!$C:$C = $C1492, 'Fund Data'!$A:$A = $A1492 - 1, 'Fund Data'!$B:$B = 12) + FILTER('Fund Data'!$AA:$AA, 'Fund Data'!$C:$C = $C1492, 'Fund Data'!$A:$A = $A1492 - 1, 'Fund Data'!$B:$B = 12)) * (1 + AVERAGE(FILTER"&amp;"('Inflation Data'!$C:$C,'Inflation Data'!$A:$A = ($A1492 - 2)))) * 'Parameters and Distribution Sum'!$A$4,0)"),0.0)</f>
        <v>0</v>
      </c>
      <c r="X1492" s="52">
        <f>IFERROR(__xludf.DUMMYFUNCTION("IFERROR((IFERROR(FILTER('Fund Data'!$P:$P,'Fund Data'!$C:$C = $C1492,'Fund Data'!$A:$A = ($A1492 - 2), 'Fund Data'!$B:$B = 12),0) - SUM(FILTER('Fund Data'!$V:$V, 'Fund Data'!$C:$C = $C1492, 'Fund Data'!$A:$A = ($A1492 - 2), 'Fund Data'!$B:$B &gt; 3)))  * 'Pa"&amp;"rameters and Distribution Sum'!$B$4 * (1 - 'Parameters and Distribution Sum'!$A$4),0)"),0.0)</f>
        <v>0</v>
      </c>
      <c r="Y1492" s="52">
        <f t="shared" si="140"/>
        <v>0</v>
      </c>
      <c r="Z1492" s="52">
        <f>IFERROR(__xludf.DUMMYFUNCTION("((IFERROR((SUM(FILTER('Fund Data'!$V:$V, 'Fund Data'!$C:$C = $C1492, 'Fund Data'!$A:$A = $A1492 - 1, 'Fund Data'!$B:$B &gt;= 4, 'Fund Data'!$B:$B &lt;= ($B1492 + 5))) / 12) * ($B1492 - 3) * 'Parameters and Distribution Sum'!$B$4, 0) + IF($B1492 &gt;= 9, IFERROR(SU"&amp;"M(FILTER('Fund Data'!$V:$V, 'Fund Data'!$C:$C = $C1492, 'Fund Data'!$A:$A = $A1492, 'Fund Data'!$B:$B &lt;= 3)) * 'Parameters and Distribution Sum'!$B$4, 0),0)))"),0.0)</f>
        <v>0</v>
      </c>
      <c r="AA1492" s="44">
        <f>IFERROR(__xludf.DUMMYFUNCTION("IFERROR(((IFERROR(SUM(FILTER('Fund Data'!$V:$V, 'Fund Data'!$C:$C = $C1492, 'Fund Data'!$A:$A = $A1492 - 2, 'Fund Data'!$B:$B &gt;= 4)) * 'Parameters and Distribution Sum'!$B$4,0) + IFERROR(SUM(FILTER('Fund Data'!$V:$V, 'Fund Data'!$C:$C = $C1492, 'Fund Data"&amp;"'!$A:$A = $A1492 - 1, 'Fund Data'!$B:$B &lt;= 3)) * 'Parameters and Distribution Sum'!$B$4,0))),0)"),0.0)</f>
        <v>0</v>
      </c>
      <c r="AB1492" s="44">
        <f t="shared" si="141"/>
        <v>0</v>
      </c>
      <c r="AC1492" s="44">
        <f t="shared" si="142"/>
        <v>0</v>
      </c>
      <c r="AD1492" s="44">
        <f t="shared" si="7"/>
        <v>0</v>
      </c>
      <c r="AE1492" s="44"/>
    </row>
    <row r="1493">
      <c r="A1493" s="178"/>
      <c r="B1493" s="179"/>
      <c r="C1493" s="147"/>
      <c r="D1493" s="44"/>
      <c r="E1493" s="44"/>
      <c r="F1493" s="44"/>
      <c r="G1493" s="44"/>
      <c r="H1493" s="44"/>
      <c r="I1493" s="44"/>
      <c r="J1493" s="44"/>
      <c r="K1493" s="44"/>
      <c r="L1493" s="44"/>
      <c r="M1493" s="44"/>
      <c r="N1493" s="44"/>
      <c r="O1493" s="44"/>
      <c r="P1493" s="52">
        <f t="shared" si="23"/>
        <v>0</v>
      </c>
      <c r="Q1493" s="124">
        <f t="shared" si="2"/>
        <v>0</v>
      </c>
      <c r="R1493" s="52">
        <f t="array" ref="R1493">IFERROR(INDEX('Fund YTD Target Values'!$1:$1000, MATCH($C1493,'Fund YTD Target Values'!$A:$A,0), MATCH($A1493,'Fund YTD Target Values'!$1:$1,0)),0)</f>
        <v>0</v>
      </c>
      <c r="S1493" s="52">
        <f>IFERROR(__xludf.DUMMYFUNCTION("IFERROR(sum(FILTER('Fund Data'!$V:$V, 'Fund Data'!$C:$C = $C1493, 'Fund Data'!$A:$A &lt; $A1493)),0) + IFERROR(sum(FILTER('Fund Data'!$V:$V, 'Fund Data'!$C:$C = $C1493, 'Fund Data'!$A:$A = $A1493, 'Fund Data'!$B:$B &lt;= $B1493)),0)"),0.0)</f>
        <v>0</v>
      </c>
      <c r="T1493" s="44"/>
      <c r="U1493" s="44"/>
      <c r="V1493" s="44">
        <f t="shared" si="3"/>
        <v>0</v>
      </c>
      <c r="W1493" s="52">
        <f>IFERROR(__xludf.DUMMYFUNCTION("iFERROR((FILTER('Fund Data'!$Y:$Y, 'Fund Data'!$C:$C = $C1493, 'Fund Data'!$A:$A = $A1493 - 1, 'Fund Data'!$B:$B = 12) + FILTER('Fund Data'!$AA:$AA, 'Fund Data'!$C:$C = $C1493, 'Fund Data'!$A:$A = $A1493 - 1, 'Fund Data'!$B:$B = 12)) * (1 + AVERAGE(FILTER"&amp;"('Inflation Data'!$C:$C,'Inflation Data'!$A:$A = ($A1493 - 2)))) * 'Parameters and Distribution Sum'!$A$4,0)"),0.0)</f>
        <v>0</v>
      </c>
      <c r="X1493" s="52">
        <f>IFERROR(__xludf.DUMMYFUNCTION("IFERROR((IFERROR(FILTER('Fund Data'!$P:$P,'Fund Data'!$C:$C = $C1493,'Fund Data'!$A:$A = ($A1493 - 2), 'Fund Data'!$B:$B = 12),0) - SUM(FILTER('Fund Data'!$V:$V, 'Fund Data'!$C:$C = $C1493, 'Fund Data'!$A:$A = ($A1493 - 2), 'Fund Data'!$B:$B &gt; 3)))  * 'Pa"&amp;"rameters and Distribution Sum'!$B$4 * (1 - 'Parameters and Distribution Sum'!$A$4),0)"),0.0)</f>
        <v>0</v>
      </c>
      <c r="Y1493" s="52">
        <f t="shared" si="140"/>
        <v>0</v>
      </c>
      <c r="Z1493" s="52">
        <f>IFERROR(__xludf.DUMMYFUNCTION("((IFERROR((SUM(FILTER('Fund Data'!$V:$V, 'Fund Data'!$C:$C = $C1493, 'Fund Data'!$A:$A = $A1493 - 1, 'Fund Data'!$B:$B &gt;= 4, 'Fund Data'!$B:$B &lt;= ($B1493 + 5))) / 12) * ($B1493 - 3) * 'Parameters and Distribution Sum'!$B$4, 0) + IF($B1493 &gt;= 9, IFERROR(SU"&amp;"M(FILTER('Fund Data'!$V:$V, 'Fund Data'!$C:$C = $C1493, 'Fund Data'!$A:$A = $A1493, 'Fund Data'!$B:$B &lt;= 3)) * 'Parameters and Distribution Sum'!$B$4, 0),0)))"),0.0)</f>
        <v>0</v>
      </c>
      <c r="AA1493" s="44">
        <f>IFERROR(__xludf.DUMMYFUNCTION("IFERROR(((IFERROR(SUM(FILTER('Fund Data'!$V:$V, 'Fund Data'!$C:$C = $C1493, 'Fund Data'!$A:$A = $A1493 - 2, 'Fund Data'!$B:$B &gt;= 4)) * 'Parameters and Distribution Sum'!$B$4,0) + IFERROR(SUM(FILTER('Fund Data'!$V:$V, 'Fund Data'!$C:$C = $C1493, 'Fund Data"&amp;"'!$A:$A = $A1493 - 1, 'Fund Data'!$B:$B &lt;= 3)) * 'Parameters and Distribution Sum'!$B$4,0))),0)"),0.0)</f>
        <v>0</v>
      </c>
      <c r="AB1493" s="44">
        <f t="shared" si="141"/>
        <v>0</v>
      </c>
      <c r="AC1493" s="44">
        <f t="shared" si="142"/>
        <v>0</v>
      </c>
      <c r="AD1493" s="44">
        <f t="shared" si="7"/>
        <v>0</v>
      </c>
      <c r="AE1493" s="44"/>
    </row>
    <row r="1494">
      <c r="A1494" s="178"/>
      <c r="B1494" s="179"/>
      <c r="C1494" s="147"/>
      <c r="D1494" s="44"/>
      <c r="E1494" s="44"/>
      <c r="F1494" s="44"/>
      <c r="G1494" s="44"/>
      <c r="H1494" s="44"/>
      <c r="I1494" s="44"/>
      <c r="J1494" s="44"/>
      <c r="K1494" s="44"/>
      <c r="L1494" s="44"/>
      <c r="M1494" s="44"/>
      <c r="N1494" s="44"/>
      <c r="O1494" s="44"/>
      <c r="P1494" s="52">
        <f t="shared" si="23"/>
        <v>0</v>
      </c>
      <c r="Q1494" s="124">
        <f t="shared" si="2"/>
        <v>0</v>
      </c>
      <c r="R1494" s="52">
        <f t="array" ref="R1494">IFERROR(INDEX('Fund YTD Target Values'!$1:$1000, MATCH($C1494,'Fund YTD Target Values'!$A:$A,0), MATCH($A1494,'Fund YTD Target Values'!$1:$1,0)),0)</f>
        <v>0</v>
      </c>
      <c r="S1494" s="52">
        <f>IFERROR(__xludf.DUMMYFUNCTION("IFERROR(sum(FILTER('Fund Data'!$V:$V, 'Fund Data'!$C:$C = $C1494, 'Fund Data'!$A:$A &lt; $A1494)),0) + IFERROR(sum(FILTER('Fund Data'!$V:$V, 'Fund Data'!$C:$C = $C1494, 'Fund Data'!$A:$A = $A1494, 'Fund Data'!$B:$B &lt;= $B1494)),0)"),0.0)</f>
        <v>0</v>
      </c>
      <c r="T1494" s="44"/>
      <c r="U1494" s="44"/>
      <c r="V1494" s="44">
        <f t="shared" si="3"/>
        <v>0</v>
      </c>
      <c r="W1494" s="52">
        <f>IFERROR(__xludf.DUMMYFUNCTION("iFERROR((FILTER('Fund Data'!$Y:$Y, 'Fund Data'!$C:$C = $C1494, 'Fund Data'!$A:$A = $A1494 - 1, 'Fund Data'!$B:$B = 12) + FILTER('Fund Data'!$AA:$AA, 'Fund Data'!$C:$C = $C1494, 'Fund Data'!$A:$A = $A1494 - 1, 'Fund Data'!$B:$B = 12)) * (1 + AVERAGE(FILTER"&amp;"('Inflation Data'!$C:$C,'Inflation Data'!$A:$A = ($A1494 - 2)))) * 'Parameters and Distribution Sum'!$A$4,0)"),0.0)</f>
        <v>0</v>
      </c>
      <c r="X1494" s="52">
        <f>IFERROR(__xludf.DUMMYFUNCTION("IFERROR((IFERROR(FILTER('Fund Data'!$P:$P,'Fund Data'!$C:$C = $C1494,'Fund Data'!$A:$A = ($A1494 - 2), 'Fund Data'!$B:$B = 12),0) - SUM(FILTER('Fund Data'!$V:$V, 'Fund Data'!$C:$C = $C1494, 'Fund Data'!$A:$A = ($A1494 - 2), 'Fund Data'!$B:$B &gt; 3)))  * 'Pa"&amp;"rameters and Distribution Sum'!$B$4 * (1 - 'Parameters and Distribution Sum'!$A$4),0)"),0.0)</f>
        <v>0</v>
      </c>
      <c r="Y1494" s="52">
        <f t="shared" si="140"/>
        <v>0</v>
      </c>
      <c r="Z1494" s="52">
        <f>IFERROR(__xludf.DUMMYFUNCTION("((IFERROR((SUM(FILTER('Fund Data'!$V:$V, 'Fund Data'!$C:$C = $C1494, 'Fund Data'!$A:$A = $A1494 - 1, 'Fund Data'!$B:$B &gt;= 4, 'Fund Data'!$B:$B &lt;= ($B1494 + 5))) / 12) * ($B1494 - 3) * 'Parameters and Distribution Sum'!$B$4, 0) + IF($B1494 &gt;= 9, IFERROR(SU"&amp;"M(FILTER('Fund Data'!$V:$V, 'Fund Data'!$C:$C = $C1494, 'Fund Data'!$A:$A = $A1494, 'Fund Data'!$B:$B &lt;= 3)) * 'Parameters and Distribution Sum'!$B$4, 0),0)))"),0.0)</f>
        <v>0</v>
      </c>
      <c r="AA1494" s="44">
        <f>IFERROR(__xludf.DUMMYFUNCTION("IFERROR(((IFERROR(SUM(FILTER('Fund Data'!$V:$V, 'Fund Data'!$C:$C = $C1494, 'Fund Data'!$A:$A = $A1494 - 2, 'Fund Data'!$B:$B &gt;= 4)) * 'Parameters and Distribution Sum'!$B$4,0) + IFERROR(SUM(FILTER('Fund Data'!$V:$V, 'Fund Data'!$C:$C = $C1494, 'Fund Data"&amp;"'!$A:$A = $A1494 - 1, 'Fund Data'!$B:$B &lt;= 3)) * 'Parameters and Distribution Sum'!$B$4,0))),0)"),0.0)</f>
        <v>0</v>
      </c>
      <c r="AB1494" s="44">
        <f t="shared" si="141"/>
        <v>0</v>
      </c>
      <c r="AC1494" s="44">
        <f t="shared" si="142"/>
        <v>0</v>
      </c>
      <c r="AD1494" s="44">
        <f t="shared" si="7"/>
        <v>0</v>
      </c>
      <c r="AE1494" s="44"/>
    </row>
    <row r="1495">
      <c r="A1495" s="178"/>
      <c r="B1495" s="179"/>
      <c r="C1495" s="147"/>
      <c r="D1495" s="44"/>
      <c r="E1495" s="44"/>
      <c r="F1495" s="44"/>
      <c r="G1495" s="44"/>
      <c r="H1495" s="44"/>
      <c r="I1495" s="44"/>
      <c r="J1495" s="44"/>
      <c r="K1495" s="44"/>
      <c r="L1495" s="44"/>
      <c r="M1495" s="44"/>
      <c r="N1495" s="44"/>
      <c r="O1495" s="44"/>
      <c r="P1495" s="52">
        <f t="shared" si="23"/>
        <v>0</v>
      </c>
      <c r="Q1495" s="124">
        <f t="shared" si="2"/>
        <v>0</v>
      </c>
      <c r="R1495" s="52">
        <f t="array" ref="R1495">IFERROR(INDEX('Fund YTD Target Values'!$1:$1000, MATCH($C1495,'Fund YTD Target Values'!$A:$A,0), MATCH($A1495,'Fund YTD Target Values'!$1:$1,0)),0)</f>
        <v>0</v>
      </c>
      <c r="S1495" s="52">
        <f>IFERROR(__xludf.DUMMYFUNCTION("IFERROR(sum(FILTER('Fund Data'!$V:$V, 'Fund Data'!$C:$C = $C1495, 'Fund Data'!$A:$A &lt; $A1495)),0) + IFERROR(sum(FILTER('Fund Data'!$V:$V, 'Fund Data'!$C:$C = $C1495, 'Fund Data'!$A:$A = $A1495, 'Fund Data'!$B:$B &lt;= $B1495)),0)"),0.0)</f>
        <v>0</v>
      </c>
      <c r="T1495" s="44"/>
      <c r="U1495" s="44"/>
      <c r="V1495" s="44">
        <f t="shared" si="3"/>
        <v>0</v>
      </c>
      <c r="W1495" s="52">
        <f>IFERROR(__xludf.DUMMYFUNCTION("iFERROR((FILTER('Fund Data'!$Y:$Y, 'Fund Data'!$C:$C = $C1495, 'Fund Data'!$A:$A = $A1495 - 1, 'Fund Data'!$B:$B = 12) + FILTER('Fund Data'!$AA:$AA, 'Fund Data'!$C:$C = $C1495, 'Fund Data'!$A:$A = $A1495 - 1, 'Fund Data'!$B:$B = 12)) * (1 + AVERAGE(FILTER"&amp;"('Inflation Data'!$C:$C,'Inflation Data'!$A:$A = ($A1495 - 2)))) * 'Parameters and Distribution Sum'!$A$4,0)"),0.0)</f>
        <v>0</v>
      </c>
      <c r="X1495" s="52">
        <f>IFERROR(__xludf.DUMMYFUNCTION("IFERROR((IFERROR(FILTER('Fund Data'!$P:$P,'Fund Data'!$C:$C = $C1495,'Fund Data'!$A:$A = ($A1495 - 2), 'Fund Data'!$B:$B = 12),0) - SUM(FILTER('Fund Data'!$V:$V, 'Fund Data'!$C:$C = $C1495, 'Fund Data'!$A:$A = ($A1495 - 2), 'Fund Data'!$B:$B &gt; 3)))  * 'Pa"&amp;"rameters and Distribution Sum'!$B$4 * (1 - 'Parameters and Distribution Sum'!$A$4),0)"),0.0)</f>
        <v>0</v>
      </c>
      <c r="Y1495" s="52">
        <f t="shared" si="140"/>
        <v>0</v>
      </c>
      <c r="Z1495" s="52">
        <f>IFERROR(__xludf.DUMMYFUNCTION("((IFERROR((SUM(FILTER('Fund Data'!$V:$V, 'Fund Data'!$C:$C = $C1495, 'Fund Data'!$A:$A = $A1495 - 1, 'Fund Data'!$B:$B &gt;= 4, 'Fund Data'!$B:$B &lt;= ($B1495 + 5))) / 12) * ($B1495 - 3) * 'Parameters and Distribution Sum'!$B$4, 0) + IF($B1495 &gt;= 9, IFERROR(SU"&amp;"M(FILTER('Fund Data'!$V:$V, 'Fund Data'!$C:$C = $C1495, 'Fund Data'!$A:$A = $A1495, 'Fund Data'!$B:$B &lt;= 3)) * 'Parameters and Distribution Sum'!$B$4, 0),0)))"),0.0)</f>
        <v>0</v>
      </c>
      <c r="AA1495" s="44">
        <f>IFERROR(__xludf.DUMMYFUNCTION("IFERROR(((IFERROR(SUM(FILTER('Fund Data'!$V:$V, 'Fund Data'!$C:$C = $C1495, 'Fund Data'!$A:$A = $A1495 - 2, 'Fund Data'!$B:$B &gt;= 4)) * 'Parameters and Distribution Sum'!$B$4,0) + IFERROR(SUM(FILTER('Fund Data'!$V:$V, 'Fund Data'!$C:$C = $C1495, 'Fund Data"&amp;"'!$A:$A = $A1495 - 1, 'Fund Data'!$B:$B &lt;= 3)) * 'Parameters and Distribution Sum'!$B$4,0))),0)"),0.0)</f>
        <v>0</v>
      </c>
      <c r="AB1495" s="44">
        <f t="shared" si="141"/>
        <v>0</v>
      </c>
      <c r="AC1495" s="44">
        <f t="shared" si="142"/>
        <v>0</v>
      </c>
      <c r="AD1495" s="44">
        <f t="shared" si="7"/>
        <v>0</v>
      </c>
      <c r="AE1495" s="44"/>
    </row>
    <row r="1496">
      <c r="A1496" s="178"/>
      <c r="B1496" s="179"/>
      <c r="C1496" s="147"/>
      <c r="D1496" s="44"/>
      <c r="E1496" s="44"/>
      <c r="F1496" s="44"/>
      <c r="G1496" s="44"/>
      <c r="H1496" s="44"/>
      <c r="I1496" s="44"/>
      <c r="J1496" s="44"/>
      <c r="K1496" s="44"/>
      <c r="L1496" s="44"/>
      <c r="M1496" s="44"/>
      <c r="N1496" s="44"/>
      <c r="O1496" s="44"/>
      <c r="P1496" s="52">
        <f t="shared" si="23"/>
        <v>0</v>
      </c>
      <c r="Q1496" s="124">
        <f t="shared" si="2"/>
        <v>0</v>
      </c>
      <c r="R1496" s="52">
        <f t="array" ref="R1496">IFERROR(INDEX('Fund YTD Target Values'!$1:$1000, MATCH($C1496,'Fund YTD Target Values'!$A:$A,0), MATCH($A1496,'Fund YTD Target Values'!$1:$1,0)),0)</f>
        <v>0</v>
      </c>
      <c r="S1496" s="52">
        <f>IFERROR(__xludf.DUMMYFUNCTION("IFERROR(sum(FILTER('Fund Data'!$V:$V, 'Fund Data'!$C:$C = $C1496, 'Fund Data'!$A:$A &lt; $A1496)),0) + IFERROR(sum(FILTER('Fund Data'!$V:$V, 'Fund Data'!$C:$C = $C1496, 'Fund Data'!$A:$A = $A1496, 'Fund Data'!$B:$B &lt;= $B1496)),0)"),0.0)</f>
        <v>0</v>
      </c>
      <c r="T1496" s="44"/>
      <c r="U1496" s="44"/>
      <c r="V1496" s="44">
        <f t="shared" si="3"/>
        <v>0</v>
      </c>
      <c r="W1496" s="52">
        <f>IFERROR(__xludf.DUMMYFUNCTION("iFERROR((FILTER('Fund Data'!$Y:$Y, 'Fund Data'!$C:$C = $C1496, 'Fund Data'!$A:$A = $A1496 - 1, 'Fund Data'!$B:$B = 12) + FILTER('Fund Data'!$AA:$AA, 'Fund Data'!$C:$C = $C1496, 'Fund Data'!$A:$A = $A1496 - 1, 'Fund Data'!$B:$B = 12)) * (1 + AVERAGE(FILTER"&amp;"('Inflation Data'!$C:$C,'Inflation Data'!$A:$A = ($A1496 - 2)))) * 'Parameters and Distribution Sum'!$A$4,0)"),0.0)</f>
        <v>0</v>
      </c>
      <c r="X1496" s="52">
        <f>IFERROR(__xludf.DUMMYFUNCTION("IFERROR((IFERROR(FILTER('Fund Data'!$P:$P,'Fund Data'!$C:$C = $C1496,'Fund Data'!$A:$A = ($A1496 - 2), 'Fund Data'!$B:$B = 12),0) - SUM(FILTER('Fund Data'!$V:$V, 'Fund Data'!$C:$C = $C1496, 'Fund Data'!$A:$A = ($A1496 - 2), 'Fund Data'!$B:$B &gt; 3)))  * 'Pa"&amp;"rameters and Distribution Sum'!$B$4 * (1 - 'Parameters and Distribution Sum'!$A$4),0)"),0.0)</f>
        <v>0</v>
      </c>
      <c r="Y1496" s="52">
        <f t="shared" si="140"/>
        <v>0</v>
      </c>
      <c r="Z1496" s="52">
        <f>IFERROR(__xludf.DUMMYFUNCTION("((IFERROR((SUM(FILTER('Fund Data'!$V:$V, 'Fund Data'!$C:$C = $C1496, 'Fund Data'!$A:$A = $A1496 - 1, 'Fund Data'!$B:$B &gt;= 4, 'Fund Data'!$B:$B &lt;= ($B1496 + 5))) / 12) * ($B1496 - 3) * 'Parameters and Distribution Sum'!$B$4, 0) + IF($B1496 &gt;= 9, IFERROR(SU"&amp;"M(FILTER('Fund Data'!$V:$V, 'Fund Data'!$C:$C = $C1496, 'Fund Data'!$A:$A = $A1496, 'Fund Data'!$B:$B &lt;= 3)) * 'Parameters and Distribution Sum'!$B$4, 0),0)))"),0.0)</f>
        <v>0</v>
      </c>
      <c r="AA1496" s="44">
        <f>IFERROR(__xludf.DUMMYFUNCTION("IFERROR(((IFERROR(SUM(FILTER('Fund Data'!$V:$V, 'Fund Data'!$C:$C = $C1496, 'Fund Data'!$A:$A = $A1496 - 2, 'Fund Data'!$B:$B &gt;= 4)) * 'Parameters and Distribution Sum'!$B$4,0) + IFERROR(SUM(FILTER('Fund Data'!$V:$V, 'Fund Data'!$C:$C = $C1496, 'Fund Data"&amp;"'!$A:$A = $A1496 - 1, 'Fund Data'!$B:$B &lt;= 3)) * 'Parameters and Distribution Sum'!$B$4,0))),0)"),0.0)</f>
        <v>0</v>
      </c>
      <c r="AB1496" s="44">
        <f t="shared" si="141"/>
        <v>0</v>
      </c>
      <c r="AC1496" s="44">
        <f t="shared" si="142"/>
        <v>0</v>
      </c>
      <c r="AD1496" s="44">
        <f t="shared" si="7"/>
        <v>0</v>
      </c>
      <c r="AE1496" s="44"/>
    </row>
    <row r="1497">
      <c r="A1497" s="178"/>
      <c r="B1497" s="179"/>
      <c r="C1497" s="147"/>
      <c r="D1497" s="44"/>
      <c r="E1497" s="44"/>
      <c r="F1497" s="44"/>
      <c r="G1497" s="44"/>
      <c r="H1497" s="44"/>
      <c r="I1497" s="44"/>
      <c r="J1497" s="44"/>
      <c r="K1497" s="44"/>
      <c r="L1497" s="44"/>
      <c r="M1497" s="44"/>
      <c r="N1497" s="44"/>
      <c r="O1497" s="44"/>
      <c r="P1497" s="52">
        <f t="shared" si="23"/>
        <v>0</v>
      </c>
      <c r="Q1497" s="124">
        <f t="shared" si="2"/>
        <v>0</v>
      </c>
      <c r="R1497" s="52">
        <f t="array" ref="R1497">IFERROR(INDEX('Fund YTD Target Values'!$1:$1000, MATCH($C1497,'Fund YTD Target Values'!$A:$A,0), MATCH($A1497,'Fund YTD Target Values'!$1:$1,0)),0)</f>
        <v>0</v>
      </c>
      <c r="S1497" s="52">
        <f>IFERROR(__xludf.DUMMYFUNCTION("IFERROR(sum(FILTER('Fund Data'!$V:$V, 'Fund Data'!$C:$C = $C1497, 'Fund Data'!$A:$A &lt; $A1497)),0) + IFERROR(sum(FILTER('Fund Data'!$V:$V, 'Fund Data'!$C:$C = $C1497, 'Fund Data'!$A:$A = $A1497, 'Fund Data'!$B:$B &lt;= $B1497)),0)"),0.0)</f>
        <v>0</v>
      </c>
      <c r="T1497" s="44"/>
      <c r="U1497" s="44"/>
      <c r="V1497" s="44">
        <f t="shared" si="3"/>
        <v>0</v>
      </c>
      <c r="W1497" s="52">
        <f>IFERROR(__xludf.DUMMYFUNCTION("iFERROR((FILTER('Fund Data'!$Y:$Y, 'Fund Data'!$C:$C = $C1497, 'Fund Data'!$A:$A = $A1497 - 1, 'Fund Data'!$B:$B = 12) + FILTER('Fund Data'!$AA:$AA, 'Fund Data'!$C:$C = $C1497, 'Fund Data'!$A:$A = $A1497 - 1, 'Fund Data'!$B:$B = 12)) * (1 + AVERAGE(FILTER"&amp;"('Inflation Data'!$C:$C,'Inflation Data'!$A:$A = ($A1497 - 2)))) * 'Parameters and Distribution Sum'!$A$4,0)"),0.0)</f>
        <v>0</v>
      </c>
      <c r="X1497" s="52">
        <f>IFERROR(__xludf.DUMMYFUNCTION("IFERROR((IFERROR(FILTER('Fund Data'!$P:$P,'Fund Data'!$C:$C = $C1497,'Fund Data'!$A:$A = ($A1497 - 2), 'Fund Data'!$B:$B = 12),0) - SUM(FILTER('Fund Data'!$V:$V, 'Fund Data'!$C:$C = $C1497, 'Fund Data'!$A:$A = ($A1497 - 2), 'Fund Data'!$B:$B &gt; 3)))  * 'Pa"&amp;"rameters and Distribution Sum'!$B$4 * (1 - 'Parameters and Distribution Sum'!$A$4),0)"),0.0)</f>
        <v>0</v>
      </c>
      <c r="Y1497" s="52">
        <f t="shared" si="140"/>
        <v>0</v>
      </c>
      <c r="Z1497" s="52">
        <f>IFERROR(__xludf.DUMMYFUNCTION("((IFERROR((SUM(FILTER('Fund Data'!$V:$V, 'Fund Data'!$C:$C = $C1497, 'Fund Data'!$A:$A = $A1497 - 1, 'Fund Data'!$B:$B &gt;= 4, 'Fund Data'!$B:$B &lt;= ($B1497 + 5))) / 12) * ($B1497 - 3) * 'Parameters and Distribution Sum'!$B$4, 0) + IF($B1497 &gt;= 9, IFERROR(SU"&amp;"M(FILTER('Fund Data'!$V:$V, 'Fund Data'!$C:$C = $C1497, 'Fund Data'!$A:$A = $A1497, 'Fund Data'!$B:$B &lt;= 3)) * 'Parameters and Distribution Sum'!$B$4, 0),0)))"),0.0)</f>
        <v>0</v>
      </c>
      <c r="AA1497" s="44">
        <f>IFERROR(__xludf.DUMMYFUNCTION("IFERROR(((IFERROR(SUM(FILTER('Fund Data'!$V:$V, 'Fund Data'!$C:$C = $C1497, 'Fund Data'!$A:$A = $A1497 - 2, 'Fund Data'!$B:$B &gt;= 4)) * 'Parameters and Distribution Sum'!$B$4,0) + IFERROR(SUM(FILTER('Fund Data'!$V:$V, 'Fund Data'!$C:$C = $C1497, 'Fund Data"&amp;"'!$A:$A = $A1497 - 1, 'Fund Data'!$B:$B &lt;= 3)) * 'Parameters and Distribution Sum'!$B$4,0))),0)"),0.0)</f>
        <v>0</v>
      </c>
      <c r="AB1497" s="44">
        <f t="shared" si="141"/>
        <v>0</v>
      </c>
      <c r="AC1497" s="44">
        <f t="shared" si="142"/>
        <v>0</v>
      </c>
      <c r="AD1497" s="44">
        <f t="shared" si="7"/>
        <v>0</v>
      </c>
      <c r="AE1497" s="44"/>
    </row>
    <row r="1498">
      <c r="A1498" s="178"/>
      <c r="B1498" s="179"/>
      <c r="C1498" s="147"/>
      <c r="D1498" s="44"/>
      <c r="E1498" s="44"/>
      <c r="F1498" s="44"/>
      <c r="G1498" s="44"/>
      <c r="H1498" s="44"/>
      <c r="I1498" s="44"/>
      <c r="J1498" s="44"/>
      <c r="K1498" s="44"/>
      <c r="L1498" s="44"/>
      <c r="M1498" s="44"/>
      <c r="N1498" s="44"/>
      <c r="O1498" s="44"/>
      <c r="P1498" s="52">
        <f t="shared" si="23"/>
        <v>0</v>
      </c>
      <c r="Q1498" s="124">
        <f t="shared" si="2"/>
        <v>0</v>
      </c>
      <c r="R1498" s="52">
        <f t="array" ref="R1498">IFERROR(INDEX('Fund YTD Target Values'!$1:$1000, MATCH($C1498,'Fund YTD Target Values'!$A:$A,0), MATCH($A1498,'Fund YTD Target Values'!$1:$1,0)),0)</f>
        <v>0</v>
      </c>
      <c r="S1498" s="52">
        <f>IFERROR(__xludf.DUMMYFUNCTION("IFERROR(sum(FILTER('Fund Data'!$V:$V, 'Fund Data'!$C:$C = $C1498, 'Fund Data'!$A:$A &lt; $A1498)),0) + IFERROR(sum(FILTER('Fund Data'!$V:$V, 'Fund Data'!$C:$C = $C1498, 'Fund Data'!$A:$A = $A1498, 'Fund Data'!$B:$B &lt;= $B1498)),0)"),0.0)</f>
        <v>0</v>
      </c>
      <c r="T1498" s="44"/>
      <c r="U1498" s="44"/>
      <c r="V1498" s="44">
        <f t="shared" si="3"/>
        <v>0</v>
      </c>
      <c r="W1498" s="52">
        <f>IFERROR(__xludf.DUMMYFUNCTION("iFERROR((FILTER('Fund Data'!$Y:$Y, 'Fund Data'!$C:$C = $C1498, 'Fund Data'!$A:$A = $A1498 - 1, 'Fund Data'!$B:$B = 12) + FILTER('Fund Data'!$AA:$AA, 'Fund Data'!$C:$C = $C1498, 'Fund Data'!$A:$A = $A1498 - 1, 'Fund Data'!$B:$B = 12)) * (1 + AVERAGE(FILTER"&amp;"('Inflation Data'!$C:$C,'Inflation Data'!$A:$A = ($A1498 - 2)))) * 'Parameters and Distribution Sum'!$A$4,0)"),0.0)</f>
        <v>0</v>
      </c>
      <c r="X1498" s="52">
        <f>IFERROR(__xludf.DUMMYFUNCTION("IFERROR((IFERROR(FILTER('Fund Data'!$P:$P,'Fund Data'!$C:$C = $C1498,'Fund Data'!$A:$A = ($A1498 - 2), 'Fund Data'!$B:$B = 12),0) - SUM(FILTER('Fund Data'!$V:$V, 'Fund Data'!$C:$C = $C1498, 'Fund Data'!$A:$A = ($A1498 - 2), 'Fund Data'!$B:$B &gt; 3)))  * 'Pa"&amp;"rameters and Distribution Sum'!$B$4 * (1 - 'Parameters and Distribution Sum'!$A$4),0)"),0.0)</f>
        <v>0</v>
      </c>
      <c r="Y1498" s="52">
        <f t="shared" si="140"/>
        <v>0</v>
      </c>
      <c r="Z1498" s="52">
        <f>IFERROR(__xludf.DUMMYFUNCTION("((IFERROR((SUM(FILTER('Fund Data'!$V:$V, 'Fund Data'!$C:$C = $C1498, 'Fund Data'!$A:$A = $A1498 - 1, 'Fund Data'!$B:$B &gt;= 4, 'Fund Data'!$B:$B &lt;= ($B1498 + 5))) / 12) * ($B1498 - 3) * 'Parameters and Distribution Sum'!$B$4, 0) + IF($B1498 &gt;= 9, IFERROR(SU"&amp;"M(FILTER('Fund Data'!$V:$V, 'Fund Data'!$C:$C = $C1498, 'Fund Data'!$A:$A = $A1498, 'Fund Data'!$B:$B &lt;= 3)) * 'Parameters and Distribution Sum'!$B$4, 0),0)))"),0.0)</f>
        <v>0</v>
      </c>
      <c r="AA1498" s="44">
        <f>IFERROR(__xludf.DUMMYFUNCTION("IFERROR(((IFERROR(SUM(FILTER('Fund Data'!$V:$V, 'Fund Data'!$C:$C = $C1498, 'Fund Data'!$A:$A = $A1498 - 2, 'Fund Data'!$B:$B &gt;= 4)) * 'Parameters and Distribution Sum'!$B$4,0) + IFERROR(SUM(FILTER('Fund Data'!$V:$V, 'Fund Data'!$C:$C = $C1498, 'Fund Data"&amp;"'!$A:$A = $A1498 - 1, 'Fund Data'!$B:$B &lt;= 3)) * 'Parameters and Distribution Sum'!$B$4,0))),0)"),0.0)</f>
        <v>0</v>
      </c>
      <c r="AB1498" s="44">
        <f t="shared" si="141"/>
        <v>0</v>
      </c>
      <c r="AC1498" s="44">
        <f t="shared" si="142"/>
        <v>0</v>
      </c>
      <c r="AD1498" s="44">
        <f t="shared" si="7"/>
        <v>0</v>
      </c>
      <c r="AE1498" s="44"/>
    </row>
    <row r="1499">
      <c r="A1499" s="178"/>
      <c r="B1499" s="179"/>
      <c r="C1499" s="147"/>
      <c r="D1499" s="44"/>
      <c r="E1499" s="44"/>
      <c r="F1499" s="44"/>
      <c r="G1499" s="44"/>
      <c r="H1499" s="44"/>
      <c r="I1499" s="44"/>
      <c r="J1499" s="44"/>
      <c r="K1499" s="44"/>
      <c r="L1499" s="44"/>
      <c r="M1499" s="44"/>
      <c r="N1499" s="44"/>
      <c r="O1499" s="44"/>
      <c r="P1499" s="52">
        <f t="shared" si="23"/>
        <v>0</v>
      </c>
      <c r="Q1499" s="124">
        <f t="shared" si="2"/>
        <v>0</v>
      </c>
      <c r="R1499" s="52">
        <f t="array" ref="R1499">IFERROR(INDEX('Fund YTD Target Values'!$1:$1000, MATCH($C1499,'Fund YTD Target Values'!$A:$A,0), MATCH($A1499,'Fund YTD Target Values'!$1:$1,0)),0)</f>
        <v>0</v>
      </c>
      <c r="S1499" s="52">
        <f>IFERROR(__xludf.DUMMYFUNCTION("IFERROR(sum(FILTER('Fund Data'!$V:$V, 'Fund Data'!$C:$C = $C1499, 'Fund Data'!$A:$A &lt; $A1499)),0) + IFERROR(sum(FILTER('Fund Data'!$V:$V, 'Fund Data'!$C:$C = $C1499, 'Fund Data'!$A:$A = $A1499, 'Fund Data'!$B:$B &lt;= $B1499)),0)"),0.0)</f>
        <v>0</v>
      </c>
      <c r="T1499" s="44"/>
      <c r="U1499" s="44"/>
      <c r="V1499" s="44">
        <f t="shared" si="3"/>
        <v>0</v>
      </c>
      <c r="W1499" s="52">
        <f>IFERROR(__xludf.DUMMYFUNCTION("iFERROR((FILTER('Fund Data'!$Y:$Y, 'Fund Data'!$C:$C = $C1499, 'Fund Data'!$A:$A = $A1499 - 1, 'Fund Data'!$B:$B = 12) + FILTER('Fund Data'!$AA:$AA, 'Fund Data'!$C:$C = $C1499, 'Fund Data'!$A:$A = $A1499 - 1, 'Fund Data'!$B:$B = 12)) * (1 + AVERAGE(FILTER"&amp;"('Inflation Data'!$C:$C,'Inflation Data'!$A:$A = ($A1499 - 2)))) * 'Parameters and Distribution Sum'!$A$4,0)"),0.0)</f>
        <v>0</v>
      </c>
      <c r="X1499" s="52">
        <f>IFERROR(__xludf.DUMMYFUNCTION("IFERROR((IFERROR(FILTER('Fund Data'!$P:$P,'Fund Data'!$C:$C = $C1499,'Fund Data'!$A:$A = ($A1499 - 2), 'Fund Data'!$B:$B = 12),0) - SUM(FILTER('Fund Data'!$V:$V, 'Fund Data'!$C:$C = $C1499, 'Fund Data'!$A:$A = ($A1499 - 2), 'Fund Data'!$B:$B &gt; 3)))  * 'Pa"&amp;"rameters and Distribution Sum'!$B$4 * (1 - 'Parameters and Distribution Sum'!$A$4),0)"),0.0)</f>
        <v>0</v>
      </c>
      <c r="Y1499" s="52">
        <f t="shared" si="140"/>
        <v>0</v>
      </c>
      <c r="Z1499" s="52">
        <f>IFERROR(__xludf.DUMMYFUNCTION("((IFERROR((SUM(FILTER('Fund Data'!$V:$V, 'Fund Data'!$C:$C = $C1499, 'Fund Data'!$A:$A = $A1499 - 1, 'Fund Data'!$B:$B &gt;= 4, 'Fund Data'!$B:$B &lt;= ($B1499 + 5))) / 12) * ($B1499 - 3) * 'Parameters and Distribution Sum'!$B$4, 0) + IF($B1499 &gt;= 9, IFERROR(SU"&amp;"M(FILTER('Fund Data'!$V:$V, 'Fund Data'!$C:$C = $C1499, 'Fund Data'!$A:$A = $A1499, 'Fund Data'!$B:$B &lt;= 3)) * 'Parameters and Distribution Sum'!$B$4, 0),0)))"),0.0)</f>
        <v>0</v>
      </c>
      <c r="AA1499" s="44">
        <f>IFERROR(__xludf.DUMMYFUNCTION("IFERROR(((IFERROR(SUM(FILTER('Fund Data'!$V:$V, 'Fund Data'!$C:$C = $C1499, 'Fund Data'!$A:$A = $A1499 - 2, 'Fund Data'!$B:$B &gt;= 4)) * 'Parameters and Distribution Sum'!$B$4,0) + IFERROR(SUM(FILTER('Fund Data'!$V:$V, 'Fund Data'!$C:$C = $C1499, 'Fund Data"&amp;"'!$A:$A = $A1499 - 1, 'Fund Data'!$B:$B &lt;= 3)) * 'Parameters and Distribution Sum'!$B$4,0))),0)"),0.0)</f>
        <v>0</v>
      </c>
      <c r="AB1499" s="44">
        <f t="shared" si="141"/>
        <v>0</v>
      </c>
      <c r="AC1499" s="44">
        <f t="shared" si="142"/>
        <v>0</v>
      </c>
      <c r="AD1499" s="44">
        <f t="shared" si="7"/>
        <v>0</v>
      </c>
      <c r="AE1499" s="44"/>
    </row>
    <row r="1500">
      <c r="A1500" s="178"/>
      <c r="B1500" s="179"/>
      <c r="C1500" s="147"/>
      <c r="D1500" s="44"/>
      <c r="E1500" s="44"/>
      <c r="F1500" s="44"/>
      <c r="G1500" s="44"/>
      <c r="H1500" s="44"/>
      <c r="I1500" s="44"/>
      <c r="J1500" s="44"/>
      <c r="K1500" s="44"/>
      <c r="L1500" s="44"/>
      <c r="M1500" s="44"/>
      <c r="N1500" s="44"/>
      <c r="O1500" s="44"/>
      <c r="P1500" s="52">
        <f t="shared" si="23"/>
        <v>0</v>
      </c>
      <c r="Q1500" s="124">
        <f t="shared" si="2"/>
        <v>0</v>
      </c>
      <c r="R1500" s="52">
        <f t="array" ref="R1500">IFERROR(INDEX('Fund YTD Target Values'!$1:$1000, MATCH($C1500,'Fund YTD Target Values'!$A:$A,0), MATCH($A1500,'Fund YTD Target Values'!$1:$1,0)),0)</f>
        <v>0</v>
      </c>
      <c r="S1500" s="52">
        <f>IFERROR(__xludf.DUMMYFUNCTION("IFERROR(sum(FILTER('Fund Data'!$V:$V, 'Fund Data'!$C:$C = $C1500, 'Fund Data'!$A:$A &lt; $A1500)),0) + IFERROR(sum(FILTER('Fund Data'!$V:$V, 'Fund Data'!$C:$C = $C1500, 'Fund Data'!$A:$A = $A1500, 'Fund Data'!$B:$B &lt;= $B1500)),0)"),0.0)</f>
        <v>0</v>
      </c>
      <c r="T1500" s="44"/>
      <c r="U1500" s="44"/>
      <c r="V1500" s="44">
        <f t="shared" si="3"/>
        <v>0</v>
      </c>
      <c r="W1500" s="52">
        <f>IFERROR(__xludf.DUMMYFUNCTION("iFERROR((FILTER('Fund Data'!$Y:$Y, 'Fund Data'!$C:$C = $C1500, 'Fund Data'!$A:$A = $A1500 - 1, 'Fund Data'!$B:$B = 12) + FILTER('Fund Data'!$AA:$AA, 'Fund Data'!$C:$C = $C1500, 'Fund Data'!$A:$A = $A1500 - 1, 'Fund Data'!$B:$B = 12)) * (1 + AVERAGE(FILTER"&amp;"('Inflation Data'!$C:$C,'Inflation Data'!$A:$A = ($A1500 - 2)))) * 'Parameters and Distribution Sum'!$A$4,0)"),0.0)</f>
        <v>0</v>
      </c>
      <c r="X1500" s="52">
        <f>IFERROR(__xludf.DUMMYFUNCTION("IFERROR((IFERROR(FILTER('Fund Data'!$P:$P,'Fund Data'!$C:$C = $C1500,'Fund Data'!$A:$A = ($A1500 - 2), 'Fund Data'!$B:$B = 12),0) - SUM(FILTER('Fund Data'!$V:$V, 'Fund Data'!$C:$C = $C1500, 'Fund Data'!$A:$A = ($A1500 - 2), 'Fund Data'!$B:$B &gt; 3)))  * 'Pa"&amp;"rameters and Distribution Sum'!$B$4 * (1 - 'Parameters and Distribution Sum'!$A$4),0)"),0.0)</f>
        <v>0</v>
      </c>
      <c r="Y1500" s="52">
        <f t="shared" si="140"/>
        <v>0</v>
      </c>
      <c r="Z1500" s="52">
        <f>IFERROR(__xludf.DUMMYFUNCTION("((IFERROR((SUM(FILTER('Fund Data'!$V:$V, 'Fund Data'!$C:$C = $C1500, 'Fund Data'!$A:$A = $A1500 - 1, 'Fund Data'!$B:$B &gt;= 4, 'Fund Data'!$B:$B &lt;= ($B1500 + 5))) / 12) * ($B1500 - 3) * 'Parameters and Distribution Sum'!$B$4, 0) + IF($B1500 &gt;= 9, IFERROR(SU"&amp;"M(FILTER('Fund Data'!$V:$V, 'Fund Data'!$C:$C = $C1500, 'Fund Data'!$A:$A = $A1500, 'Fund Data'!$B:$B &lt;= 3)) * 'Parameters and Distribution Sum'!$B$4, 0),0)))"),0.0)</f>
        <v>0</v>
      </c>
      <c r="AA1500" s="44">
        <f>IFERROR(__xludf.DUMMYFUNCTION("IFERROR(((IFERROR(SUM(FILTER('Fund Data'!$V:$V, 'Fund Data'!$C:$C = $C1500, 'Fund Data'!$A:$A = $A1500 - 2, 'Fund Data'!$B:$B &gt;= 4)) * 'Parameters and Distribution Sum'!$B$4,0) + IFERROR(SUM(FILTER('Fund Data'!$V:$V, 'Fund Data'!$C:$C = $C1500, 'Fund Data"&amp;"'!$A:$A = $A1500 - 1, 'Fund Data'!$B:$B &lt;= 3)) * 'Parameters and Distribution Sum'!$B$4,0))),0)"),0.0)</f>
        <v>0</v>
      </c>
      <c r="AB1500" s="44">
        <f t="shared" si="141"/>
        <v>0</v>
      </c>
      <c r="AC1500" s="44">
        <f t="shared" si="142"/>
        <v>0</v>
      </c>
      <c r="AD1500" s="44">
        <f t="shared" si="7"/>
        <v>0</v>
      </c>
      <c r="AE1500" s="44"/>
    </row>
    <row r="1501">
      <c r="A1501" s="178"/>
      <c r="B1501" s="179"/>
      <c r="C1501" s="147"/>
      <c r="D1501" s="44"/>
      <c r="E1501" s="44"/>
      <c r="F1501" s="44"/>
      <c r="G1501" s="44"/>
      <c r="H1501" s="44"/>
      <c r="I1501" s="44"/>
      <c r="J1501" s="44"/>
      <c r="K1501" s="44"/>
      <c r="L1501" s="44"/>
      <c r="M1501" s="44"/>
      <c r="N1501" s="44"/>
      <c r="O1501" s="44"/>
      <c r="P1501" s="52">
        <f t="shared" si="23"/>
        <v>0</v>
      </c>
      <c r="Q1501" s="124">
        <f t="shared" si="2"/>
        <v>0</v>
      </c>
      <c r="R1501" s="52">
        <f t="array" ref="R1501">IFERROR(INDEX('Fund YTD Target Values'!$1:$1000, MATCH($C1501,'Fund YTD Target Values'!$A:$A,0), MATCH($A1501,'Fund YTD Target Values'!$1:$1,0)),0)</f>
        <v>0</v>
      </c>
      <c r="S1501" s="52">
        <f>IFERROR(__xludf.DUMMYFUNCTION("IFERROR(sum(FILTER('Fund Data'!$V:$V, 'Fund Data'!$C:$C = $C1501, 'Fund Data'!$A:$A &lt; $A1501)),0) + IFERROR(sum(FILTER('Fund Data'!$V:$V, 'Fund Data'!$C:$C = $C1501, 'Fund Data'!$A:$A = $A1501, 'Fund Data'!$B:$B &lt;= $B1501)),0)"),0.0)</f>
        <v>0</v>
      </c>
      <c r="T1501" s="44"/>
      <c r="U1501" s="44"/>
      <c r="V1501" s="44">
        <f t="shared" si="3"/>
        <v>0</v>
      </c>
      <c r="W1501" s="52">
        <f>IFERROR(__xludf.DUMMYFUNCTION("iFERROR((FILTER('Fund Data'!$Y:$Y, 'Fund Data'!$C:$C = $C1501, 'Fund Data'!$A:$A = $A1501 - 1, 'Fund Data'!$B:$B = 12) + FILTER('Fund Data'!$AA:$AA, 'Fund Data'!$C:$C = $C1501, 'Fund Data'!$A:$A = $A1501 - 1, 'Fund Data'!$B:$B = 12)) * (1 + AVERAGE(FILTER"&amp;"('Inflation Data'!$C:$C,'Inflation Data'!$A:$A = ($A1501 - 2)))) * 'Parameters and Distribution Sum'!$A$4,0)"),0.0)</f>
        <v>0</v>
      </c>
      <c r="X1501" s="52">
        <f>IFERROR(__xludf.DUMMYFUNCTION("IFERROR((IFERROR(FILTER('Fund Data'!$P:$P,'Fund Data'!$C:$C = $C1501,'Fund Data'!$A:$A = ($A1501 - 2), 'Fund Data'!$B:$B = 12),0) - SUM(FILTER('Fund Data'!$V:$V, 'Fund Data'!$C:$C = $C1501, 'Fund Data'!$A:$A = ($A1501 - 2), 'Fund Data'!$B:$B &gt; 3)))  * 'Pa"&amp;"rameters and Distribution Sum'!$B$4 * (1 - 'Parameters and Distribution Sum'!$A$4),0)"),0.0)</f>
        <v>0</v>
      </c>
      <c r="Y1501" s="52">
        <f t="shared" si="140"/>
        <v>0</v>
      </c>
      <c r="Z1501" s="52">
        <f>IFERROR(__xludf.DUMMYFUNCTION("((IFERROR((SUM(FILTER('Fund Data'!$V:$V, 'Fund Data'!$C:$C = $C1501, 'Fund Data'!$A:$A = $A1501 - 1, 'Fund Data'!$B:$B &gt;= 4, 'Fund Data'!$B:$B &lt;= ($B1501 + 5))) / 12) * ($B1501 - 3) * 'Parameters and Distribution Sum'!$B$4, 0) + IF($B1501 &gt;= 9, IFERROR(SU"&amp;"M(FILTER('Fund Data'!$V:$V, 'Fund Data'!$C:$C = $C1501, 'Fund Data'!$A:$A = $A1501, 'Fund Data'!$B:$B &lt;= 3)) * 'Parameters and Distribution Sum'!$B$4, 0),0)))"),0.0)</f>
        <v>0</v>
      </c>
      <c r="AA1501" s="44">
        <f>IFERROR(__xludf.DUMMYFUNCTION("IFERROR(((IFERROR(SUM(FILTER('Fund Data'!$V:$V, 'Fund Data'!$C:$C = $C1501, 'Fund Data'!$A:$A = $A1501 - 2, 'Fund Data'!$B:$B &gt;= 4)) * 'Parameters and Distribution Sum'!$B$4,0) + IFERROR(SUM(FILTER('Fund Data'!$V:$V, 'Fund Data'!$C:$C = $C1501, 'Fund Data"&amp;"'!$A:$A = $A1501 - 1, 'Fund Data'!$B:$B &lt;= 3)) * 'Parameters and Distribution Sum'!$B$4,0))),0)"),0.0)</f>
        <v>0</v>
      </c>
      <c r="AB1501" s="44">
        <f t="shared" si="141"/>
        <v>0</v>
      </c>
      <c r="AC1501" s="44">
        <f t="shared" si="142"/>
        <v>0</v>
      </c>
      <c r="AD1501" s="44">
        <f t="shared" si="7"/>
        <v>0</v>
      </c>
      <c r="AE1501" s="44"/>
    </row>
    <row r="1502">
      <c r="A1502" s="178"/>
      <c r="B1502" s="179"/>
      <c r="C1502" s="147"/>
      <c r="D1502" s="44"/>
      <c r="E1502" s="44"/>
      <c r="F1502" s="44"/>
      <c r="G1502" s="44"/>
      <c r="H1502" s="44"/>
      <c r="I1502" s="44"/>
      <c r="J1502" s="44"/>
      <c r="K1502" s="44"/>
      <c r="L1502" s="44"/>
      <c r="M1502" s="44"/>
      <c r="N1502" s="44"/>
      <c r="O1502" s="44"/>
      <c r="P1502" s="52">
        <f t="shared" si="23"/>
        <v>0</v>
      </c>
      <c r="Q1502" s="124">
        <f t="shared" si="2"/>
        <v>0</v>
      </c>
      <c r="R1502" s="52">
        <f t="array" ref="R1502">IFERROR(INDEX('Fund YTD Target Values'!$1:$1000, MATCH($C1502,'Fund YTD Target Values'!$A:$A,0), MATCH($A1502,'Fund YTD Target Values'!$1:$1,0)),0)</f>
        <v>0</v>
      </c>
      <c r="S1502" s="52">
        <f>IFERROR(__xludf.DUMMYFUNCTION("IFERROR(sum(FILTER('Fund Data'!$V:$V, 'Fund Data'!$C:$C = $C1502, 'Fund Data'!$A:$A &lt; $A1502)),0) + IFERROR(sum(FILTER('Fund Data'!$V:$V, 'Fund Data'!$C:$C = $C1502, 'Fund Data'!$A:$A = $A1502, 'Fund Data'!$B:$B &lt;= $B1502)),0)"),0.0)</f>
        <v>0</v>
      </c>
      <c r="T1502" s="44"/>
      <c r="U1502" s="44"/>
      <c r="V1502" s="44">
        <f t="shared" si="3"/>
        <v>0</v>
      </c>
      <c r="W1502" s="52">
        <f>IFERROR(__xludf.DUMMYFUNCTION("iFERROR((FILTER('Fund Data'!$Y:$Y, 'Fund Data'!$C:$C = $C1502, 'Fund Data'!$A:$A = $A1502 - 1, 'Fund Data'!$B:$B = 12) + FILTER('Fund Data'!$AA:$AA, 'Fund Data'!$C:$C = $C1502, 'Fund Data'!$A:$A = $A1502 - 1, 'Fund Data'!$B:$B = 12)) * (1 + AVERAGE(FILTER"&amp;"('Inflation Data'!$C:$C,'Inflation Data'!$A:$A = ($A1502 - 2)))) * 'Parameters and Distribution Sum'!$A$4,0)"),0.0)</f>
        <v>0</v>
      </c>
      <c r="X1502" s="52">
        <f>IFERROR(__xludf.DUMMYFUNCTION("IFERROR((IFERROR(FILTER('Fund Data'!$P:$P,'Fund Data'!$C:$C = $C1502,'Fund Data'!$A:$A = ($A1502 - 2), 'Fund Data'!$B:$B = 12),0) - SUM(FILTER('Fund Data'!$V:$V, 'Fund Data'!$C:$C = $C1502, 'Fund Data'!$A:$A = ($A1502 - 2), 'Fund Data'!$B:$B &gt; 3)))  * 'Pa"&amp;"rameters and Distribution Sum'!$B$4 * (1 - 'Parameters and Distribution Sum'!$A$4),0)"),0.0)</f>
        <v>0</v>
      </c>
      <c r="Y1502" s="52">
        <f t="shared" si="140"/>
        <v>0</v>
      </c>
      <c r="Z1502" s="52">
        <f>IFERROR(__xludf.DUMMYFUNCTION("((IFERROR((SUM(FILTER('Fund Data'!$V:$V, 'Fund Data'!$C:$C = $C1502, 'Fund Data'!$A:$A = $A1502 - 1, 'Fund Data'!$B:$B &gt;= 4, 'Fund Data'!$B:$B &lt;= ($B1502 + 5))) / 12) * ($B1502 - 3) * 'Parameters and Distribution Sum'!$B$4, 0) + IF($B1502 &gt;= 9, IFERROR(SU"&amp;"M(FILTER('Fund Data'!$V:$V, 'Fund Data'!$C:$C = $C1502, 'Fund Data'!$A:$A = $A1502, 'Fund Data'!$B:$B &lt;= 3)) * 'Parameters and Distribution Sum'!$B$4, 0),0)))"),0.0)</f>
        <v>0</v>
      </c>
      <c r="AA1502" s="44">
        <f>IFERROR(__xludf.DUMMYFUNCTION("IFERROR(((IFERROR(SUM(FILTER('Fund Data'!$V:$V, 'Fund Data'!$C:$C = $C1502, 'Fund Data'!$A:$A = $A1502 - 2, 'Fund Data'!$B:$B &gt;= 4)) * 'Parameters and Distribution Sum'!$B$4,0) + IFERROR(SUM(FILTER('Fund Data'!$V:$V, 'Fund Data'!$C:$C = $C1502, 'Fund Data"&amp;"'!$A:$A = $A1502 - 1, 'Fund Data'!$B:$B &lt;= 3)) * 'Parameters and Distribution Sum'!$B$4,0))),0)"),0.0)</f>
        <v>0</v>
      </c>
      <c r="AB1502" s="44">
        <f t="shared" si="141"/>
        <v>0</v>
      </c>
      <c r="AC1502" s="44">
        <f t="shared" si="142"/>
        <v>0</v>
      </c>
      <c r="AD1502" s="44">
        <f t="shared" si="7"/>
        <v>0</v>
      </c>
      <c r="AE1502" s="44"/>
    </row>
    <row r="1503">
      <c r="A1503" s="178"/>
      <c r="B1503" s="179"/>
      <c r="C1503" s="147"/>
      <c r="D1503" s="44"/>
      <c r="E1503" s="44"/>
      <c r="F1503" s="44"/>
      <c r="G1503" s="44"/>
      <c r="H1503" s="44"/>
      <c r="I1503" s="44"/>
      <c r="J1503" s="44"/>
      <c r="K1503" s="44"/>
      <c r="L1503" s="44"/>
      <c r="M1503" s="44"/>
      <c r="N1503" s="44"/>
      <c r="O1503" s="44"/>
      <c r="P1503" s="52">
        <f t="shared" si="23"/>
        <v>0</v>
      </c>
      <c r="Q1503" s="124">
        <f t="shared" si="2"/>
        <v>0</v>
      </c>
      <c r="R1503" s="52">
        <f t="array" ref="R1503">IFERROR(INDEX('Fund YTD Target Values'!$1:$1000, MATCH($C1503,'Fund YTD Target Values'!$A:$A,0), MATCH($A1503,'Fund YTD Target Values'!$1:$1,0)),0)</f>
        <v>0</v>
      </c>
      <c r="S1503" s="52">
        <f>IFERROR(__xludf.DUMMYFUNCTION("IFERROR(sum(FILTER('Fund Data'!$V:$V, 'Fund Data'!$C:$C = $C1503, 'Fund Data'!$A:$A &lt; $A1503)),0) + IFERROR(sum(FILTER('Fund Data'!$V:$V, 'Fund Data'!$C:$C = $C1503, 'Fund Data'!$A:$A = $A1503, 'Fund Data'!$B:$B &lt;= $B1503)),0)"),0.0)</f>
        <v>0</v>
      </c>
      <c r="T1503" s="44"/>
      <c r="U1503" s="44"/>
      <c r="V1503" s="44">
        <f t="shared" si="3"/>
        <v>0</v>
      </c>
      <c r="W1503" s="52">
        <f>IFERROR(__xludf.DUMMYFUNCTION("iFERROR((FILTER('Fund Data'!$Y:$Y, 'Fund Data'!$C:$C = $C1503, 'Fund Data'!$A:$A = $A1503 - 1, 'Fund Data'!$B:$B = 12) + FILTER('Fund Data'!$AA:$AA, 'Fund Data'!$C:$C = $C1503, 'Fund Data'!$A:$A = $A1503 - 1, 'Fund Data'!$B:$B = 12)) * (1 + AVERAGE(FILTER"&amp;"('Inflation Data'!$C:$C,'Inflation Data'!$A:$A = ($A1503 - 2)))) * 'Parameters and Distribution Sum'!$A$4,0)"),0.0)</f>
        <v>0</v>
      </c>
      <c r="X1503" s="52">
        <f>IFERROR(__xludf.DUMMYFUNCTION("IFERROR((IFERROR(FILTER('Fund Data'!$P:$P,'Fund Data'!$C:$C = $C1503,'Fund Data'!$A:$A = ($A1503 - 2), 'Fund Data'!$B:$B = 12),0) - SUM(FILTER('Fund Data'!$V:$V, 'Fund Data'!$C:$C = $C1503, 'Fund Data'!$A:$A = ($A1503 - 2), 'Fund Data'!$B:$B &gt; 3)))  * 'Pa"&amp;"rameters and Distribution Sum'!$B$4 * (1 - 'Parameters and Distribution Sum'!$A$4),0)"),0.0)</f>
        <v>0</v>
      </c>
      <c r="Y1503" s="52">
        <f t="shared" si="140"/>
        <v>0</v>
      </c>
      <c r="Z1503" s="52">
        <f>IFERROR(__xludf.DUMMYFUNCTION("((IFERROR((SUM(FILTER('Fund Data'!$V:$V, 'Fund Data'!$C:$C = $C1503, 'Fund Data'!$A:$A = $A1503 - 1, 'Fund Data'!$B:$B &gt;= 4, 'Fund Data'!$B:$B &lt;= ($B1503 + 5))) / 12) * ($B1503 - 3) * 'Parameters and Distribution Sum'!$B$4, 0) + IF($B1503 &gt;= 9, IFERROR(SU"&amp;"M(FILTER('Fund Data'!$V:$V, 'Fund Data'!$C:$C = $C1503, 'Fund Data'!$A:$A = $A1503, 'Fund Data'!$B:$B &lt;= 3)) * 'Parameters and Distribution Sum'!$B$4, 0),0)))"),0.0)</f>
        <v>0</v>
      </c>
      <c r="AA1503" s="44">
        <f>IFERROR(__xludf.DUMMYFUNCTION("IFERROR(((IFERROR(SUM(FILTER('Fund Data'!$V:$V, 'Fund Data'!$C:$C = $C1503, 'Fund Data'!$A:$A = $A1503 - 2, 'Fund Data'!$B:$B &gt;= 4)) * 'Parameters and Distribution Sum'!$B$4,0) + IFERROR(SUM(FILTER('Fund Data'!$V:$V, 'Fund Data'!$C:$C = $C1503, 'Fund Data"&amp;"'!$A:$A = $A1503 - 1, 'Fund Data'!$B:$B &lt;= 3)) * 'Parameters and Distribution Sum'!$B$4,0))),0)"),0.0)</f>
        <v>0</v>
      </c>
      <c r="AB1503" s="44">
        <f t="shared" si="141"/>
        <v>0</v>
      </c>
      <c r="AC1503" s="44">
        <f t="shared" si="142"/>
        <v>0</v>
      </c>
      <c r="AD1503" s="44">
        <f t="shared" si="7"/>
        <v>0</v>
      </c>
      <c r="AE1503" s="44"/>
    </row>
    <row r="1504">
      <c r="A1504" s="178"/>
      <c r="B1504" s="179"/>
      <c r="C1504" s="147"/>
      <c r="D1504" s="44"/>
      <c r="E1504" s="44"/>
      <c r="F1504" s="44"/>
      <c r="G1504" s="44"/>
      <c r="H1504" s="44"/>
      <c r="I1504" s="44"/>
      <c r="J1504" s="44"/>
      <c r="K1504" s="44"/>
      <c r="L1504" s="44"/>
      <c r="M1504" s="44"/>
      <c r="N1504" s="44"/>
      <c r="O1504" s="44"/>
      <c r="P1504" s="52">
        <f t="shared" si="23"/>
        <v>0</v>
      </c>
      <c r="Q1504" s="124">
        <f t="shared" si="2"/>
        <v>0</v>
      </c>
      <c r="R1504" s="52">
        <f t="array" ref="R1504">IFERROR(INDEX('Fund YTD Target Values'!$1:$1000, MATCH($C1504,'Fund YTD Target Values'!$A:$A,0), MATCH($A1504,'Fund YTD Target Values'!$1:$1,0)),0)</f>
        <v>0</v>
      </c>
      <c r="S1504" s="52">
        <f>IFERROR(__xludf.DUMMYFUNCTION("IFERROR(sum(FILTER('Fund Data'!$V:$V, 'Fund Data'!$C:$C = $C1504, 'Fund Data'!$A:$A &lt; $A1504)),0) + IFERROR(sum(FILTER('Fund Data'!$V:$V, 'Fund Data'!$C:$C = $C1504, 'Fund Data'!$A:$A = $A1504, 'Fund Data'!$B:$B &lt;= $B1504)),0)"),0.0)</f>
        <v>0</v>
      </c>
      <c r="T1504" s="44"/>
      <c r="U1504" s="44"/>
      <c r="V1504" s="44">
        <f t="shared" si="3"/>
        <v>0</v>
      </c>
      <c r="W1504" s="52">
        <f>IFERROR(__xludf.DUMMYFUNCTION("iFERROR((FILTER('Fund Data'!$Y:$Y, 'Fund Data'!$C:$C = $C1504, 'Fund Data'!$A:$A = $A1504 - 1, 'Fund Data'!$B:$B = 12) + FILTER('Fund Data'!$AA:$AA, 'Fund Data'!$C:$C = $C1504, 'Fund Data'!$A:$A = $A1504 - 1, 'Fund Data'!$B:$B = 12)) * (1 + AVERAGE(FILTER"&amp;"('Inflation Data'!$C:$C,'Inflation Data'!$A:$A = ($A1504 - 2)))) * 'Parameters and Distribution Sum'!$A$4,0)"),0.0)</f>
        <v>0</v>
      </c>
      <c r="X1504" s="52">
        <f>IFERROR(__xludf.DUMMYFUNCTION("IFERROR((IFERROR(FILTER('Fund Data'!$P:$P,'Fund Data'!$C:$C = $C1504,'Fund Data'!$A:$A = ($A1504 - 2), 'Fund Data'!$B:$B = 12),0) - SUM(FILTER('Fund Data'!$V:$V, 'Fund Data'!$C:$C = $C1504, 'Fund Data'!$A:$A = ($A1504 - 2), 'Fund Data'!$B:$B &gt; 3)))  * 'Pa"&amp;"rameters and Distribution Sum'!$B$4 * (1 - 'Parameters and Distribution Sum'!$A$4),0)"),0.0)</f>
        <v>0</v>
      </c>
      <c r="Y1504" s="52">
        <f t="shared" si="140"/>
        <v>0</v>
      </c>
      <c r="Z1504" s="52">
        <f>IFERROR(__xludf.DUMMYFUNCTION("((IFERROR((SUM(FILTER('Fund Data'!$V:$V, 'Fund Data'!$C:$C = $C1504, 'Fund Data'!$A:$A = $A1504 - 1, 'Fund Data'!$B:$B &gt;= 4, 'Fund Data'!$B:$B &lt;= ($B1504 + 5))) / 12) * ($B1504 - 3) * 'Parameters and Distribution Sum'!$B$4, 0) + IF($B1504 &gt;= 9, IFERROR(SU"&amp;"M(FILTER('Fund Data'!$V:$V, 'Fund Data'!$C:$C = $C1504, 'Fund Data'!$A:$A = $A1504, 'Fund Data'!$B:$B &lt;= 3)) * 'Parameters and Distribution Sum'!$B$4, 0),0)))"),0.0)</f>
        <v>0</v>
      </c>
      <c r="AA1504" s="44">
        <f>IFERROR(__xludf.DUMMYFUNCTION("IFERROR(((IFERROR(SUM(FILTER('Fund Data'!$V:$V, 'Fund Data'!$C:$C = $C1504, 'Fund Data'!$A:$A = $A1504 - 2, 'Fund Data'!$B:$B &gt;= 4)) * 'Parameters and Distribution Sum'!$B$4,0) + IFERROR(SUM(FILTER('Fund Data'!$V:$V, 'Fund Data'!$C:$C = $C1504, 'Fund Data"&amp;"'!$A:$A = $A1504 - 1, 'Fund Data'!$B:$B &lt;= 3)) * 'Parameters and Distribution Sum'!$B$4,0))),0)"),0.0)</f>
        <v>0</v>
      </c>
      <c r="AB1504" s="44">
        <f t="shared" si="141"/>
        <v>0</v>
      </c>
      <c r="AC1504" s="44">
        <f t="shared" si="142"/>
        <v>0</v>
      </c>
      <c r="AD1504" s="44">
        <f t="shared" si="7"/>
        <v>0</v>
      </c>
      <c r="AE1504" s="44"/>
    </row>
    <row r="1505">
      <c r="A1505" s="178"/>
      <c r="B1505" s="179"/>
      <c r="C1505" s="147"/>
      <c r="D1505" s="44"/>
      <c r="E1505" s="44"/>
      <c r="F1505" s="44"/>
      <c r="G1505" s="44"/>
      <c r="H1505" s="44"/>
      <c r="I1505" s="44"/>
      <c r="J1505" s="44"/>
      <c r="K1505" s="44"/>
      <c r="L1505" s="44"/>
      <c r="M1505" s="44"/>
      <c r="N1505" s="44"/>
      <c r="O1505" s="44"/>
      <c r="P1505" s="52">
        <f t="shared" si="23"/>
        <v>0</v>
      </c>
      <c r="Q1505" s="124">
        <f t="shared" si="2"/>
        <v>0</v>
      </c>
      <c r="R1505" s="52">
        <f t="array" ref="R1505">IFERROR(INDEX('Fund YTD Target Values'!$1:$1000, MATCH($C1505,'Fund YTD Target Values'!$A:$A,0), MATCH($A1505,'Fund YTD Target Values'!$1:$1,0)),0)</f>
        <v>0</v>
      </c>
      <c r="S1505" s="52">
        <f>IFERROR(__xludf.DUMMYFUNCTION("IFERROR(sum(FILTER('Fund Data'!$V:$V, 'Fund Data'!$C:$C = $C1505, 'Fund Data'!$A:$A &lt; $A1505)),0) + IFERROR(sum(FILTER('Fund Data'!$V:$V, 'Fund Data'!$C:$C = $C1505, 'Fund Data'!$A:$A = $A1505, 'Fund Data'!$B:$B &lt;= $B1505)),0)"),0.0)</f>
        <v>0</v>
      </c>
      <c r="T1505" s="44"/>
      <c r="U1505" s="44"/>
      <c r="V1505" s="44">
        <f t="shared" si="3"/>
        <v>0</v>
      </c>
      <c r="W1505" s="52">
        <f>IFERROR(__xludf.DUMMYFUNCTION("iFERROR((FILTER('Fund Data'!$Y:$Y, 'Fund Data'!$C:$C = $C1505, 'Fund Data'!$A:$A = $A1505 - 1, 'Fund Data'!$B:$B = 12) + FILTER('Fund Data'!$AA:$AA, 'Fund Data'!$C:$C = $C1505, 'Fund Data'!$A:$A = $A1505 - 1, 'Fund Data'!$B:$B = 12)) * (1 + AVERAGE(FILTER"&amp;"('Inflation Data'!$C:$C,'Inflation Data'!$A:$A = ($A1505 - 2)))) * 'Parameters and Distribution Sum'!$A$4,0)"),0.0)</f>
        <v>0</v>
      </c>
      <c r="X1505" s="52">
        <f>IFERROR(__xludf.DUMMYFUNCTION("IFERROR((IFERROR(FILTER('Fund Data'!$P:$P,'Fund Data'!$C:$C = $C1505,'Fund Data'!$A:$A = ($A1505 - 2), 'Fund Data'!$B:$B = 12),0) - SUM(FILTER('Fund Data'!$V:$V, 'Fund Data'!$C:$C = $C1505, 'Fund Data'!$A:$A = ($A1505 - 2), 'Fund Data'!$B:$B &gt; 3)))  * 'Pa"&amp;"rameters and Distribution Sum'!$B$4 * (1 - 'Parameters and Distribution Sum'!$A$4),0)"),0.0)</f>
        <v>0</v>
      </c>
      <c r="Y1505" s="52">
        <f t="shared" si="140"/>
        <v>0</v>
      </c>
      <c r="Z1505" s="52">
        <f>IFERROR(__xludf.DUMMYFUNCTION("((IFERROR((SUM(FILTER('Fund Data'!$V:$V, 'Fund Data'!$C:$C = $C1505, 'Fund Data'!$A:$A = $A1505 - 1, 'Fund Data'!$B:$B &gt;= 4, 'Fund Data'!$B:$B &lt;= ($B1505 + 5))) / 12) * ($B1505 - 3) * 'Parameters and Distribution Sum'!$B$4, 0) + IF($B1505 &gt;= 9, IFERROR(SU"&amp;"M(FILTER('Fund Data'!$V:$V, 'Fund Data'!$C:$C = $C1505, 'Fund Data'!$A:$A = $A1505, 'Fund Data'!$B:$B &lt;= 3)) * 'Parameters and Distribution Sum'!$B$4, 0),0)))"),0.0)</f>
        <v>0</v>
      </c>
      <c r="AA1505" s="44">
        <f>IFERROR(__xludf.DUMMYFUNCTION("IFERROR(((IFERROR(SUM(FILTER('Fund Data'!$V:$V, 'Fund Data'!$C:$C = $C1505, 'Fund Data'!$A:$A = $A1505 - 2, 'Fund Data'!$B:$B &gt;= 4)) * 'Parameters and Distribution Sum'!$B$4,0) + IFERROR(SUM(FILTER('Fund Data'!$V:$V, 'Fund Data'!$C:$C = $C1505, 'Fund Data"&amp;"'!$A:$A = $A1505 - 1, 'Fund Data'!$B:$B &lt;= 3)) * 'Parameters and Distribution Sum'!$B$4,0))),0)"),0.0)</f>
        <v>0</v>
      </c>
      <c r="AB1505" s="44">
        <f t="shared" si="141"/>
        <v>0</v>
      </c>
      <c r="AC1505" s="44">
        <f t="shared" si="142"/>
        <v>0</v>
      </c>
      <c r="AD1505" s="44">
        <f t="shared" si="7"/>
        <v>0</v>
      </c>
      <c r="AE1505" s="44"/>
    </row>
    <row r="1506">
      <c r="A1506" s="178"/>
      <c r="B1506" s="179"/>
      <c r="C1506" s="147"/>
      <c r="D1506" s="44"/>
      <c r="E1506" s="44"/>
      <c r="F1506" s="44"/>
      <c r="G1506" s="44"/>
      <c r="H1506" s="44"/>
      <c r="I1506" s="44"/>
      <c r="J1506" s="44"/>
      <c r="K1506" s="44"/>
      <c r="L1506" s="44"/>
      <c r="M1506" s="44"/>
      <c r="N1506" s="44"/>
      <c r="O1506" s="44"/>
      <c r="P1506" s="52">
        <f t="shared" si="23"/>
        <v>0</v>
      </c>
      <c r="Q1506" s="124">
        <f t="shared" si="2"/>
        <v>0</v>
      </c>
      <c r="R1506" s="52">
        <f t="array" ref="R1506">IFERROR(INDEX('Fund YTD Target Values'!$1:$1000, MATCH($C1506,'Fund YTD Target Values'!$A:$A,0), MATCH($A1506,'Fund YTD Target Values'!$1:$1,0)),0)</f>
        <v>0</v>
      </c>
      <c r="S1506" s="52">
        <f>IFERROR(__xludf.DUMMYFUNCTION("IFERROR(sum(FILTER('Fund Data'!$V:$V, 'Fund Data'!$C:$C = $C1506, 'Fund Data'!$A:$A &lt; $A1506)),0) + IFERROR(sum(FILTER('Fund Data'!$V:$V, 'Fund Data'!$C:$C = $C1506, 'Fund Data'!$A:$A = $A1506, 'Fund Data'!$B:$B &lt;= $B1506)),0)"),0.0)</f>
        <v>0</v>
      </c>
      <c r="T1506" s="44"/>
      <c r="U1506" s="44"/>
      <c r="V1506" s="44">
        <f t="shared" si="3"/>
        <v>0</v>
      </c>
      <c r="W1506" s="52">
        <f>IFERROR(__xludf.DUMMYFUNCTION("iFERROR((FILTER('Fund Data'!$Y:$Y, 'Fund Data'!$C:$C = $C1506, 'Fund Data'!$A:$A = $A1506 - 1, 'Fund Data'!$B:$B = 12) + FILTER('Fund Data'!$AA:$AA, 'Fund Data'!$C:$C = $C1506, 'Fund Data'!$A:$A = $A1506 - 1, 'Fund Data'!$B:$B = 12)) * (1 + AVERAGE(FILTER"&amp;"('Inflation Data'!$C:$C,'Inflation Data'!$A:$A = ($A1506 - 2)))) * 'Parameters and Distribution Sum'!$A$4,0)"),0.0)</f>
        <v>0</v>
      </c>
      <c r="X1506" s="52">
        <f>IFERROR(__xludf.DUMMYFUNCTION("IFERROR((IFERROR(FILTER('Fund Data'!$P:$P,'Fund Data'!$C:$C = $C1506,'Fund Data'!$A:$A = ($A1506 - 2), 'Fund Data'!$B:$B = 12),0) - SUM(FILTER('Fund Data'!$V:$V, 'Fund Data'!$C:$C = $C1506, 'Fund Data'!$A:$A = ($A1506 - 2), 'Fund Data'!$B:$B &gt; 3)))  * 'Pa"&amp;"rameters and Distribution Sum'!$B$4 * (1 - 'Parameters and Distribution Sum'!$A$4),0)"),0.0)</f>
        <v>0</v>
      </c>
      <c r="Y1506" s="52">
        <f t="shared" si="140"/>
        <v>0</v>
      </c>
      <c r="Z1506" s="52">
        <f>IFERROR(__xludf.DUMMYFUNCTION("((IFERROR((SUM(FILTER('Fund Data'!$V:$V, 'Fund Data'!$C:$C = $C1506, 'Fund Data'!$A:$A = $A1506 - 1, 'Fund Data'!$B:$B &gt;= 4, 'Fund Data'!$B:$B &lt;= ($B1506 + 5))) / 12) * ($B1506 - 3) * 'Parameters and Distribution Sum'!$B$4, 0) + IF($B1506 &gt;= 9, IFERROR(SU"&amp;"M(FILTER('Fund Data'!$V:$V, 'Fund Data'!$C:$C = $C1506, 'Fund Data'!$A:$A = $A1506, 'Fund Data'!$B:$B &lt;= 3)) * 'Parameters and Distribution Sum'!$B$4, 0),0)))"),0.0)</f>
        <v>0</v>
      </c>
      <c r="AA1506" s="44">
        <f>IFERROR(__xludf.DUMMYFUNCTION("IFERROR(((IFERROR(SUM(FILTER('Fund Data'!$V:$V, 'Fund Data'!$C:$C = $C1506, 'Fund Data'!$A:$A = $A1506 - 2, 'Fund Data'!$B:$B &gt;= 4)) * 'Parameters and Distribution Sum'!$B$4,0) + IFERROR(SUM(FILTER('Fund Data'!$V:$V, 'Fund Data'!$C:$C = $C1506, 'Fund Data"&amp;"'!$A:$A = $A1506 - 1, 'Fund Data'!$B:$B &lt;= 3)) * 'Parameters and Distribution Sum'!$B$4,0))),0)"),0.0)</f>
        <v>0</v>
      </c>
      <c r="AB1506" s="44">
        <f t="shared" si="141"/>
        <v>0</v>
      </c>
      <c r="AC1506" s="44">
        <f t="shared" si="142"/>
        <v>0</v>
      </c>
      <c r="AD1506" s="44">
        <f t="shared" si="7"/>
        <v>0</v>
      </c>
      <c r="AE1506" s="44"/>
    </row>
    <row r="1507">
      <c r="A1507" s="178"/>
      <c r="B1507" s="179"/>
      <c r="C1507" s="147"/>
      <c r="D1507" s="44"/>
      <c r="E1507" s="44"/>
      <c r="F1507" s="44"/>
      <c r="G1507" s="44"/>
      <c r="H1507" s="44"/>
      <c r="I1507" s="44"/>
      <c r="J1507" s="44"/>
      <c r="K1507" s="44"/>
      <c r="L1507" s="44"/>
      <c r="M1507" s="44"/>
      <c r="N1507" s="44"/>
      <c r="O1507" s="44"/>
      <c r="P1507" s="52">
        <f t="shared" si="23"/>
        <v>0</v>
      </c>
      <c r="Q1507" s="124">
        <f t="shared" si="2"/>
        <v>0</v>
      </c>
      <c r="R1507" s="52">
        <f t="array" ref="R1507">IFERROR(INDEX('Fund YTD Target Values'!$1:$1000, MATCH($C1507,'Fund YTD Target Values'!$A:$A,0), MATCH($A1507,'Fund YTD Target Values'!$1:$1,0)),0)</f>
        <v>0</v>
      </c>
      <c r="S1507" s="52">
        <f>IFERROR(__xludf.DUMMYFUNCTION("IFERROR(sum(FILTER('Fund Data'!$V:$V, 'Fund Data'!$C:$C = $C1507, 'Fund Data'!$A:$A &lt; $A1507)),0) + IFERROR(sum(FILTER('Fund Data'!$V:$V, 'Fund Data'!$C:$C = $C1507, 'Fund Data'!$A:$A = $A1507, 'Fund Data'!$B:$B &lt;= $B1507)),0)"),0.0)</f>
        <v>0</v>
      </c>
      <c r="T1507" s="44"/>
      <c r="U1507" s="44"/>
      <c r="V1507" s="44">
        <f t="shared" si="3"/>
        <v>0</v>
      </c>
      <c r="W1507" s="52">
        <f>IFERROR(__xludf.DUMMYFUNCTION("iFERROR((FILTER('Fund Data'!$Y:$Y, 'Fund Data'!$C:$C = $C1507, 'Fund Data'!$A:$A = $A1507 - 1, 'Fund Data'!$B:$B = 12) + FILTER('Fund Data'!$AA:$AA, 'Fund Data'!$C:$C = $C1507, 'Fund Data'!$A:$A = $A1507 - 1, 'Fund Data'!$B:$B = 12)) * (1 + AVERAGE(FILTER"&amp;"('Inflation Data'!$C:$C,'Inflation Data'!$A:$A = ($A1507 - 2)))) * 'Parameters and Distribution Sum'!$A$4,0)"),0.0)</f>
        <v>0</v>
      </c>
      <c r="X1507" s="52">
        <f>IFERROR(__xludf.DUMMYFUNCTION("IFERROR((IFERROR(FILTER('Fund Data'!$P:$P,'Fund Data'!$C:$C = $C1507,'Fund Data'!$A:$A = ($A1507 - 2), 'Fund Data'!$B:$B = 12),0) - SUM(FILTER('Fund Data'!$V:$V, 'Fund Data'!$C:$C = $C1507, 'Fund Data'!$A:$A = ($A1507 - 2), 'Fund Data'!$B:$B &gt; 3)))  * 'Pa"&amp;"rameters and Distribution Sum'!$B$4 * (1 - 'Parameters and Distribution Sum'!$A$4),0)"),0.0)</f>
        <v>0</v>
      </c>
      <c r="Y1507" s="52">
        <f t="shared" si="140"/>
        <v>0</v>
      </c>
      <c r="Z1507" s="52">
        <f>IFERROR(__xludf.DUMMYFUNCTION("((IFERROR((SUM(FILTER('Fund Data'!$V:$V, 'Fund Data'!$C:$C = $C1507, 'Fund Data'!$A:$A = $A1507 - 1, 'Fund Data'!$B:$B &gt;= 4, 'Fund Data'!$B:$B &lt;= ($B1507 + 5))) / 12) * ($B1507 - 3) * 'Parameters and Distribution Sum'!$B$4, 0) + IF($B1507 &gt;= 9, IFERROR(SU"&amp;"M(FILTER('Fund Data'!$V:$V, 'Fund Data'!$C:$C = $C1507, 'Fund Data'!$A:$A = $A1507, 'Fund Data'!$B:$B &lt;= 3)) * 'Parameters and Distribution Sum'!$B$4, 0),0)))"),0.0)</f>
        <v>0</v>
      </c>
      <c r="AA1507" s="44">
        <f>IFERROR(__xludf.DUMMYFUNCTION("IFERROR(((IFERROR(SUM(FILTER('Fund Data'!$V:$V, 'Fund Data'!$C:$C = $C1507, 'Fund Data'!$A:$A = $A1507 - 2, 'Fund Data'!$B:$B &gt;= 4)) * 'Parameters and Distribution Sum'!$B$4,0) + IFERROR(SUM(FILTER('Fund Data'!$V:$V, 'Fund Data'!$C:$C = $C1507, 'Fund Data"&amp;"'!$A:$A = $A1507 - 1, 'Fund Data'!$B:$B &lt;= 3)) * 'Parameters and Distribution Sum'!$B$4,0))),0)"),0.0)</f>
        <v>0</v>
      </c>
      <c r="AB1507" s="44">
        <f t="shared" si="141"/>
        <v>0</v>
      </c>
      <c r="AC1507" s="44">
        <f t="shared" si="142"/>
        <v>0</v>
      </c>
      <c r="AD1507" s="44">
        <f t="shared" si="7"/>
        <v>0</v>
      </c>
      <c r="AE1507" s="44"/>
    </row>
    <row r="1508">
      <c r="A1508" s="178"/>
      <c r="B1508" s="179"/>
      <c r="C1508" s="147"/>
      <c r="D1508" s="44"/>
      <c r="E1508" s="44"/>
      <c r="F1508" s="44"/>
      <c r="G1508" s="44"/>
      <c r="H1508" s="44"/>
      <c r="I1508" s="44"/>
      <c r="J1508" s="44"/>
      <c r="K1508" s="44"/>
      <c r="L1508" s="44"/>
      <c r="M1508" s="44"/>
      <c r="N1508" s="44"/>
      <c r="O1508" s="44"/>
      <c r="P1508" s="52">
        <f t="shared" si="23"/>
        <v>0</v>
      </c>
      <c r="Q1508" s="124">
        <f t="shared" si="2"/>
        <v>0</v>
      </c>
      <c r="R1508" s="52">
        <f t="array" ref="R1508">IFERROR(INDEX('Fund YTD Target Values'!$1:$1000, MATCH($C1508,'Fund YTD Target Values'!$A:$A,0), MATCH($A1508,'Fund YTD Target Values'!$1:$1,0)),0)</f>
        <v>0</v>
      </c>
      <c r="S1508" s="52">
        <f>IFERROR(__xludf.DUMMYFUNCTION("IFERROR(sum(FILTER('Fund Data'!$V:$V, 'Fund Data'!$C:$C = $C1508, 'Fund Data'!$A:$A &lt; $A1508)),0) + IFERROR(sum(FILTER('Fund Data'!$V:$V, 'Fund Data'!$C:$C = $C1508, 'Fund Data'!$A:$A = $A1508, 'Fund Data'!$B:$B &lt;= $B1508)),0)"),0.0)</f>
        <v>0</v>
      </c>
      <c r="T1508" s="44"/>
      <c r="U1508" s="44"/>
      <c r="V1508" s="44">
        <f t="shared" si="3"/>
        <v>0</v>
      </c>
      <c r="W1508" s="52">
        <f>IFERROR(__xludf.DUMMYFUNCTION("iFERROR((FILTER('Fund Data'!$Y:$Y, 'Fund Data'!$C:$C = $C1508, 'Fund Data'!$A:$A = $A1508 - 1, 'Fund Data'!$B:$B = 12) + FILTER('Fund Data'!$AA:$AA, 'Fund Data'!$C:$C = $C1508, 'Fund Data'!$A:$A = $A1508 - 1, 'Fund Data'!$B:$B = 12)) * (1 + AVERAGE(FILTER"&amp;"('Inflation Data'!$C:$C,'Inflation Data'!$A:$A = ($A1508 - 2)))) * 'Parameters and Distribution Sum'!$A$4,0)"),0.0)</f>
        <v>0</v>
      </c>
      <c r="X1508" s="52">
        <f>IFERROR(__xludf.DUMMYFUNCTION("IFERROR((IFERROR(FILTER('Fund Data'!$P:$P,'Fund Data'!$C:$C = $C1508,'Fund Data'!$A:$A = ($A1508 - 2), 'Fund Data'!$B:$B = 12),0) - SUM(FILTER('Fund Data'!$V:$V, 'Fund Data'!$C:$C = $C1508, 'Fund Data'!$A:$A = ($A1508 - 2), 'Fund Data'!$B:$B &gt; 3)))  * 'Pa"&amp;"rameters and Distribution Sum'!$B$4 * (1 - 'Parameters and Distribution Sum'!$A$4),0)"),0.0)</f>
        <v>0</v>
      </c>
      <c r="Y1508" s="52">
        <f t="shared" si="140"/>
        <v>0</v>
      </c>
      <c r="Z1508" s="52">
        <f>IFERROR(__xludf.DUMMYFUNCTION("((IFERROR((SUM(FILTER('Fund Data'!$V:$V, 'Fund Data'!$C:$C = $C1508, 'Fund Data'!$A:$A = $A1508 - 1, 'Fund Data'!$B:$B &gt;= 4, 'Fund Data'!$B:$B &lt;= ($B1508 + 5))) / 12) * ($B1508 - 3) * 'Parameters and Distribution Sum'!$B$4, 0) + IF($B1508 &gt;= 9, IFERROR(SU"&amp;"M(FILTER('Fund Data'!$V:$V, 'Fund Data'!$C:$C = $C1508, 'Fund Data'!$A:$A = $A1508, 'Fund Data'!$B:$B &lt;= 3)) * 'Parameters and Distribution Sum'!$B$4, 0),0)))"),0.0)</f>
        <v>0</v>
      </c>
      <c r="AA1508" s="44">
        <f>IFERROR(__xludf.DUMMYFUNCTION("IFERROR(((IFERROR(SUM(FILTER('Fund Data'!$V:$V, 'Fund Data'!$C:$C = $C1508, 'Fund Data'!$A:$A = $A1508 - 2, 'Fund Data'!$B:$B &gt;= 4)) * 'Parameters and Distribution Sum'!$B$4,0) + IFERROR(SUM(FILTER('Fund Data'!$V:$V, 'Fund Data'!$C:$C = $C1508, 'Fund Data"&amp;"'!$A:$A = $A1508 - 1, 'Fund Data'!$B:$B &lt;= 3)) * 'Parameters and Distribution Sum'!$B$4,0))),0)"),0.0)</f>
        <v>0</v>
      </c>
      <c r="AB1508" s="44">
        <f t="shared" si="141"/>
        <v>0</v>
      </c>
      <c r="AC1508" s="44">
        <f t="shared" si="142"/>
        <v>0</v>
      </c>
      <c r="AD1508" s="44">
        <f t="shared" si="7"/>
        <v>0</v>
      </c>
      <c r="AE1508" s="44"/>
    </row>
    <row r="1509">
      <c r="A1509" s="178"/>
      <c r="B1509" s="179"/>
      <c r="C1509" s="147"/>
      <c r="D1509" s="44"/>
      <c r="E1509" s="44"/>
      <c r="F1509" s="44"/>
      <c r="G1509" s="44"/>
      <c r="H1509" s="44"/>
      <c r="I1509" s="44"/>
      <c r="J1509" s="44"/>
      <c r="K1509" s="44"/>
      <c r="L1509" s="44"/>
      <c r="M1509" s="44"/>
      <c r="N1509" s="44"/>
      <c r="O1509" s="44"/>
      <c r="P1509" s="52">
        <f t="shared" si="23"/>
        <v>0</v>
      </c>
      <c r="Q1509" s="124">
        <f t="shared" si="2"/>
        <v>0</v>
      </c>
      <c r="R1509" s="52">
        <f t="array" ref="R1509">IFERROR(INDEX('Fund YTD Target Values'!$1:$1000, MATCH($C1509,'Fund YTD Target Values'!$A:$A,0), MATCH($A1509,'Fund YTD Target Values'!$1:$1,0)),0)</f>
        <v>0</v>
      </c>
      <c r="S1509" s="52">
        <f>IFERROR(__xludf.DUMMYFUNCTION("IFERROR(sum(FILTER('Fund Data'!$V:$V, 'Fund Data'!$C:$C = $C1509, 'Fund Data'!$A:$A &lt; $A1509)),0) + IFERROR(sum(FILTER('Fund Data'!$V:$V, 'Fund Data'!$C:$C = $C1509, 'Fund Data'!$A:$A = $A1509, 'Fund Data'!$B:$B &lt;= $B1509)),0)"),0.0)</f>
        <v>0</v>
      </c>
      <c r="T1509" s="44"/>
      <c r="U1509" s="44"/>
      <c r="V1509" s="44">
        <f t="shared" si="3"/>
        <v>0</v>
      </c>
      <c r="W1509" s="52">
        <f>IFERROR(__xludf.DUMMYFUNCTION("iFERROR((FILTER('Fund Data'!$Y:$Y, 'Fund Data'!$C:$C = $C1509, 'Fund Data'!$A:$A = $A1509 - 1, 'Fund Data'!$B:$B = 12) + FILTER('Fund Data'!$AA:$AA, 'Fund Data'!$C:$C = $C1509, 'Fund Data'!$A:$A = $A1509 - 1, 'Fund Data'!$B:$B = 12)) * (1 + AVERAGE(FILTER"&amp;"('Inflation Data'!$C:$C,'Inflation Data'!$A:$A = ($A1509 - 2)))) * 'Parameters and Distribution Sum'!$A$4,0)"),0.0)</f>
        <v>0</v>
      </c>
      <c r="X1509" s="52">
        <f>IFERROR(__xludf.DUMMYFUNCTION("IFERROR((IFERROR(FILTER('Fund Data'!$P:$P,'Fund Data'!$C:$C = $C1509,'Fund Data'!$A:$A = ($A1509 - 2), 'Fund Data'!$B:$B = 12),0) - SUM(FILTER('Fund Data'!$V:$V, 'Fund Data'!$C:$C = $C1509, 'Fund Data'!$A:$A = ($A1509 - 2), 'Fund Data'!$B:$B &gt; 3)))  * 'Pa"&amp;"rameters and Distribution Sum'!$B$4 * (1 - 'Parameters and Distribution Sum'!$A$4),0)"),0.0)</f>
        <v>0</v>
      </c>
      <c r="Y1509" s="52">
        <f t="shared" si="140"/>
        <v>0</v>
      </c>
      <c r="Z1509" s="52">
        <f>IFERROR(__xludf.DUMMYFUNCTION("((IFERROR((SUM(FILTER('Fund Data'!$V:$V, 'Fund Data'!$C:$C = $C1509, 'Fund Data'!$A:$A = $A1509 - 1, 'Fund Data'!$B:$B &gt;= 4, 'Fund Data'!$B:$B &lt;= ($B1509 + 5))) / 12) * ($B1509 - 3) * 'Parameters and Distribution Sum'!$B$4, 0) + IF($B1509 &gt;= 9, IFERROR(SU"&amp;"M(FILTER('Fund Data'!$V:$V, 'Fund Data'!$C:$C = $C1509, 'Fund Data'!$A:$A = $A1509, 'Fund Data'!$B:$B &lt;= 3)) * 'Parameters and Distribution Sum'!$B$4, 0),0)))"),0.0)</f>
        <v>0</v>
      </c>
      <c r="AA1509" s="44">
        <f>IFERROR(__xludf.DUMMYFUNCTION("IFERROR(((IFERROR(SUM(FILTER('Fund Data'!$V:$V, 'Fund Data'!$C:$C = $C1509, 'Fund Data'!$A:$A = $A1509 - 2, 'Fund Data'!$B:$B &gt;= 4)) * 'Parameters and Distribution Sum'!$B$4,0) + IFERROR(SUM(FILTER('Fund Data'!$V:$V, 'Fund Data'!$C:$C = $C1509, 'Fund Data"&amp;"'!$A:$A = $A1509 - 1, 'Fund Data'!$B:$B &lt;= 3)) * 'Parameters and Distribution Sum'!$B$4,0))),0)"),0.0)</f>
        <v>0</v>
      </c>
      <c r="AB1509" s="44">
        <f t="shared" si="141"/>
        <v>0</v>
      </c>
      <c r="AC1509" s="44">
        <f t="shared" si="142"/>
        <v>0</v>
      </c>
      <c r="AD1509" s="44">
        <f t="shared" si="7"/>
        <v>0</v>
      </c>
      <c r="AE1509" s="44"/>
    </row>
    <row r="1510">
      <c r="A1510" s="178"/>
      <c r="B1510" s="179"/>
      <c r="C1510" s="147"/>
      <c r="D1510" s="44"/>
      <c r="E1510" s="44"/>
      <c r="F1510" s="44"/>
      <c r="G1510" s="44"/>
      <c r="H1510" s="44"/>
      <c r="I1510" s="44"/>
      <c r="J1510" s="44"/>
      <c r="K1510" s="44"/>
      <c r="L1510" s="44"/>
      <c r="M1510" s="44"/>
      <c r="N1510" s="44"/>
      <c r="O1510" s="44"/>
      <c r="P1510" s="52">
        <f t="shared" si="23"/>
        <v>0</v>
      </c>
      <c r="Q1510" s="124">
        <f t="shared" si="2"/>
        <v>0</v>
      </c>
      <c r="R1510" s="52">
        <f t="array" ref="R1510">IFERROR(INDEX('Fund YTD Target Values'!$1:$1000, MATCH($C1510,'Fund YTD Target Values'!$A:$A,0), MATCH($A1510,'Fund YTD Target Values'!$1:$1,0)),0)</f>
        <v>0</v>
      </c>
      <c r="S1510" s="52">
        <f>IFERROR(__xludf.DUMMYFUNCTION("IFERROR(sum(FILTER('Fund Data'!$V:$V, 'Fund Data'!$C:$C = $C1510, 'Fund Data'!$A:$A &lt; $A1510)),0) + IFERROR(sum(FILTER('Fund Data'!$V:$V, 'Fund Data'!$C:$C = $C1510, 'Fund Data'!$A:$A = $A1510, 'Fund Data'!$B:$B &lt;= $B1510)),0)"),0.0)</f>
        <v>0</v>
      </c>
      <c r="T1510" s="44"/>
      <c r="U1510" s="44"/>
      <c r="V1510" s="44">
        <f t="shared" si="3"/>
        <v>0</v>
      </c>
      <c r="W1510" s="52">
        <f>IFERROR(__xludf.DUMMYFUNCTION("iFERROR((FILTER('Fund Data'!$Y:$Y, 'Fund Data'!$C:$C = $C1510, 'Fund Data'!$A:$A = $A1510 - 1, 'Fund Data'!$B:$B = 12) + FILTER('Fund Data'!$AA:$AA, 'Fund Data'!$C:$C = $C1510, 'Fund Data'!$A:$A = $A1510 - 1, 'Fund Data'!$B:$B = 12)) * (1 + AVERAGE(FILTER"&amp;"('Inflation Data'!$C:$C,'Inflation Data'!$A:$A = ($A1510 - 2)))) * 'Parameters and Distribution Sum'!$A$4,0)"),0.0)</f>
        <v>0</v>
      </c>
      <c r="X1510" s="52">
        <f>IFERROR(__xludf.DUMMYFUNCTION("IFERROR((IFERROR(FILTER('Fund Data'!$P:$P,'Fund Data'!$C:$C = $C1510,'Fund Data'!$A:$A = ($A1510 - 2), 'Fund Data'!$B:$B = 12),0) - SUM(FILTER('Fund Data'!$V:$V, 'Fund Data'!$C:$C = $C1510, 'Fund Data'!$A:$A = ($A1510 - 2), 'Fund Data'!$B:$B &gt; 3)))  * 'Pa"&amp;"rameters and Distribution Sum'!$B$4 * (1 - 'Parameters and Distribution Sum'!$A$4),0)"),0.0)</f>
        <v>0</v>
      </c>
      <c r="Y1510" s="52">
        <f t="shared" si="140"/>
        <v>0</v>
      </c>
      <c r="Z1510" s="52">
        <f>IFERROR(__xludf.DUMMYFUNCTION("((IFERROR((SUM(FILTER('Fund Data'!$V:$V, 'Fund Data'!$C:$C = $C1510, 'Fund Data'!$A:$A = $A1510 - 1, 'Fund Data'!$B:$B &gt;= 4, 'Fund Data'!$B:$B &lt;= ($B1510 + 5))) / 12) * ($B1510 - 3) * 'Parameters and Distribution Sum'!$B$4, 0) + IF($B1510 &gt;= 9, IFERROR(SU"&amp;"M(FILTER('Fund Data'!$V:$V, 'Fund Data'!$C:$C = $C1510, 'Fund Data'!$A:$A = $A1510, 'Fund Data'!$B:$B &lt;= 3)) * 'Parameters and Distribution Sum'!$B$4, 0),0)))"),0.0)</f>
        <v>0</v>
      </c>
      <c r="AA1510" s="44">
        <f>IFERROR(__xludf.DUMMYFUNCTION("IFERROR(((IFERROR(SUM(FILTER('Fund Data'!$V:$V, 'Fund Data'!$C:$C = $C1510, 'Fund Data'!$A:$A = $A1510 - 2, 'Fund Data'!$B:$B &gt;= 4)) * 'Parameters and Distribution Sum'!$B$4,0) + IFERROR(SUM(FILTER('Fund Data'!$V:$V, 'Fund Data'!$C:$C = $C1510, 'Fund Data"&amp;"'!$A:$A = $A1510 - 1, 'Fund Data'!$B:$B &lt;= 3)) * 'Parameters and Distribution Sum'!$B$4,0))),0)"),0.0)</f>
        <v>0</v>
      </c>
      <c r="AB1510" s="44">
        <f t="shared" si="141"/>
        <v>0</v>
      </c>
      <c r="AC1510" s="44">
        <f t="shared" si="142"/>
        <v>0</v>
      </c>
      <c r="AD1510" s="44">
        <f t="shared" si="7"/>
        <v>0</v>
      </c>
      <c r="AE1510" s="44"/>
    </row>
    <row r="1511">
      <c r="A1511" s="178"/>
      <c r="B1511" s="179"/>
      <c r="C1511" s="147"/>
      <c r="D1511" s="44"/>
      <c r="E1511" s="44"/>
      <c r="F1511" s="44"/>
      <c r="G1511" s="44"/>
      <c r="H1511" s="44"/>
      <c r="I1511" s="44"/>
      <c r="J1511" s="44"/>
      <c r="K1511" s="44"/>
      <c r="L1511" s="44"/>
      <c r="M1511" s="44"/>
      <c r="N1511" s="44"/>
      <c r="O1511" s="44"/>
      <c r="P1511" s="52">
        <f t="shared" si="23"/>
        <v>0</v>
      </c>
      <c r="Q1511" s="124">
        <f t="shared" si="2"/>
        <v>0</v>
      </c>
      <c r="R1511" s="52">
        <f t="array" ref="R1511">IFERROR(INDEX('Fund YTD Target Values'!$1:$1000, MATCH($C1511,'Fund YTD Target Values'!$A:$A,0), MATCH($A1511,'Fund YTD Target Values'!$1:$1,0)),0)</f>
        <v>0</v>
      </c>
      <c r="S1511" s="52">
        <f>IFERROR(__xludf.DUMMYFUNCTION("IFERROR(sum(FILTER('Fund Data'!$V:$V, 'Fund Data'!$C:$C = $C1511, 'Fund Data'!$A:$A &lt; $A1511)),0) + IFERROR(sum(FILTER('Fund Data'!$V:$V, 'Fund Data'!$C:$C = $C1511, 'Fund Data'!$A:$A = $A1511, 'Fund Data'!$B:$B &lt;= $B1511)),0)"),0.0)</f>
        <v>0</v>
      </c>
      <c r="T1511" s="44"/>
      <c r="U1511" s="44"/>
      <c r="V1511" s="44">
        <f t="shared" si="3"/>
        <v>0</v>
      </c>
      <c r="W1511" s="52">
        <f>IFERROR(__xludf.DUMMYFUNCTION("iFERROR((FILTER('Fund Data'!$Y:$Y, 'Fund Data'!$C:$C = $C1511, 'Fund Data'!$A:$A = $A1511 - 1, 'Fund Data'!$B:$B = 12) + FILTER('Fund Data'!$AA:$AA, 'Fund Data'!$C:$C = $C1511, 'Fund Data'!$A:$A = $A1511 - 1, 'Fund Data'!$B:$B = 12)) * (1 + AVERAGE(FILTER"&amp;"('Inflation Data'!$C:$C,'Inflation Data'!$A:$A = ($A1511 - 2)))) * 'Parameters and Distribution Sum'!$A$4,0)"),0.0)</f>
        <v>0</v>
      </c>
      <c r="X1511" s="52">
        <f>IFERROR(__xludf.DUMMYFUNCTION("IFERROR((IFERROR(FILTER('Fund Data'!$P:$P,'Fund Data'!$C:$C = $C1511,'Fund Data'!$A:$A = ($A1511 - 2), 'Fund Data'!$B:$B = 12),0) - SUM(FILTER('Fund Data'!$V:$V, 'Fund Data'!$C:$C = $C1511, 'Fund Data'!$A:$A = ($A1511 - 2), 'Fund Data'!$B:$B &gt; 3)))  * 'Pa"&amp;"rameters and Distribution Sum'!$B$4 * (1 - 'Parameters and Distribution Sum'!$A$4),0)"),0.0)</f>
        <v>0</v>
      </c>
      <c r="Y1511" s="52">
        <f t="shared" si="140"/>
        <v>0</v>
      </c>
      <c r="Z1511" s="52">
        <f>IFERROR(__xludf.DUMMYFUNCTION("((IFERROR((SUM(FILTER('Fund Data'!$V:$V, 'Fund Data'!$C:$C = $C1511, 'Fund Data'!$A:$A = $A1511 - 1, 'Fund Data'!$B:$B &gt;= 4, 'Fund Data'!$B:$B &lt;= ($B1511 + 5))) / 12) * ($B1511 - 3) * 'Parameters and Distribution Sum'!$B$4, 0) + IF($B1511 &gt;= 9, IFERROR(SU"&amp;"M(FILTER('Fund Data'!$V:$V, 'Fund Data'!$C:$C = $C1511, 'Fund Data'!$A:$A = $A1511, 'Fund Data'!$B:$B &lt;= 3)) * 'Parameters and Distribution Sum'!$B$4, 0),0)))"),0.0)</f>
        <v>0</v>
      </c>
      <c r="AA1511" s="44">
        <f>IFERROR(__xludf.DUMMYFUNCTION("IFERROR(((IFERROR(SUM(FILTER('Fund Data'!$V:$V, 'Fund Data'!$C:$C = $C1511, 'Fund Data'!$A:$A = $A1511 - 2, 'Fund Data'!$B:$B &gt;= 4)) * 'Parameters and Distribution Sum'!$B$4,0) + IFERROR(SUM(FILTER('Fund Data'!$V:$V, 'Fund Data'!$C:$C = $C1511, 'Fund Data"&amp;"'!$A:$A = $A1511 - 1, 'Fund Data'!$B:$B &lt;= 3)) * 'Parameters and Distribution Sum'!$B$4,0))),0)"),0.0)</f>
        <v>0</v>
      </c>
      <c r="AB1511" s="44">
        <f t="shared" si="141"/>
        <v>0</v>
      </c>
      <c r="AC1511" s="44">
        <f t="shared" si="142"/>
        <v>0</v>
      </c>
      <c r="AD1511" s="44">
        <f t="shared" si="7"/>
        <v>0</v>
      </c>
      <c r="AE1511" s="44"/>
    </row>
    <row r="1512">
      <c r="A1512" s="178"/>
      <c r="B1512" s="179"/>
      <c r="C1512" s="147"/>
      <c r="D1512" s="44"/>
      <c r="E1512" s="44"/>
      <c r="F1512" s="44"/>
      <c r="G1512" s="44"/>
      <c r="H1512" s="44"/>
      <c r="I1512" s="44"/>
      <c r="J1512" s="44"/>
      <c r="K1512" s="44"/>
      <c r="L1512" s="44"/>
      <c r="M1512" s="44"/>
      <c r="N1512" s="44"/>
      <c r="O1512" s="44"/>
      <c r="P1512" s="52">
        <f t="shared" si="23"/>
        <v>0</v>
      </c>
      <c r="Q1512" s="124">
        <f t="shared" si="2"/>
        <v>0</v>
      </c>
      <c r="R1512" s="52">
        <f t="array" ref="R1512">IFERROR(INDEX('Fund YTD Target Values'!$1:$1000, MATCH($C1512,'Fund YTD Target Values'!$A:$A,0), MATCH($A1512,'Fund YTD Target Values'!$1:$1,0)),0)</f>
        <v>0</v>
      </c>
      <c r="S1512" s="52">
        <f>IFERROR(__xludf.DUMMYFUNCTION("IFERROR(sum(FILTER('Fund Data'!$V:$V, 'Fund Data'!$C:$C = $C1512, 'Fund Data'!$A:$A &lt; $A1512)),0) + IFERROR(sum(FILTER('Fund Data'!$V:$V, 'Fund Data'!$C:$C = $C1512, 'Fund Data'!$A:$A = $A1512, 'Fund Data'!$B:$B &lt;= $B1512)),0)"),0.0)</f>
        <v>0</v>
      </c>
      <c r="T1512" s="44"/>
      <c r="U1512" s="44"/>
      <c r="V1512" s="44">
        <f t="shared" si="3"/>
        <v>0</v>
      </c>
      <c r="W1512" s="52">
        <f>IFERROR(__xludf.DUMMYFUNCTION("iFERROR((FILTER('Fund Data'!$Y:$Y, 'Fund Data'!$C:$C = $C1512, 'Fund Data'!$A:$A = $A1512 - 1, 'Fund Data'!$B:$B = 12) + FILTER('Fund Data'!$AA:$AA, 'Fund Data'!$C:$C = $C1512, 'Fund Data'!$A:$A = $A1512 - 1, 'Fund Data'!$B:$B = 12)) * (1 + AVERAGE(FILTER"&amp;"('Inflation Data'!$C:$C,'Inflation Data'!$A:$A = ($A1512 - 2)))) * 'Parameters and Distribution Sum'!$A$4,0)"),0.0)</f>
        <v>0</v>
      </c>
      <c r="X1512" s="52">
        <f>IFERROR(__xludf.DUMMYFUNCTION("IFERROR((IFERROR(FILTER('Fund Data'!$P:$P,'Fund Data'!$C:$C = $C1512,'Fund Data'!$A:$A = ($A1512 - 2), 'Fund Data'!$B:$B = 12),0) - SUM(FILTER('Fund Data'!$V:$V, 'Fund Data'!$C:$C = $C1512, 'Fund Data'!$A:$A = ($A1512 - 2), 'Fund Data'!$B:$B &gt; 3)))  * 'Pa"&amp;"rameters and Distribution Sum'!$B$4 * (1 - 'Parameters and Distribution Sum'!$A$4),0)"),0.0)</f>
        <v>0</v>
      </c>
      <c r="Y1512" s="52">
        <f t="shared" si="140"/>
        <v>0</v>
      </c>
      <c r="Z1512" s="52">
        <f>IFERROR(__xludf.DUMMYFUNCTION("((IFERROR((SUM(FILTER('Fund Data'!$V:$V, 'Fund Data'!$C:$C = $C1512, 'Fund Data'!$A:$A = $A1512 - 1, 'Fund Data'!$B:$B &gt;= 4, 'Fund Data'!$B:$B &lt;= ($B1512 + 5))) / 12) * ($B1512 - 3) * 'Parameters and Distribution Sum'!$B$4, 0) + IF($B1512 &gt;= 9, IFERROR(SU"&amp;"M(FILTER('Fund Data'!$V:$V, 'Fund Data'!$C:$C = $C1512, 'Fund Data'!$A:$A = $A1512, 'Fund Data'!$B:$B &lt;= 3)) * 'Parameters and Distribution Sum'!$B$4, 0),0)))"),0.0)</f>
        <v>0</v>
      </c>
      <c r="AA1512" s="44">
        <f>IFERROR(__xludf.DUMMYFUNCTION("IFERROR(((IFERROR(SUM(FILTER('Fund Data'!$V:$V, 'Fund Data'!$C:$C = $C1512, 'Fund Data'!$A:$A = $A1512 - 2, 'Fund Data'!$B:$B &gt;= 4)) * 'Parameters and Distribution Sum'!$B$4,0) + IFERROR(SUM(FILTER('Fund Data'!$V:$V, 'Fund Data'!$C:$C = $C1512, 'Fund Data"&amp;"'!$A:$A = $A1512 - 1, 'Fund Data'!$B:$B &lt;= 3)) * 'Parameters and Distribution Sum'!$B$4,0))),0)"),0.0)</f>
        <v>0</v>
      </c>
      <c r="AB1512" s="44">
        <f t="shared" si="141"/>
        <v>0</v>
      </c>
      <c r="AC1512" s="44">
        <f t="shared" si="142"/>
        <v>0</v>
      </c>
      <c r="AD1512" s="44">
        <f t="shared" si="7"/>
        <v>0</v>
      </c>
      <c r="AE1512" s="44"/>
    </row>
    <row r="1513">
      <c r="A1513" s="178"/>
      <c r="B1513" s="179"/>
      <c r="C1513" s="147"/>
      <c r="D1513" s="44"/>
      <c r="E1513" s="44"/>
      <c r="F1513" s="44"/>
      <c r="G1513" s="44"/>
      <c r="H1513" s="44"/>
      <c r="I1513" s="44"/>
      <c r="J1513" s="44"/>
      <c r="K1513" s="44"/>
      <c r="L1513" s="44"/>
      <c r="M1513" s="44"/>
      <c r="N1513" s="44"/>
      <c r="O1513" s="44"/>
      <c r="P1513" s="52">
        <f t="shared" si="23"/>
        <v>0</v>
      </c>
      <c r="Q1513" s="124">
        <f t="shared" si="2"/>
        <v>0</v>
      </c>
      <c r="R1513" s="52">
        <f t="array" ref="R1513">IFERROR(INDEX('Fund YTD Target Values'!$1:$1000, MATCH($C1513,'Fund YTD Target Values'!$A:$A,0), MATCH($A1513,'Fund YTD Target Values'!$1:$1,0)),0)</f>
        <v>0</v>
      </c>
      <c r="S1513" s="52">
        <f>IFERROR(__xludf.DUMMYFUNCTION("IFERROR(sum(FILTER('Fund Data'!$V:$V, 'Fund Data'!$C:$C = $C1513, 'Fund Data'!$A:$A &lt; $A1513)),0) + IFERROR(sum(FILTER('Fund Data'!$V:$V, 'Fund Data'!$C:$C = $C1513, 'Fund Data'!$A:$A = $A1513, 'Fund Data'!$B:$B &lt;= $B1513)),0)"),0.0)</f>
        <v>0</v>
      </c>
      <c r="T1513" s="44"/>
      <c r="U1513" s="44"/>
      <c r="V1513" s="44">
        <f t="shared" si="3"/>
        <v>0</v>
      </c>
      <c r="W1513" s="52">
        <f>IFERROR(__xludf.DUMMYFUNCTION("iFERROR((FILTER('Fund Data'!$Y:$Y, 'Fund Data'!$C:$C = $C1513, 'Fund Data'!$A:$A = $A1513 - 1, 'Fund Data'!$B:$B = 12) + FILTER('Fund Data'!$AA:$AA, 'Fund Data'!$C:$C = $C1513, 'Fund Data'!$A:$A = $A1513 - 1, 'Fund Data'!$B:$B = 12)) * (1 + AVERAGE(FILTER"&amp;"('Inflation Data'!$C:$C,'Inflation Data'!$A:$A = ($A1513 - 2)))) * 'Parameters and Distribution Sum'!$A$4,0)"),0.0)</f>
        <v>0</v>
      </c>
      <c r="X1513" s="52">
        <f>IFERROR(__xludf.DUMMYFUNCTION("IFERROR((IFERROR(FILTER('Fund Data'!$P:$P,'Fund Data'!$C:$C = $C1513,'Fund Data'!$A:$A = ($A1513 - 2), 'Fund Data'!$B:$B = 12),0) - SUM(FILTER('Fund Data'!$V:$V, 'Fund Data'!$C:$C = $C1513, 'Fund Data'!$A:$A = ($A1513 - 2), 'Fund Data'!$B:$B &gt; 3)))  * 'Pa"&amp;"rameters and Distribution Sum'!$B$4 * (1 - 'Parameters and Distribution Sum'!$A$4),0)"),0.0)</f>
        <v>0</v>
      </c>
      <c r="Y1513" s="52">
        <f t="shared" si="140"/>
        <v>0</v>
      </c>
      <c r="Z1513" s="52">
        <f>IFERROR(__xludf.DUMMYFUNCTION("((IFERROR((SUM(FILTER('Fund Data'!$V:$V, 'Fund Data'!$C:$C = $C1513, 'Fund Data'!$A:$A = $A1513 - 1, 'Fund Data'!$B:$B &gt;= 4, 'Fund Data'!$B:$B &lt;= ($B1513 + 5))) / 12) * ($B1513 - 3) * 'Parameters and Distribution Sum'!$B$4, 0) + IF($B1513 &gt;= 9, IFERROR(SU"&amp;"M(FILTER('Fund Data'!$V:$V, 'Fund Data'!$C:$C = $C1513, 'Fund Data'!$A:$A = $A1513, 'Fund Data'!$B:$B &lt;= 3)) * 'Parameters and Distribution Sum'!$B$4, 0),0)))"),0.0)</f>
        <v>0</v>
      </c>
      <c r="AA1513" s="44">
        <f>IFERROR(__xludf.DUMMYFUNCTION("IFERROR(((IFERROR(SUM(FILTER('Fund Data'!$V:$V, 'Fund Data'!$C:$C = $C1513, 'Fund Data'!$A:$A = $A1513 - 2, 'Fund Data'!$B:$B &gt;= 4)) * 'Parameters and Distribution Sum'!$B$4,0) + IFERROR(SUM(FILTER('Fund Data'!$V:$V, 'Fund Data'!$C:$C = $C1513, 'Fund Data"&amp;"'!$A:$A = $A1513 - 1, 'Fund Data'!$B:$B &lt;= 3)) * 'Parameters and Distribution Sum'!$B$4,0))),0)"),0.0)</f>
        <v>0</v>
      </c>
      <c r="AB1513" s="44">
        <f t="shared" si="141"/>
        <v>0</v>
      </c>
      <c r="AC1513" s="44">
        <f t="shared" si="142"/>
        <v>0</v>
      </c>
      <c r="AD1513" s="44">
        <f t="shared" si="7"/>
        <v>0</v>
      </c>
      <c r="AE1513" s="44"/>
    </row>
    <row r="1514">
      <c r="A1514" s="178"/>
      <c r="B1514" s="179"/>
      <c r="C1514" s="147"/>
      <c r="D1514" s="44"/>
      <c r="E1514" s="44"/>
      <c r="F1514" s="44"/>
      <c r="G1514" s="44"/>
      <c r="H1514" s="44"/>
      <c r="I1514" s="44"/>
      <c r="J1514" s="44"/>
      <c r="K1514" s="44"/>
      <c r="L1514" s="44"/>
      <c r="M1514" s="44"/>
      <c r="N1514" s="44"/>
      <c r="O1514" s="44"/>
      <c r="P1514" s="52">
        <f t="shared" si="23"/>
        <v>0</v>
      </c>
      <c r="Q1514" s="124">
        <f t="shared" si="2"/>
        <v>0</v>
      </c>
      <c r="R1514" s="52">
        <f t="array" ref="R1514">IFERROR(INDEX('Fund YTD Target Values'!$1:$1000, MATCH($C1514,'Fund YTD Target Values'!$A:$A,0), MATCH($A1514,'Fund YTD Target Values'!$1:$1,0)),0)</f>
        <v>0</v>
      </c>
      <c r="S1514" s="52">
        <f>IFERROR(__xludf.DUMMYFUNCTION("IFERROR(sum(FILTER('Fund Data'!$V:$V, 'Fund Data'!$C:$C = $C1514, 'Fund Data'!$A:$A &lt; $A1514)),0) + IFERROR(sum(FILTER('Fund Data'!$V:$V, 'Fund Data'!$C:$C = $C1514, 'Fund Data'!$A:$A = $A1514, 'Fund Data'!$B:$B &lt;= $B1514)),0)"),0.0)</f>
        <v>0</v>
      </c>
      <c r="T1514" s="44"/>
      <c r="U1514" s="44"/>
      <c r="V1514" s="44">
        <f t="shared" si="3"/>
        <v>0</v>
      </c>
      <c r="W1514" s="52">
        <f>IFERROR(__xludf.DUMMYFUNCTION("iFERROR((FILTER('Fund Data'!$Y:$Y, 'Fund Data'!$C:$C = $C1514, 'Fund Data'!$A:$A = $A1514 - 1, 'Fund Data'!$B:$B = 12) + FILTER('Fund Data'!$AA:$AA, 'Fund Data'!$C:$C = $C1514, 'Fund Data'!$A:$A = $A1514 - 1, 'Fund Data'!$B:$B = 12)) * (1 + AVERAGE(FILTER"&amp;"('Inflation Data'!$C:$C,'Inflation Data'!$A:$A = ($A1514 - 2)))) * 'Parameters and Distribution Sum'!$A$4,0)"),0.0)</f>
        <v>0</v>
      </c>
      <c r="X1514" s="52">
        <f>IFERROR(__xludf.DUMMYFUNCTION("IFERROR((IFERROR(FILTER('Fund Data'!$P:$P,'Fund Data'!$C:$C = $C1514,'Fund Data'!$A:$A = ($A1514 - 2), 'Fund Data'!$B:$B = 12),0) - SUM(FILTER('Fund Data'!$V:$V, 'Fund Data'!$C:$C = $C1514, 'Fund Data'!$A:$A = ($A1514 - 2), 'Fund Data'!$B:$B &gt; 3)))  * 'Pa"&amp;"rameters and Distribution Sum'!$B$4 * (1 - 'Parameters and Distribution Sum'!$A$4),0)"),0.0)</f>
        <v>0</v>
      </c>
      <c r="Y1514" s="52">
        <f t="shared" si="140"/>
        <v>0</v>
      </c>
      <c r="Z1514" s="52">
        <f>IFERROR(__xludf.DUMMYFUNCTION("((IFERROR((SUM(FILTER('Fund Data'!$V:$V, 'Fund Data'!$C:$C = $C1514, 'Fund Data'!$A:$A = $A1514 - 1, 'Fund Data'!$B:$B &gt;= 4, 'Fund Data'!$B:$B &lt;= ($B1514 + 5))) / 12) * ($B1514 - 3) * 'Parameters and Distribution Sum'!$B$4, 0) + IF($B1514 &gt;= 9, IFERROR(SU"&amp;"M(FILTER('Fund Data'!$V:$V, 'Fund Data'!$C:$C = $C1514, 'Fund Data'!$A:$A = $A1514, 'Fund Data'!$B:$B &lt;= 3)) * 'Parameters and Distribution Sum'!$B$4, 0),0)))"),0.0)</f>
        <v>0</v>
      </c>
      <c r="AA1514" s="44">
        <f>IFERROR(__xludf.DUMMYFUNCTION("IFERROR(((IFERROR(SUM(FILTER('Fund Data'!$V:$V, 'Fund Data'!$C:$C = $C1514, 'Fund Data'!$A:$A = $A1514 - 2, 'Fund Data'!$B:$B &gt;= 4)) * 'Parameters and Distribution Sum'!$B$4,0) + IFERROR(SUM(FILTER('Fund Data'!$V:$V, 'Fund Data'!$C:$C = $C1514, 'Fund Data"&amp;"'!$A:$A = $A1514 - 1, 'Fund Data'!$B:$B &lt;= 3)) * 'Parameters and Distribution Sum'!$B$4,0))),0)"),0.0)</f>
        <v>0</v>
      </c>
      <c r="AB1514" s="44">
        <f t="shared" si="141"/>
        <v>0</v>
      </c>
      <c r="AC1514" s="44">
        <f t="shared" si="142"/>
        <v>0</v>
      </c>
      <c r="AD1514" s="44">
        <f t="shared" si="7"/>
        <v>0</v>
      </c>
      <c r="AE1514" s="44"/>
    </row>
    <row r="1515">
      <c r="A1515" s="178"/>
      <c r="B1515" s="179"/>
      <c r="C1515" s="147"/>
      <c r="D1515" s="44"/>
      <c r="E1515" s="44"/>
      <c r="F1515" s="44"/>
      <c r="G1515" s="44"/>
      <c r="H1515" s="44"/>
      <c r="I1515" s="44"/>
      <c r="J1515" s="44"/>
      <c r="K1515" s="44"/>
      <c r="L1515" s="44"/>
      <c r="M1515" s="44"/>
      <c r="N1515" s="44"/>
      <c r="O1515" s="44"/>
      <c r="P1515" s="52">
        <f t="shared" si="23"/>
        <v>0</v>
      </c>
      <c r="Q1515" s="124">
        <f t="shared" si="2"/>
        <v>0</v>
      </c>
      <c r="R1515" s="52">
        <f t="array" ref="R1515">IFERROR(INDEX('Fund YTD Target Values'!$1:$1000, MATCH($C1515,'Fund YTD Target Values'!$A:$A,0), MATCH($A1515,'Fund YTD Target Values'!$1:$1,0)),0)</f>
        <v>0</v>
      </c>
      <c r="S1515" s="52">
        <f>IFERROR(__xludf.DUMMYFUNCTION("IFERROR(sum(FILTER('Fund Data'!$V:$V, 'Fund Data'!$C:$C = $C1515, 'Fund Data'!$A:$A &lt; $A1515)),0) + IFERROR(sum(FILTER('Fund Data'!$V:$V, 'Fund Data'!$C:$C = $C1515, 'Fund Data'!$A:$A = $A1515, 'Fund Data'!$B:$B &lt;= $B1515)),0)"),0.0)</f>
        <v>0</v>
      </c>
      <c r="T1515" s="44"/>
      <c r="U1515" s="44"/>
      <c r="V1515" s="44">
        <f t="shared" si="3"/>
        <v>0</v>
      </c>
      <c r="W1515" s="52">
        <f>IFERROR(__xludf.DUMMYFUNCTION("iFERROR((FILTER('Fund Data'!$Y:$Y, 'Fund Data'!$C:$C = $C1515, 'Fund Data'!$A:$A = $A1515 - 1, 'Fund Data'!$B:$B = 12) + FILTER('Fund Data'!$AA:$AA, 'Fund Data'!$C:$C = $C1515, 'Fund Data'!$A:$A = $A1515 - 1, 'Fund Data'!$B:$B = 12)) * (1 + AVERAGE(FILTER"&amp;"('Inflation Data'!$C:$C,'Inflation Data'!$A:$A = ($A1515 - 2)))) * 'Parameters and Distribution Sum'!$A$4,0)"),0.0)</f>
        <v>0</v>
      </c>
      <c r="X1515" s="52">
        <f>IFERROR(__xludf.DUMMYFUNCTION("IFERROR((IFERROR(FILTER('Fund Data'!$P:$P,'Fund Data'!$C:$C = $C1515,'Fund Data'!$A:$A = ($A1515 - 2), 'Fund Data'!$B:$B = 12),0) - SUM(FILTER('Fund Data'!$V:$V, 'Fund Data'!$C:$C = $C1515, 'Fund Data'!$A:$A = ($A1515 - 2), 'Fund Data'!$B:$B &gt; 3)))  * 'Pa"&amp;"rameters and Distribution Sum'!$B$4 * (1 - 'Parameters and Distribution Sum'!$A$4),0)"),0.0)</f>
        <v>0</v>
      </c>
      <c r="Y1515" s="52">
        <f t="shared" si="140"/>
        <v>0</v>
      </c>
      <c r="Z1515" s="52">
        <f>IFERROR(__xludf.DUMMYFUNCTION("((IFERROR((SUM(FILTER('Fund Data'!$V:$V, 'Fund Data'!$C:$C = $C1515, 'Fund Data'!$A:$A = $A1515 - 1, 'Fund Data'!$B:$B &gt;= 4, 'Fund Data'!$B:$B &lt;= ($B1515 + 5))) / 12) * ($B1515 - 3) * 'Parameters and Distribution Sum'!$B$4, 0) + IF($B1515 &gt;= 9, IFERROR(SU"&amp;"M(FILTER('Fund Data'!$V:$V, 'Fund Data'!$C:$C = $C1515, 'Fund Data'!$A:$A = $A1515, 'Fund Data'!$B:$B &lt;= 3)) * 'Parameters and Distribution Sum'!$B$4, 0),0)))"),0.0)</f>
        <v>0</v>
      </c>
      <c r="AA1515" s="44">
        <f>IFERROR(__xludf.DUMMYFUNCTION("IFERROR(((IFERROR(SUM(FILTER('Fund Data'!$V:$V, 'Fund Data'!$C:$C = $C1515, 'Fund Data'!$A:$A = $A1515 - 2, 'Fund Data'!$B:$B &gt;= 4)) * 'Parameters and Distribution Sum'!$B$4,0) + IFERROR(SUM(FILTER('Fund Data'!$V:$V, 'Fund Data'!$C:$C = $C1515, 'Fund Data"&amp;"'!$A:$A = $A1515 - 1, 'Fund Data'!$B:$B &lt;= 3)) * 'Parameters and Distribution Sum'!$B$4,0))),0)"),0.0)</f>
        <v>0</v>
      </c>
      <c r="AB1515" s="44">
        <f t="shared" si="141"/>
        <v>0</v>
      </c>
      <c r="AC1515" s="44">
        <f t="shared" si="142"/>
        <v>0</v>
      </c>
      <c r="AD1515" s="44">
        <f t="shared" si="7"/>
        <v>0</v>
      </c>
      <c r="AE1515" s="44"/>
    </row>
    <row r="1516">
      <c r="A1516" s="178"/>
      <c r="B1516" s="179"/>
      <c r="C1516" s="147"/>
      <c r="D1516" s="44"/>
      <c r="E1516" s="44"/>
      <c r="F1516" s="44"/>
      <c r="G1516" s="44"/>
      <c r="H1516" s="44"/>
      <c r="I1516" s="44"/>
      <c r="J1516" s="44"/>
      <c r="K1516" s="44"/>
      <c r="L1516" s="44"/>
      <c r="M1516" s="44"/>
      <c r="N1516" s="44"/>
      <c r="O1516" s="44"/>
      <c r="P1516" s="52">
        <f t="shared" si="23"/>
        <v>0</v>
      </c>
      <c r="Q1516" s="124">
        <f t="shared" si="2"/>
        <v>0</v>
      </c>
      <c r="R1516" s="52">
        <f t="array" ref="R1516">IFERROR(INDEX('Fund YTD Target Values'!$1:$1000, MATCH($C1516,'Fund YTD Target Values'!$A:$A,0), MATCH($A1516,'Fund YTD Target Values'!$1:$1,0)),0)</f>
        <v>0</v>
      </c>
      <c r="S1516" s="52">
        <f>IFERROR(__xludf.DUMMYFUNCTION("IFERROR(sum(FILTER('Fund Data'!$V:$V, 'Fund Data'!$C:$C = $C1516, 'Fund Data'!$A:$A &lt; $A1516)),0) + IFERROR(sum(FILTER('Fund Data'!$V:$V, 'Fund Data'!$C:$C = $C1516, 'Fund Data'!$A:$A = $A1516, 'Fund Data'!$B:$B &lt;= $B1516)),0)"),0.0)</f>
        <v>0</v>
      </c>
      <c r="T1516" s="44"/>
      <c r="U1516" s="44"/>
      <c r="V1516" s="44">
        <f t="shared" si="3"/>
        <v>0</v>
      </c>
      <c r="W1516" s="52">
        <f>IFERROR(__xludf.DUMMYFUNCTION("iFERROR((FILTER('Fund Data'!$Y:$Y, 'Fund Data'!$C:$C = $C1516, 'Fund Data'!$A:$A = $A1516 - 1, 'Fund Data'!$B:$B = 12) + FILTER('Fund Data'!$AA:$AA, 'Fund Data'!$C:$C = $C1516, 'Fund Data'!$A:$A = $A1516 - 1, 'Fund Data'!$B:$B = 12)) * (1 + AVERAGE(FILTER"&amp;"('Inflation Data'!$C:$C,'Inflation Data'!$A:$A = ($A1516 - 2)))) * 'Parameters and Distribution Sum'!$A$4,0)"),0.0)</f>
        <v>0</v>
      </c>
      <c r="X1516" s="52">
        <f>IFERROR(__xludf.DUMMYFUNCTION("IFERROR((IFERROR(FILTER('Fund Data'!$P:$P,'Fund Data'!$C:$C = $C1516,'Fund Data'!$A:$A = ($A1516 - 2), 'Fund Data'!$B:$B = 12),0) - SUM(FILTER('Fund Data'!$V:$V, 'Fund Data'!$C:$C = $C1516, 'Fund Data'!$A:$A = ($A1516 - 2), 'Fund Data'!$B:$B &gt; 3)))  * 'Pa"&amp;"rameters and Distribution Sum'!$B$4 * (1 - 'Parameters and Distribution Sum'!$A$4),0)"),0.0)</f>
        <v>0</v>
      </c>
      <c r="Y1516" s="52">
        <f t="shared" si="140"/>
        <v>0</v>
      </c>
      <c r="Z1516" s="52">
        <f>IFERROR(__xludf.DUMMYFUNCTION("((IFERROR((SUM(FILTER('Fund Data'!$V:$V, 'Fund Data'!$C:$C = $C1516, 'Fund Data'!$A:$A = $A1516 - 1, 'Fund Data'!$B:$B &gt;= 4, 'Fund Data'!$B:$B &lt;= ($B1516 + 5))) / 12) * ($B1516 - 3) * 'Parameters and Distribution Sum'!$B$4, 0) + IF($B1516 &gt;= 9, IFERROR(SU"&amp;"M(FILTER('Fund Data'!$V:$V, 'Fund Data'!$C:$C = $C1516, 'Fund Data'!$A:$A = $A1516, 'Fund Data'!$B:$B &lt;= 3)) * 'Parameters and Distribution Sum'!$B$4, 0),0)))"),0.0)</f>
        <v>0</v>
      </c>
      <c r="AA1516" s="44">
        <f>IFERROR(__xludf.DUMMYFUNCTION("IFERROR(((IFERROR(SUM(FILTER('Fund Data'!$V:$V, 'Fund Data'!$C:$C = $C1516, 'Fund Data'!$A:$A = $A1516 - 2, 'Fund Data'!$B:$B &gt;= 4)) * 'Parameters and Distribution Sum'!$B$4,0) + IFERROR(SUM(FILTER('Fund Data'!$V:$V, 'Fund Data'!$C:$C = $C1516, 'Fund Data"&amp;"'!$A:$A = $A1516 - 1, 'Fund Data'!$B:$B &lt;= 3)) * 'Parameters and Distribution Sum'!$B$4,0))),0)"),0.0)</f>
        <v>0</v>
      </c>
      <c r="AB1516" s="44">
        <f t="shared" si="141"/>
        <v>0</v>
      </c>
      <c r="AC1516" s="44">
        <f t="shared" si="142"/>
        <v>0</v>
      </c>
      <c r="AD1516" s="44">
        <f t="shared" si="7"/>
        <v>0</v>
      </c>
      <c r="AE1516" s="44"/>
    </row>
    <row r="1517">
      <c r="A1517" s="178"/>
      <c r="B1517" s="179"/>
      <c r="C1517" s="147"/>
      <c r="D1517" s="44"/>
      <c r="E1517" s="44"/>
      <c r="F1517" s="44"/>
      <c r="G1517" s="44"/>
      <c r="H1517" s="44"/>
      <c r="I1517" s="44"/>
      <c r="J1517" s="44"/>
      <c r="K1517" s="44"/>
      <c r="L1517" s="44"/>
      <c r="M1517" s="44"/>
      <c r="N1517" s="44"/>
      <c r="O1517" s="44"/>
      <c r="P1517" s="52">
        <f t="shared" si="23"/>
        <v>0</v>
      </c>
      <c r="Q1517" s="124">
        <f t="shared" si="2"/>
        <v>0</v>
      </c>
      <c r="R1517" s="52">
        <f t="array" ref="R1517">IFERROR(INDEX('Fund YTD Target Values'!$1:$1000, MATCH($C1517,'Fund YTD Target Values'!$A:$A,0), MATCH($A1517,'Fund YTD Target Values'!$1:$1,0)),0)</f>
        <v>0</v>
      </c>
      <c r="S1517" s="52">
        <f>IFERROR(__xludf.DUMMYFUNCTION("IFERROR(sum(FILTER('Fund Data'!$V:$V, 'Fund Data'!$C:$C = $C1517, 'Fund Data'!$A:$A &lt; $A1517)),0) + IFERROR(sum(FILTER('Fund Data'!$V:$V, 'Fund Data'!$C:$C = $C1517, 'Fund Data'!$A:$A = $A1517, 'Fund Data'!$B:$B &lt;= $B1517)),0)"),0.0)</f>
        <v>0</v>
      </c>
      <c r="T1517" s="44"/>
      <c r="U1517" s="44"/>
      <c r="V1517" s="44">
        <f t="shared" si="3"/>
        <v>0</v>
      </c>
      <c r="W1517" s="52">
        <f>IFERROR(__xludf.DUMMYFUNCTION("iFERROR((FILTER('Fund Data'!$Y:$Y, 'Fund Data'!$C:$C = $C1517, 'Fund Data'!$A:$A = $A1517 - 1, 'Fund Data'!$B:$B = 12) + FILTER('Fund Data'!$AA:$AA, 'Fund Data'!$C:$C = $C1517, 'Fund Data'!$A:$A = $A1517 - 1, 'Fund Data'!$B:$B = 12)) * (1 + AVERAGE(FILTER"&amp;"('Inflation Data'!$C:$C,'Inflation Data'!$A:$A = ($A1517 - 2)))) * 'Parameters and Distribution Sum'!$A$4,0)"),0.0)</f>
        <v>0</v>
      </c>
      <c r="X1517" s="52">
        <f>IFERROR(__xludf.DUMMYFUNCTION("IFERROR((IFERROR(FILTER('Fund Data'!$P:$P,'Fund Data'!$C:$C = $C1517,'Fund Data'!$A:$A = ($A1517 - 2), 'Fund Data'!$B:$B = 12),0) - SUM(FILTER('Fund Data'!$V:$V, 'Fund Data'!$C:$C = $C1517, 'Fund Data'!$A:$A = ($A1517 - 2), 'Fund Data'!$B:$B &gt; 3)))  * 'Pa"&amp;"rameters and Distribution Sum'!$B$4 * (1 - 'Parameters and Distribution Sum'!$A$4),0)"),0.0)</f>
        <v>0</v>
      </c>
      <c r="Y1517" s="52">
        <f t="shared" si="140"/>
        <v>0</v>
      </c>
      <c r="Z1517" s="52">
        <f>IFERROR(__xludf.DUMMYFUNCTION("((IFERROR((SUM(FILTER('Fund Data'!$V:$V, 'Fund Data'!$C:$C = $C1517, 'Fund Data'!$A:$A = $A1517 - 1, 'Fund Data'!$B:$B &gt;= 4, 'Fund Data'!$B:$B &lt;= ($B1517 + 5))) / 12) * ($B1517 - 3) * 'Parameters and Distribution Sum'!$B$4, 0) + IF($B1517 &gt;= 9, IFERROR(SU"&amp;"M(FILTER('Fund Data'!$V:$V, 'Fund Data'!$C:$C = $C1517, 'Fund Data'!$A:$A = $A1517, 'Fund Data'!$B:$B &lt;= 3)) * 'Parameters and Distribution Sum'!$B$4, 0),0)))"),0.0)</f>
        <v>0</v>
      </c>
      <c r="AA1517" s="44">
        <f>IFERROR(__xludf.DUMMYFUNCTION("IFERROR(((IFERROR(SUM(FILTER('Fund Data'!$V:$V, 'Fund Data'!$C:$C = $C1517, 'Fund Data'!$A:$A = $A1517 - 2, 'Fund Data'!$B:$B &gt;= 4)) * 'Parameters and Distribution Sum'!$B$4,0) + IFERROR(SUM(FILTER('Fund Data'!$V:$V, 'Fund Data'!$C:$C = $C1517, 'Fund Data"&amp;"'!$A:$A = $A1517 - 1, 'Fund Data'!$B:$B &lt;= 3)) * 'Parameters and Distribution Sum'!$B$4,0))),0)"),0.0)</f>
        <v>0</v>
      </c>
      <c r="AB1517" s="44">
        <f t="shared" si="141"/>
        <v>0</v>
      </c>
      <c r="AC1517" s="44">
        <f t="shared" si="142"/>
        <v>0</v>
      </c>
      <c r="AD1517" s="44">
        <f t="shared" si="7"/>
        <v>0</v>
      </c>
      <c r="AE1517" s="44"/>
    </row>
    <row r="1518">
      <c r="A1518" s="178"/>
      <c r="B1518" s="179"/>
      <c r="C1518" s="147"/>
      <c r="D1518" s="44"/>
      <c r="E1518" s="44"/>
      <c r="F1518" s="44"/>
      <c r="G1518" s="44"/>
      <c r="H1518" s="44"/>
      <c r="I1518" s="44"/>
      <c r="J1518" s="44"/>
      <c r="K1518" s="44"/>
      <c r="L1518" s="44"/>
      <c r="M1518" s="44"/>
      <c r="N1518" s="44"/>
      <c r="O1518" s="44"/>
      <c r="P1518" s="52">
        <f t="shared" si="23"/>
        <v>0</v>
      </c>
      <c r="Q1518" s="124">
        <f t="shared" si="2"/>
        <v>0</v>
      </c>
      <c r="R1518" s="52">
        <f t="array" ref="R1518">IFERROR(INDEX('Fund YTD Target Values'!$1:$1000, MATCH($C1518,'Fund YTD Target Values'!$A:$A,0), MATCH($A1518,'Fund YTD Target Values'!$1:$1,0)),0)</f>
        <v>0</v>
      </c>
      <c r="S1518" s="52">
        <f>IFERROR(__xludf.DUMMYFUNCTION("IFERROR(sum(FILTER('Fund Data'!$V:$V, 'Fund Data'!$C:$C = $C1518, 'Fund Data'!$A:$A &lt; $A1518)),0) + IFERROR(sum(FILTER('Fund Data'!$V:$V, 'Fund Data'!$C:$C = $C1518, 'Fund Data'!$A:$A = $A1518, 'Fund Data'!$B:$B &lt;= $B1518)),0)"),0.0)</f>
        <v>0</v>
      </c>
      <c r="T1518" s="44"/>
      <c r="U1518" s="44"/>
      <c r="V1518" s="44">
        <f t="shared" si="3"/>
        <v>0</v>
      </c>
      <c r="W1518" s="52">
        <f>IFERROR(__xludf.DUMMYFUNCTION("iFERROR((FILTER('Fund Data'!$Y:$Y, 'Fund Data'!$C:$C = $C1518, 'Fund Data'!$A:$A = $A1518 - 1, 'Fund Data'!$B:$B = 12) + FILTER('Fund Data'!$AA:$AA, 'Fund Data'!$C:$C = $C1518, 'Fund Data'!$A:$A = $A1518 - 1, 'Fund Data'!$B:$B = 12)) * (1 + AVERAGE(FILTER"&amp;"('Inflation Data'!$C:$C,'Inflation Data'!$A:$A = ($A1518 - 2)))) * 'Parameters and Distribution Sum'!$A$4,0)"),0.0)</f>
        <v>0</v>
      </c>
      <c r="X1518" s="52">
        <f>IFERROR(__xludf.DUMMYFUNCTION("IFERROR((IFERROR(FILTER('Fund Data'!$P:$P,'Fund Data'!$C:$C = $C1518,'Fund Data'!$A:$A = ($A1518 - 2), 'Fund Data'!$B:$B = 12),0) - SUM(FILTER('Fund Data'!$V:$V, 'Fund Data'!$C:$C = $C1518, 'Fund Data'!$A:$A = ($A1518 - 2), 'Fund Data'!$B:$B &gt; 3)))  * 'Pa"&amp;"rameters and Distribution Sum'!$B$4 * (1 - 'Parameters and Distribution Sum'!$A$4),0)"),0.0)</f>
        <v>0</v>
      </c>
      <c r="Y1518" s="52">
        <f t="shared" si="140"/>
        <v>0</v>
      </c>
      <c r="Z1518" s="52">
        <f>IFERROR(__xludf.DUMMYFUNCTION("((IFERROR((SUM(FILTER('Fund Data'!$V:$V, 'Fund Data'!$C:$C = $C1518, 'Fund Data'!$A:$A = $A1518 - 1, 'Fund Data'!$B:$B &gt;= 4, 'Fund Data'!$B:$B &lt;= ($B1518 + 5))) / 12) * ($B1518 - 3) * 'Parameters and Distribution Sum'!$B$4, 0) + IF($B1518 &gt;= 9, IFERROR(SU"&amp;"M(FILTER('Fund Data'!$V:$V, 'Fund Data'!$C:$C = $C1518, 'Fund Data'!$A:$A = $A1518, 'Fund Data'!$B:$B &lt;= 3)) * 'Parameters and Distribution Sum'!$B$4, 0),0)))"),0.0)</f>
        <v>0</v>
      </c>
      <c r="AA1518" s="44">
        <f>IFERROR(__xludf.DUMMYFUNCTION("IFERROR(((IFERROR(SUM(FILTER('Fund Data'!$V:$V, 'Fund Data'!$C:$C = $C1518, 'Fund Data'!$A:$A = $A1518 - 2, 'Fund Data'!$B:$B &gt;= 4)) * 'Parameters and Distribution Sum'!$B$4,0) + IFERROR(SUM(FILTER('Fund Data'!$V:$V, 'Fund Data'!$C:$C = $C1518, 'Fund Data"&amp;"'!$A:$A = $A1518 - 1, 'Fund Data'!$B:$B &lt;= 3)) * 'Parameters and Distribution Sum'!$B$4,0))),0)"),0.0)</f>
        <v>0</v>
      </c>
      <c r="AB1518" s="44">
        <f t="shared" si="141"/>
        <v>0</v>
      </c>
      <c r="AC1518" s="44">
        <f t="shared" si="142"/>
        <v>0</v>
      </c>
      <c r="AD1518" s="44">
        <f t="shared" si="7"/>
        <v>0</v>
      </c>
      <c r="AE1518" s="44"/>
    </row>
    <row r="1519">
      <c r="A1519" s="178"/>
      <c r="B1519" s="179"/>
      <c r="C1519" s="147"/>
      <c r="D1519" s="44"/>
      <c r="E1519" s="44"/>
      <c r="F1519" s="44"/>
      <c r="G1519" s="44"/>
      <c r="H1519" s="44"/>
      <c r="I1519" s="44"/>
      <c r="J1519" s="44"/>
      <c r="K1519" s="44"/>
      <c r="L1519" s="44"/>
      <c r="M1519" s="44"/>
      <c r="N1519" s="44"/>
      <c r="O1519" s="44"/>
      <c r="P1519" s="52">
        <f t="shared" si="23"/>
        <v>0</v>
      </c>
      <c r="Q1519" s="124">
        <f t="shared" si="2"/>
        <v>0</v>
      </c>
      <c r="R1519" s="52">
        <f t="array" ref="R1519">IFERROR(INDEX('Fund YTD Target Values'!$1:$1000, MATCH($C1519,'Fund YTD Target Values'!$A:$A,0), MATCH($A1519,'Fund YTD Target Values'!$1:$1,0)),0)</f>
        <v>0</v>
      </c>
      <c r="S1519" s="52">
        <f>IFERROR(__xludf.DUMMYFUNCTION("IFERROR(sum(FILTER('Fund Data'!$V:$V, 'Fund Data'!$C:$C = $C1519, 'Fund Data'!$A:$A &lt; $A1519)),0) + IFERROR(sum(FILTER('Fund Data'!$V:$V, 'Fund Data'!$C:$C = $C1519, 'Fund Data'!$A:$A = $A1519, 'Fund Data'!$B:$B &lt;= $B1519)),0)"),0.0)</f>
        <v>0</v>
      </c>
      <c r="T1519" s="44"/>
      <c r="U1519" s="44"/>
      <c r="V1519" s="44">
        <f t="shared" si="3"/>
        <v>0</v>
      </c>
      <c r="W1519" s="52">
        <f>IFERROR(__xludf.DUMMYFUNCTION("iFERROR((FILTER('Fund Data'!$Y:$Y, 'Fund Data'!$C:$C = $C1519, 'Fund Data'!$A:$A = $A1519 - 1, 'Fund Data'!$B:$B = 12) + FILTER('Fund Data'!$AA:$AA, 'Fund Data'!$C:$C = $C1519, 'Fund Data'!$A:$A = $A1519 - 1, 'Fund Data'!$B:$B = 12)) * (1 + AVERAGE(FILTER"&amp;"('Inflation Data'!$C:$C,'Inflation Data'!$A:$A = ($A1519 - 2)))) * 'Parameters and Distribution Sum'!$A$4,0)"),0.0)</f>
        <v>0</v>
      </c>
      <c r="X1519" s="52">
        <f>IFERROR(__xludf.DUMMYFUNCTION("IFERROR((IFERROR(FILTER('Fund Data'!$P:$P,'Fund Data'!$C:$C = $C1519,'Fund Data'!$A:$A = ($A1519 - 2), 'Fund Data'!$B:$B = 12),0) - SUM(FILTER('Fund Data'!$V:$V, 'Fund Data'!$C:$C = $C1519, 'Fund Data'!$A:$A = ($A1519 - 2), 'Fund Data'!$B:$B &gt; 3)))  * 'Pa"&amp;"rameters and Distribution Sum'!$B$4 * (1 - 'Parameters and Distribution Sum'!$A$4),0)"),0.0)</f>
        <v>0</v>
      </c>
      <c r="Y1519" s="52">
        <f t="shared" si="140"/>
        <v>0</v>
      </c>
      <c r="Z1519" s="52">
        <f>IFERROR(__xludf.DUMMYFUNCTION("((IFERROR((SUM(FILTER('Fund Data'!$V:$V, 'Fund Data'!$C:$C = $C1519, 'Fund Data'!$A:$A = $A1519 - 1, 'Fund Data'!$B:$B &gt;= 4, 'Fund Data'!$B:$B &lt;= ($B1519 + 5))) / 12) * ($B1519 - 3) * 'Parameters and Distribution Sum'!$B$4, 0) + IF($B1519 &gt;= 9, IFERROR(SU"&amp;"M(FILTER('Fund Data'!$V:$V, 'Fund Data'!$C:$C = $C1519, 'Fund Data'!$A:$A = $A1519, 'Fund Data'!$B:$B &lt;= 3)) * 'Parameters and Distribution Sum'!$B$4, 0),0)))"),0.0)</f>
        <v>0</v>
      </c>
      <c r="AA1519" s="44">
        <f>IFERROR(__xludf.DUMMYFUNCTION("IFERROR(((IFERROR(SUM(FILTER('Fund Data'!$V:$V, 'Fund Data'!$C:$C = $C1519, 'Fund Data'!$A:$A = $A1519 - 2, 'Fund Data'!$B:$B &gt;= 4)) * 'Parameters and Distribution Sum'!$B$4,0) + IFERROR(SUM(FILTER('Fund Data'!$V:$V, 'Fund Data'!$C:$C = $C1519, 'Fund Data"&amp;"'!$A:$A = $A1519 - 1, 'Fund Data'!$B:$B &lt;= 3)) * 'Parameters and Distribution Sum'!$B$4,0))),0)"),0.0)</f>
        <v>0</v>
      </c>
      <c r="AB1519" s="44">
        <f t="shared" si="141"/>
        <v>0</v>
      </c>
      <c r="AC1519" s="44">
        <f t="shared" si="142"/>
        <v>0</v>
      </c>
      <c r="AD1519" s="44">
        <f t="shared" si="7"/>
        <v>0</v>
      </c>
      <c r="AE1519" s="44"/>
    </row>
    <row r="1520">
      <c r="A1520" s="178"/>
      <c r="B1520" s="179"/>
      <c r="C1520" s="147"/>
      <c r="D1520" s="44"/>
      <c r="E1520" s="44"/>
      <c r="F1520" s="44"/>
      <c r="G1520" s="44"/>
      <c r="H1520" s="44"/>
      <c r="I1520" s="44"/>
      <c r="J1520" s="44"/>
      <c r="K1520" s="44"/>
      <c r="L1520" s="44"/>
      <c r="M1520" s="44"/>
      <c r="N1520" s="44"/>
      <c r="O1520" s="44"/>
      <c r="P1520" s="52">
        <f t="shared" si="23"/>
        <v>0</v>
      </c>
      <c r="Q1520" s="124">
        <f t="shared" si="2"/>
        <v>0</v>
      </c>
      <c r="R1520" s="52">
        <f t="array" ref="R1520">IFERROR(INDEX('Fund YTD Target Values'!$1:$1000, MATCH($C1520,'Fund YTD Target Values'!$A:$A,0), MATCH($A1520,'Fund YTD Target Values'!$1:$1,0)),0)</f>
        <v>0</v>
      </c>
      <c r="S1520" s="52">
        <f>IFERROR(__xludf.DUMMYFUNCTION("IFERROR(sum(FILTER('Fund Data'!$V:$V, 'Fund Data'!$C:$C = $C1520, 'Fund Data'!$A:$A &lt; $A1520)),0) + IFERROR(sum(FILTER('Fund Data'!$V:$V, 'Fund Data'!$C:$C = $C1520, 'Fund Data'!$A:$A = $A1520, 'Fund Data'!$B:$B &lt;= $B1520)),0)"),0.0)</f>
        <v>0</v>
      </c>
      <c r="T1520" s="44"/>
      <c r="U1520" s="44"/>
      <c r="V1520" s="44">
        <f t="shared" si="3"/>
        <v>0</v>
      </c>
      <c r="W1520" s="52">
        <f>IFERROR(__xludf.DUMMYFUNCTION("iFERROR((FILTER('Fund Data'!$Y:$Y, 'Fund Data'!$C:$C = $C1520, 'Fund Data'!$A:$A = $A1520 - 1, 'Fund Data'!$B:$B = 12) + FILTER('Fund Data'!$AA:$AA, 'Fund Data'!$C:$C = $C1520, 'Fund Data'!$A:$A = $A1520 - 1, 'Fund Data'!$B:$B = 12)) * (1 + AVERAGE(FILTER"&amp;"('Inflation Data'!$C:$C,'Inflation Data'!$A:$A = ($A1520 - 2)))) * 'Parameters and Distribution Sum'!$A$4,0)"),0.0)</f>
        <v>0</v>
      </c>
      <c r="X1520" s="52">
        <f>IFERROR(__xludf.DUMMYFUNCTION("IFERROR((IFERROR(FILTER('Fund Data'!$P:$P,'Fund Data'!$C:$C = $C1520,'Fund Data'!$A:$A = ($A1520 - 2), 'Fund Data'!$B:$B = 12),0) - SUM(FILTER('Fund Data'!$V:$V, 'Fund Data'!$C:$C = $C1520, 'Fund Data'!$A:$A = ($A1520 - 2), 'Fund Data'!$B:$B &gt; 3)))  * 'Pa"&amp;"rameters and Distribution Sum'!$B$4 * (1 - 'Parameters and Distribution Sum'!$A$4),0)"),0.0)</f>
        <v>0</v>
      </c>
      <c r="Y1520" s="52">
        <f t="shared" si="140"/>
        <v>0</v>
      </c>
      <c r="Z1520" s="52">
        <f>IFERROR(__xludf.DUMMYFUNCTION("((IFERROR((SUM(FILTER('Fund Data'!$V:$V, 'Fund Data'!$C:$C = $C1520, 'Fund Data'!$A:$A = $A1520 - 1, 'Fund Data'!$B:$B &gt;= 4, 'Fund Data'!$B:$B &lt;= ($B1520 + 5))) / 12) * ($B1520 - 3) * 'Parameters and Distribution Sum'!$B$4, 0) + IF($B1520 &gt;= 9, IFERROR(SU"&amp;"M(FILTER('Fund Data'!$V:$V, 'Fund Data'!$C:$C = $C1520, 'Fund Data'!$A:$A = $A1520, 'Fund Data'!$B:$B &lt;= 3)) * 'Parameters and Distribution Sum'!$B$4, 0),0)))"),0.0)</f>
        <v>0</v>
      </c>
      <c r="AA1520" s="44">
        <f>IFERROR(__xludf.DUMMYFUNCTION("IFERROR(((IFERROR(SUM(FILTER('Fund Data'!$V:$V, 'Fund Data'!$C:$C = $C1520, 'Fund Data'!$A:$A = $A1520 - 2, 'Fund Data'!$B:$B &gt;= 4)) * 'Parameters and Distribution Sum'!$B$4,0) + IFERROR(SUM(FILTER('Fund Data'!$V:$V, 'Fund Data'!$C:$C = $C1520, 'Fund Data"&amp;"'!$A:$A = $A1520 - 1, 'Fund Data'!$B:$B &lt;= 3)) * 'Parameters and Distribution Sum'!$B$4,0))),0)"),0.0)</f>
        <v>0</v>
      </c>
      <c r="AB1520" s="44">
        <f t="shared" si="141"/>
        <v>0</v>
      </c>
      <c r="AC1520" s="44">
        <f t="shared" si="142"/>
        <v>0</v>
      </c>
      <c r="AD1520" s="44">
        <f t="shared" si="7"/>
        <v>0</v>
      </c>
      <c r="AE1520" s="44"/>
    </row>
    <row r="1521">
      <c r="A1521" s="178"/>
      <c r="B1521" s="179"/>
      <c r="C1521" s="147"/>
      <c r="D1521" s="44"/>
      <c r="E1521" s="44"/>
      <c r="F1521" s="44"/>
      <c r="G1521" s="44"/>
      <c r="H1521" s="44"/>
      <c r="I1521" s="44"/>
      <c r="J1521" s="44"/>
      <c r="K1521" s="44"/>
      <c r="L1521" s="44"/>
      <c r="M1521" s="44"/>
      <c r="N1521" s="44"/>
      <c r="O1521" s="44"/>
      <c r="P1521" s="52">
        <f t="shared" si="23"/>
        <v>0</v>
      </c>
      <c r="Q1521" s="124">
        <f t="shared" si="2"/>
        <v>0</v>
      </c>
      <c r="R1521" s="52">
        <f t="array" ref="R1521">IFERROR(INDEX('Fund YTD Target Values'!$1:$1000, MATCH($C1521,'Fund YTD Target Values'!$A:$A,0), MATCH($A1521,'Fund YTD Target Values'!$1:$1,0)),0)</f>
        <v>0</v>
      </c>
      <c r="S1521" s="52">
        <f>IFERROR(__xludf.DUMMYFUNCTION("IFERROR(sum(FILTER('Fund Data'!$V:$V, 'Fund Data'!$C:$C = $C1521, 'Fund Data'!$A:$A &lt; $A1521)),0) + IFERROR(sum(FILTER('Fund Data'!$V:$V, 'Fund Data'!$C:$C = $C1521, 'Fund Data'!$A:$A = $A1521, 'Fund Data'!$B:$B &lt;= $B1521)),0)"),0.0)</f>
        <v>0</v>
      </c>
      <c r="T1521" s="44"/>
      <c r="U1521" s="44"/>
      <c r="V1521" s="44">
        <f t="shared" si="3"/>
        <v>0</v>
      </c>
      <c r="W1521" s="52">
        <f>IFERROR(__xludf.DUMMYFUNCTION("iFERROR((FILTER('Fund Data'!$Y:$Y, 'Fund Data'!$C:$C = $C1521, 'Fund Data'!$A:$A = $A1521 - 1, 'Fund Data'!$B:$B = 12) + FILTER('Fund Data'!$AA:$AA, 'Fund Data'!$C:$C = $C1521, 'Fund Data'!$A:$A = $A1521 - 1, 'Fund Data'!$B:$B = 12)) * (1 + AVERAGE(FILTER"&amp;"('Inflation Data'!$C:$C,'Inflation Data'!$A:$A = ($A1521 - 2)))) * 'Parameters and Distribution Sum'!$A$4,0)"),0.0)</f>
        <v>0</v>
      </c>
      <c r="X1521" s="52">
        <f>IFERROR(__xludf.DUMMYFUNCTION("IFERROR((IFERROR(FILTER('Fund Data'!$P:$P,'Fund Data'!$C:$C = $C1521,'Fund Data'!$A:$A = ($A1521 - 2), 'Fund Data'!$B:$B = 12),0) - SUM(FILTER('Fund Data'!$V:$V, 'Fund Data'!$C:$C = $C1521, 'Fund Data'!$A:$A = ($A1521 - 2), 'Fund Data'!$B:$B &gt; 3)))  * 'Pa"&amp;"rameters and Distribution Sum'!$B$4 * (1 - 'Parameters and Distribution Sum'!$A$4),0)"),0.0)</f>
        <v>0</v>
      </c>
      <c r="Y1521" s="52">
        <f t="shared" si="140"/>
        <v>0</v>
      </c>
      <c r="Z1521" s="52">
        <f>IFERROR(__xludf.DUMMYFUNCTION("((IFERROR((SUM(FILTER('Fund Data'!$V:$V, 'Fund Data'!$C:$C = $C1521, 'Fund Data'!$A:$A = $A1521 - 1, 'Fund Data'!$B:$B &gt;= 4, 'Fund Data'!$B:$B &lt;= ($B1521 + 5))) / 12) * ($B1521 - 3) * 'Parameters and Distribution Sum'!$B$4, 0) + IF($B1521 &gt;= 9, IFERROR(SU"&amp;"M(FILTER('Fund Data'!$V:$V, 'Fund Data'!$C:$C = $C1521, 'Fund Data'!$A:$A = $A1521, 'Fund Data'!$B:$B &lt;= 3)) * 'Parameters and Distribution Sum'!$B$4, 0),0)))"),0.0)</f>
        <v>0</v>
      </c>
      <c r="AA1521" s="44">
        <f>IFERROR(__xludf.DUMMYFUNCTION("IFERROR(((IFERROR(SUM(FILTER('Fund Data'!$V:$V, 'Fund Data'!$C:$C = $C1521, 'Fund Data'!$A:$A = $A1521 - 2, 'Fund Data'!$B:$B &gt;= 4)) * 'Parameters and Distribution Sum'!$B$4,0) + IFERROR(SUM(FILTER('Fund Data'!$V:$V, 'Fund Data'!$C:$C = $C1521, 'Fund Data"&amp;"'!$A:$A = $A1521 - 1, 'Fund Data'!$B:$B &lt;= 3)) * 'Parameters and Distribution Sum'!$B$4,0))),0)"),0.0)</f>
        <v>0</v>
      </c>
      <c r="AB1521" s="44">
        <f t="shared" si="141"/>
        <v>0</v>
      </c>
      <c r="AC1521" s="44">
        <f t="shared" si="142"/>
        <v>0</v>
      </c>
      <c r="AD1521" s="44">
        <f t="shared" si="7"/>
        <v>0</v>
      </c>
      <c r="AE1521" s="44"/>
    </row>
    <row r="1522">
      <c r="A1522" s="178"/>
      <c r="B1522" s="179"/>
      <c r="C1522" s="147"/>
      <c r="D1522" s="44"/>
      <c r="E1522" s="44"/>
      <c r="F1522" s="44"/>
      <c r="G1522" s="44"/>
      <c r="H1522" s="44"/>
      <c r="I1522" s="44"/>
      <c r="J1522" s="44"/>
      <c r="K1522" s="44"/>
      <c r="L1522" s="44"/>
      <c r="M1522" s="44"/>
      <c r="N1522" s="44"/>
      <c r="O1522" s="44"/>
      <c r="P1522" s="52">
        <f t="shared" si="23"/>
        <v>0</v>
      </c>
      <c r="Q1522" s="124">
        <f t="shared" si="2"/>
        <v>0</v>
      </c>
      <c r="R1522" s="52">
        <f t="array" ref="R1522">IFERROR(INDEX('Fund YTD Target Values'!$1:$1000, MATCH($C1522,'Fund YTD Target Values'!$A:$A,0), MATCH($A1522,'Fund YTD Target Values'!$1:$1,0)),0)</f>
        <v>0</v>
      </c>
      <c r="S1522" s="52">
        <f>IFERROR(__xludf.DUMMYFUNCTION("IFERROR(sum(FILTER('Fund Data'!$V:$V, 'Fund Data'!$C:$C = $C1522, 'Fund Data'!$A:$A &lt; $A1522)),0) + IFERROR(sum(FILTER('Fund Data'!$V:$V, 'Fund Data'!$C:$C = $C1522, 'Fund Data'!$A:$A = $A1522, 'Fund Data'!$B:$B &lt;= $B1522)),0)"),0.0)</f>
        <v>0</v>
      </c>
      <c r="T1522" s="44"/>
      <c r="U1522" s="44"/>
      <c r="V1522" s="44">
        <f t="shared" si="3"/>
        <v>0</v>
      </c>
      <c r="W1522" s="52">
        <f>IFERROR(__xludf.DUMMYFUNCTION("iFERROR((FILTER('Fund Data'!$Y:$Y, 'Fund Data'!$C:$C = $C1522, 'Fund Data'!$A:$A = $A1522 - 1, 'Fund Data'!$B:$B = 12) + FILTER('Fund Data'!$AA:$AA, 'Fund Data'!$C:$C = $C1522, 'Fund Data'!$A:$A = $A1522 - 1, 'Fund Data'!$B:$B = 12)) * (1 + AVERAGE(FILTER"&amp;"('Inflation Data'!$C:$C,'Inflation Data'!$A:$A = ($A1522 - 2)))) * 'Parameters and Distribution Sum'!$A$4,0)"),0.0)</f>
        <v>0</v>
      </c>
      <c r="X1522" s="52">
        <f>IFERROR(__xludf.DUMMYFUNCTION("IFERROR((IFERROR(FILTER('Fund Data'!$P:$P,'Fund Data'!$C:$C = $C1522,'Fund Data'!$A:$A = ($A1522 - 2), 'Fund Data'!$B:$B = 12),0) - SUM(FILTER('Fund Data'!$V:$V, 'Fund Data'!$C:$C = $C1522, 'Fund Data'!$A:$A = ($A1522 - 2), 'Fund Data'!$B:$B &gt; 3)))  * 'Pa"&amp;"rameters and Distribution Sum'!$B$4 * (1 - 'Parameters and Distribution Sum'!$A$4),0)"),0.0)</f>
        <v>0</v>
      </c>
      <c r="Y1522" s="52">
        <f t="shared" si="140"/>
        <v>0</v>
      </c>
      <c r="Z1522" s="52">
        <f>IFERROR(__xludf.DUMMYFUNCTION("((IFERROR((SUM(FILTER('Fund Data'!$V:$V, 'Fund Data'!$C:$C = $C1522, 'Fund Data'!$A:$A = $A1522 - 1, 'Fund Data'!$B:$B &gt;= 4, 'Fund Data'!$B:$B &lt;= ($B1522 + 5))) / 12) * ($B1522 - 3) * 'Parameters and Distribution Sum'!$B$4, 0) + IF($B1522 &gt;= 9, IFERROR(SU"&amp;"M(FILTER('Fund Data'!$V:$V, 'Fund Data'!$C:$C = $C1522, 'Fund Data'!$A:$A = $A1522, 'Fund Data'!$B:$B &lt;= 3)) * 'Parameters and Distribution Sum'!$B$4, 0),0)))"),0.0)</f>
        <v>0</v>
      </c>
      <c r="AA1522" s="44">
        <f>IFERROR(__xludf.DUMMYFUNCTION("IFERROR(((IFERROR(SUM(FILTER('Fund Data'!$V:$V, 'Fund Data'!$C:$C = $C1522, 'Fund Data'!$A:$A = $A1522 - 2, 'Fund Data'!$B:$B &gt;= 4)) * 'Parameters and Distribution Sum'!$B$4,0) + IFERROR(SUM(FILTER('Fund Data'!$V:$V, 'Fund Data'!$C:$C = $C1522, 'Fund Data"&amp;"'!$A:$A = $A1522 - 1, 'Fund Data'!$B:$B &lt;= 3)) * 'Parameters and Distribution Sum'!$B$4,0))),0)"),0.0)</f>
        <v>0</v>
      </c>
      <c r="AB1522" s="44">
        <f t="shared" si="141"/>
        <v>0</v>
      </c>
      <c r="AC1522" s="44">
        <f t="shared" si="142"/>
        <v>0</v>
      </c>
      <c r="AD1522" s="44">
        <f t="shared" si="7"/>
        <v>0</v>
      </c>
      <c r="AE1522" s="44"/>
    </row>
    <row r="1523">
      <c r="A1523" s="178"/>
      <c r="B1523" s="179"/>
      <c r="C1523" s="147"/>
      <c r="D1523" s="44"/>
      <c r="E1523" s="44"/>
      <c r="F1523" s="44"/>
      <c r="G1523" s="44"/>
      <c r="H1523" s="44"/>
      <c r="I1523" s="44"/>
      <c r="J1523" s="44"/>
      <c r="K1523" s="44"/>
      <c r="L1523" s="44"/>
      <c r="M1523" s="44"/>
      <c r="N1523" s="44"/>
      <c r="O1523" s="44"/>
      <c r="P1523" s="52">
        <f t="shared" si="23"/>
        <v>0</v>
      </c>
      <c r="Q1523" s="124">
        <f t="shared" si="2"/>
        <v>0</v>
      </c>
      <c r="R1523" s="52">
        <f t="array" ref="R1523">IFERROR(INDEX('Fund YTD Target Values'!$1:$1000, MATCH($C1523,'Fund YTD Target Values'!$A:$A,0), MATCH($A1523,'Fund YTD Target Values'!$1:$1,0)),0)</f>
        <v>0</v>
      </c>
      <c r="S1523" s="52">
        <f>IFERROR(__xludf.DUMMYFUNCTION("IFERROR(sum(FILTER('Fund Data'!$V:$V, 'Fund Data'!$C:$C = $C1523, 'Fund Data'!$A:$A &lt; $A1523)),0) + IFERROR(sum(FILTER('Fund Data'!$V:$V, 'Fund Data'!$C:$C = $C1523, 'Fund Data'!$A:$A = $A1523, 'Fund Data'!$B:$B &lt;= $B1523)),0)"),0.0)</f>
        <v>0</v>
      </c>
      <c r="T1523" s="44"/>
      <c r="U1523" s="44"/>
      <c r="V1523" s="44">
        <f t="shared" si="3"/>
        <v>0</v>
      </c>
      <c r="W1523" s="52">
        <f>IFERROR(__xludf.DUMMYFUNCTION("iFERROR((FILTER('Fund Data'!$Y:$Y, 'Fund Data'!$C:$C = $C1523, 'Fund Data'!$A:$A = $A1523 - 1, 'Fund Data'!$B:$B = 12) + FILTER('Fund Data'!$AA:$AA, 'Fund Data'!$C:$C = $C1523, 'Fund Data'!$A:$A = $A1523 - 1, 'Fund Data'!$B:$B = 12)) * (1 + AVERAGE(FILTER"&amp;"('Inflation Data'!$C:$C,'Inflation Data'!$A:$A = ($A1523 - 2)))) * 'Parameters and Distribution Sum'!$A$4,0)"),0.0)</f>
        <v>0</v>
      </c>
      <c r="X1523" s="52">
        <f>IFERROR(__xludf.DUMMYFUNCTION("IFERROR((IFERROR(FILTER('Fund Data'!$P:$P,'Fund Data'!$C:$C = $C1523,'Fund Data'!$A:$A = ($A1523 - 2), 'Fund Data'!$B:$B = 12),0) - SUM(FILTER('Fund Data'!$V:$V, 'Fund Data'!$C:$C = $C1523, 'Fund Data'!$A:$A = ($A1523 - 2), 'Fund Data'!$B:$B &gt; 3)))  * 'Pa"&amp;"rameters and Distribution Sum'!$B$4 * (1 - 'Parameters and Distribution Sum'!$A$4),0)"),0.0)</f>
        <v>0</v>
      </c>
      <c r="Y1523" s="52">
        <f t="shared" si="140"/>
        <v>0</v>
      </c>
      <c r="Z1523" s="52">
        <f>IFERROR(__xludf.DUMMYFUNCTION("((IFERROR((SUM(FILTER('Fund Data'!$V:$V, 'Fund Data'!$C:$C = $C1523, 'Fund Data'!$A:$A = $A1523 - 1, 'Fund Data'!$B:$B &gt;= 4, 'Fund Data'!$B:$B &lt;= ($B1523 + 5))) / 12) * ($B1523 - 3) * 'Parameters and Distribution Sum'!$B$4, 0) + IF($B1523 &gt;= 9, IFERROR(SU"&amp;"M(FILTER('Fund Data'!$V:$V, 'Fund Data'!$C:$C = $C1523, 'Fund Data'!$A:$A = $A1523, 'Fund Data'!$B:$B &lt;= 3)) * 'Parameters and Distribution Sum'!$B$4, 0),0)))"),0.0)</f>
        <v>0</v>
      </c>
      <c r="AA1523" s="44">
        <f>IFERROR(__xludf.DUMMYFUNCTION("IFERROR(((IFERROR(SUM(FILTER('Fund Data'!$V:$V, 'Fund Data'!$C:$C = $C1523, 'Fund Data'!$A:$A = $A1523 - 2, 'Fund Data'!$B:$B &gt;= 4)) * 'Parameters and Distribution Sum'!$B$4,0) + IFERROR(SUM(FILTER('Fund Data'!$V:$V, 'Fund Data'!$C:$C = $C1523, 'Fund Data"&amp;"'!$A:$A = $A1523 - 1, 'Fund Data'!$B:$B &lt;= 3)) * 'Parameters and Distribution Sum'!$B$4,0))),0)"),0.0)</f>
        <v>0</v>
      </c>
      <c r="AB1523" s="44">
        <f t="shared" si="141"/>
        <v>0</v>
      </c>
      <c r="AC1523" s="44">
        <f t="shared" si="142"/>
        <v>0</v>
      </c>
      <c r="AD1523" s="44">
        <f t="shared" si="7"/>
        <v>0</v>
      </c>
      <c r="AE1523" s="44"/>
    </row>
    <row r="1524">
      <c r="A1524" s="178"/>
      <c r="B1524" s="179"/>
      <c r="C1524" s="147"/>
      <c r="D1524" s="44"/>
      <c r="E1524" s="44"/>
      <c r="F1524" s="44"/>
      <c r="G1524" s="44"/>
      <c r="H1524" s="44"/>
      <c r="I1524" s="44"/>
      <c r="J1524" s="44"/>
      <c r="K1524" s="44"/>
      <c r="L1524" s="44"/>
      <c r="M1524" s="44"/>
      <c r="N1524" s="44"/>
      <c r="O1524" s="44"/>
      <c r="P1524" s="52">
        <f t="shared" si="23"/>
        <v>0</v>
      </c>
      <c r="Q1524" s="124">
        <f t="shared" si="2"/>
        <v>0</v>
      </c>
      <c r="R1524" s="52">
        <f t="array" ref="R1524">IFERROR(INDEX('Fund YTD Target Values'!$1:$1000, MATCH($C1524,'Fund YTD Target Values'!$A:$A,0), MATCH($A1524,'Fund YTD Target Values'!$1:$1,0)),0)</f>
        <v>0</v>
      </c>
      <c r="S1524" s="52">
        <f>IFERROR(__xludf.DUMMYFUNCTION("IFERROR(sum(FILTER('Fund Data'!$V:$V, 'Fund Data'!$C:$C = $C1524, 'Fund Data'!$A:$A &lt; $A1524)),0) + IFERROR(sum(FILTER('Fund Data'!$V:$V, 'Fund Data'!$C:$C = $C1524, 'Fund Data'!$A:$A = $A1524, 'Fund Data'!$B:$B &lt;= $B1524)),0)"),0.0)</f>
        <v>0</v>
      </c>
      <c r="T1524" s="44"/>
      <c r="U1524" s="44"/>
      <c r="V1524" s="44">
        <f t="shared" si="3"/>
        <v>0</v>
      </c>
      <c r="W1524" s="52">
        <f>IFERROR(__xludf.DUMMYFUNCTION("iFERROR((FILTER('Fund Data'!$Y:$Y, 'Fund Data'!$C:$C = $C1524, 'Fund Data'!$A:$A = $A1524 - 1, 'Fund Data'!$B:$B = 12) + FILTER('Fund Data'!$AA:$AA, 'Fund Data'!$C:$C = $C1524, 'Fund Data'!$A:$A = $A1524 - 1, 'Fund Data'!$B:$B = 12)) * (1 + AVERAGE(FILTER"&amp;"('Inflation Data'!$C:$C,'Inflation Data'!$A:$A = ($A1524 - 2)))) * 'Parameters and Distribution Sum'!$A$4,0)"),0.0)</f>
        <v>0</v>
      </c>
      <c r="X1524" s="52">
        <f>IFERROR(__xludf.DUMMYFUNCTION("IFERROR((IFERROR(FILTER('Fund Data'!$P:$P,'Fund Data'!$C:$C = $C1524,'Fund Data'!$A:$A = ($A1524 - 2), 'Fund Data'!$B:$B = 12),0) - SUM(FILTER('Fund Data'!$V:$V, 'Fund Data'!$C:$C = $C1524, 'Fund Data'!$A:$A = ($A1524 - 2), 'Fund Data'!$B:$B &gt; 3)))  * 'Pa"&amp;"rameters and Distribution Sum'!$B$4 * (1 - 'Parameters and Distribution Sum'!$A$4),0)"),0.0)</f>
        <v>0</v>
      </c>
      <c r="Y1524" s="52">
        <f t="shared" si="140"/>
        <v>0</v>
      </c>
      <c r="Z1524" s="52">
        <f>IFERROR(__xludf.DUMMYFUNCTION("((IFERROR((SUM(FILTER('Fund Data'!$V:$V, 'Fund Data'!$C:$C = $C1524, 'Fund Data'!$A:$A = $A1524 - 1, 'Fund Data'!$B:$B &gt;= 4, 'Fund Data'!$B:$B &lt;= ($B1524 + 5))) / 12) * ($B1524 - 3) * 'Parameters and Distribution Sum'!$B$4, 0) + IF($B1524 &gt;= 9, IFERROR(SU"&amp;"M(FILTER('Fund Data'!$V:$V, 'Fund Data'!$C:$C = $C1524, 'Fund Data'!$A:$A = $A1524, 'Fund Data'!$B:$B &lt;= 3)) * 'Parameters and Distribution Sum'!$B$4, 0),0)))"),0.0)</f>
        <v>0</v>
      </c>
      <c r="AA1524" s="44">
        <f>IFERROR(__xludf.DUMMYFUNCTION("IFERROR(((IFERROR(SUM(FILTER('Fund Data'!$V:$V, 'Fund Data'!$C:$C = $C1524, 'Fund Data'!$A:$A = $A1524 - 2, 'Fund Data'!$B:$B &gt;= 4)) * 'Parameters and Distribution Sum'!$B$4,0) + IFERROR(SUM(FILTER('Fund Data'!$V:$V, 'Fund Data'!$C:$C = $C1524, 'Fund Data"&amp;"'!$A:$A = $A1524 - 1, 'Fund Data'!$B:$B &lt;= 3)) * 'Parameters and Distribution Sum'!$B$4,0))),0)"),0.0)</f>
        <v>0</v>
      </c>
      <c r="AB1524" s="44">
        <f t="shared" si="141"/>
        <v>0</v>
      </c>
      <c r="AC1524" s="44">
        <f t="shared" si="142"/>
        <v>0</v>
      </c>
      <c r="AD1524" s="44">
        <f t="shared" si="7"/>
        <v>0</v>
      </c>
      <c r="AE1524" s="44"/>
    </row>
    <row r="1525">
      <c r="A1525" s="178"/>
      <c r="B1525" s="179"/>
      <c r="C1525" s="147"/>
      <c r="D1525" s="44"/>
      <c r="E1525" s="44"/>
      <c r="F1525" s="44"/>
      <c r="G1525" s="44"/>
      <c r="H1525" s="44"/>
      <c r="I1525" s="44"/>
      <c r="J1525" s="44"/>
      <c r="K1525" s="44"/>
      <c r="L1525" s="44"/>
      <c r="M1525" s="44"/>
      <c r="N1525" s="44"/>
      <c r="O1525" s="44"/>
      <c r="P1525" s="52">
        <f t="shared" si="23"/>
        <v>0</v>
      </c>
      <c r="Q1525" s="124">
        <f t="shared" si="2"/>
        <v>0</v>
      </c>
      <c r="R1525" s="52">
        <f t="array" ref="R1525">IFERROR(INDEX('Fund YTD Target Values'!$1:$1000, MATCH($C1525,'Fund YTD Target Values'!$A:$A,0), MATCH($A1525,'Fund YTD Target Values'!$1:$1,0)),0)</f>
        <v>0</v>
      </c>
      <c r="S1525" s="52">
        <f>IFERROR(__xludf.DUMMYFUNCTION("IFERROR(sum(FILTER('Fund Data'!$V:$V, 'Fund Data'!$C:$C = $C1525, 'Fund Data'!$A:$A &lt; $A1525)),0) + IFERROR(sum(FILTER('Fund Data'!$V:$V, 'Fund Data'!$C:$C = $C1525, 'Fund Data'!$A:$A = $A1525, 'Fund Data'!$B:$B &lt;= $B1525)),0)"),0.0)</f>
        <v>0</v>
      </c>
      <c r="T1525" s="44"/>
      <c r="U1525" s="44"/>
      <c r="V1525" s="44">
        <f t="shared" si="3"/>
        <v>0</v>
      </c>
      <c r="W1525" s="52">
        <f>IFERROR(__xludf.DUMMYFUNCTION("iFERROR((FILTER('Fund Data'!$Y:$Y, 'Fund Data'!$C:$C = $C1525, 'Fund Data'!$A:$A = $A1525 - 1, 'Fund Data'!$B:$B = 12) + FILTER('Fund Data'!$AA:$AA, 'Fund Data'!$C:$C = $C1525, 'Fund Data'!$A:$A = $A1525 - 1, 'Fund Data'!$B:$B = 12)) * (1 + AVERAGE(FILTER"&amp;"('Inflation Data'!$C:$C,'Inflation Data'!$A:$A = ($A1525 - 2)))) * 'Parameters and Distribution Sum'!$A$4,0)"),0.0)</f>
        <v>0</v>
      </c>
      <c r="X1525" s="52">
        <f>IFERROR(__xludf.DUMMYFUNCTION("IFERROR((IFERROR(FILTER('Fund Data'!$P:$P,'Fund Data'!$C:$C = $C1525,'Fund Data'!$A:$A = ($A1525 - 2), 'Fund Data'!$B:$B = 12),0) - SUM(FILTER('Fund Data'!$V:$V, 'Fund Data'!$C:$C = $C1525, 'Fund Data'!$A:$A = ($A1525 - 2), 'Fund Data'!$B:$B &gt; 3)))  * 'Pa"&amp;"rameters and Distribution Sum'!$B$4 * (1 - 'Parameters and Distribution Sum'!$A$4),0)"),0.0)</f>
        <v>0</v>
      </c>
      <c r="Y1525" s="52">
        <f t="shared" si="140"/>
        <v>0</v>
      </c>
      <c r="Z1525" s="52">
        <f>IFERROR(__xludf.DUMMYFUNCTION("((IFERROR((SUM(FILTER('Fund Data'!$V:$V, 'Fund Data'!$C:$C = $C1525, 'Fund Data'!$A:$A = $A1525 - 1, 'Fund Data'!$B:$B &gt;= 4, 'Fund Data'!$B:$B &lt;= ($B1525 + 5))) / 12) * ($B1525 - 3) * 'Parameters and Distribution Sum'!$B$4, 0) + IF($B1525 &gt;= 9, IFERROR(SU"&amp;"M(FILTER('Fund Data'!$V:$V, 'Fund Data'!$C:$C = $C1525, 'Fund Data'!$A:$A = $A1525, 'Fund Data'!$B:$B &lt;= 3)) * 'Parameters and Distribution Sum'!$B$4, 0),0)))"),0.0)</f>
        <v>0</v>
      </c>
      <c r="AA1525" s="44">
        <f>IFERROR(__xludf.DUMMYFUNCTION("IFERROR(((IFERROR(SUM(FILTER('Fund Data'!$V:$V, 'Fund Data'!$C:$C = $C1525, 'Fund Data'!$A:$A = $A1525 - 2, 'Fund Data'!$B:$B &gt;= 4)) * 'Parameters and Distribution Sum'!$B$4,0) + IFERROR(SUM(FILTER('Fund Data'!$V:$V, 'Fund Data'!$C:$C = $C1525, 'Fund Data"&amp;"'!$A:$A = $A1525 - 1, 'Fund Data'!$B:$B &lt;= 3)) * 'Parameters and Distribution Sum'!$B$4,0))),0)"),0.0)</f>
        <v>0</v>
      </c>
      <c r="AB1525" s="44">
        <f t="shared" si="141"/>
        <v>0</v>
      </c>
      <c r="AC1525" s="44">
        <f t="shared" si="142"/>
        <v>0</v>
      </c>
      <c r="AD1525" s="44">
        <f t="shared" si="7"/>
        <v>0</v>
      </c>
      <c r="AE1525" s="44"/>
    </row>
    <row r="1526">
      <c r="A1526" s="178"/>
      <c r="B1526" s="179"/>
      <c r="C1526" s="147"/>
      <c r="D1526" s="44"/>
      <c r="E1526" s="44"/>
      <c r="F1526" s="44"/>
      <c r="G1526" s="44"/>
      <c r="H1526" s="44"/>
      <c r="I1526" s="44"/>
      <c r="J1526" s="44"/>
      <c r="K1526" s="44"/>
      <c r="L1526" s="44"/>
      <c r="M1526" s="44"/>
      <c r="N1526" s="44"/>
      <c r="O1526" s="44"/>
      <c r="P1526" s="52">
        <f t="shared" si="23"/>
        <v>0</v>
      </c>
      <c r="Q1526" s="124">
        <f t="shared" si="2"/>
        <v>0</v>
      </c>
      <c r="R1526" s="52">
        <f t="array" ref="R1526">IFERROR(INDEX('Fund YTD Target Values'!$1:$1000, MATCH($C1526,'Fund YTD Target Values'!$A:$A,0), MATCH($A1526,'Fund YTD Target Values'!$1:$1,0)),0)</f>
        <v>0</v>
      </c>
      <c r="S1526" s="52">
        <f>IFERROR(__xludf.DUMMYFUNCTION("IFERROR(sum(FILTER('Fund Data'!$V:$V, 'Fund Data'!$C:$C = $C1526, 'Fund Data'!$A:$A &lt; $A1526)),0) + IFERROR(sum(FILTER('Fund Data'!$V:$V, 'Fund Data'!$C:$C = $C1526, 'Fund Data'!$A:$A = $A1526, 'Fund Data'!$B:$B &lt;= $B1526)),0)"),0.0)</f>
        <v>0</v>
      </c>
      <c r="T1526" s="44"/>
      <c r="U1526" s="44"/>
      <c r="V1526" s="44">
        <f t="shared" si="3"/>
        <v>0</v>
      </c>
      <c r="W1526" s="52">
        <f>IFERROR(__xludf.DUMMYFUNCTION("iFERROR((FILTER('Fund Data'!$Y:$Y, 'Fund Data'!$C:$C = $C1526, 'Fund Data'!$A:$A = $A1526 - 1, 'Fund Data'!$B:$B = 12) + FILTER('Fund Data'!$AA:$AA, 'Fund Data'!$C:$C = $C1526, 'Fund Data'!$A:$A = $A1526 - 1, 'Fund Data'!$B:$B = 12)) * (1 + AVERAGE(FILTER"&amp;"('Inflation Data'!$C:$C,'Inflation Data'!$A:$A = ($A1526 - 2)))) * 'Parameters and Distribution Sum'!$A$4,0)"),0.0)</f>
        <v>0</v>
      </c>
      <c r="X1526" s="52">
        <f>IFERROR(__xludf.DUMMYFUNCTION("IFERROR((IFERROR(FILTER('Fund Data'!$P:$P,'Fund Data'!$C:$C = $C1526,'Fund Data'!$A:$A = ($A1526 - 2), 'Fund Data'!$B:$B = 12),0) - SUM(FILTER('Fund Data'!$V:$V, 'Fund Data'!$C:$C = $C1526, 'Fund Data'!$A:$A = ($A1526 - 2), 'Fund Data'!$B:$B &gt; 3)))  * 'Pa"&amp;"rameters and Distribution Sum'!$B$4 * (1 - 'Parameters and Distribution Sum'!$A$4),0)"),0.0)</f>
        <v>0</v>
      </c>
      <c r="Y1526" s="52">
        <f t="shared" si="140"/>
        <v>0</v>
      </c>
      <c r="Z1526" s="52">
        <f>IFERROR(__xludf.DUMMYFUNCTION("((IFERROR((SUM(FILTER('Fund Data'!$V:$V, 'Fund Data'!$C:$C = $C1526, 'Fund Data'!$A:$A = $A1526 - 1, 'Fund Data'!$B:$B &gt;= 4, 'Fund Data'!$B:$B &lt;= ($B1526 + 5))) / 12) * ($B1526 - 3) * 'Parameters and Distribution Sum'!$B$4, 0) + IF($B1526 &gt;= 9, IFERROR(SU"&amp;"M(FILTER('Fund Data'!$V:$V, 'Fund Data'!$C:$C = $C1526, 'Fund Data'!$A:$A = $A1526, 'Fund Data'!$B:$B &lt;= 3)) * 'Parameters and Distribution Sum'!$B$4, 0),0)))"),0.0)</f>
        <v>0</v>
      </c>
      <c r="AA1526" s="44">
        <f>IFERROR(__xludf.DUMMYFUNCTION("IFERROR(((IFERROR(SUM(FILTER('Fund Data'!$V:$V, 'Fund Data'!$C:$C = $C1526, 'Fund Data'!$A:$A = $A1526 - 2, 'Fund Data'!$B:$B &gt;= 4)) * 'Parameters and Distribution Sum'!$B$4,0) + IFERROR(SUM(FILTER('Fund Data'!$V:$V, 'Fund Data'!$C:$C = $C1526, 'Fund Data"&amp;"'!$A:$A = $A1526 - 1, 'Fund Data'!$B:$B &lt;= 3)) * 'Parameters and Distribution Sum'!$B$4,0))),0)"),0.0)</f>
        <v>0</v>
      </c>
      <c r="AB1526" s="44">
        <f t="shared" si="141"/>
        <v>0</v>
      </c>
      <c r="AC1526" s="44">
        <f t="shared" si="142"/>
        <v>0</v>
      </c>
      <c r="AD1526" s="44">
        <f t="shared" si="7"/>
        <v>0</v>
      </c>
      <c r="AE1526" s="44"/>
    </row>
    <row r="1527">
      <c r="A1527" s="178"/>
      <c r="B1527" s="179"/>
      <c r="C1527" s="147"/>
      <c r="D1527" s="44"/>
      <c r="E1527" s="44"/>
      <c r="F1527" s="44"/>
      <c r="G1527" s="44"/>
      <c r="H1527" s="44"/>
      <c r="I1527" s="44"/>
      <c r="J1527" s="44"/>
      <c r="K1527" s="44"/>
      <c r="L1527" s="44"/>
      <c r="M1527" s="44"/>
      <c r="N1527" s="44"/>
      <c r="O1527" s="44"/>
      <c r="P1527" s="52">
        <f t="shared" si="23"/>
        <v>0</v>
      </c>
      <c r="Q1527" s="124">
        <f t="shared" si="2"/>
        <v>0</v>
      </c>
      <c r="R1527" s="52">
        <f t="array" ref="R1527">IFERROR(INDEX('Fund YTD Target Values'!$1:$1000, MATCH($C1527,'Fund YTD Target Values'!$A:$A,0), MATCH($A1527,'Fund YTD Target Values'!$1:$1,0)),0)</f>
        <v>0</v>
      </c>
      <c r="S1527" s="52">
        <f>IFERROR(__xludf.DUMMYFUNCTION("IFERROR(sum(FILTER('Fund Data'!$V:$V, 'Fund Data'!$C:$C = $C1527, 'Fund Data'!$A:$A &lt; $A1527)),0) + IFERROR(sum(FILTER('Fund Data'!$V:$V, 'Fund Data'!$C:$C = $C1527, 'Fund Data'!$A:$A = $A1527, 'Fund Data'!$B:$B &lt;= $B1527)),0)"),0.0)</f>
        <v>0</v>
      </c>
      <c r="T1527" s="44"/>
      <c r="U1527" s="44"/>
      <c r="V1527" s="44">
        <f t="shared" si="3"/>
        <v>0</v>
      </c>
      <c r="W1527" s="52">
        <f>IFERROR(__xludf.DUMMYFUNCTION("iFERROR((FILTER('Fund Data'!$Y:$Y, 'Fund Data'!$C:$C = $C1527, 'Fund Data'!$A:$A = $A1527 - 1, 'Fund Data'!$B:$B = 12) + FILTER('Fund Data'!$AA:$AA, 'Fund Data'!$C:$C = $C1527, 'Fund Data'!$A:$A = $A1527 - 1, 'Fund Data'!$B:$B = 12)) * (1 + AVERAGE(FILTER"&amp;"('Inflation Data'!$C:$C,'Inflation Data'!$A:$A = ($A1527 - 2)))) * 'Parameters and Distribution Sum'!$A$4,0)"),0.0)</f>
        <v>0</v>
      </c>
      <c r="X1527" s="52">
        <f>IFERROR(__xludf.DUMMYFUNCTION("IFERROR((IFERROR(FILTER('Fund Data'!$P:$P,'Fund Data'!$C:$C = $C1527,'Fund Data'!$A:$A = ($A1527 - 2), 'Fund Data'!$B:$B = 12),0) - SUM(FILTER('Fund Data'!$V:$V, 'Fund Data'!$C:$C = $C1527, 'Fund Data'!$A:$A = ($A1527 - 2), 'Fund Data'!$B:$B &gt; 3)))  * 'Pa"&amp;"rameters and Distribution Sum'!$B$4 * (1 - 'Parameters and Distribution Sum'!$A$4),0)"),0.0)</f>
        <v>0</v>
      </c>
      <c r="Y1527" s="52">
        <f t="shared" si="140"/>
        <v>0</v>
      </c>
      <c r="Z1527" s="52">
        <f>IFERROR(__xludf.DUMMYFUNCTION("((IFERROR((SUM(FILTER('Fund Data'!$V:$V, 'Fund Data'!$C:$C = $C1527, 'Fund Data'!$A:$A = $A1527 - 1, 'Fund Data'!$B:$B &gt;= 4, 'Fund Data'!$B:$B &lt;= ($B1527 + 5))) / 12) * ($B1527 - 3) * 'Parameters and Distribution Sum'!$B$4, 0) + IF($B1527 &gt;= 9, IFERROR(SU"&amp;"M(FILTER('Fund Data'!$V:$V, 'Fund Data'!$C:$C = $C1527, 'Fund Data'!$A:$A = $A1527, 'Fund Data'!$B:$B &lt;= 3)) * 'Parameters and Distribution Sum'!$B$4, 0),0)))"),0.0)</f>
        <v>0</v>
      </c>
      <c r="AA1527" s="44">
        <f>IFERROR(__xludf.DUMMYFUNCTION("IFERROR(((IFERROR(SUM(FILTER('Fund Data'!$V:$V, 'Fund Data'!$C:$C = $C1527, 'Fund Data'!$A:$A = $A1527 - 2, 'Fund Data'!$B:$B &gt;= 4)) * 'Parameters and Distribution Sum'!$B$4,0) + IFERROR(SUM(FILTER('Fund Data'!$V:$V, 'Fund Data'!$C:$C = $C1527, 'Fund Data"&amp;"'!$A:$A = $A1527 - 1, 'Fund Data'!$B:$B &lt;= 3)) * 'Parameters and Distribution Sum'!$B$4,0))),0)"),0.0)</f>
        <v>0</v>
      </c>
      <c r="AB1527" s="44">
        <f t="shared" si="141"/>
        <v>0</v>
      </c>
      <c r="AC1527" s="44">
        <f t="shared" si="142"/>
        <v>0</v>
      </c>
      <c r="AD1527" s="44">
        <f t="shared" si="7"/>
        <v>0</v>
      </c>
      <c r="AE1527" s="44"/>
    </row>
    <row r="1528">
      <c r="A1528" s="178"/>
      <c r="B1528" s="179"/>
      <c r="C1528" s="147"/>
      <c r="D1528" s="44"/>
      <c r="E1528" s="44"/>
      <c r="F1528" s="44"/>
      <c r="G1528" s="44"/>
      <c r="H1528" s="44"/>
      <c r="I1528" s="44"/>
      <c r="J1528" s="44"/>
      <c r="K1528" s="44"/>
      <c r="L1528" s="44"/>
      <c r="M1528" s="44"/>
      <c r="N1528" s="44"/>
      <c r="O1528" s="44"/>
      <c r="P1528" s="52">
        <f t="shared" si="23"/>
        <v>0</v>
      </c>
      <c r="Q1528" s="124">
        <f t="shared" si="2"/>
        <v>0</v>
      </c>
      <c r="R1528" s="52">
        <f t="array" ref="R1528">IFERROR(INDEX('Fund YTD Target Values'!$1:$1000, MATCH($C1528,'Fund YTD Target Values'!$A:$A,0), MATCH($A1528,'Fund YTD Target Values'!$1:$1,0)),0)</f>
        <v>0</v>
      </c>
      <c r="S1528" s="52">
        <f>IFERROR(__xludf.DUMMYFUNCTION("IFERROR(sum(FILTER('Fund Data'!$V:$V, 'Fund Data'!$C:$C = $C1528, 'Fund Data'!$A:$A &lt; $A1528)),0) + IFERROR(sum(FILTER('Fund Data'!$V:$V, 'Fund Data'!$C:$C = $C1528, 'Fund Data'!$A:$A = $A1528, 'Fund Data'!$B:$B &lt;= $B1528)),0)"),0.0)</f>
        <v>0</v>
      </c>
      <c r="T1528" s="44"/>
      <c r="U1528" s="44"/>
      <c r="V1528" s="44">
        <f t="shared" si="3"/>
        <v>0</v>
      </c>
      <c r="W1528" s="52">
        <f>IFERROR(__xludf.DUMMYFUNCTION("iFERROR((FILTER('Fund Data'!$Y:$Y, 'Fund Data'!$C:$C = $C1528, 'Fund Data'!$A:$A = $A1528 - 1, 'Fund Data'!$B:$B = 12) + FILTER('Fund Data'!$AA:$AA, 'Fund Data'!$C:$C = $C1528, 'Fund Data'!$A:$A = $A1528 - 1, 'Fund Data'!$B:$B = 12)) * (1 + AVERAGE(FILTER"&amp;"('Inflation Data'!$C:$C,'Inflation Data'!$A:$A = ($A1528 - 2)))) * 'Parameters and Distribution Sum'!$A$4,0)"),0.0)</f>
        <v>0</v>
      </c>
      <c r="X1528" s="52">
        <f>IFERROR(__xludf.DUMMYFUNCTION("IFERROR((IFERROR(FILTER('Fund Data'!$P:$P,'Fund Data'!$C:$C = $C1528,'Fund Data'!$A:$A = ($A1528 - 2), 'Fund Data'!$B:$B = 12),0) - SUM(FILTER('Fund Data'!$V:$V, 'Fund Data'!$C:$C = $C1528, 'Fund Data'!$A:$A = ($A1528 - 2), 'Fund Data'!$B:$B &gt; 3)))  * 'Pa"&amp;"rameters and Distribution Sum'!$B$4 * (1 - 'Parameters and Distribution Sum'!$A$4),0)"),0.0)</f>
        <v>0</v>
      </c>
      <c r="Y1528" s="52">
        <f t="shared" si="140"/>
        <v>0</v>
      </c>
      <c r="Z1528" s="52">
        <f>IFERROR(__xludf.DUMMYFUNCTION("((IFERROR((SUM(FILTER('Fund Data'!$V:$V, 'Fund Data'!$C:$C = $C1528, 'Fund Data'!$A:$A = $A1528 - 1, 'Fund Data'!$B:$B &gt;= 4, 'Fund Data'!$B:$B &lt;= ($B1528 + 5))) / 12) * ($B1528 - 3) * 'Parameters and Distribution Sum'!$B$4, 0) + IF($B1528 &gt;= 9, IFERROR(SU"&amp;"M(FILTER('Fund Data'!$V:$V, 'Fund Data'!$C:$C = $C1528, 'Fund Data'!$A:$A = $A1528, 'Fund Data'!$B:$B &lt;= 3)) * 'Parameters and Distribution Sum'!$B$4, 0),0)))"),0.0)</f>
        <v>0</v>
      </c>
      <c r="AA1528" s="44">
        <f>IFERROR(__xludf.DUMMYFUNCTION("IFERROR(((IFERROR(SUM(FILTER('Fund Data'!$V:$V, 'Fund Data'!$C:$C = $C1528, 'Fund Data'!$A:$A = $A1528 - 2, 'Fund Data'!$B:$B &gt;= 4)) * 'Parameters and Distribution Sum'!$B$4,0) + IFERROR(SUM(FILTER('Fund Data'!$V:$V, 'Fund Data'!$C:$C = $C1528, 'Fund Data"&amp;"'!$A:$A = $A1528 - 1, 'Fund Data'!$B:$B &lt;= 3)) * 'Parameters and Distribution Sum'!$B$4,0))),0)"),0.0)</f>
        <v>0</v>
      </c>
      <c r="AB1528" s="44">
        <f t="shared" si="141"/>
        <v>0</v>
      </c>
      <c r="AC1528" s="44">
        <f t="shared" si="142"/>
        <v>0</v>
      </c>
      <c r="AD1528" s="44">
        <f t="shared" si="7"/>
        <v>0</v>
      </c>
      <c r="AE1528" s="44"/>
    </row>
    <row r="1529">
      <c r="A1529" s="178"/>
      <c r="B1529" s="179"/>
      <c r="C1529" s="147"/>
      <c r="D1529" s="44"/>
      <c r="E1529" s="44"/>
      <c r="F1529" s="44"/>
      <c r="G1529" s="44"/>
      <c r="H1529" s="44"/>
      <c r="I1529" s="44"/>
      <c r="J1529" s="44"/>
      <c r="K1529" s="44"/>
      <c r="L1529" s="44"/>
      <c r="M1529" s="44"/>
      <c r="N1529" s="44"/>
      <c r="O1529" s="44"/>
      <c r="P1529" s="52">
        <f t="shared" si="23"/>
        <v>0</v>
      </c>
      <c r="Q1529" s="124">
        <f t="shared" si="2"/>
        <v>0</v>
      </c>
      <c r="R1529" s="52">
        <f t="array" ref="R1529">IFERROR(INDEX('Fund YTD Target Values'!$1:$1000, MATCH($C1529,'Fund YTD Target Values'!$A:$A,0), MATCH($A1529,'Fund YTD Target Values'!$1:$1,0)),0)</f>
        <v>0</v>
      </c>
      <c r="S1529" s="52">
        <f>IFERROR(__xludf.DUMMYFUNCTION("IFERROR(sum(FILTER('Fund Data'!$V:$V, 'Fund Data'!$C:$C = $C1529, 'Fund Data'!$A:$A &lt; $A1529)),0) + IFERROR(sum(FILTER('Fund Data'!$V:$V, 'Fund Data'!$C:$C = $C1529, 'Fund Data'!$A:$A = $A1529, 'Fund Data'!$B:$B &lt;= $B1529)),0)"),0.0)</f>
        <v>0</v>
      </c>
      <c r="T1529" s="44"/>
      <c r="U1529" s="44"/>
      <c r="V1529" s="44">
        <f t="shared" si="3"/>
        <v>0</v>
      </c>
      <c r="W1529" s="52">
        <f>IFERROR(__xludf.DUMMYFUNCTION("iFERROR((FILTER('Fund Data'!$Y:$Y, 'Fund Data'!$C:$C = $C1529, 'Fund Data'!$A:$A = $A1529 - 1, 'Fund Data'!$B:$B = 12) + FILTER('Fund Data'!$AA:$AA, 'Fund Data'!$C:$C = $C1529, 'Fund Data'!$A:$A = $A1529 - 1, 'Fund Data'!$B:$B = 12)) * (1 + AVERAGE(FILTER"&amp;"('Inflation Data'!$C:$C,'Inflation Data'!$A:$A = ($A1529 - 2)))) * 'Parameters and Distribution Sum'!$A$4,0)"),0.0)</f>
        <v>0</v>
      </c>
      <c r="X1529" s="52">
        <f>IFERROR(__xludf.DUMMYFUNCTION("IFERROR((IFERROR(FILTER('Fund Data'!$P:$P,'Fund Data'!$C:$C = $C1529,'Fund Data'!$A:$A = ($A1529 - 2), 'Fund Data'!$B:$B = 12),0) - SUM(FILTER('Fund Data'!$V:$V, 'Fund Data'!$C:$C = $C1529, 'Fund Data'!$A:$A = ($A1529 - 2), 'Fund Data'!$B:$B &gt; 3)))  * 'Pa"&amp;"rameters and Distribution Sum'!$B$4 * (1 - 'Parameters and Distribution Sum'!$A$4),0)"),0.0)</f>
        <v>0</v>
      </c>
      <c r="Y1529" s="52">
        <f t="shared" si="140"/>
        <v>0</v>
      </c>
      <c r="Z1529" s="52">
        <f>IFERROR(__xludf.DUMMYFUNCTION("((IFERROR((SUM(FILTER('Fund Data'!$V:$V, 'Fund Data'!$C:$C = $C1529, 'Fund Data'!$A:$A = $A1529 - 1, 'Fund Data'!$B:$B &gt;= 4, 'Fund Data'!$B:$B &lt;= ($B1529 + 5))) / 12) * ($B1529 - 3) * 'Parameters and Distribution Sum'!$B$4, 0) + IF($B1529 &gt;= 9, IFERROR(SU"&amp;"M(FILTER('Fund Data'!$V:$V, 'Fund Data'!$C:$C = $C1529, 'Fund Data'!$A:$A = $A1529, 'Fund Data'!$B:$B &lt;= 3)) * 'Parameters and Distribution Sum'!$B$4, 0),0)))"),0.0)</f>
        <v>0</v>
      </c>
      <c r="AA1529" s="44">
        <f>IFERROR(__xludf.DUMMYFUNCTION("IFERROR(((IFERROR(SUM(FILTER('Fund Data'!$V:$V, 'Fund Data'!$C:$C = $C1529, 'Fund Data'!$A:$A = $A1529 - 2, 'Fund Data'!$B:$B &gt;= 4)) * 'Parameters and Distribution Sum'!$B$4,0) + IFERROR(SUM(FILTER('Fund Data'!$V:$V, 'Fund Data'!$C:$C = $C1529, 'Fund Data"&amp;"'!$A:$A = $A1529 - 1, 'Fund Data'!$B:$B &lt;= 3)) * 'Parameters and Distribution Sum'!$B$4,0))),0)"),0.0)</f>
        <v>0</v>
      </c>
      <c r="AB1529" s="44">
        <f t="shared" si="141"/>
        <v>0</v>
      </c>
      <c r="AC1529" s="44">
        <f t="shared" si="142"/>
        <v>0</v>
      </c>
      <c r="AD1529" s="44">
        <f t="shared" si="7"/>
        <v>0</v>
      </c>
      <c r="AE1529" s="44"/>
    </row>
    <row r="1530">
      <c r="A1530" s="178"/>
      <c r="B1530" s="179"/>
      <c r="C1530" s="147"/>
      <c r="D1530" s="44"/>
      <c r="E1530" s="44"/>
      <c r="F1530" s="44"/>
      <c r="G1530" s="44"/>
      <c r="H1530" s="44"/>
      <c r="I1530" s="44"/>
      <c r="J1530" s="44"/>
      <c r="K1530" s="44"/>
      <c r="L1530" s="44"/>
      <c r="M1530" s="44"/>
      <c r="N1530" s="44"/>
      <c r="O1530" s="44"/>
      <c r="P1530" s="52">
        <f t="shared" si="23"/>
        <v>0</v>
      </c>
      <c r="Q1530" s="124">
        <f t="shared" si="2"/>
        <v>0</v>
      </c>
      <c r="R1530" s="52">
        <f t="array" ref="R1530">IFERROR(INDEX('Fund YTD Target Values'!$1:$1000, MATCH($C1530,'Fund YTD Target Values'!$A:$A,0), MATCH($A1530,'Fund YTD Target Values'!$1:$1,0)),0)</f>
        <v>0</v>
      </c>
      <c r="S1530" s="52">
        <f>IFERROR(__xludf.DUMMYFUNCTION("IFERROR(sum(FILTER('Fund Data'!$V:$V, 'Fund Data'!$C:$C = $C1530, 'Fund Data'!$A:$A &lt; $A1530)),0) + IFERROR(sum(FILTER('Fund Data'!$V:$V, 'Fund Data'!$C:$C = $C1530, 'Fund Data'!$A:$A = $A1530, 'Fund Data'!$B:$B &lt;= $B1530)),0)"),0.0)</f>
        <v>0</v>
      </c>
      <c r="T1530" s="44"/>
      <c r="U1530" s="44"/>
      <c r="V1530" s="44">
        <f t="shared" si="3"/>
        <v>0</v>
      </c>
      <c r="W1530" s="52">
        <f>IFERROR(__xludf.DUMMYFUNCTION("iFERROR((FILTER('Fund Data'!$Y:$Y, 'Fund Data'!$C:$C = $C1530, 'Fund Data'!$A:$A = $A1530 - 1, 'Fund Data'!$B:$B = 12) + FILTER('Fund Data'!$AA:$AA, 'Fund Data'!$C:$C = $C1530, 'Fund Data'!$A:$A = $A1530 - 1, 'Fund Data'!$B:$B = 12)) * (1 + AVERAGE(FILTER"&amp;"('Inflation Data'!$C:$C,'Inflation Data'!$A:$A = ($A1530 - 2)))) * 'Parameters and Distribution Sum'!$A$4,0)"),0.0)</f>
        <v>0</v>
      </c>
      <c r="X1530" s="52">
        <f>IFERROR(__xludf.DUMMYFUNCTION("IFERROR((IFERROR(FILTER('Fund Data'!$P:$P,'Fund Data'!$C:$C = $C1530,'Fund Data'!$A:$A = ($A1530 - 2), 'Fund Data'!$B:$B = 12),0) - SUM(FILTER('Fund Data'!$V:$V, 'Fund Data'!$C:$C = $C1530, 'Fund Data'!$A:$A = ($A1530 - 2), 'Fund Data'!$B:$B &gt; 3)))  * 'Pa"&amp;"rameters and Distribution Sum'!$B$4 * (1 - 'Parameters and Distribution Sum'!$A$4),0)"),0.0)</f>
        <v>0</v>
      </c>
      <c r="Y1530" s="52">
        <f t="shared" si="140"/>
        <v>0</v>
      </c>
      <c r="Z1530" s="52">
        <f>IFERROR(__xludf.DUMMYFUNCTION("((IFERROR((SUM(FILTER('Fund Data'!$V:$V, 'Fund Data'!$C:$C = $C1530, 'Fund Data'!$A:$A = $A1530 - 1, 'Fund Data'!$B:$B &gt;= 4, 'Fund Data'!$B:$B &lt;= ($B1530 + 5))) / 12) * ($B1530 - 3) * 'Parameters and Distribution Sum'!$B$4, 0) + IF($B1530 &gt;= 9, IFERROR(SU"&amp;"M(FILTER('Fund Data'!$V:$V, 'Fund Data'!$C:$C = $C1530, 'Fund Data'!$A:$A = $A1530, 'Fund Data'!$B:$B &lt;= 3)) * 'Parameters and Distribution Sum'!$B$4, 0),0)))"),0.0)</f>
        <v>0</v>
      </c>
      <c r="AA1530" s="44">
        <f>IFERROR(__xludf.DUMMYFUNCTION("IFERROR(((IFERROR(SUM(FILTER('Fund Data'!$V:$V, 'Fund Data'!$C:$C = $C1530, 'Fund Data'!$A:$A = $A1530 - 2, 'Fund Data'!$B:$B &gt;= 4)) * 'Parameters and Distribution Sum'!$B$4,0) + IFERROR(SUM(FILTER('Fund Data'!$V:$V, 'Fund Data'!$C:$C = $C1530, 'Fund Data"&amp;"'!$A:$A = $A1530 - 1, 'Fund Data'!$B:$B &lt;= 3)) * 'Parameters and Distribution Sum'!$B$4,0))),0)"),0.0)</f>
        <v>0</v>
      </c>
      <c r="AB1530" s="44">
        <f t="shared" si="141"/>
        <v>0</v>
      </c>
      <c r="AC1530" s="44">
        <f t="shared" si="142"/>
        <v>0</v>
      </c>
      <c r="AD1530" s="44">
        <f t="shared" si="7"/>
        <v>0</v>
      </c>
      <c r="AE1530" s="44"/>
    </row>
    <row r="1531">
      <c r="A1531" s="178"/>
      <c r="B1531" s="179"/>
      <c r="C1531" s="147"/>
      <c r="D1531" s="44"/>
      <c r="E1531" s="44"/>
      <c r="F1531" s="44"/>
      <c r="G1531" s="44"/>
      <c r="H1531" s="44"/>
      <c r="I1531" s="44"/>
      <c r="J1531" s="44"/>
      <c r="K1531" s="44"/>
      <c r="L1531" s="44"/>
      <c r="M1531" s="44"/>
      <c r="N1531" s="44"/>
      <c r="O1531" s="44"/>
      <c r="P1531" s="52">
        <f t="shared" si="23"/>
        <v>0</v>
      </c>
      <c r="Q1531" s="124">
        <f t="shared" si="2"/>
        <v>0</v>
      </c>
      <c r="R1531" s="52">
        <f t="array" ref="R1531">IFERROR(INDEX('Fund YTD Target Values'!$1:$1000, MATCH($C1531,'Fund YTD Target Values'!$A:$A,0), MATCH($A1531,'Fund YTD Target Values'!$1:$1,0)),0)</f>
        <v>0</v>
      </c>
      <c r="S1531" s="52">
        <f>IFERROR(__xludf.DUMMYFUNCTION("IFERROR(sum(FILTER('Fund Data'!$V:$V, 'Fund Data'!$C:$C = $C1531, 'Fund Data'!$A:$A &lt; $A1531)),0) + IFERROR(sum(FILTER('Fund Data'!$V:$V, 'Fund Data'!$C:$C = $C1531, 'Fund Data'!$A:$A = $A1531, 'Fund Data'!$B:$B &lt;= $B1531)),0)"),0.0)</f>
        <v>0</v>
      </c>
      <c r="T1531" s="44"/>
      <c r="U1531" s="44"/>
      <c r="V1531" s="44">
        <f t="shared" si="3"/>
        <v>0</v>
      </c>
      <c r="W1531" s="52">
        <f>IFERROR(__xludf.DUMMYFUNCTION("iFERROR((FILTER('Fund Data'!$Y:$Y, 'Fund Data'!$C:$C = $C1531, 'Fund Data'!$A:$A = $A1531 - 1, 'Fund Data'!$B:$B = 12) + FILTER('Fund Data'!$AA:$AA, 'Fund Data'!$C:$C = $C1531, 'Fund Data'!$A:$A = $A1531 - 1, 'Fund Data'!$B:$B = 12)) * (1 + AVERAGE(FILTER"&amp;"('Inflation Data'!$C:$C,'Inflation Data'!$A:$A = ($A1531 - 2)))) * 'Parameters and Distribution Sum'!$A$4,0)"),0.0)</f>
        <v>0</v>
      </c>
      <c r="X1531" s="52">
        <f>IFERROR(__xludf.DUMMYFUNCTION("IFERROR((IFERROR(FILTER('Fund Data'!$P:$P,'Fund Data'!$C:$C = $C1531,'Fund Data'!$A:$A = ($A1531 - 2), 'Fund Data'!$B:$B = 12),0) - SUM(FILTER('Fund Data'!$V:$V, 'Fund Data'!$C:$C = $C1531, 'Fund Data'!$A:$A = ($A1531 - 2), 'Fund Data'!$B:$B &gt; 3)))  * 'Pa"&amp;"rameters and Distribution Sum'!$B$4 * (1 - 'Parameters and Distribution Sum'!$A$4),0)"),0.0)</f>
        <v>0</v>
      </c>
      <c r="Y1531" s="52">
        <f t="shared" si="140"/>
        <v>0</v>
      </c>
      <c r="Z1531" s="52">
        <f>IFERROR(__xludf.DUMMYFUNCTION("((IFERROR((SUM(FILTER('Fund Data'!$V:$V, 'Fund Data'!$C:$C = $C1531, 'Fund Data'!$A:$A = $A1531 - 1, 'Fund Data'!$B:$B &gt;= 4, 'Fund Data'!$B:$B &lt;= ($B1531 + 5))) / 12) * ($B1531 - 3) * 'Parameters and Distribution Sum'!$B$4, 0) + IF($B1531 &gt;= 9, IFERROR(SU"&amp;"M(FILTER('Fund Data'!$V:$V, 'Fund Data'!$C:$C = $C1531, 'Fund Data'!$A:$A = $A1531, 'Fund Data'!$B:$B &lt;= 3)) * 'Parameters and Distribution Sum'!$B$4, 0),0)))"),0.0)</f>
        <v>0</v>
      </c>
      <c r="AA1531" s="44">
        <f>IFERROR(__xludf.DUMMYFUNCTION("IFERROR(((IFERROR(SUM(FILTER('Fund Data'!$V:$V, 'Fund Data'!$C:$C = $C1531, 'Fund Data'!$A:$A = $A1531 - 2, 'Fund Data'!$B:$B &gt;= 4)) * 'Parameters and Distribution Sum'!$B$4,0) + IFERROR(SUM(FILTER('Fund Data'!$V:$V, 'Fund Data'!$C:$C = $C1531, 'Fund Data"&amp;"'!$A:$A = $A1531 - 1, 'Fund Data'!$B:$B &lt;= 3)) * 'Parameters and Distribution Sum'!$B$4,0))),0)"),0.0)</f>
        <v>0</v>
      </c>
      <c r="AB1531" s="44">
        <f t="shared" si="141"/>
        <v>0</v>
      </c>
      <c r="AC1531" s="44">
        <f t="shared" si="142"/>
        <v>0</v>
      </c>
      <c r="AD1531" s="44">
        <f t="shared" si="7"/>
        <v>0</v>
      </c>
      <c r="AE1531" s="44"/>
    </row>
    <row r="1532">
      <c r="A1532" s="178"/>
      <c r="B1532" s="179"/>
      <c r="C1532" s="147"/>
      <c r="D1532" s="44"/>
      <c r="E1532" s="44"/>
      <c r="F1532" s="44"/>
      <c r="G1532" s="44"/>
      <c r="H1532" s="44"/>
      <c r="I1532" s="44"/>
      <c r="J1532" s="44"/>
      <c r="K1532" s="44"/>
      <c r="L1532" s="44"/>
      <c r="M1532" s="44"/>
      <c r="N1532" s="44"/>
      <c r="O1532" s="44"/>
      <c r="P1532" s="52">
        <f t="shared" si="23"/>
        <v>0</v>
      </c>
      <c r="Q1532" s="124">
        <f t="shared" si="2"/>
        <v>0</v>
      </c>
      <c r="R1532" s="52">
        <f t="array" ref="R1532">IFERROR(INDEX('Fund YTD Target Values'!$1:$1000, MATCH($C1532,'Fund YTD Target Values'!$A:$A,0), MATCH($A1532,'Fund YTD Target Values'!$1:$1,0)),0)</f>
        <v>0</v>
      </c>
      <c r="S1532" s="52">
        <f>IFERROR(__xludf.DUMMYFUNCTION("IFERROR(sum(FILTER('Fund Data'!$V:$V, 'Fund Data'!$C:$C = $C1532, 'Fund Data'!$A:$A &lt; $A1532)),0) + IFERROR(sum(FILTER('Fund Data'!$V:$V, 'Fund Data'!$C:$C = $C1532, 'Fund Data'!$A:$A = $A1532, 'Fund Data'!$B:$B &lt;= $B1532)),0)"),0.0)</f>
        <v>0</v>
      </c>
      <c r="T1532" s="44"/>
      <c r="U1532" s="44"/>
      <c r="V1532" s="44">
        <f t="shared" si="3"/>
        <v>0</v>
      </c>
      <c r="W1532" s="52">
        <f>IFERROR(__xludf.DUMMYFUNCTION("iFERROR((FILTER('Fund Data'!$Y:$Y, 'Fund Data'!$C:$C = $C1532, 'Fund Data'!$A:$A = $A1532 - 1, 'Fund Data'!$B:$B = 12) + FILTER('Fund Data'!$AA:$AA, 'Fund Data'!$C:$C = $C1532, 'Fund Data'!$A:$A = $A1532 - 1, 'Fund Data'!$B:$B = 12)) * (1 + AVERAGE(FILTER"&amp;"('Inflation Data'!$C:$C,'Inflation Data'!$A:$A = ($A1532 - 2)))) * 'Parameters and Distribution Sum'!$A$4,0)"),0.0)</f>
        <v>0</v>
      </c>
      <c r="X1532" s="52">
        <f>IFERROR(__xludf.DUMMYFUNCTION("IFERROR((IFERROR(FILTER('Fund Data'!$P:$P,'Fund Data'!$C:$C = $C1532,'Fund Data'!$A:$A = ($A1532 - 2), 'Fund Data'!$B:$B = 12),0) - SUM(FILTER('Fund Data'!$V:$V, 'Fund Data'!$C:$C = $C1532, 'Fund Data'!$A:$A = ($A1532 - 2), 'Fund Data'!$B:$B &gt; 3)))  * 'Pa"&amp;"rameters and Distribution Sum'!$B$4 * (1 - 'Parameters and Distribution Sum'!$A$4),0)"),0.0)</f>
        <v>0</v>
      </c>
      <c r="Y1532" s="52">
        <f t="shared" si="140"/>
        <v>0</v>
      </c>
      <c r="Z1532" s="52">
        <f>IFERROR(__xludf.DUMMYFUNCTION("((IFERROR((SUM(FILTER('Fund Data'!$V:$V, 'Fund Data'!$C:$C = $C1532, 'Fund Data'!$A:$A = $A1532 - 1, 'Fund Data'!$B:$B &gt;= 4, 'Fund Data'!$B:$B &lt;= ($B1532 + 5))) / 12) * ($B1532 - 3) * 'Parameters and Distribution Sum'!$B$4, 0) + IF($B1532 &gt;= 9, IFERROR(SU"&amp;"M(FILTER('Fund Data'!$V:$V, 'Fund Data'!$C:$C = $C1532, 'Fund Data'!$A:$A = $A1532, 'Fund Data'!$B:$B &lt;= 3)) * 'Parameters and Distribution Sum'!$B$4, 0),0)))"),0.0)</f>
        <v>0</v>
      </c>
      <c r="AA1532" s="44">
        <f>IFERROR(__xludf.DUMMYFUNCTION("IFERROR(((IFERROR(SUM(FILTER('Fund Data'!$V:$V, 'Fund Data'!$C:$C = $C1532, 'Fund Data'!$A:$A = $A1532 - 2, 'Fund Data'!$B:$B &gt;= 4)) * 'Parameters and Distribution Sum'!$B$4,0) + IFERROR(SUM(FILTER('Fund Data'!$V:$V, 'Fund Data'!$C:$C = $C1532, 'Fund Data"&amp;"'!$A:$A = $A1532 - 1, 'Fund Data'!$B:$B &lt;= 3)) * 'Parameters and Distribution Sum'!$B$4,0))),0)"),0.0)</f>
        <v>0</v>
      </c>
      <c r="AB1532" s="44">
        <f t="shared" si="141"/>
        <v>0</v>
      </c>
      <c r="AC1532" s="44">
        <f t="shared" si="142"/>
        <v>0</v>
      </c>
      <c r="AD1532" s="44">
        <f t="shared" si="7"/>
        <v>0</v>
      </c>
      <c r="AE1532" s="44"/>
    </row>
    <row r="1533">
      <c r="A1533" s="178"/>
      <c r="B1533" s="179"/>
      <c r="C1533" s="147"/>
      <c r="D1533" s="44"/>
      <c r="E1533" s="44"/>
      <c r="F1533" s="44"/>
      <c r="G1533" s="44"/>
      <c r="H1533" s="44"/>
      <c r="I1533" s="44"/>
      <c r="J1533" s="44"/>
      <c r="K1533" s="44"/>
      <c r="L1533" s="44"/>
      <c r="M1533" s="44"/>
      <c r="N1533" s="44"/>
      <c r="O1533" s="44"/>
      <c r="P1533" s="52">
        <f t="shared" si="23"/>
        <v>0</v>
      </c>
      <c r="Q1533" s="124">
        <f t="shared" si="2"/>
        <v>0</v>
      </c>
      <c r="R1533" s="52">
        <f t="array" ref="R1533">IFERROR(INDEX('Fund YTD Target Values'!$1:$1000, MATCH($C1533,'Fund YTD Target Values'!$A:$A,0), MATCH($A1533,'Fund YTD Target Values'!$1:$1,0)),0)</f>
        <v>0</v>
      </c>
      <c r="S1533" s="52">
        <f>IFERROR(__xludf.DUMMYFUNCTION("IFERROR(sum(FILTER('Fund Data'!$V:$V, 'Fund Data'!$C:$C = $C1533, 'Fund Data'!$A:$A &lt; $A1533)),0) + IFERROR(sum(FILTER('Fund Data'!$V:$V, 'Fund Data'!$C:$C = $C1533, 'Fund Data'!$A:$A = $A1533, 'Fund Data'!$B:$B &lt;= $B1533)),0)"),0.0)</f>
        <v>0</v>
      </c>
      <c r="T1533" s="44"/>
      <c r="U1533" s="44"/>
      <c r="V1533" s="44">
        <f t="shared" si="3"/>
        <v>0</v>
      </c>
      <c r="W1533" s="52">
        <f>IFERROR(__xludf.DUMMYFUNCTION("iFERROR((FILTER('Fund Data'!$Y:$Y, 'Fund Data'!$C:$C = $C1533, 'Fund Data'!$A:$A = $A1533 - 1, 'Fund Data'!$B:$B = 12) + FILTER('Fund Data'!$AA:$AA, 'Fund Data'!$C:$C = $C1533, 'Fund Data'!$A:$A = $A1533 - 1, 'Fund Data'!$B:$B = 12)) * (1 + AVERAGE(FILTER"&amp;"('Inflation Data'!$C:$C,'Inflation Data'!$A:$A = ($A1533 - 2)))) * 'Parameters and Distribution Sum'!$A$4,0)"),0.0)</f>
        <v>0</v>
      </c>
      <c r="X1533" s="52">
        <f>IFERROR(__xludf.DUMMYFUNCTION("IFERROR((IFERROR(FILTER('Fund Data'!$P:$P,'Fund Data'!$C:$C = $C1533,'Fund Data'!$A:$A = ($A1533 - 2), 'Fund Data'!$B:$B = 12),0) - SUM(FILTER('Fund Data'!$V:$V, 'Fund Data'!$C:$C = $C1533, 'Fund Data'!$A:$A = ($A1533 - 2), 'Fund Data'!$B:$B &gt; 3)))  * 'Pa"&amp;"rameters and Distribution Sum'!$B$4 * (1 - 'Parameters and Distribution Sum'!$A$4),0)"),0.0)</f>
        <v>0</v>
      </c>
      <c r="Y1533" s="52">
        <f t="shared" si="140"/>
        <v>0</v>
      </c>
      <c r="Z1533" s="52">
        <f>IFERROR(__xludf.DUMMYFUNCTION("((IFERROR((SUM(FILTER('Fund Data'!$V:$V, 'Fund Data'!$C:$C = $C1533, 'Fund Data'!$A:$A = $A1533 - 1, 'Fund Data'!$B:$B &gt;= 4, 'Fund Data'!$B:$B &lt;= ($B1533 + 5))) / 12) * ($B1533 - 3) * 'Parameters and Distribution Sum'!$B$4, 0) + IF($B1533 &gt;= 9, IFERROR(SU"&amp;"M(FILTER('Fund Data'!$V:$V, 'Fund Data'!$C:$C = $C1533, 'Fund Data'!$A:$A = $A1533, 'Fund Data'!$B:$B &lt;= 3)) * 'Parameters and Distribution Sum'!$B$4, 0),0)))"),0.0)</f>
        <v>0</v>
      </c>
      <c r="AA1533" s="44">
        <f>IFERROR(__xludf.DUMMYFUNCTION("IFERROR(((IFERROR(SUM(FILTER('Fund Data'!$V:$V, 'Fund Data'!$C:$C = $C1533, 'Fund Data'!$A:$A = $A1533 - 2, 'Fund Data'!$B:$B &gt;= 4)) * 'Parameters and Distribution Sum'!$B$4,0) + IFERROR(SUM(FILTER('Fund Data'!$V:$V, 'Fund Data'!$C:$C = $C1533, 'Fund Data"&amp;"'!$A:$A = $A1533 - 1, 'Fund Data'!$B:$B &lt;= 3)) * 'Parameters and Distribution Sum'!$B$4,0))),0)"),0.0)</f>
        <v>0</v>
      </c>
      <c r="AB1533" s="44">
        <f t="shared" si="141"/>
        <v>0</v>
      </c>
      <c r="AC1533" s="44">
        <f t="shared" si="142"/>
        <v>0</v>
      </c>
      <c r="AD1533" s="44">
        <f t="shared" si="7"/>
        <v>0</v>
      </c>
      <c r="AE1533" s="44"/>
    </row>
    <row r="1534">
      <c r="A1534" s="178"/>
      <c r="B1534" s="179"/>
      <c r="C1534" s="147"/>
      <c r="D1534" s="44"/>
      <c r="E1534" s="44"/>
      <c r="F1534" s="44"/>
      <c r="G1534" s="44"/>
      <c r="H1534" s="44"/>
      <c r="I1534" s="44"/>
      <c r="J1534" s="44"/>
      <c r="K1534" s="44"/>
      <c r="L1534" s="44"/>
      <c r="M1534" s="44"/>
      <c r="N1534" s="44"/>
      <c r="O1534" s="44"/>
      <c r="P1534" s="52">
        <f t="shared" si="23"/>
        <v>0</v>
      </c>
      <c r="Q1534" s="124">
        <f t="shared" si="2"/>
        <v>0</v>
      </c>
      <c r="R1534" s="52">
        <f t="array" ref="R1534">IFERROR(INDEX('Fund YTD Target Values'!$1:$1000, MATCH($C1534,'Fund YTD Target Values'!$A:$A,0), MATCH($A1534,'Fund YTD Target Values'!$1:$1,0)),0)</f>
        <v>0</v>
      </c>
      <c r="S1534" s="52">
        <f>IFERROR(__xludf.DUMMYFUNCTION("IFERROR(sum(FILTER('Fund Data'!$V:$V, 'Fund Data'!$C:$C = $C1534, 'Fund Data'!$A:$A &lt; $A1534)),0) + IFERROR(sum(FILTER('Fund Data'!$V:$V, 'Fund Data'!$C:$C = $C1534, 'Fund Data'!$A:$A = $A1534, 'Fund Data'!$B:$B &lt;= $B1534)),0)"),0.0)</f>
        <v>0</v>
      </c>
      <c r="T1534" s="44"/>
      <c r="U1534" s="44"/>
      <c r="V1534" s="44">
        <f t="shared" si="3"/>
        <v>0</v>
      </c>
      <c r="W1534" s="52">
        <f>IFERROR(__xludf.DUMMYFUNCTION("iFERROR((FILTER('Fund Data'!$Y:$Y, 'Fund Data'!$C:$C = $C1534, 'Fund Data'!$A:$A = $A1534 - 1, 'Fund Data'!$B:$B = 12) + FILTER('Fund Data'!$AA:$AA, 'Fund Data'!$C:$C = $C1534, 'Fund Data'!$A:$A = $A1534 - 1, 'Fund Data'!$B:$B = 12)) * (1 + AVERAGE(FILTER"&amp;"('Inflation Data'!$C:$C,'Inflation Data'!$A:$A = ($A1534 - 2)))) * 'Parameters and Distribution Sum'!$A$4,0)"),0.0)</f>
        <v>0</v>
      </c>
      <c r="X1534" s="52">
        <f>IFERROR(__xludf.DUMMYFUNCTION("IFERROR((IFERROR(FILTER('Fund Data'!$P:$P,'Fund Data'!$C:$C = $C1534,'Fund Data'!$A:$A = ($A1534 - 2), 'Fund Data'!$B:$B = 12),0) - SUM(FILTER('Fund Data'!$V:$V, 'Fund Data'!$C:$C = $C1534, 'Fund Data'!$A:$A = ($A1534 - 2), 'Fund Data'!$B:$B &gt; 3)))  * 'Pa"&amp;"rameters and Distribution Sum'!$B$4 * (1 - 'Parameters and Distribution Sum'!$A$4),0)"),0.0)</f>
        <v>0</v>
      </c>
      <c r="Y1534" s="52">
        <f t="shared" si="140"/>
        <v>0</v>
      </c>
      <c r="Z1534" s="52">
        <f>IFERROR(__xludf.DUMMYFUNCTION("((IFERROR((SUM(FILTER('Fund Data'!$V:$V, 'Fund Data'!$C:$C = $C1534, 'Fund Data'!$A:$A = $A1534 - 1, 'Fund Data'!$B:$B &gt;= 4, 'Fund Data'!$B:$B &lt;= ($B1534 + 5))) / 12) * ($B1534 - 3) * 'Parameters and Distribution Sum'!$B$4, 0) + IF($B1534 &gt;= 9, IFERROR(SU"&amp;"M(FILTER('Fund Data'!$V:$V, 'Fund Data'!$C:$C = $C1534, 'Fund Data'!$A:$A = $A1534, 'Fund Data'!$B:$B &lt;= 3)) * 'Parameters and Distribution Sum'!$B$4, 0),0)))"),0.0)</f>
        <v>0</v>
      </c>
      <c r="AA1534" s="44">
        <f>IFERROR(__xludf.DUMMYFUNCTION("IFERROR(((IFERROR(SUM(FILTER('Fund Data'!$V:$V, 'Fund Data'!$C:$C = $C1534, 'Fund Data'!$A:$A = $A1534 - 2, 'Fund Data'!$B:$B &gt;= 4)) * 'Parameters and Distribution Sum'!$B$4,0) + IFERROR(SUM(FILTER('Fund Data'!$V:$V, 'Fund Data'!$C:$C = $C1534, 'Fund Data"&amp;"'!$A:$A = $A1534 - 1, 'Fund Data'!$B:$B &lt;= 3)) * 'Parameters and Distribution Sum'!$B$4,0))),0)"),0.0)</f>
        <v>0</v>
      </c>
      <c r="AB1534" s="44">
        <f t="shared" si="141"/>
        <v>0</v>
      </c>
      <c r="AC1534" s="44">
        <f t="shared" si="142"/>
        <v>0</v>
      </c>
      <c r="AD1534" s="44">
        <f t="shared" si="7"/>
        <v>0</v>
      </c>
      <c r="AE1534" s="44"/>
    </row>
    <row r="1535">
      <c r="A1535" s="178"/>
      <c r="B1535" s="179"/>
      <c r="C1535" s="147"/>
      <c r="D1535" s="44"/>
      <c r="E1535" s="44"/>
      <c r="F1535" s="44"/>
      <c r="G1535" s="44"/>
      <c r="H1535" s="44"/>
      <c r="I1535" s="44"/>
      <c r="J1535" s="44"/>
      <c r="K1535" s="44"/>
      <c r="L1535" s="44"/>
      <c r="M1535" s="44"/>
      <c r="N1535" s="44"/>
      <c r="O1535" s="44"/>
      <c r="P1535" s="52">
        <f t="shared" si="23"/>
        <v>0</v>
      </c>
      <c r="Q1535" s="124">
        <f t="shared" si="2"/>
        <v>0</v>
      </c>
      <c r="R1535" s="52">
        <f t="array" ref="R1535">IFERROR(INDEX('Fund YTD Target Values'!$1:$1000, MATCH($C1535,'Fund YTD Target Values'!$A:$A,0), MATCH($A1535,'Fund YTD Target Values'!$1:$1,0)),0)</f>
        <v>0</v>
      </c>
      <c r="S1535" s="52">
        <f>IFERROR(__xludf.DUMMYFUNCTION("IFERROR(sum(FILTER('Fund Data'!$V:$V, 'Fund Data'!$C:$C = $C1535, 'Fund Data'!$A:$A &lt; $A1535)),0) + IFERROR(sum(FILTER('Fund Data'!$V:$V, 'Fund Data'!$C:$C = $C1535, 'Fund Data'!$A:$A = $A1535, 'Fund Data'!$B:$B &lt;= $B1535)),0)"),0.0)</f>
        <v>0</v>
      </c>
      <c r="T1535" s="44"/>
      <c r="U1535" s="44"/>
      <c r="V1535" s="44">
        <f t="shared" si="3"/>
        <v>0</v>
      </c>
      <c r="W1535" s="52">
        <f>IFERROR(__xludf.DUMMYFUNCTION("iFERROR((FILTER('Fund Data'!$Y:$Y, 'Fund Data'!$C:$C = $C1535, 'Fund Data'!$A:$A = $A1535 - 1, 'Fund Data'!$B:$B = 12) + FILTER('Fund Data'!$AA:$AA, 'Fund Data'!$C:$C = $C1535, 'Fund Data'!$A:$A = $A1535 - 1, 'Fund Data'!$B:$B = 12)) * (1 + AVERAGE(FILTER"&amp;"('Inflation Data'!$C:$C,'Inflation Data'!$A:$A = ($A1535 - 2)))) * 'Parameters and Distribution Sum'!$A$4,0)"),0.0)</f>
        <v>0</v>
      </c>
      <c r="X1535" s="52">
        <f>IFERROR(__xludf.DUMMYFUNCTION("IFERROR((IFERROR(FILTER('Fund Data'!$P:$P,'Fund Data'!$C:$C = $C1535,'Fund Data'!$A:$A = ($A1535 - 2), 'Fund Data'!$B:$B = 12),0) - SUM(FILTER('Fund Data'!$V:$V, 'Fund Data'!$C:$C = $C1535, 'Fund Data'!$A:$A = ($A1535 - 2), 'Fund Data'!$B:$B &gt; 3)))  * 'Pa"&amp;"rameters and Distribution Sum'!$B$4 * (1 - 'Parameters and Distribution Sum'!$A$4),0)"),0.0)</f>
        <v>0</v>
      </c>
      <c r="Y1535" s="52">
        <f t="shared" si="140"/>
        <v>0</v>
      </c>
      <c r="Z1535" s="52">
        <f>IFERROR(__xludf.DUMMYFUNCTION("((IFERROR((SUM(FILTER('Fund Data'!$V:$V, 'Fund Data'!$C:$C = $C1535, 'Fund Data'!$A:$A = $A1535 - 1, 'Fund Data'!$B:$B &gt;= 4, 'Fund Data'!$B:$B &lt;= ($B1535 + 5))) / 12) * ($B1535 - 3) * 'Parameters and Distribution Sum'!$B$4, 0) + IF($B1535 &gt;= 9, IFERROR(SU"&amp;"M(FILTER('Fund Data'!$V:$V, 'Fund Data'!$C:$C = $C1535, 'Fund Data'!$A:$A = $A1535, 'Fund Data'!$B:$B &lt;= 3)) * 'Parameters and Distribution Sum'!$B$4, 0),0)))"),0.0)</f>
        <v>0</v>
      </c>
      <c r="AA1535" s="44">
        <f>IFERROR(__xludf.DUMMYFUNCTION("IFERROR(((IFERROR(SUM(FILTER('Fund Data'!$V:$V, 'Fund Data'!$C:$C = $C1535, 'Fund Data'!$A:$A = $A1535 - 2, 'Fund Data'!$B:$B &gt;= 4)) * 'Parameters and Distribution Sum'!$B$4,0) + IFERROR(SUM(FILTER('Fund Data'!$V:$V, 'Fund Data'!$C:$C = $C1535, 'Fund Data"&amp;"'!$A:$A = $A1535 - 1, 'Fund Data'!$B:$B &lt;= 3)) * 'Parameters and Distribution Sum'!$B$4,0))),0)"),0.0)</f>
        <v>0</v>
      </c>
      <c r="AB1535" s="44">
        <f t="shared" si="141"/>
        <v>0</v>
      </c>
      <c r="AC1535" s="44">
        <f t="shared" si="142"/>
        <v>0</v>
      </c>
      <c r="AD1535" s="44">
        <f t="shared" si="7"/>
        <v>0</v>
      </c>
      <c r="AE1535" s="44"/>
    </row>
    <row r="1536">
      <c r="A1536" s="178"/>
      <c r="B1536" s="179"/>
      <c r="C1536" s="147"/>
      <c r="D1536" s="44"/>
      <c r="E1536" s="44"/>
      <c r="F1536" s="44"/>
      <c r="G1536" s="44"/>
      <c r="H1536" s="44"/>
      <c r="I1536" s="44"/>
      <c r="J1536" s="44"/>
      <c r="K1536" s="44"/>
      <c r="L1536" s="44"/>
      <c r="M1536" s="44"/>
      <c r="N1536" s="44"/>
      <c r="O1536" s="44"/>
      <c r="P1536" s="52">
        <f t="shared" si="23"/>
        <v>0</v>
      </c>
      <c r="Q1536" s="124">
        <f t="shared" si="2"/>
        <v>0</v>
      </c>
      <c r="R1536" s="52">
        <f t="array" ref="R1536">IFERROR(INDEX('Fund YTD Target Values'!$1:$1000, MATCH($C1536,'Fund YTD Target Values'!$A:$A,0), MATCH($A1536,'Fund YTD Target Values'!$1:$1,0)),0)</f>
        <v>0</v>
      </c>
      <c r="S1536" s="52">
        <f>IFERROR(__xludf.DUMMYFUNCTION("IFERROR(sum(FILTER('Fund Data'!$V:$V, 'Fund Data'!$C:$C = $C1536, 'Fund Data'!$A:$A &lt; $A1536)),0) + IFERROR(sum(FILTER('Fund Data'!$V:$V, 'Fund Data'!$C:$C = $C1536, 'Fund Data'!$A:$A = $A1536, 'Fund Data'!$B:$B &lt;= $B1536)),0)"),0.0)</f>
        <v>0</v>
      </c>
      <c r="T1536" s="44"/>
      <c r="U1536" s="44"/>
      <c r="V1536" s="44">
        <f t="shared" si="3"/>
        <v>0</v>
      </c>
      <c r="W1536" s="52">
        <f>IFERROR(__xludf.DUMMYFUNCTION("iFERROR((FILTER('Fund Data'!$Y:$Y, 'Fund Data'!$C:$C = $C1536, 'Fund Data'!$A:$A = $A1536 - 1, 'Fund Data'!$B:$B = 12) + FILTER('Fund Data'!$AA:$AA, 'Fund Data'!$C:$C = $C1536, 'Fund Data'!$A:$A = $A1536 - 1, 'Fund Data'!$B:$B = 12)) * (1 + AVERAGE(FILTER"&amp;"('Inflation Data'!$C:$C,'Inflation Data'!$A:$A = ($A1536 - 2)))) * 'Parameters and Distribution Sum'!$A$4,0)"),0.0)</f>
        <v>0</v>
      </c>
      <c r="X1536" s="52">
        <f>IFERROR(__xludf.DUMMYFUNCTION("IFERROR((IFERROR(FILTER('Fund Data'!$P:$P,'Fund Data'!$C:$C = $C1536,'Fund Data'!$A:$A = ($A1536 - 2), 'Fund Data'!$B:$B = 12),0) - SUM(FILTER('Fund Data'!$V:$V, 'Fund Data'!$C:$C = $C1536, 'Fund Data'!$A:$A = ($A1536 - 2), 'Fund Data'!$B:$B &gt; 3)))  * 'Pa"&amp;"rameters and Distribution Sum'!$B$4 * (1 - 'Parameters and Distribution Sum'!$A$4),0)"),0.0)</f>
        <v>0</v>
      </c>
      <c r="Y1536" s="52">
        <f t="shared" si="140"/>
        <v>0</v>
      </c>
      <c r="Z1536" s="52">
        <f>IFERROR(__xludf.DUMMYFUNCTION("((IFERROR((SUM(FILTER('Fund Data'!$V:$V, 'Fund Data'!$C:$C = $C1536, 'Fund Data'!$A:$A = $A1536 - 1, 'Fund Data'!$B:$B &gt;= 4, 'Fund Data'!$B:$B &lt;= ($B1536 + 5))) / 12) * ($B1536 - 3) * 'Parameters and Distribution Sum'!$B$4, 0) + IF($B1536 &gt;= 9, IFERROR(SU"&amp;"M(FILTER('Fund Data'!$V:$V, 'Fund Data'!$C:$C = $C1536, 'Fund Data'!$A:$A = $A1536, 'Fund Data'!$B:$B &lt;= 3)) * 'Parameters and Distribution Sum'!$B$4, 0),0)))"),0.0)</f>
        <v>0</v>
      </c>
      <c r="AA1536" s="44">
        <f>IFERROR(__xludf.DUMMYFUNCTION("IFERROR(((IFERROR(SUM(FILTER('Fund Data'!$V:$V, 'Fund Data'!$C:$C = $C1536, 'Fund Data'!$A:$A = $A1536 - 2, 'Fund Data'!$B:$B &gt;= 4)) * 'Parameters and Distribution Sum'!$B$4,0) + IFERROR(SUM(FILTER('Fund Data'!$V:$V, 'Fund Data'!$C:$C = $C1536, 'Fund Data"&amp;"'!$A:$A = $A1536 - 1, 'Fund Data'!$B:$B &lt;= 3)) * 'Parameters and Distribution Sum'!$B$4,0))),0)"),0.0)</f>
        <v>0</v>
      </c>
      <c r="AB1536" s="44">
        <f t="shared" si="141"/>
        <v>0</v>
      </c>
      <c r="AC1536" s="44">
        <f t="shared" si="142"/>
        <v>0</v>
      </c>
      <c r="AD1536" s="44">
        <f t="shared" si="7"/>
        <v>0</v>
      </c>
      <c r="AE1536" s="44"/>
    </row>
    <row r="1537">
      <c r="A1537" s="178"/>
      <c r="B1537" s="179"/>
      <c r="C1537" s="147"/>
      <c r="D1537" s="44"/>
      <c r="E1537" s="44"/>
      <c r="F1537" s="44"/>
      <c r="G1537" s="44"/>
      <c r="H1537" s="44"/>
      <c r="I1537" s="44"/>
      <c r="J1537" s="44"/>
      <c r="K1537" s="44"/>
      <c r="L1537" s="44"/>
      <c r="M1537" s="44"/>
      <c r="N1537" s="44"/>
      <c r="O1537" s="44"/>
      <c r="P1537" s="52">
        <f t="shared" si="23"/>
        <v>0</v>
      </c>
      <c r="Q1537" s="124">
        <f t="shared" si="2"/>
        <v>0</v>
      </c>
      <c r="R1537" s="52">
        <f t="array" ref="R1537">IFERROR(INDEX('Fund YTD Target Values'!$1:$1000, MATCH($C1537,'Fund YTD Target Values'!$A:$A,0), MATCH($A1537,'Fund YTD Target Values'!$1:$1,0)),0)</f>
        <v>0</v>
      </c>
      <c r="S1537" s="52">
        <f>IFERROR(__xludf.DUMMYFUNCTION("IFERROR(sum(FILTER('Fund Data'!$V:$V, 'Fund Data'!$C:$C = $C1537, 'Fund Data'!$A:$A &lt; $A1537)),0) + IFERROR(sum(FILTER('Fund Data'!$V:$V, 'Fund Data'!$C:$C = $C1537, 'Fund Data'!$A:$A = $A1537, 'Fund Data'!$B:$B &lt;= $B1537)),0)"),0.0)</f>
        <v>0</v>
      </c>
      <c r="T1537" s="44"/>
      <c r="U1537" s="44"/>
      <c r="V1537" s="44">
        <f t="shared" si="3"/>
        <v>0</v>
      </c>
      <c r="W1537" s="52">
        <f>IFERROR(__xludf.DUMMYFUNCTION("iFERROR((FILTER('Fund Data'!$Y:$Y, 'Fund Data'!$C:$C = $C1537, 'Fund Data'!$A:$A = $A1537 - 1, 'Fund Data'!$B:$B = 12) + FILTER('Fund Data'!$AA:$AA, 'Fund Data'!$C:$C = $C1537, 'Fund Data'!$A:$A = $A1537 - 1, 'Fund Data'!$B:$B = 12)) * (1 + AVERAGE(FILTER"&amp;"('Inflation Data'!$C:$C,'Inflation Data'!$A:$A = ($A1537 - 2)))) * 'Parameters and Distribution Sum'!$A$4,0)"),0.0)</f>
        <v>0</v>
      </c>
      <c r="X1537" s="52">
        <f>IFERROR(__xludf.DUMMYFUNCTION("IFERROR((IFERROR(FILTER('Fund Data'!$P:$P,'Fund Data'!$C:$C = $C1537,'Fund Data'!$A:$A = ($A1537 - 2), 'Fund Data'!$B:$B = 12),0) - SUM(FILTER('Fund Data'!$V:$V, 'Fund Data'!$C:$C = $C1537, 'Fund Data'!$A:$A = ($A1537 - 2), 'Fund Data'!$B:$B &gt; 3)))  * 'Pa"&amp;"rameters and Distribution Sum'!$B$4 * (1 - 'Parameters and Distribution Sum'!$A$4),0)"),0.0)</f>
        <v>0</v>
      </c>
      <c r="Y1537" s="52">
        <f t="shared" si="140"/>
        <v>0</v>
      </c>
      <c r="Z1537" s="52">
        <f>IFERROR(__xludf.DUMMYFUNCTION("((IFERROR((SUM(FILTER('Fund Data'!$V:$V, 'Fund Data'!$C:$C = $C1537, 'Fund Data'!$A:$A = $A1537 - 1, 'Fund Data'!$B:$B &gt;= 4, 'Fund Data'!$B:$B &lt;= ($B1537 + 5))) / 12) * ($B1537 - 3) * 'Parameters and Distribution Sum'!$B$4, 0) + IF($B1537 &gt;= 9, IFERROR(SU"&amp;"M(FILTER('Fund Data'!$V:$V, 'Fund Data'!$C:$C = $C1537, 'Fund Data'!$A:$A = $A1537, 'Fund Data'!$B:$B &lt;= 3)) * 'Parameters and Distribution Sum'!$B$4, 0),0)))"),0.0)</f>
        <v>0</v>
      </c>
      <c r="AA1537" s="44">
        <f>IFERROR(__xludf.DUMMYFUNCTION("IFERROR(((IFERROR(SUM(FILTER('Fund Data'!$V:$V, 'Fund Data'!$C:$C = $C1537, 'Fund Data'!$A:$A = $A1537 - 2, 'Fund Data'!$B:$B &gt;= 4)) * 'Parameters and Distribution Sum'!$B$4,0) + IFERROR(SUM(FILTER('Fund Data'!$V:$V, 'Fund Data'!$C:$C = $C1537, 'Fund Data"&amp;"'!$A:$A = $A1537 - 1, 'Fund Data'!$B:$B &lt;= 3)) * 'Parameters and Distribution Sum'!$B$4,0))),0)"),0.0)</f>
        <v>0</v>
      </c>
      <c r="AB1537" s="44">
        <f t="shared" si="141"/>
        <v>0</v>
      </c>
      <c r="AC1537" s="44">
        <f t="shared" si="142"/>
        <v>0</v>
      </c>
      <c r="AD1537" s="44">
        <f t="shared" si="7"/>
        <v>0</v>
      </c>
      <c r="AE1537" s="44"/>
    </row>
    <row r="1538">
      <c r="A1538" s="178"/>
      <c r="B1538" s="179"/>
      <c r="C1538" s="147"/>
      <c r="D1538" s="44"/>
      <c r="E1538" s="44"/>
      <c r="F1538" s="44"/>
      <c r="G1538" s="44"/>
      <c r="H1538" s="44"/>
      <c r="I1538" s="44"/>
      <c r="J1538" s="44"/>
      <c r="K1538" s="44"/>
      <c r="L1538" s="44"/>
      <c r="M1538" s="44"/>
      <c r="N1538" s="44"/>
      <c r="O1538" s="44"/>
      <c r="P1538" s="52">
        <f t="shared" si="23"/>
        <v>0</v>
      </c>
      <c r="Q1538" s="124">
        <f t="shared" si="2"/>
        <v>0</v>
      </c>
      <c r="R1538" s="52">
        <f t="array" ref="R1538">IFERROR(INDEX('Fund YTD Target Values'!$1:$1000, MATCH($C1538,'Fund YTD Target Values'!$A:$A,0), MATCH($A1538,'Fund YTD Target Values'!$1:$1,0)),0)</f>
        <v>0</v>
      </c>
      <c r="S1538" s="52">
        <f>IFERROR(__xludf.DUMMYFUNCTION("IFERROR(sum(FILTER('Fund Data'!$V:$V, 'Fund Data'!$C:$C = $C1538, 'Fund Data'!$A:$A &lt; $A1538)),0) + IFERROR(sum(FILTER('Fund Data'!$V:$V, 'Fund Data'!$C:$C = $C1538, 'Fund Data'!$A:$A = $A1538, 'Fund Data'!$B:$B &lt;= $B1538)),0)"),0.0)</f>
        <v>0</v>
      </c>
      <c r="T1538" s="44"/>
      <c r="U1538" s="44"/>
      <c r="V1538" s="44">
        <f t="shared" si="3"/>
        <v>0</v>
      </c>
      <c r="W1538" s="52">
        <f>IFERROR(__xludf.DUMMYFUNCTION("iFERROR((FILTER('Fund Data'!$Y:$Y, 'Fund Data'!$C:$C = $C1538, 'Fund Data'!$A:$A = $A1538 - 1, 'Fund Data'!$B:$B = 12) + FILTER('Fund Data'!$AA:$AA, 'Fund Data'!$C:$C = $C1538, 'Fund Data'!$A:$A = $A1538 - 1, 'Fund Data'!$B:$B = 12)) * (1 + AVERAGE(FILTER"&amp;"('Inflation Data'!$C:$C,'Inflation Data'!$A:$A = ($A1538 - 2)))) * 'Parameters and Distribution Sum'!$A$4,0)"),0.0)</f>
        <v>0</v>
      </c>
      <c r="X1538" s="52">
        <f>IFERROR(__xludf.DUMMYFUNCTION("IFERROR((IFERROR(FILTER('Fund Data'!$P:$P,'Fund Data'!$C:$C = $C1538,'Fund Data'!$A:$A = ($A1538 - 2), 'Fund Data'!$B:$B = 12),0) - SUM(FILTER('Fund Data'!$V:$V, 'Fund Data'!$C:$C = $C1538, 'Fund Data'!$A:$A = ($A1538 - 2), 'Fund Data'!$B:$B &gt; 3)))  * 'Pa"&amp;"rameters and Distribution Sum'!$B$4 * (1 - 'Parameters and Distribution Sum'!$A$4),0)"),0.0)</f>
        <v>0</v>
      </c>
      <c r="Y1538" s="52">
        <f t="shared" si="140"/>
        <v>0</v>
      </c>
      <c r="Z1538" s="52">
        <f>IFERROR(__xludf.DUMMYFUNCTION("((IFERROR((SUM(FILTER('Fund Data'!$V:$V, 'Fund Data'!$C:$C = $C1538, 'Fund Data'!$A:$A = $A1538 - 1, 'Fund Data'!$B:$B &gt;= 4, 'Fund Data'!$B:$B &lt;= ($B1538 + 5))) / 12) * ($B1538 - 3) * 'Parameters and Distribution Sum'!$B$4, 0) + IF($B1538 &gt;= 9, IFERROR(SU"&amp;"M(FILTER('Fund Data'!$V:$V, 'Fund Data'!$C:$C = $C1538, 'Fund Data'!$A:$A = $A1538, 'Fund Data'!$B:$B &lt;= 3)) * 'Parameters and Distribution Sum'!$B$4, 0),0)))"),0.0)</f>
        <v>0</v>
      </c>
      <c r="AA1538" s="44">
        <f>IFERROR(__xludf.DUMMYFUNCTION("IFERROR(((IFERROR(SUM(FILTER('Fund Data'!$V:$V, 'Fund Data'!$C:$C = $C1538, 'Fund Data'!$A:$A = $A1538 - 2, 'Fund Data'!$B:$B &gt;= 4)) * 'Parameters and Distribution Sum'!$B$4,0) + IFERROR(SUM(FILTER('Fund Data'!$V:$V, 'Fund Data'!$C:$C = $C1538, 'Fund Data"&amp;"'!$A:$A = $A1538 - 1, 'Fund Data'!$B:$B &lt;= 3)) * 'Parameters and Distribution Sum'!$B$4,0))),0)"),0.0)</f>
        <v>0</v>
      </c>
      <c r="AB1538" s="44">
        <f t="shared" si="141"/>
        <v>0</v>
      </c>
      <c r="AC1538" s="44">
        <f t="shared" si="142"/>
        <v>0</v>
      </c>
      <c r="AD1538" s="44">
        <f t="shared" si="7"/>
        <v>0</v>
      </c>
      <c r="AE1538" s="44"/>
    </row>
    <row r="1539">
      <c r="A1539" s="178"/>
      <c r="B1539" s="179"/>
      <c r="C1539" s="147"/>
      <c r="D1539" s="44"/>
      <c r="E1539" s="44"/>
      <c r="F1539" s="44"/>
      <c r="G1539" s="44"/>
      <c r="H1539" s="44"/>
      <c r="I1539" s="44"/>
      <c r="J1539" s="44"/>
      <c r="K1539" s="44"/>
      <c r="L1539" s="44"/>
      <c r="M1539" s="44"/>
      <c r="N1539" s="44"/>
      <c r="O1539" s="44"/>
      <c r="P1539" s="52">
        <f t="shared" si="23"/>
        <v>0</v>
      </c>
      <c r="Q1539" s="124">
        <f t="shared" si="2"/>
        <v>0</v>
      </c>
      <c r="R1539" s="52">
        <f t="array" ref="R1539">IFERROR(INDEX('Fund YTD Target Values'!$1:$1000, MATCH($C1539,'Fund YTD Target Values'!$A:$A,0), MATCH($A1539,'Fund YTD Target Values'!$1:$1,0)),0)</f>
        <v>0</v>
      </c>
      <c r="S1539" s="52">
        <f>IFERROR(__xludf.DUMMYFUNCTION("IFERROR(sum(FILTER('Fund Data'!$V:$V, 'Fund Data'!$C:$C = $C1539, 'Fund Data'!$A:$A &lt; $A1539)),0) + IFERROR(sum(FILTER('Fund Data'!$V:$V, 'Fund Data'!$C:$C = $C1539, 'Fund Data'!$A:$A = $A1539, 'Fund Data'!$B:$B &lt;= $B1539)),0)"),0.0)</f>
        <v>0</v>
      </c>
      <c r="T1539" s="44"/>
      <c r="U1539" s="44"/>
      <c r="V1539" s="44">
        <f t="shared" si="3"/>
        <v>0</v>
      </c>
      <c r="W1539" s="52">
        <f>IFERROR(__xludf.DUMMYFUNCTION("iFERROR((FILTER('Fund Data'!$Y:$Y, 'Fund Data'!$C:$C = $C1539, 'Fund Data'!$A:$A = $A1539 - 1, 'Fund Data'!$B:$B = 12) + FILTER('Fund Data'!$AA:$AA, 'Fund Data'!$C:$C = $C1539, 'Fund Data'!$A:$A = $A1539 - 1, 'Fund Data'!$B:$B = 12)) * (1 + AVERAGE(FILTER"&amp;"('Inflation Data'!$C:$C,'Inflation Data'!$A:$A = ($A1539 - 2)))) * 'Parameters and Distribution Sum'!$A$4,0)"),0.0)</f>
        <v>0</v>
      </c>
      <c r="X1539" s="52">
        <f>IFERROR(__xludf.DUMMYFUNCTION("IFERROR((IFERROR(FILTER('Fund Data'!$P:$P,'Fund Data'!$C:$C = $C1539,'Fund Data'!$A:$A = ($A1539 - 2), 'Fund Data'!$B:$B = 12),0) - SUM(FILTER('Fund Data'!$V:$V, 'Fund Data'!$C:$C = $C1539, 'Fund Data'!$A:$A = ($A1539 - 2), 'Fund Data'!$B:$B &gt; 3)))  * 'Pa"&amp;"rameters and Distribution Sum'!$B$4 * (1 - 'Parameters and Distribution Sum'!$A$4),0)"),0.0)</f>
        <v>0</v>
      </c>
      <c r="Y1539" s="52">
        <f t="shared" si="140"/>
        <v>0</v>
      </c>
      <c r="Z1539" s="52">
        <f>IFERROR(__xludf.DUMMYFUNCTION("((IFERROR((SUM(FILTER('Fund Data'!$V:$V, 'Fund Data'!$C:$C = $C1539, 'Fund Data'!$A:$A = $A1539 - 1, 'Fund Data'!$B:$B &gt;= 4, 'Fund Data'!$B:$B &lt;= ($B1539 + 5))) / 12) * ($B1539 - 3) * 'Parameters and Distribution Sum'!$B$4, 0) + IF($B1539 &gt;= 9, IFERROR(SU"&amp;"M(FILTER('Fund Data'!$V:$V, 'Fund Data'!$C:$C = $C1539, 'Fund Data'!$A:$A = $A1539, 'Fund Data'!$B:$B &lt;= 3)) * 'Parameters and Distribution Sum'!$B$4, 0),0)))"),0.0)</f>
        <v>0</v>
      </c>
      <c r="AA1539" s="44">
        <f>IFERROR(__xludf.DUMMYFUNCTION("IFERROR(((IFERROR(SUM(FILTER('Fund Data'!$V:$V, 'Fund Data'!$C:$C = $C1539, 'Fund Data'!$A:$A = $A1539 - 2, 'Fund Data'!$B:$B &gt;= 4)) * 'Parameters and Distribution Sum'!$B$4,0) + IFERROR(SUM(FILTER('Fund Data'!$V:$V, 'Fund Data'!$C:$C = $C1539, 'Fund Data"&amp;"'!$A:$A = $A1539 - 1, 'Fund Data'!$B:$B &lt;= 3)) * 'Parameters and Distribution Sum'!$B$4,0))),0)"),0.0)</f>
        <v>0</v>
      </c>
      <c r="AB1539" s="44">
        <f t="shared" si="141"/>
        <v>0</v>
      </c>
      <c r="AC1539" s="44">
        <f t="shared" si="142"/>
        <v>0</v>
      </c>
      <c r="AD1539" s="44">
        <f t="shared" si="7"/>
        <v>0</v>
      </c>
      <c r="AE1539" s="44"/>
    </row>
    <row r="1540">
      <c r="A1540" s="178"/>
      <c r="B1540" s="179"/>
      <c r="C1540" s="147"/>
      <c r="D1540" s="44"/>
      <c r="E1540" s="44"/>
      <c r="F1540" s="44"/>
      <c r="G1540" s="44"/>
      <c r="H1540" s="44"/>
      <c r="I1540" s="44"/>
      <c r="J1540" s="44"/>
      <c r="K1540" s="44"/>
      <c r="L1540" s="44"/>
      <c r="M1540" s="44"/>
      <c r="N1540" s="44"/>
      <c r="O1540" s="44"/>
      <c r="P1540" s="52">
        <f t="shared" si="23"/>
        <v>0</v>
      </c>
      <c r="Q1540" s="124">
        <f t="shared" si="2"/>
        <v>0</v>
      </c>
      <c r="R1540" s="52">
        <f t="array" ref="R1540">IFERROR(INDEX('Fund YTD Target Values'!$1:$1000, MATCH($C1540,'Fund YTD Target Values'!$A:$A,0), MATCH($A1540,'Fund YTD Target Values'!$1:$1,0)),0)</f>
        <v>0</v>
      </c>
      <c r="S1540" s="52">
        <f>IFERROR(__xludf.DUMMYFUNCTION("IFERROR(sum(FILTER('Fund Data'!$V:$V, 'Fund Data'!$C:$C = $C1540, 'Fund Data'!$A:$A &lt; $A1540)),0) + IFERROR(sum(FILTER('Fund Data'!$V:$V, 'Fund Data'!$C:$C = $C1540, 'Fund Data'!$A:$A = $A1540, 'Fund Data'!$B:$B &lt;= $B1540)),0)"),0.0)</f>
        <v>0</v>
      </c>
      <c r="T1540" s="44"/>
      <c r="U1540" s="44"/>
      <c r="V1540" s="44">
        <f t="shared" si="3"/>
        <v>0</v>
      </c>
      <c r="W1540" s="52">
        <f>IFERROR(__xludf.DUMMYFUNCTION("iFERROR((FILTER('Fund Data'!$Y:$Y, 'Fund Data'!$C:$C = $C1540, 'Fund Data'!$A:$A = $A1540 - 1, 'Fund Data'!$B:$B = 12) + FILTER('Fund Data'!$AA:$AA, 'Fund Data'!$C:$C = $C1540, 'Fund Data'!$A:$A = $A1540 - 1, 'Fund Data'!$B:$B = 12)) * (1 + AVERAGE(FILTER"&amp;"('Inflation Data'!$C:$C,'Inflation Data'!$A:$A = ($A1540 - 2)))) * 'Parameters and Distribution Sum'!$A$4,0)"),0.0)</f>
        <v>0</v>
      </c>
      <c r="X1540" s="52">
        <f>IFERROR(__xludf.DUMMYFUNCTION("IFERROR((IFERROR(FILTER('Fund Data'!$P:$P,'Fund Data'!$C:$C = $C1540,'Fund Data'!$A:$A = ($A1540 - 2), 'Fund Data'!$B:$B = 12),0) - SUM(FILTER('Fund Data'!$V:$V, 'Fund Data'!$C:$C = $C1540, 'Fund Data'!$A:$A = ($A1540 - 2), 'Fund Data'!$B:$B &gt; 3)))  * 'Pa"&amp;"rameters and Distribution Sum'!$B$4 * (1 - 'Parameters and Distribution Sum'!$A$4),0)"),0.0)</f>
        <v>0</v>
      </c>
      <c r="Y1540" s="52">
        <f t="shared" si="140"/>
        <v>0</v>
      </c>
      <c r="Z1540" s="52">
        <f>IFERROR(__xludf.DUMMYFUNCTION("((IFERROR((SUM(FILTER('Fund Data'!$V:$V, 'Fund Data'!$C:$C = $C1540, 'Fund Data'!$A:$A = $A1540 - 1, 'Fund Data'!$B:$B &gt;= 4, 'Fund Data'!$B:$B &lt;= ($B1540 + 5))) / 12) * ($B1540 - 3) * 'Parameters and Distribution Sum'!$B$4, 0) + IF($B1540 &gt;= 9, IFERROR(SU"&amp;"M(FILTER('Fund Data'!$V:$V, 'Fund Data'!$C:$C = $C1540, 'Fund Data'!$A:$A = $A1540, 'Fund Data'!$B:$B &lt;= 3)) * 'Parameters and Distribution Sum'!$B$4, 0),0)))"),0.0)</f>
        <v>0</v>
      </c>
      <c r="AA1540" s="44">
        <f>IFERROR(__xludf.DUMMYFUNCTION("IFERROR(((IFERROR(SUM(FILTER('Fund Data'!$V:$V, 'Fund Data'!$C:$C = $C1540, 'Fund Data'!$A:$A = $A1540 - 2, 'Fund Data'!$B:$B &gt;= 4)) * 'Parameters and Distribution Sum'!$B$4,0) + IFERROR(SUM(FILTER('Fund Data'!$V:$V, 'Fund Data'!$C:$C = $C1540, 'Fund Data"&amp;"'!$A:$A = $A1540 - 1, 'Fund Data'!$B:$B &lt;= 3)) * 'Parameters and Distribution Sum'!$B$4,0))),0)"),0.0)</f>
        <v>0</v>
      </c>
      <c r="AB1540" s="44">
        <f t="shared" si="141"/>
        <v>0</v>
      </c>
      <c r="AC1540" s="44">
        <f t="shared" si="142"/>
        <v>0</v>
      </c>
      <c r="AD1540" s="44">
        <f t="shared" si="7"/>
        <v>0</v>
      </c>
      <c r="AE1540" s="44"/>
    </row>
    <row r="1541">
      <c r="A1541" s="178"/>
      <c r="B1541" s="179"/>
      <c r="C1541" s="147"/>
      <c r="D1541" s="44"/>
      <c r="E1541" s="44"/>
      <c r="F1541" s="44"/>
      <c r="G1541" s="44"/>
      <c r="H1541" s="44"/>
      <c r="I1541" s="44"/>
      <c r="J1541" s="44"/>
      <c r="K1541" s="44"/>
      <c r="L1541" s="44"/>
      <c r="M1541" s="44"/>
      <c r="N1541" s="44"/>
      <c r="O1541" s="44"/>
      <c r="P1541" s="52">
        <f t="shared" si="23"/>
        <v>0</v>
      </c>
      <c r="Q1541" s="124">
        <f t="shared" si="2"/>
        <v>0</v>
      </c>
      <c r="R1541" s="52">
        <f t="array" ref="R1541">IFERROR(INDEX('Fund YTD Target Values'!$1:$1000, MATCH($C1541,'Fund YTD Target Values'!$A:$A,0), MATCH($A1541,'Fund YTD Target Values'!$1:$1,0)),0)</f>
        <v>0</v>
      </c>
      <c r="S1541" s="52">
        <f>IFERROR(__xludf.DUMMYFUNCTION("IFERROR(sum(FILTER('Fund Data'!$V:$V, 'Fund Data'!$C:$C = $C1541, 'Fund Data'!$A:$A &lt; $A1541)),0) + IFERROR(sum(FILTER('Fund Data'!$V:$V, 'Fund Data'!$C:$C = $C1541, 'Fund Data'!$A:$A = $A1541, 'Fund Data'!$B:$B &lt;= $B1541)),0)"),0.0)</f>
        <v>0</v>
      </c>
      <c r="T1541" s="44"/>
      <c r="U1541" s="44"/>
      <c r="V1541" s="44">
        <f t="shared" si="3"/>
        <v>0</v>
      </c>
      <c r="W1541" s="52">
        <f>IFERROR(__xludf.DUMMYFUNCTION("iFERROR((FILTER('Fund Data'!$Y:$Y, 'Fund Data'!$C:$C = $C1541, 'Fund Data'!$A:$A = $A1541 - 1, 'Fund Data'!$B:$B = 12) + FILTER('Fund Data'!$AA:$AA, 'Fund Data'!$C:$C = $C1541, 'Fund Data'!$A:$A = $A1541 - 1, 'Fund Data'!$B:$B = 12)) * (1 + AVERAGE(FILTER"&amp;"('Inflation Data'!$C:$C,'Inflation Data'!$A:$A = ($A1541 - 2)))) * 'Parameters and Distribution Sum'!$A$4,0)"),0.0)</f>
        <v>0</v>
      </c>
      <c r="X1541" s="52">
        <f>IFERROR(__xludf.DUMMYFUNCTION("IFERROR((IFERROR(FILTER('Fund Data'!$P:$P,'Fund Data'!$C:$C = $C1541,'Fund Data'!$A:$A = ($A1541 - 2), 'Fund Data'!$B:$B = 12),0) - SUM(FILTER('Fund Data'!$V:$V, 'Fund Data'!$C:$C = $C1541, 'Fund Data'!$A:$A = ($A1541 - 2), 'Fund Data'!$B:$B &gt; 3)))  * 'Pa"&amp;"rameters and Distribution Sum'!$B$4 * (1 - 'Parameters and Distribution Sum'!$A$4),0)"),0.0)</f>
        <v>0</v>
      </c>
      <c r="Y1541" s="52">
        <f t="shared" si="140"/>
        <v>0</v>
      </c>
      <c r="Z1541" s="52">
        <f>IFERROR(__xludf.DUMMYFUNCTION("((IFERROR((SUM(FILTER('Fund Data'!$V:$V, 'Fund Data'!$C:$C = $C1541, 'Fund Data'!$A:$A = $A1541 - 1, 'Fund Data'!$B:$B &gt;= 4, 'Fund Data'!$B:$B &lt;= ($B1541 + 5))) / 12) * ($B1541 - 3) * 'Parameters and Distribution Sum'!$B$4, 0) + IF($B1541 &gt;= 9, IFERROR(SU"&amp;"M(FILTER('Fund Data'!$V:$V, 'Fund Data'!$C:$C = $C1541, 'Fund Data'!$A:$A = $A1541, 'Fund Data'!$B:$B &lt;= 3)) * 'Parameters and Distribution Sum'!$B$4, 0),0)))"),0.0)</f>
        <v>0</v>
      </c>
      <c r="AA1541" s="44">
        <f>IFERROR(__xludf.DUMMYFUNCTION("IFERROR(((IFERROR(SUM(FILTER('Fund Data'!$V:$V, 'Fund Data'!$C:$C = $C1541, 'Fund Data'!$A:$A = $A1541 - 2, 'Fund Data'!$B:$B &gt;= 4)) * 'Parameters and Distribution Sum'!$B$4,0) + IFERROR(SUM(FILTER('Fund Data'!$V:$V, 'Fund Data'!$C:$C = $C1541, 'Fund Data"&amp;"'!$A:$A = $A1541 - 1, 'Fund Data'!$B:$B &lt;= 3)) * 'Parameters and Distribution Sum'!$B$4,0))),0)"),0.0)</f>
        <v>0</v>
      </c>
      <c r="AB1541" s="44">
        <f t="shared" si="141"/>
        <v>0</v>
      </c>
      <c r="AC1541" s="44">
        <f t="shared" si="142"/>
        <v>0</v>
      </c>
      <c r="AD1541" s="44">
        <f t="shared" si="7"/>
        <v>0</v>
      </c>
      <c r="AE1541" s="44"/>
    </row>
    <row r="1542">
      <c r="A1542" s="178"/>
      <c r="B1542" s="179"/>
      <c r="C1542" s="147"/>
      <c r="D1542" s="44"/>
      <c r="E1542" s="44"/>
      <c r="F1542" s="44"/>
      <c r="G1542" s="44"/>
      <c r="H1542" s="44"/>
      <c r="I1542" s="44"/>
      <c r="J1542" s="44"/>
      <c r="K1542" s="44"/>
      <c r="L1542" s="44"/>
      <c r="M1542" s="44"/>
      <c r="N1542" s="44"/>
      <c r="O1542" s="44"/>
      <c r="P1542" s="52">
        <f t="shared" si="23"/>
        <v>0</v>
      </c>
      <c r="Q1542" s="124">
        <f t="shared" si="2"/>
        <v>0</v>
      </c>
      <c r="R1542" s="52">
        <f t="array" ref="R1542">IFERROR(INDEX('Fund YTD Target Values'!$1:$1000, MATCH($C1542,'Fund YTD Target Values'!$A:$A,0), MATCH($A1542,'Fund YTD Target Values'!$1:$1,0)),0)</f>
        <v>0</v>
      </c>
      <c r="S1542" s="52">
        <f>IFERROR(__xludf.DUMMYFUNCTION("IFERROR(sum(FILTER('Fund Data'!$V:$V, 'Fund Data'!$C:$C = $C1542, 'Fund Data'!$A:$A &lt; $A1542)),0) + IFERROR(sum(FILTER('Fund Data'!$V:$V, 'Fund Data'!$C:$C = $C1542, 'Fund Data'!$A:$A = $A1542, 'Fund Data'!$B:$B &lt;= $B1542)),0)"),0.0)</f>
        <v>0</v>
      </c>
      <c r="T1542" s="44"/>
      <c r="U1542" s="44"/>
      <c r="V1542" s="44">
        <f t="shared" si="3"/>
        <v>0</v>
      </c>
      <c r="W1542" s="52">
        <f>IFERROR(__xludf.DUMMYFUNCTION("iFERROR((FILTER('Fund Data'!$Y:$Y, 'Fund Data'!$C:$C = $C1542, 'Fund Data'!$A:$A = $A1542 - 1, 'Fund Data'!$B:$B = 12) + FILTER('Fund Data'!$AA:$AA, 'Fund Data'!$C:$C = $C1542, 'Fund Data'!$A:$A = $A1542 - 1, 'Fund Data'!$B:$B = 12)) * (1 + AVERAGE(FILTER"&amp;"('Inflation Data'!$C:$C,'Inflation Data'!$A:$A = ($A1542 - 2)))) * 'Parameters and Distribution Sum'!$A$4,0)"),0.0)</f>
        <v>0</v>
      </c>
      <c r="X1542" s="52">
        <f>IFERROR(__xludf.DUMMYFUNCTION("IFERROR((IFERROR(FILTER('Fund Data'!$P:$P,'Fund Data'!$C:$C = $C1542,'Fund Data'!$A:$A = ($A1542 - 2), 'Fund Data'!$B:$B = 12),0) - SUM(FILTER('Fund Data'!$V:$V, 'Fund Data'!$C:$C = $C1542, 'Fund Data'!$A:$A = ($A1542 - 2), 'Fund Data'!$B:$B &gt; 3)))  * 'Pa"&amp;"rameters and Distribution Sum'!$B$4 * (1 - 'Parameters and Distribution Sum'!$A$4),0)"),0.0)</f>
        <v>0</v>
      </c>
      <c r="Y1542" s="52">
        <f t="shared" si="140"/>
        <v>0</v>
      </c>
      <c r="Z1542" s="52">
        <f>IFERROR(__xludf.DUMMYFUNCTION("((IFERROR((SUM(FILTER('Fund Data'!$V:$V, 'Fund Data'!$C:$C = $C1542, 'Fund Data'!$A:$A = $A1542 - 1, 'Fund Data'!$B:$B &gt;= 4, 'Fund Data'!$B:$B &lt;= ($B1542 + 5))) / 12) * ($B1542 - 3) * 'Parameters and Distribution Sum'!$B$4, 0) + IF($B1542 &gt;= 9, IFERROR(SU"&amp;"M(FILTER('Fund Data'!$V:$V, 'Fund Data'!$C:$C = $C1542, 'Fund Data'!$A:$A = $A1542, 'Fund Data'!$B:$B &lt;= 3)) * 'Parameters and Distribution Sum'!$B$4, 0),0)))"),0.0)</f>
        <v>0</v>
      </c>
      <c r="AA1542" s="44">
        <f>IFERROR(__xludf.DUMMYFUNCTION("IFERROR(((IFERROR(SUM(FILTER('Fund Data'!$V:$V, 'Fund Data'!$C:$C = $C1542, 'Fund Data'!$A:$A = $A1542 - 2, 'Fund Data'!$B:$B &gt;= 4)) * 'Parameters and Distribution Sum'!$B$4,0) + IFERROR(SUM(FILTER('Fund Data'!$V:$V, 'Fund Data'!$C:$C = $C1542, 'Fund Data"&amp;"'!$A:$A = $A1542 - 1, 'Fund Data'!$B:$B &lt;= 3)) * 'Parameters and Distribution Sum'!$B$4,0))),0)"),0.0)</f>
        <v>0</v>
      </c>
      <c r="AB1542" s="44">
        <f t="shared" si="141"/>
        <v>0</v>
      </c>
      <c r="AC1542" s="44">
        <f t="shared" si="142"/>
        <v>0</v>
      </c>
      <c r="AD1542" s="44">
        <f t="shared" si="7"/>
        <v>0</v>
      </c>
      <c r="AE1542" s="44"/>
    </row>
    <row r="1543">
      <c r="A1543" s="178"/>
      <c r="B1543" s="179"/>
      <c r="C1543" s="147"/>
      <c r="D1543" s="44"/>
      <c r="E1543" s="44"/>
      <c r="F1543" s="44"/>
      <c r="G1543" s="44"/>
      <c r="H1543" s="44"/>
      <c r="I1543" s="44"/>
      <c r="J1543" s="44"/>
      <c r="K1543" s="44"/>
      <c r="L1543" s="44"/>
      <c r="M1543" s="44"/>
      <c r="N1543" s="44"/>
      <c r="O1543" s="44"/>
      <c r="P1543" s="52">
        <f t="shared" si="23"/>
        <v>0</v>
      </c>
      <c r="Q1543" s="124">
        <f t="shared" si="2"/>
        <v>0</v>
      </c>
      <c r="R1543" s="52">
        <f t="array" ref="R1543">IFERROR(INDEX('Fund YTD Target Values'!$1:$1000, MATCH($C1543,'Fund YTD Target Values'!$A:$A,0), MATCH($A1543,'Fund YTD Target Values'!$1:$1,0)),0)</f>
        <v>0</v>
      </c>
      <c r="S1543" s="52">
        <f>IFERROR(__xludf.DUMMYFUNCTION("IFERROR(sum(FILTER('Fund Data'!$V:$V, 'Fund Data'!$C:$C = $C1543, 'Fund Data'!$A:$A &lt; $A1543)),0) + IFERROR(sum(FILTER('Fund Data'!$V:$V, 'Fund Data'!$C:$C = $C1543, 'Fund Data'!$A:$A = $A1543, 'Fund Data'!$B:$B &lt;= $B1543)),0)"),0.0)</f>
        <v>0</v>
      </c>
      <c r="T1543" s="44"/>
      <c r="U1543" s="44"/>
      <c r="V1543" s="44">
        <f t="shared" si="3"/>
        <v>0</v>
      </c>
      <c r="W1543" s="52">
        <f>IFERROR(__xludf.DUMMYFUNCTION("iFERROR((FILTER('Fund Data'!$Y:$Y, 'Fund Data'!$C:$C = $C1543, 'Fund Data'!$A:$A = $A1543 - 1, 'Fund Data'!$B:$B = 12) + FILTER('Fund Data'!$AA:$AA, 'Fund Data'!$C:$C = $C1543, 'Fund Data'!$A:$A = $A1543 - 1, 'Fund Data'!$B:$B = 12)) * (1 + AVERAGE(FILTER"&amp;"('Inflation Data'!$C:$C,'Inflation Data'!$A:$A = ($A1543 - 2)))) * 'Parameters and Distribution Sum'!$A$4,0)"),0.0)</f>
        <v>0</v>
      </c>
      <c r="X1543" s="52">
        <f>IFERROR(__xludf.DUMMYFUNCTION("IFERROR((IFERROR(FILTER('Fund Data'!$P:$P,'Fund Data'!$C:$C = $C1543,'Fund Data'!$A:$A = ($A1543 - 2), 'Fund Data'!$B:$B = 12),0) - SUM(FILTER('Fund Data'!$V:$V, 'Fund Data'!$C:$C = $C1543, 'Fund Data'!$A:$A = ($A1543 - 2), 'Fund Data'!$B:$B &gt; 3)))  * 'Pa"&amp;"rameters and Distribution Sum'!$B$4 * (1 - 'Parameters and Distribution Sum'!$A$4),0)"),0.0)</f>
        <v>0</v>
      </c>
      <c r="Y1543" s="52">
        <f t="shared" si="140"/>
        <v>0</v>
      </c>
      <c r="Z1543" s="52">
        <f>IFERROR(__xludf.DUMMYFUNCTION("((IFERROR((SUM(FILTER('Fund Data'!$V:$V, 'Fund Data'!$C:$C = $C1543, 'Fund Data'!$A:$A = $A1543 - 1, 'Fund Data'!$B:$B &gt;= 4, 'Fund Data'!$B:$B &lt;= ($B1543 + 5))) / 12) * ($B1543 - 3) * 'Parameters and Distribution Sum'!$B$4, 0) + IF($B1543 &gt;= 9, IFERROR(SU"&amp;"M(FILTER('Fund Data'!$V:$V, 'Fund Data'!$C:$C = $C1543, 'Fund Data'!$A:$A = $A1543, 'Fund Data'!$B:$B &lt;= 3)) * 'Parameters and Distribution Sum'!$B$4, 0),0)))"),0.0)</f>
        <v>0</v>
      </c>
      <c r="AA1543" s="44">
        <f>IFERROR(__xludf.DUMMYFUNCTION("IFERROR(((IFERROR(SUM(FILTER('Fund Data'!$V:$V, 'Fund Data'!$C:$C = $C1543, 'Fund Data'!$A:$A = $A1543 - 2, 'Fund Data'!$B:$B &gt;= 4)) * 'Parameters and Distribution Sum'!$B$4,0) + IFERROR(SUM(FILTER('Fund Data'!$V:$V, 'Fund Data'!$C:$C = $C1543, 'Fund Data"&amp;"'!$A:$A = $A1543 - 1, 'Fund Data'!$B:$B &lt;= 3)) * 'Parameters and Distribution Sum'!$B$4,0))),0)"),0.0)</f>
        <v>0</v>
      </c>
      <c r="AB1543" s="44">
        <f t="shared" si="141"/>
        <v>0</v>
      </c>
      <c r="AC1543" s="44">
        <f t="shared" si="142"/>
        <v>0</v>
      </c>
      <c r="AD1543" s="44">
        <f t="shared" si="7"/>
        <v>0</v>
      </c>
      <c r="AE1543" s="44"/>
    </row>
    <row r="1544">
      <c r="A1544" s="178"/>
      <c r="B1544" s="179"/>
      <c r="C1544" s="147"/>
      <c r="D1544" s="44"/>
      <c r="E1544" s="44"/>
      <c r="F1544" s="44"/>
      <c r="G1544" s="44"/>
      <c r="H1544" s="44"/>
      <c r="I1544" s="44"/>
      <c r="J1544" s="44"/>
      <c r="K1544" s="44"/>
      <c r="L1544" s="44"/>
      <c r="M1544" s="44"/>
      <c r="N1544" s="44"/>
      <c r="O1544" s="44"/>
      <c r="P1544" s="52">
        <f t="shared" si="23"/>
        <v>0</v>
      </c>
      <c r="Q1544" s="124">
        <f t="shared" si="2"/>
        <v>0</v>
      </c>
      <c r="R1544" s="52">
        <f t="array" ref="R1544">IFERROR(INDEX('Fund YTD Target Values'!$1:$1000, MATCH($C1544,'Fund YTD Target Values'!$A:$A,0), MATCH($A1544,'Fund YTD Target Values'!$1:$1,0)),0)</f>
        <v>0</v>
      </c>
      <c r="S1544" s="52">
        <f>IFERROR(__xludf.DUMMYFUNCTION("IFERROR(sum(FILTER('Fund Data'!$V:$V, 'Fund Data'!$C:$C = $C1544, 'Fund Data'!$A:$A &lt; $A1544)),0) + IFERROR(sum(FILTER('Fund Data'!$V:$V, 'Fund Data'!$C:$C = $C1544, 'Fund Data'!$A:$A = $A1544, 'Fund Data'!$B:$B &lt;= $B1544)),0)"),0.0)</f>
        <v>0</v>
      </c>
      <c r="T1544" s="44"/>
      <c r="U1544" s="44"/>
      <c r="V1544" s="44">
        <f t="shared" si="3"/>
        <v>0</v>
      </c>
      <c r="W1544" s="52">
        <f>IFERROR(__xludf.DUMMYFUNCTION("iFERROR((FILTER('Fund Data'!$Y:$Y, 'Fund Data'!$C:$C = $C1544, 'Fund Data'!$A:$A = $A1544 - 1, 'Fund Data'!$B:$B = 12) + FILTER('Fund Data'!$AA:$AA, 'Fund Data'!$C:$C = $C1544, 'Fund Data'!$A:$A = $A1544 - 1, 'Fund Data'!$B:$B = 12)) * (1 + AVERAGE(FILTER"&amp;"('Inflation Data'!$C:$C,'Inflation Data'!$A:$A = ($A1544 - 2)))) * 'Parameters and Distribution Sum'!$A$4,0)"),0.0)</f>
        <v>0</v>
      </c>
      <c r="X1544" s="52">
        <f>IFERROR(__xludf.DUMMYFUNCTION("IFERROR((IFERROR(FILTER('Fund Data'!$P:$P,'Fund Data'!$C:$C = $C1544,'Fund Data'!$A:$A = ($A1544 - 2), 'Fund Data'!$B:$B = 12),0) - SUM(FILTER('Fund Data'!$V:$V, 'Fund Data'!$C:$C = $C1544, 'Fund Data'!$A:$A = ($A1544 - 2), 'Fund Data'!$B:$B &gt; 3)))  * 'Pa"&amp;"rameters and Distribution Sum'!$B$4 * (1 - 'Parameters and Distribution Sum'!$A$4),0)"),0.0)</f>
        <v>0</v>
      </c>
      <c r="Y1544" s="52">
        <f t="shared" si="140"/>
        <v>0</v>
      </c>
      <c r="Z1544" s="52">
        <f>IFERROR(__xludf.DUMMYFUNCTION("((IFERROR((SUM(FILTER('Fund Data'!$V:$V, 'Fund Data'!$C:$C = $C1544, 'Fund Data'!$A:$A = $A1544 - 1, 'Fund Data'!$B:$B &gt;= 4, 'Fund Data'!$B:$B &lt;= ($B1544 + 5))) / 12) * ($B1544 - 3) * 'Parameters and Distribution Sum'!$B$4, 0) + IF($B1544 &gt;= 9, IFERROR(SU"&amp;"M(FILTER('Fund Data'!$V:$V, 'Fund Data'!$C:$C = $C1544, 'Fund Data'!$A:$A = $A1544, 'Fund Data'!$B:$B &lt;= 3)) * 'Parameters and Distribution Sum'!$B$4, 0),0)))"),0.0)</f>
        <v>0</v>
      </c>
      <c r="AA1544" s="44">
        <f>IFERROR(__xludf.DUMMYFUNCTION("IFERROR(((IFERROR(SUM(FILTER('Fund Data'!$V:$V, 'Fund Data'!$C:$C = $C1544, 'Fund Data'!$A:$A = $A1544 - 2, 'Fund Data'!$B:$B &gt;= 4)) * 'Parameters and Distribution Sum'!$B$4,0) + IFERROR(SUM(FILTER('Fund Data'!$V:$V, 'Fund Data'!$C:$C = $C1544, 'Fund Data"&amp;"'!$A:$A = $A1544 - 1, 'Fund Data'!$B:$B &lt;= 3)) * 'Parameters and Distribution Sum'!$B$4,0))),0)"),0.0)</f>
        <v>0</v>
      </c>
      <c r="AB1544" s="44">
        <f t="shared" si="141"/>
        <v>0</v>
      </c>
      <c r="AC1544" s="44">
        <f t="shared" si="142"/>
        <v>0</v>
      </c>
      <c r="AD1544" s="44">
        <f t="shared" si="7"/>
        <v>0</v>
      </c>
      <c r="AE1544" s="44"/>
    </row>
    <row r="1545">
      <c r="A1545" s="178"/>
      <c r="B1545" s="179"/>
      <c r="C1545" s="147"/>
      <c r="D1545" s="44"/>
      <c r="E1545" s="44"/>
      <c r="F1545" s="44"/>
      <c r="G1545" s="44"/>
      <c r="H1545" s="44"/>
      <c r="I1545" s="44"/>
      <c r="J1545" s="44"/>
      <c r="K1545" s="44"/>
      <c r="L1545" s="44"/>
      <c r="M1545" s="44"/>
      <c r="N1545" s="44"/>
      <c r="O1545" s="44"/>
      <c r="P1545" s="52">
        <f t="shared" si="23"/>
        <v>0</v>
      </c>
      <c r="Q1545" s="124">
        <f t="shared" si="2"/>
        <v>0</v>
      </c>
      <c r="R1545" s="52">
        <f t="array" ref="R1545">IFERROR(INDEX('Fund YTD Target Values'!$1:$1000, MATCH($C1545,'Fund YTD Target Values'!$A:$A,0), MATCH($A1545,'Fund YTD Target Values'!$1:$1,0)),0)</f>
        <v>0</v>
      </c>
      <c r="S1545" s="52">
        <f>IFERROR(__xludf.DUMMYFUNCTION("IFERROR(sum(FILTER('Fund Data'!$V:$V, 'Fund Data'!$C:$C = $C1545, 'Fund Data'!$A:$A &lt; $A1545)),0) + IFERROR(sum(FILTER('Fund Data'!$V:$V, 'Fund Data'!$C:$C = $C1545, 'Fund Data'!$A:$A = $A1545, 'Fund Data'!$B:$B &lt;= $B1545)),0)"),0.0)</f>
        <v>0</v>
      </c>
      <c r="T1545" s="44"/>
      <c r="U1545" s="44"/>
      <c r="V1545" s="44">
        <f t="shared" si="3"/>
        <v>0</v>
      </c>
      <c r="W1545" s="52">
        <f>IFERROR(__xludf.DUMMYFUNCTION("iFERROR((FILTER('Fund Data'!$Y:$Y, 'Fund Data'!$C:$C = $C1545, 'Fund Data'!$A:$A = $A1545 - 1, 'Fund Data'!$B:$B = 12) + FILTER('Fund Data'!$AA:$AA, 'Fund Data'!$C:$C = $C1545, 'Fund Data'!$A:$A = $A1545 - 1, 'Fund Data'!$B:$B = 12)) * (1 + AVERAGE(FILTER"&amp;"('Inflation Data'!$C:$C,'Inflation Data'!$A:$A = ($A1545 - 2)))) * 'Parameters and Distribution Sum'!$A$4,0)"),0.0)</f>
        <v>0</v>
      </c>
      <c r="X1545" s="52">
        <f>IFERROR(__xludf.DUMMYFUNCTION("IFERROR((IFERROR(FILTER('Fund Data'!$P:$P,'Fund Data'!$C:$C = $C1545,'Fund Data'!$A:$A = ($A1545 - 2), 'Fund Data'!$B:$B = 12),0) - SUM(FILTER('Fund Data'!$V:$V, 'Fund Data'!$C:$C = $C1545, 'Fund Data'!$A:$A = ($A1545 - 2), 'Fund Data'!$B:$B &gt; 3)))  * 'Pa"&amp;"rameters and Distribution Sum'!$B$4 * (1 - 'Parameters and Distribution Sum'!$A$4),0)"),0.0)</f>
        <v>0</v>
      </c>
      <c r="Y1545" s="52">
        <f t="shared" si="140"/>
        <v>0</v>
      </c>
      <c r="Z1545" s="52">
        <f>IFERROR(__xludf.DUMMYFUNCTION("((IFERROR((SUM(FILTER('Fund Data'!$V:$V, 'Fund Data'!$C:$C = $C1545, 'Fund Data'!$A:$A = $A1545 - 1, 'Fund Data'!$B:$B &gt;= 4, 'Fund Data'!$B:$B &lt;= ($B1545 + 5))) / 12) * ($B1545 - 3) * 'Parameters and Distribution Sum'!$B$4, 0) + IF($B1545 &gt;= 9, IFERROR(SU"&amp;"M(FILTER('Fund Data'!$V:$V, 'Fund Data'!$C:$C = $C1545, 'Fund Data'!$A:$A = $A1545, 'Fund Data'!$B:$B &lt;= 3)) * 'Parameters and Distribution Sum'!$B$4, 0),0)))"),0.0)</f>
        <v>0</v>
      </c>
      <c r="AA1545" s="44">
        <f>IFERROR(__xludf.DUMMYFUNCTION("IFERROR(((IFERROR(SUM(FILTER('Fund Data'!$V:$V, 'Fund Data'!$C:$C = $C1545, 'Fund Data'!$A:$A = $A1545 - 2, 'Fund Data'!$B:$B &gt;= 4)) * 'Parameters and Distribution Sum'!$B$4,0) + IFERROR(SUM(FILTER('Fund Data'!$V:$V, 'Fund Data'!$C:$C = $C1545, 'Fund Data"&amp;"'!$A:$A = $A1545 - 1, 'Fund Data'!$B:$B &lt;= 3)) * 'Parameters and Distribution Sum'!$B$4,0))),0)"),0.0)</f>
        <v>0</v>
      </c>
      <c r="AB1545" s="44">
        <f t="shared" si="141"/>
        <v>0</v>
      </c>
      <c r="AC1545" s="44">
        <f t="shared" si="142"/>
        <v>0</v>
      </c>
      <c r="AD1545" s="44">
        <f t="shared" si="7"/>
        <v>0</v>
      </c>
      <c r="AE1545" s="44"/>
    </row>
    <row r="1546">
      <c r="A1546" s="178"/>
      <c r="B1546" s="179"/>
      <c r="C1546" s="147"/>
      <c r="D1546" s="44"/>
      <c r="E1546" s="44"/>
      <c r="F1546" s="44"/>
      <c r="G1546" s="44"/>
      <c r="H1546" s="44"/>
      <c r="I1546" s="44"/>
      <c r="J1546" s="44"/>
      <c r="K1546" s="44"/>
      <c r="L1546" s="44"/>
      <c r="M1546" s="44"/>
      <c r="N1546" s="44"/>
      <c r="O1546" s="44"/>
      <c r="P1546" s="52">
        <f t="shared" si="23"/>
        <v>0</v>
      </c>
      <c r="Q1546" s="124">
        <f t="shared" si="2"/>
        <v>0</v>
      </c>
      <c r="R1546" s="52">
        <f t="array" ref="R1546">IFERROR(INDEX('Fund YTD Target Values'!$1:$1000, MATCH($C1546,'Fund YTD Target Values'!$A:$A,0), MATCH($A1546,'Fund YTD Target Values'!$1:$1,0)),0)</f>
        <v>0</v>
      </c>
      <c r="S1546" s="52">
        <f>IFERROR(__xludf.DUMMYFUNCTION("IFERROR(sum(FILTER('Fund Data'!$V:$V, 'Fund Data'!$C:$C = $C1546, 'Fund Data'!$A:$A &lt; $A1546)),0) + IFERROR(sum(FILTER('Fund Data'!$V:$V, 'Fund Data'!$C:$C = $C1546, 'Fund Data'!$A:$A = $A1546, 'Fund Data'!$B:$B &lt;= $B1546)),0)"),0.0)</f>
        <v>0</v>
      </c>
      <c r="T1546" s="44"/>
      <c r="U1546" s="44"/>
      <c r="V1546" s="44">
        <f t="shared" si="3"/>
        <v>0</v>
      </c>
      <c r="W1546" s="52">
        <f>IFERROR(__xludf.DUMMYFUNCTION("iFERROR((FILTER('Fund Data'!$Y:$Y, 'Fund Data'!$C:$C = $C1546, 'Fund Data'!$A:$A = $A1546 - 1, 'Fund Data'!$B:$B = 12) + FILTER('Fund Data'!$AA:$AA, 'Fund Data'!$C:$C = $C1546, 'Fund Data'!$A:$A = $A1546 - 1, 'Fund Data'!$B:$B = 12)) * (1 + AVERAGE(FILTER"&amp;"('Inflation Data'!$C:$C,'Inflation Data'!$A:$A = ($A1546 - 2)))) * 'Parameters and Distribution Sum'!$A$4,0)"),0.0)</f>
        <v>0</v>
      </c>
      <c r="X1546" s="52">
        <f>IFERROR(__xludf.DUMMYFUNCTION("IFERROR((IFERROR(FILTER('Fund Data'!$P:$P,'Fund Data'!$C:$C = $C1546,'Fund Data'!$A:$A = ($A1546 - 2), 'Fund Data'!$B:$B = 12),0) - SUM(FILTER('Fund Data'!$V:$V, 'Fund Data'!$C:$C = $C1546, 'Fund Data'!$A:$A = ($A1546 - 2), 'Fund Data'!$B:$B &gt; 3)))  * 'Pa"&amp;"rameters and Distribution Sum'!$B$4 * (1 - 'Parameters and Distribution Sum'!$A$4),0)"),0.0)</f>
        <v>0</v>
      </c>
      <c r="Y1546" s="52">
        <f t="shared" si="140"/>
        <v>0</v>
      </c>
      <c r="Z1546" s="52">
        <f>IFERROR(__xludf.DUMMYFUNCTION("((IFERROR((SUM(FILTER('Fund Data'!$V:$V, 'Fund Data'!$C:$C = $C1546, 'Fund Data'!$A:$A = $A1546 - 1, 'Fund Data'!$B:$B &gt;= 4, 'Fund Data'!$B:$B &lt;= ($B1546 + 5))) / 12) * ($B1546 - 3) * 'Parameters and Distribution Sum'!$B$4, 0) + IF($B1546 &gt;= 9, IFERROR(SU"&amp;"M(FILTER('Fund Data'!$V:$V, 'Fund Data'!$C:$C = $C1546, 'Fund Data'!$A:$A = $A1546, 'Fund Data'!$B:$B &lt;= 3)) * 'Parameters and Distribution Sum'!$B$4, 0),0)))"),0.0)</f>
        <v>0</v>
      </c>
      <c r="AA1546" s="44">
        <f>IFERROR(__xludf.DUMMYFUNCTION("IFERROR(((IFERROR(SUM(FILTER('Fund Data'!$V:$V, 'Fund Data'!$C:$C = $C1546, 'Fund Data'!$A:$A = $A1546 - 2, 'Fund Data'!$B:$B &gt;= 4)) * 'Parameters and Distribution Sum'!$B$4,0) + IFERROR(SUM(FILTER('Fund Data'!$V:$V, 'Fund Data'!$C:$C = $C1546, 'Fund Data"&amp;"'!$A:$A = $A1546 - 1, 'Fund Data'!$B:$B &lt;= 3)) * 'Parameters and Distribution Sum'!$B$4,0))),0)"),0.0)</f>
        <v>0</v>
      </c>
      <c r="AB1546" s="44">
        <f t="shared" si="141"/>
        <v>0</v>
      </c>
      <c r="AC1546" s="44">
        <f t="shared" si="142"/>
        <v>0</v>
      </c>
      <c r="AD1546" s="44">
        <f t="shared" si="7"/>
        <v>0</v>
      </c>
      <c r="AE1546" s="44"/>
    </row>
    <row r="1547">
      <c r="A1547" s="178"/>
      <c r="B1547" s="179"/>
      <c r="C1547" s="147"/>
      <c r="D1547" s="44"/>
      <c r="E1547" s="44"/>
      <c r="F1547" s="44"/>
      <c r="G1547" s="44"/>
      <c r="H1547" s="44"/>
      <c r="I1547" s="44"/>
      <c r="J1547" s="44"/>
      <c r="K1547" s="44"/>
      <c r="L1547" s="44"/>
      <c r="M1547" s="44"/>
      <c r="N1547" s="44"/>
      <c r="O1547" s="44"/>
      <c r="P1547" s="52">
        <f t="shared" si="23"/>
        <v>0</v>
      </c>
      <c r="Q1547" s="124">
        <f t="shared" si="2"/>
        <v>0</v>
      </c>
      <c r="R1547" s="52">
        <f t="array" ref="R1547">IFERROR(INDEX('Fund YTD Target Values'!$1:$1000, MATCH($C1547,'Fund YTD Target Values'!$A:$A,0), MATCH($A1547,'Fund YTD Target Values'!$1:$1,0)),0)</f>
        <v>0</v>
      </c>
      <c r="S1547" s="52">
        <f>IFERROR(__xludf.DUMMYFUNCTION("IFERROR(sum(FILTER('Fund Data'!$V:$V, 'Fund Data'!$C:$C = $C1547, 'Fund Data'!$A:$A &lt; $A1547)),0) + IFERROR(sum(FILTER('Fund Data'!$V:$V, 'Fund Data'!$C:$C = $C1547, 'Fund Data'!$A:$A = $A1547, 'Fund Data'!$B:$B &lt;= $B1547)),0)"),0.0)</f>
        <v>0</v>
      </c>
      <c r="T1547" s="44"/>
      <c r="U1547" s="44"/>
      <c r="V1547" s="44">
        <f t="shared" si="3"/>
        <v>0</v>
      </c>
      <c r="W1547" s="52">
        <f>IFERROR(__xludf.DUMMYFUNCTION("iFERROR((FILTER('Fund Data'!$Y:$Y, 'Fund Data'!$C:$C = $C1547, 'Fund Data'!$A:$A = $A1547 - 1, 'Fund Data'!$B:$B = 12) + FILTER('Fund Data'!$AA:$AA, 'Fund Data'!$C:$C = $C1547, 'Fund Data'!$A:$A = $A1547 - 1, 'Fund Data'!$B:$B = 12)) * (1 + AVERAGE(FILTER"&amp;"('Inflation Data'!$C:$C,'Inflation Data'!$A:$A = ($A1547 - 2)))) * 'Parameters and Distribution Sum'!$A$4,0)"),0.0)</f>
        <v>0</v>
      </c>
      <c r="X1547" s="52">
        <f>IFERROR(__xludf.DUMMYFUNCTION("IFERROR((IFERROR(FILTER('Fund Data'!$P:$P,'Fund Data'!$C:$C = $C1547,'Fund Data'!$A:$A = ($A1547 - 2), 'Fund Data'!$B:$B = 12),0) - SUM(FILTER('Fund Data'!$V:$V, 'Fund Data'!$C:$C = $C1547, 'Fund Data'!$A:$A = ($A1547 - 2), 'Fund Data'!$B:$B &gt; 3)))  * 'Pa"&amp;"rameters and Distribution Sum'!$B$4 * (1 - 'Parameters and Distribution Sum'!$A$4),0)"),0.0)</f>
        <v>0</v>
      </c>
      <c r="Y1547" s="52">
        <f t="shared" si="140"/>
        <v>0</v>
      </c>
      <c r="Z1547" s="52">
        <f>IFERROR(__xludf.DUMMYFUNCTION("((IFERROR((SUM(FILTER('Fund Data'!$V:$V, 'Fund Data'!$C:$C = $C1547, 'Fund Data'!$A:$A = $A1547 - 1, 'Fund Data'!$B:$B &gt;= 4, 'Fund Data'!$B:$B &lt;= ($B1547 + 5))) / 12) * ($B1547 - 3) * 'Parameters and Distribution Sum'!$B$4, 0) + IF($B1547 &gt;= 9, IFERROR(SU"&amp;"M(FILTER('Fund Data'!$V:$V, 'Fund Data'!$C:$C = $C1547, 'Fund Data'!$A:$A = $A1547, 'Fund Data'!$B:$B &lt;= 3)) * 'Parameters and Distribution Sum'!$B$4, 0),0)))"),0.0)</f>
        <v>0</v>
      </c>
      <c r="AA1547" s="44">
        <f>IFERROR(__xludf.DUMMYFUNCTION("IFERROR(((IFERROR(SUM(FILTER('Fund Data'!$V:$V, 'Fund Data'!$C:$C = $C1547, 'Fund Data'!$A:$A = $A1547 - 2, 'Fund Data'!$B:$B &gt;= 4)) * 'Parameters and Distribution Sum'!$B$4,0) + IFERROR(SUM(FILTER('Fund Data'!$V:$V, 'Fund Data'!$C:$C = $C1547, 'Fund Data"&amp;"'!$A:$A = $A1547 - 1, 'Fund Data'!$B:$B &lt;= 3)) * 'Parameters and Distribution Sum'!$B$4,0))),0)"),0.0)</f>
        <v>0</v>
      </c>
      <c r="AB1547" s="44">
        <f t="shared" si="141"/>
        <v>0</v>
      </c>
      <c r="AC1547" s="44">
        <f t="shared" si="142"/>
        <v>0</v>
      </c>
      <c r="AD1547" s="44">
        <f t="shared" si="7"/>
        <v>0</v>
      </c>
      <c r="AE1547" s="44"/>
    </row>
    <row r="1548">
      <c r="A1548" s="178"/>
      <c r="B1548" s="179"/>
      <c r="C1548" s="147"/>
      <c r="D1548" s="44"/>
      <c r="E1548" s="44"/>
      <c r="F1548" s="44"/>
      <c r="G1548" s="44"/>
      <c r="H1548" s="44"/>
      <c r="I1548" s="44"/>
      <c r="J1548" s="44"/>
      <c r="K1548" s="44"/>
      <c r="L1548" s="44"/>
      <c r="M1548" s="44"/>
      <c r="N1548" s="44"/>
      <c r="O1548" s="44"/>
      <c r="P1548" s="52">
        <f t="shared" si="23"/>
        <v>0</v>
      </c>
      <c r="Q1548" s="124">
        <f t="shared" si="2"/>
        <v>0</v>
      </c>
      <c r="R1548" s="52">
        <f t="array" ref="R1548">IFERROR(INDEX('Fund YTD Target Values'!$1:$1000, MATCH($C1548,'Fund YTD Target Values'!$A:$A,0), MATCH($A1548,'Fund YTD Target Values'!$1:$1,0)),0)</f>
        <v>0</v>
      </c>
      <c r="S1548" s="52">
        <f>IFERROR(__xludf.DUMMYFUNCTION("IFERROR(sum(FILTER('Fund Data'!$V:$V, 'Fund Data'!$C:$C = $C1548, 'Fund Data'!$A:$A &lt; $A1548)),0) + IFERROR(sum(FILTER('Fund Data'!$V:$V, 'Fund Data'!$C:$C = $C1548, 'Fund Data'!$A:$A = $A1548, 'Fund Data'!$B:$B &lt;= $B1548)),0)"),0.0)</f>
        <v>0</v>
      </c>
      <c r="T1548" s="44"/>
      <c r="U1548" s="44"/>
      <c r="V1548" s="44">
        <f t="shared" si="3"/>
        <v>0</v>
      </c>
      <c r="W1548" s="52">
        <f>IFERROR(__xludf.DUMMYFUNCTION("iFERROR((FILTER('Fund Data'!$Y:$Y, 'Fund Data'!$C:$C = $C1548, 'Fund Data'!$A:$A = $A1548 - 1, 'Fund Data'!$B:$B = 12) + FILTER('Fund Data'!$AA:$AA, 'Fund Data'!$C:$C = $C1548, 'Fund Data'!$A:$A = $A1548 - 1, 'Fund Data'!$B:$B = 12)) * (1 + AVERAGE(FILTER"&amp;"('Inflation Data'!$C:$C,'Inflation Data'!$A:$A = ($A1548 - 2)))) * 'Parameters and Distribution Sum'!$A$4,0)"),0.0)</f>
        <v>0</v>
      </c>
      <c r="X1548" s="52">
        <f>IFERROR(__xludf.DUMMYFUNCTION("IFERROR((IFERROR(FILTER('Fund Data'!$P:$P,'Fund Data'!$C:$C = $C1548,'Fund Data'!$A:$A = ($A1548 - 2), 'Fund Data'!$B:$B = 12),0) - SUM(FILTER('Fund Data'!$V:$V, 'Fund Data'!$C:$C = $C1548, 'Fund Data'!$A:$A = ($A1548 - 2), 'Fund Data'!$B:$B &gt; 3)))  * 'Pa"&amp;"rameters and Distribution Sum'!$B$4 * (1 - 'Parameters and Distribution Sum'!$A$4),0)"),0.0)</f>
        <v>0</v>
      </c>
      <c r="Y1548" s="52">
        <f t="shared" si="140"/>
        <v>0</v>
      </c>
      <c r="Z1548" s="52">
        <f>IFERROR(__xludf.DUMMYFUNCTION("((IFERROR((SUM(FILTER('Fund Data'!$V:$V, 'Fund Data'!$C:$C = $C1548, 'Fund Data'!$A:$A = $A1548 - 1, 'Fund Data'!$B:$B &gt;= 4, 'Fund Data'!$B:$B &lt;= ($B1548 + 5))) / 12) * ($B1548 - 3) * 'Parameters and Distribution Sum'!$B$4, 0) + IF($B1548 &gt;= 9, IFERROR(SU"&amp;"M(FILTER('Fund Data'!$V:$V, 'Fund Data'!$C:$C = $C1548, 'Fund Data'!$A:$A = $A1548, 'Fund Data'!$B:$B &lt;= 3)) * 'Parameters and Distribution Sum'!$B$4, 0),0)))"),0.0)</f>
        <v>0</v>
      </c>
      <c r="AA1548" s="44">
        <f>IFERROR(__xludf.DUMMYFUNCTION("IFERROR(((IFERROR(SUM(FILTER('Fund Data'!$V:$V, 'Fund Data'!$C:$C = $C1548, 'Fund Data'!$A:$A = $A1548 - 2, 'Fund Data'!$B:$B &gt;= 4)) * 'Parameters and Distribution Sum'!$B$4,0) + IFERROR(SUM(FILTER('Fund Data'!$V:$V, 'Fund Data'!$C:$C = $C1548, 'Fund Data"&amp;"'!$A:$A = $A1548 - 1, 'Fund Data'!$B:$B &lt;= 3)) * 'Parameters and Distribution Sum'!$B$4,0))),0)"),0.0)</f>
        <v>0</v>
      </c>
      <c r="AB1548" s="44">
        <f t="shared" si="141"/>
        <v>0</v>
      </c>
      <c r="AC1548" s="44">
        <f t="shared" si="142"/>
        <v>0</v>
      </c>
      <c r="AD1548" s="44">
        <f t="shared" si="7"/>
        <v>0</v>
      </c>
      <c r="AE1548" s="44"/>
    </row>
    <row r="1549">
      <c r="A1549" s="178"/>
      <c r="B1549" s="179"/>
      <c r="C1549" s="147"/>
      <c r="D1549" s="44"/>
      <c r="E1549" s="44"/>
      <c r="F1549" s="44"/>
      <c r="G1549" s="44"/>
      <c r="H1549" s="44"/>
      <c r="I1549" s="44"/>
      <c r="J1549" s="44"/>
      <c r="K1549" s="44"/>
      <c r="L1549" s="44"/>
      <c r="M1549" s="44"/>
      <c r="N1549" s="44"/>
      <c r="O1549" s="44"/>
      <c r="P1549" s="52">
        <f t="shared" si="23"/>
        <v>0</v>
      </c>
      <c r="Q1549" s="124">
        <f t="shared" si="2"/>
        <v>0</v>
      </c>
      <c r="R1549" s="52">
        <f t="array" ref="R1549">IFERROR(INDEX('Fund YTD Target Values'!$1:$1000, MATCH($C1549,'Fund YTD Target Values'!$A:$A,0), MATCH($A1549,'Fund YTD Target Values'!$1:$1,0)),0)</f>
        <v>0</v>
      </c>
      <c r="S1549" s="52">
        <f>IFERROR(__xludf.DUMMYFUNCTION("IFERROR(sum(FILTER('Fund Data'!$V:$V, 'Fund Data'!$C:$C = $C1549, 'Fund Data'!$A:$A &lt; $A1549)),0) + IFERROR(sum(FILTER('Fund Data'!$V:$V, 'Fund Data'!$C:$C = $C1549, 'Fund Data'!$A:$A = $A1549, 'Fund Data'!$B:$B &lt;= $B1549)),0)"),0.0)</f>
        <v>0</v>
      </c>
      <c r="T1549" s="44"/>
      <c r="U1549" s="44"/>
      <c r="V1549" s="44">
        <f t="shared" si="3"/>
        <v>0</v>
      </c>
      <c r="W1549" s="52">
        <f>IFERROR(__xludf.DUMMYFUNCTION("iFERROR((FILTER('Fund Data'!$Y:$Y, 'Fund Data'!$C:$C = $C1549, 'Fund Data'!$A:$A = $A1549 - 1, 'Fund Data'!$B:$B = 12) + FILTER('Fund Data'!$AA:$AA, 'Fund Data'!$C:$C = $C1549, 'Fund Data'!$A:$A = $A1549 - 1, 'Fund Data'!$B:$B = 12)) * (1 + AVERAGE(FILTER"&amp;"('Inflation Data'!$C:$C,'Inflation Data'!$A:$A = ($A1549 - 2)))) * 'Parameters and Distribution Sum'!$A$4,0)"),0.0)</f>
        <v>0</v>
      </c>
      <c r="X1549" s="52">
        <f>IFERROR(__xludf.DUMMYFUNCTION("IFERROR((IFERROR(FILTER('Fund Data'!$P:$P,'Fund Data'!$C:$C = $C1549,'Fund Data'!$A:$A = ($A1549 - 2), 'Fund Data'!$B:$B = 12),0) - SUM(FILTER('Fund Data'!$V:$V, 'Fund Data'!$C:$C = $C1549, 'Fund Data'!$A:$A = ($A1549 - 2), 'Fund Data'!$B:$B &gt; 3)))  * 'Pa"&amp;"rameters and Distribution Sum'!$B$4 * (1 - 'Parameters and Distribution Sum'!$A$4),0)"),0.0)</f>
        <v>0</v>
      </c>
      <c r="Y1549" s="52">
        <f t="shared" si="140"/>
        <v>0</v>
      </c>
      <c r="Z1549" s="52">
        <f>IFERROR(__xludf.DUMMYFUNCTION("((IFERROR((SUM(FILTER('Fund Data'!$V:$V, 'Fund Data'!$C:$C = $C1549, 'Fund Data'!$A:$A = $A1549 - 1, 'Fund Data'!$B:$B &gt;= 4, 'Fund Data'!$B:$B &lt;= ($B1549 + 5))) / 12) * ($B1549 - 3) * 'Parameters and Distribution Sum'!$B$4, 0) + IF($B1549 &gt;= 9, IFERROR(SU"&amp;"M(FILTER('Fund Data'!$V:$V, 'Fund Data'!$C:$C = $C1549, 'Fund Data'!$A:$A = $A1549, 'Fund Data'!$B:$B &lt;= 3)) * 'Parameters and Distribution Sum'!$B$4, 0),0)))"),0.0)</f>
        <v>0</v>
      </c>
      <c r="AA1549" s="44">
        <f>IFERROR(__xludf.DUMMYFUNCTION("IFERROR(((IFERROR(SUM(FILTER('Fund Data'!$V:$V, 'Fund Data'!$C:$C = $C1549, 'Fund Data'!$A:$A = $A1549 - 2, 'Fund Data'!$B:$B &gt;= 4)) * 'Parameters and Distribution Sum'!$B$4,0) + IFERROR(SUM(FILTER('Fund Data'!$V:$V, 'Fund Data'!$C:$C = $C1549, 'Fund Data"&amp;"'!$A:$A = $A1549 - 1, 'Fund Data'!$B:$B &lt;= 3)) * 'Parameters and Distribution Sum'!$B$4,0))),0)"),0.0)</f>
        <v>0</v>
      </c>
      <c r="AB1549" s="44">
        <f t="shared" si="141"/>
        <v>0</v>
      </c>
      <c r="AC1549" s="44">
        <f t="shared" si="142"/>
        <v>0</v>
      </c>
      <c r="AD1549" s="44">
        <f t="shared" si="7"/>
        <v>0</v>
      </c>
      <c r="AE1549" s="44"/>
    </row>
    <row r="1550">
      <c r="A1550" s="178"/>
      <c r="B1550" s="179"/>
      <c r="C1550" s="147"/>
      <c r="D1550" s="44"/>
      <c r="E1550" s="44"/>
      <c r="F1550" s="44"/>
      <c r="G1550" s="44"/>
      <c r="H1550" s="44"/>
      <c r="I1550" s="44"/>
      <c r="J1550" s="44"/>
      <c r="K1550" s="44"/>
      <c r="L1550" s="44"/>
      <c r="M1550" s="44"/>
      <c r="N1550" s="44"/>
      <c r="O1550" s="44"/>
      <c r="P1550" s="52">
        <f t="shared" si="23"/>
        <v>0</v>
      </c>
      <c r="Q1550" s="124">
        <f t="shared" si="2"/>
        <v>0</v>
      </c>
      <c r="R1550" s="52">
        <f t="array" ref="R1550">IFERROR(INDEX('Fund YTD Target Values'!$1:$1000, MATCH($C1550,'Fund YTD Target Values'!$A:$A,0), MATCH($A1550,'Fund YTD Target Values'!$1:$1,0)),0)</f>
        <v>0</v>
      </c>
      <c r="S1550" s="52">
        <f>IFERROR(__xludf.DUMMYFUNCTION("IFERROR(sum(FILTER('Fund Data'!$V:$V, 'Fund Data'!$C:$C = $C1550, 'Fund Data'!$A:$A &lt; $A1550)),0) + IFERROR(sum(FILTER('Fund Data'!$V:$V, 'Fund Data'!$C:$C = $C1550, 'Fund Data'!$A:$A = $A1550, 'Fund Data'!$B:$B &lt;= $B1550)),0)"),0.0)</f>
        <v>0</v>
      </c>
      <c r="T1550" s="44"/>
      <c r="U1550" s="44"/>
      <c r="V1550" s="44">
        <f t="shared" si="3"/>
        <v>0</v>
      </c>
      <c r="W1550" s="52">
        <f>IFERROR(__xludf.DUMMYFUNCTION("iFERROR((FILTER('Fund Data'!$Y:$Y, 'Fund Data'!$C:$C = $C1550, 'Fund Data'!$A:$A = $A1550 - 1, 'Fund Data'!$B:$B = 12) + FILTER('Fund Data'!$AA:$AA, 'Fund Data'!$C:$C = $C1550, 'Fund Data'!$A:$A = $A1550 - 1, 'Fund Data'!$B:$B = 12)) * (1 + AVERAGE(FILTER"&amp;"('Inflation Data'!$C:$C,'Inflation Data'!$A:$A = ($A1550 - 2)))) * 'Parameters and Distribution Sum'!$A$4,0)"),0.0)</f>
        <v>0</v>
      </c>
      <c r="X1550" s="52">
        <f>IFERROR(__xludf.DUMMYFUNCTION("IFERROR((IFERROR(FILTER('Fund Data'!$P:$P,'Fund Data'!$C:$C = $C1550,'Fund Data'!$A:$A = ($A1550 - 2), 'Fund Data'!$B:$B = 12),0) - SUM(FILTER('Fund Data'!$V:$V, 'Fund Data'!$C:$C = $C1550, 'Fund Data'!$A:$A = ($A1550 - 2), 'Fund Data'!$B:$B &gt; 3)))  * 'Pa"&amp;"rameters and Distribution Sum'!$B$4 * (1 - 'Parameters and Distribution Sum'!$A$4),0)"),0.0)</f>
        <v>0</v>
      </c>
      <c r="Y1550" s="52">
        <f t="shared" si="140"/>
        <v>0</v>
      </c>
      <c r="Z1550" s="52">
        <f>IFERROR(__xludf.DUMMYFUNCTION("((IFERROR((SUM(FILTER('Fund Data'!$V:$V, 'Fund Data'!$C:$C = $C1550, 'Fund Data'!$A:$A = $A1550 - 1, 'Fund Data'!$B:$B &gt;= 4, 'Fund Data'!$B:$B &lt;= ($B1550 + 5))) / 12) * ($B1550 - 3) * 'Parameters and Distribution Sum'!$B$4, 0) + IF($B1550 &gt;= 9, IFERROR(SU"&amp;"M(FILTER('Fund Data'!$V:$V, 'Fund Data'!$C:$C = $C1550, 'Fund Data'!$A:$A = $A1550, 'Fund Data'!$B:$B &lt;= 3)) * 'Parameters and Distribution Sum'!$B$4, 0),0)))"),0.0)</f>
        <v>0</v>
      </c>
      <c r="AA1550" s="44">
        <f>IFERROR(__xludf.DUMMYFUNCTION("IFERROR(((IFERROR(SUM(FILTER('Fund Data'!$V:$V, 'Fund Data'!$C:$C = $C1550, 'Fund Data'!$A:$A = $A1550 - 2, 'Fund Data'!$B:$B &gt;= 4)) * 'Parameters and Distribution Sum'!$B$4,0) + IFERROR(SUM(FILTER('Fund Data'!$V:$V, 'Fund Data'!$C:$C = $C1550, 'Fund Data"&amp;"'!$A:$A = $A1550 - 1, 'Fund Data'!$B:$B &lt;= 3)) * 'Parameters and Distribution Sum'!$B$4,0))),0)"),0.0)</f>
        <v>0</v>
      </c>
      <c r="AB1550" s="44">
        <f t="shared" si="141"/>
        <v>0</v>
      </c>
      <c r="AC1550" s="44">
        <f t="shared" si="142"/>
        <v>0</v>
      </c>
      <c r="AD1550" s="44">
        <f t="shared" si="7"/>
        <v>0</v>
      </c>
      <c r="AE1550" s="44"/>
    </row>
    <row r="1551">
      <c r="A1551" s="178"/>
      <c r="B1551" s="179"/>
      <c r="C1551" s="147"/>
      <c r="D1551" s="44"/>
      <c r="E1551" s="44"/>
      <c r="F1551" s="44"/>
      <c r="G1551" s="44"/>
      <c r="H1551" s="44"/>
      <c r="I1551" s="44"/>
      <c r="J1551" s="44"/>
      <c r="K1551" s="44"/>
      <c r="L1551" s="44"/>
      <c r="M1551" s="44"/>
      <c r="N1551" s="44"/>
      <c r="O1551" s="44"/>
      <c r="P1551" s="52">
        <f t="shared" si="23"/>
        <v>0</v>
      </c>
      <c r="Q1551" s="124">
        <f t="shared" si="2"/>
        <v>0</v>
      </c>
      <c r="R1551" s="52">
        <f t="array" ref="R1551">IFERROR(INDEX('Fund YTD Target Values'!$1:$1000, MATCH($C1551,'Fund YTD Target Values'!$A:$A,0), MATCH($A1551,'Fund YTD Target Values'!$1:$1,0)),0)</f>
        <v>0</v>
      </c>
      <c r="S1551" s="52">
        <f>IFERROR(__xludf.DUMMYFUNCTION("IFERROR(sum(FILTER('Fund Data'!$V:$V, 'Fund Data'!$C:$C = $C1551, 'Fund Data'!$A:$A &lt; $A1551)),0) + IFERROR(sum(FILTER('Fund Data'!$V:$V, 'Fund Data'!$C:$C = $C1551, 'Fund Data'!$A:$A = $A1551, 'Fund Data'!$B:$B &lt;= $B1551)),0)"),0.0)</f>
        <v>0</v>
      </c>
      <c r="T1551" s="44"/>
      <c r="U1551" s="44"/>
      <c r="V1551" s="44">
        <f t="shared" si="3"/>
        <v>0</v>
      </c>
      <c r="W1551" s="52">
        <f>IFERROR(__xludf.DUMMYFUNCTION("iFERROR((FILTER('Fund Data'!$Y:$Y, 'Fund Data'!$C:$C = $C1551, 'Fund Data'!$A:$A = $A1551 - 1, 'Fund Data'!$B:$B = 12) + FILTER('Fund Data'!$AA:$AA, 'Fund Data'!$C:$C = $C1551, 'Fund Data'!$A:$A = $A1551 - 1, 'Fund Data'!$B:$B = 12)) * (1 + AVERAGE(FILTER"&amp;"('Inflation Data'!$C:$C,'Inflation Data'!$A:$A = ($A1551 - 2)))) * 'Parameters and Distribution Sum'!$A$4,0)"),0.0)</f>
        <v>0</v>
      </c>
      <c r="X1551" s="52">
        <f>IFERROR(__xludf.DUMMYFUNCTION("IFERROR((IFERROR(FILTER('Fund Data'!$P:$P,'Fund Data'!$C:$C = $C1551,'Fund Data'!$A:$A = ($A1551 - 2), 'Fund Data'!$B:$B = 12),0) - SUM(FILTER('Fund Data'!$V:$V, 'Fund Data'!$C:$C = $C1551, 'Fund Data'!$A:$A = ($A1551 - 2), 'Fund Data'!$B:$B &gt; 3)))  * 'Pa"&amp;"rameters and Distribution Sum'!$B$4 * (1 - 'Parameters and Distribution Sum'!$A$4),0)"),0.0)</f>
        <v>0</v>
      </c>
      <c r="Y1551" s="52">
        <f t="shared" si="140"/>
        <v>0</v>
      </c>
      <c r="Z1551" s="52">
        <f>IFERROR(__xludf.DUMMYFUNCTION("((IFERROR((SUM(FILTER('Fund Data'!$V:$V, 'Fund Data'!$C:$C = $C1551, 'Fund Data'!$A:$A = $A1551 - 1, 'Fund Data'!$B:$B &gt;= 4, 'Fund Data'!$B:$B &lt;= ($B1551 + 5))) / 12) * ($B1551 - 3) * 'Parameters and Distribution Sum'!$B$4, 0) + IF($B1551 &gt;= 9, IFERROR(SU"&amp;"M(FILTER('Fund Data'!$V:$V, 'Fund Data'!$C:$C = $C1551, 'Fund Data'!$A:$A = $A1551, 'Fund Data'!$B:$B &lt;= 3)) * 'Parameters and Distribution Sum'!$B$4, 0),0)))"),0.0)</f>
        <v>0</v>
      </c>
      <c r="AA1551" s="44">
        <f>IFERROR(__xludf.DUMMYFUNCTION("IFERROR(((IFERROR(SUM(FILTER('Fund Data'!$V:$V, 'Fund Data'!$C:$C = $C1551, 'Fund Data'!$A:$A = $A1551 - 2, 'Fund Data'!$B:$B &gt;= 4)) * 'Parameters and Distribution Sum'!$B$4,0) + IFERROR(SUM(FILTER('Fund Data'!$V:$V, 'Fund Data'!$C:$C = $C1551, 'Fund Data"&amp;"'!$A:$A = $A1551 - 1, 'Fund Data'!$B:$B &lt;= 3)) * 'Parameters and Distribution Sum'!$B$4,0))),0)"),0.0)</f>
        <v>0</v>
      </c>
      <c r="AB1551" s="44">
        <f t="shared" si="141"/>
        <v>0</v>
      </c>
      <c r="AC1551" s="44">
        <f t="shared" si="142"/>
        <v>0</v>
      </c>
      <c r="AD1551" s="44">
        <f t="shared" si="7"/>
        <v>0</v>
      </c>
      <c r="AE1551" s="44"/>
    </row>
    <row r="1552">
      <c r="A1552" s="178"/>
      <c r="B1552" s="179"/>
      <c r="C1552" s="147"/>
      <c r="D1552" s="44"/>
      <c r="E1552" s="44"/>
      <c r="F1552" s="44"/>
      <c r="G1552" s="44"/>
      <c r="H1552" s="44"/>
      <c r="I1552" s="44"/>
      <c r="J1552" s="44"/>
      <c r="K1552" s="44"/>
      <c r="L1552" s="44"/>
      <c r="M1552" s="44"/>
      <c r="N1552" s="44"/>
      <c r="O1552" s="44"/>
      <c r="P1552" s="52">
        <f t="shared" si="23"/>
        <v>0</v>
      </c>
      <c r="Q1552" s="124">
        <f t="shared" si="2"/>
        <v>0</v>
      </c>
      <c r="R1552" s="52">
        <f t="array" ref="R1552">IFERROR(INDEX('Fund YTD Target Values'!$1:$1000, MATCH($C1552,'Fund YTD Target Values'!$A:$A,0), MATCH($A1552,'Fund YTD Target Values'!$1:$1,0)),0)</f>
        <v>0</v>
      </c>
      <c r="S1552" s="52">
        <f>IFERROR(__xludf.DUMMYFUNCTION("IFERROR(sum(FILTER('Fund Data'!$V:$V, 'Fund Data'!$C:$C = $C1552, 'Fund Data'!$A:$A &lt; $A1552)),0) + IFERROR(sum(FILTER('Fund Data'!$V:$V, 'Fund Data'!$C:$C = $C1552, 'Fund Data'!$A:$A = $A1552, 'Fund Data'!$B:$B &lt;= $B1552)),0)"),0.0)</f>
        <v>0</v>
      </c>
      <c r="T1552" s="44"/>
      <c r="U1552" s="44"/>
      <c r="V1552" s="44">
        <f t="shared" si="3"/>
        <v>0</v>
      </c>
      <c r="W1552" s="52">
        <f>IFERROR(__xludf.DUMMYFUNCTION("iFERROR((FILTER('Fund Data'!$Y:$Y, 'Fund Data'!$C:$C = $C1552, 'Fund Data'!$A:$A = $A1552 - 1, 'Fund Data'!$B:$B = 12) + FILTER('Fund Data'!$AA:$AA, 'Fund Data'!$C:$C = $C1552, 'Fund Data'!$A:$A = $A1552 - 1, 'Fund Data'!$B:$B = 12)) * (1 + AVERAGE(FILTER"&amp;"('Inflation Data'!$C:$C,'Inflation Data'!$A:$A = ($A1552 - 2)))) * 'Parameters and Distribution Sum'!$A$4,0)"),0.0)</f>
        <v>0</v>
      </c>
      <c r="X1552" s="52">
        <f>IFERROR(__xludf.DUMMYFUNCTION("IFERROR((IFERROR(FILTER('Fund Data'!$P:$P,'Fund Data'!$C:$C = $C1552,'Fund Data'!$A:$A = ($A1552 - 2), 'Fund Data'!$B:$B = 12),0) - SUM(FILTER('Fund Data'!$V:$V, 'Fund Data'!$C:$C = $C1552, 'Fund Data'!$A:$A = ($A1552 - 2), 'Fund Data'!$B:$B &gt; 3)))  * 'Pa"&amp;"rameters and Distribution Sum'!$B$4 * (1 - 'Parameters and Distribution Sum'!$A$4),0)"),0.0)</f>
        <v>0</v>
      </c>
      <c r="Y1552" s="52">
        <f t="shared" si="140"/>
        <v>0</v>
      </c>
      <c r="Z1552" s="52">
        <f>IFERROR(__xludf.DUMMYFUNCTION("((IFERROR((SUM(FILTER('Fund Data'!$V:$V, 'Fund Data'!$C:$C = $C1552, 'Fund Data'!$A:$A = $A1552 - 1, 'Fund Data'!$B:$B &gt;= 4, 'Fund Data'!$B:$B &lt;= ($B1552 + 5))) / 12) * ($B1552 - 3) * 'Parameters and Distribution Sum'!$B$4, 0) + IF($B1552 &gt;= 9, IFERROR(SU"&amp;"M(FILTER('Fund Data'!$V:$V, 'Fund Data'!$C:$C = $C1552, 'Fund Data'!$A:$A = $A1552, 'Fund Data'!$B:$B &lt;= 3)) * 'Parameters and Distribution Sum'!$B$4, 0),0)))"),0.0)</f>
        <v>0</v>
      </c>
      <c r="AA1552" s="44">
        <f>IFERROR(__xludf.DUMMYFUNCTION("IFERROR(((IFERROR(SUM(FILTER('Fund Data'!$V:$V, 'Fund Data'!$C:$C = $C1552, 'Fund Data'!$A:$A = $A1552 - 2, 'Fund Data'!$B:$B &gt;= 4)) * 'Parameters and Distribution Sum'!$B$4,0) + IFERROR(SUM(FILTER('Fund Data'!$V:$V, 'Fund Data'!$C:$C = $C1552, 'Fund Data"&amp;"'!$A:$A = $A1552 - 1, 'Fund Data'!$B:$B &lt;= 3)) * 'Parameters and Distribution Sum'!$B$4,0))),0)"),0.0)</f>
        <v>0</v>
      </c>
      <c r="AB1552" s="44">
        <f t="shared" si="141"/>
        <v>0</v>
      </c>
      <c r="AC1552" s="44">
        <f t="shared" si="142"/>
        <v>0</v>
      </c>
      <c r="AD1552" s="44">
        <f t="shared" si="7"/>
        <v>0</v>
      </c>
      <c r="AE1552" s="44"/>
    </row>
    <row r="1553">
      <c r="A1553" s="178"/>
      <c r="B1553" s="179"/>
      <c r="C1553" s="147"/>
      <c r="D1553" s="44"/>
      <c r="E1553" s="44"/>
      <c r="F1553" s="44"/>
      <c r="G1553" s="44"/>
      <c r="H1553" s="44"/>
      <c r="I1553" s="44"/>
      <c r="J1553" s="44"/>
      <c r="K1553" s="44"/>
      <c r="L1553" s="44"/>
      <c r="M1553" s="44"/>
      <c r="N1553" s="44"/>
      <c r="O1553" s="44"/>
      <c r="P1553" s="52">
        <f t="shared" si="23"/>
        <v>0</v>
      </c>
      <c r="Q1553" s="124">
        <f t="shared" si="2"/>
        <v>0</v>
      </c>
      <c r="R1553" s="52">
        <f t="array" ref="R1553">IFERROR(INDEX('Fund YTD Target Values'!$1:$1000, MATCH($C1553,'Fund YTD Target Values'!$A:$A,0), MATCH($A1553,'Fund YTD Target Values'!$1:$1,0)),0)</f>
        <v>0</v>
      </c>
      <c r="S1553" s="52">
        <f>IFERROR(__xludf.DUMMYFUNCTION("IFERROR(sum(FILTER('Fund Data'!$V:$V, 'Fund Data'!$C:$C = $C1553, 'Fund Data'!$A:$A &lt; $A1553)),0) + IFERROR(sum(FILTER('Fund Data'!$V:$V, 'Fund Data'!$C:$C = $C1553, 'Fund Data'!$A:$A = $A1553, 'Fund Data'!$B:$B &lt;= $B1553)),0)"),0.0)</f>
        <v>0</v>
      </c>
      <c r="T1553" s="44"/>
      <c r="U1553" s="44"/>
      <c r="V1553" s="44">
        <f t="shared" si="3"/>
        <v>0</v>
      </c>
      <c r="W1553" s="52">
        <f>IFERROR(__xludf.DUMMYFUNCTION("iFERROR((FILTER('Fund Data'!$Y:$Y, 'Fund Data'!$C:$C = $C1553, 'Fund Data'!$A:$A = $A1553 - 1, 'Fund Data'!$B:$B = 12) + FILTER('Fund Data'!$AA:$AA, 'Fund Data'!$C:$C = $C1553, 'Fund Data'!$A:$A = $A1553 - 1, 'Fund Data'!$B:$B = 12)) * (1 + AVERAGE(FILTER"&amp;"('Inflation Data'!$C:$C,'Inflation Data'!$A:$A = ($A1553 - 2)))) * 'Parameters and Distribution Sum'!$A$4,0)"),0.0)</f>
        <v>0</v>
      </c>
      <c r="X1553" s="52">
        <f>IFERROR(__xludf.DUMMYFUNCTION("IFERROR((IFERROR(FILTER('Fund Data'!$P:$P,'Fund Data'!$C:$C = $C1553,'Fund Data'!$A:$A = ($A1553 - 2), 'Fund Data'!$B:$B = 12),0) - SUM(FILTER('Fund Data'!$V:$V, 'Fund Data'!$C:$C = $C1553, 'Fund Data'!$A:$A = ($A1553 - 2), 'Fund Data'!$B:$B &gt; 3)))  * 'Pa"&amp;"rameters and Distribution Sum'!$B$4 * (1 - 'Parameters and Distribution Sum'!$A$4),0)"),0.0)</f>
        <v>0</v>
      </c>
      <c r="Y1553" s="52">
        <f t="shared" si="140"/>
        <v>0</v>
      </c>
      <c r="Z1553" s="52">
        <f>IFERROR(__xludf.DUMMYFUNCTION("((IFERROR((SUM(FILTER('Fund Data'!$V:$V, 'Fund Data'!$C:$C = $C1553, 'Fund Data'!$A:$A = $A1553 - 1, 'Fund Data'!$B:$B &gt;= 4, 'Fund Data'!$B:$B &lt;= ($B1553 + 5))) / 12) * ($B1553 - 3) * 'Parameters and Distribution Sum'!$B$4, 0) + IF($B1553 &gt;= 9, IFERROR(SU"&amp;"M(FILTER('Fund Data'!$V:$V, 'Fund Data'!$C:$C = $C1553, 'Fund Data'!$A:$A = $A1553, 'Fund Data'!$B:$B &lt;= 3)) * 'Parameters and Distribution Sum'!$B$4, 0),0)))"),0.0)</f>
        <v>0</v>
      </c>
      <c r="AA1553" s="44">
        <f>IFERROR(__xludf.DUMMYFUNCTION("IFERROR(((IFERROR(SUM(FILTER('Fund Data'!$V:$V, 'Fund Data'!$C:$C = $C1553, 'Fund Data'!$A:$A = $A1553 - 2, 'Fund Data'!$B:$B &gt;= 4)) * 'Parameters and Distribution Sum'!$B$4,0) + IFERROR(SUM(FILTER('Fund Data'!$V:$V, 'Fund Data'!$C:$C = $C1553, 'Fund Data"&amp;"'!$A:$A = $A1553 - 1, 'Fund Data'!$B:$B &lt;= 3)) * 'Parameters and Distribution Sum'!$B$4,0))),0)"),0.0)</f>
        <v>0</v>
      </c>
      <c r="AB1553" s="44">
        <f t="shared" si="141"/>
        <v>0</v>
      </c>
      <c r="AC1553" s="44">
        <f t="shared" si="142"/>
        <v>0</v>
      </c>
      <c r="AD1553" s="44">
        <f t="shared" si="7"/>
        <v>0</v>
      </c>
      <c r="AE1553" s="44"/>
    </row>
    <row r="1554">
      <c r="A1554" s="178"/>
      <c r="B1554" s="179"/>
      <c r="C1554" s="147"/>
      <c r="D1554" s="44"/>
      <c r="E1554" s="44"/>
      <c r="F1554" s="44"/>
      <c r="G1554" s="44"/>
      <c r="H1554" s="44"/>
      <c r="I1554" s="44"/>
      <c r="J1554" s="44"/>
      <c r="K1554" s="44"/>
      <c r="L1554" s="44"/>
      <c r="M1554" s="44"/>
      <c r="N1554" s="44"/>
      <c r="O1554" s="44"/>
      <c r="P1554" s="52">
        <f t="shared" si="23"/>
        <v>0</v>
      </c>
      <c r="Q1554" s="124">
        <f t="shared" si="2"/>
        <v>0</v>
      </c>
      <c r="R1554" s="52">
        <f t="array" ref="R1554">IFERROR(INDEX('Fund YTD Target Values'!$1:$1000, MATCH($C1554,'Fund YTD Target Values'!$A:$A,0), MATCH($A1554,'Fund YTD Target Values'!$1:$1,0)),0)</f>
        <v>0</v>
      </c>
      <c r="S1554" s="52">
        <f>IFERROR(__xludf.DUMMYFUNCTION("IFERROR(sum(FILTER('Fund Data'!$V:$V, 'Fund Data'!$C:$C = $C1554, 'Fund Data'!$A:$A &lt; $A1554)),0) + IFERROR(sum(FILTER('Fund Data'!$V:$V, 'Fund Data'!$C:$C = $C1554, 'Fund Data'!$A:$A = $A1554, 'Fund Data'!$B:$B &lt;= $B1554)),0)"),0.0)</f>
        <v>0</v>
      </c>
      <c r="T1554" s="44"/>
      <c r="U1554" s="44"/>
      <c r="V1554" s="44">
        <f t="shared" si="3"/>
        <v>0</v>
      </c>
      <c r="W1554" s="52">
        <f>IFERROR(__xludf.DUMMYFUNCTION("iFERROR((FILTER('Fund Data'!$Y:$Y, 'Fund Data'!$C:$C = $C1554, 'Fund Data'!$A:$A = $A1554 - 1, 'Fund Data'!$B:$B = 12) + FILTER('Fund Data'!$AA:$AA, 'Fund Data'!$C:$C = $C1554, 'Fund Data'!$A:$A = $A1554 - 1, 'Fund Data'!$B:$B = 12)) * (1 + AVERAGE(FILTER"&amp;"('Inflation Data'!$C:$C,'Inflation Data'!$A:$A = ($A1554 - 2)))) * 'Parameters and Distribution Sum'!$A$4,0)"),0.0)</f>
        <v>0</v>
      </c>
      <c r="X1554" s="52">
        <f>IFERROR(__xludf.DUMMYFUNCTION("IFERROR((IFERROR(FILTER('Fund Data'!$P:$P,'Fund Data'!$C:$C = $C1554,'Fund Data'!$A:$A = ($A1554 - 2), 'Fund Data'!$B:$B = 12),0) - SUM(FILTER('Fund Data'!$V:$V, 'Fund Data'!$C:$C = $C1554, 'Fund Data'!$A:$A = ($A1554 - 2), 'Fund Data'!$B:$B &gt; 3)))  * 'Pa"&amp;"rameters and Distribution Sum'!$B$4 * (1 - 'Parameters and Distribution Sum'!$A$4),0)"),0.0)</f>
        <v>0</v>
      </c>
      <c r="Y1554" s="52">
        <f t="shared" si="140"/>
        <v>0</v>
      </c>
      <c r="Z1554" s="52">
        <f>IFERROR(__xludf.DUMMYFUNCTION("((IFERROR((SUM(FILTER('Fund Data'!$V:$V, 'Fund Data'!$C:$C = $C1554, 'Fund Data'!$A:$A = $A1554 - 1, 'Fund Data'!$B:$B &gt;= 4, 'Fund Data'!$B:$B &lt;= ($B1554 + 5))) / 12) * ($B1554 - 3) * 'Parameters and Distribution Sum'!$B$4, 0) + IF($B1554 &gt;= 9, IFERROR(SU"&amp;"M(FILTER('Fund Data'!$V:$V, 'Fund Data'!$C:$C = $C1554, 'Fund Data'!$A:$A = $A1554, 'Fund Data'!$B:$B &lt;= 3)) * 'Parameters and Distribution Sum'!$B$4, 0),0)))"),0.0)</f>
        <v>0</v>
      </c>
      <c r="AA1554" s="44">
        <f>IFERROR(__xludf.DUMMYFUNCTION("IFERROR(((IFERROR(SUM(FILTER('Fund Data'!$V:$V, 'Fund Data'!$C:$C = $C1554, 'Fund Data'!$A:$A = $A1554 - 2, 'Fund Data'!$B:$B &gt;= 4)) * 'Parameters and Distribution Sum'!$B$4,0) + IFERROR(SUM(FILTER('Fund Data'!$V:$V, 'Fund Data'!$C:$C = $C1554, 'Fund Data"&amp;"'!$A:$A = $A1554 - 1, 'Fund Data'!$B:$B &lt;= 3)) * 'Parameters and Distribution Sum'!$B$4,0))),0)"),0.0)</f>
        <v>0</v>
      </c>
      <c r="AB1554" s="44">
        <f t="shared" si="141"/>
        <v>0</v>
      </c>
      <c r="AC1554" s="44">
        <f t="shared" si="142"/>
        <v>0</v>
      </c>
      <c r="AD1554" s="44">
        <f t="shared" si="7"/>
        <v>0</v>
      </c>
      <c r="AE1554" s="44"/>
    </row>
    <row r="1555">
      <c r="A1555" s="178"/>
      <c r="B1555" s="179"/>
      <c r="C1555" s="147"/>
      <c r="D1555" s="44"/>
      <c r="E1555" s="44"/>
      <c r="F1555" s="44"/>
      <c r="G1555" s="44"/>
      <c r="H1555" s="44"/>
      <c r="I1555" s="44"/>
      <c r="J1555" s="44"/>
      <c r="K1555" s="44"/>
      <c r="L1555" s="44"/>
      <c r="M1555" s="44"/>
      <c r="N1555" s="44"/>
      <c r="O1555" s="44"/>
      <c r="P1555" s="52">
        <f t="shared" si="23"/>
        <v>0</v>
      </c>
      <c r="Q1555" s="124">
        <f t="shared" si="2"/>
        <v>0</v>
      </c>
      <c r="R1555" s="52">
        <f t="array" ref="R1555">IFERROR(INDEX('Fund YTD Target Values'!$1:$1000, MATCH($C1555,'Fund YTD Target Values'!$A:$A,0), MATCH($A1555,'Fund YTD Target Values'!$1:$1,0)),0)</f>
        <v>0</v>
      </c>
      <c r="S1555" s="52">
        <f>IFERROR(__xludf.DUMMYFUNCTION("IFERROR(sum(FILTER('Fund Data'!$V:$V, 'Fund Data'!$C:$C = $C1555, 'Fund Data'!$A:$A &lt; $A1555)),0) + IFERROR(sum(FILTER('Fund Data'!$V:$V, 'Fund Data'!$C:$C = $C1555, 'Fund Data'!$A:$A = $A1555, 'Fund Data'!$B:$B &lt;= $B1555)),0)"),0.0)</f>
        <v>0</v>
      </c>
      <c r="T1555" s="44"/>
      <c r="U1555" s="44"/>
      <c r="V1555" s="44">
        <f t="shared" si="3"/>
        <v>0</v>
      </c>
      <c r="W1555" s="52">
        <f>IFERROR(__xludf.DUMMYFUNCTION("iFERROR((FILTER('Fund Data'!$Y:$Y, 'Fund Data'!$C:$C = $C1555, 'Fund Data'!$A:$A = $A1555 - 1, 'Fund Data'!$B:$B = 12) + FILTER('Fund Data'!$AA:$AA, 'Fund Data'!$C:$C = $C1555, 'Fund Data'!$A:$A = $A1555 - 1, 'Fund Data'!$B:$B = 12)) * (1 + AVERAGE(FILTER"&amp;"('Inflation Data'!$C:$C,'Inflation Data'!$A:$A = ($A1555 - 2)))) * 'Parameters and Distribution Sum'!$A$4,0)"),0.0)</f>
        <v>0</v>
      </c>
      <c r="X1555" s="52">
        <f>IFERROR(__xludf.DUMMYFUNCTION("IFERROR((IFERROR(FILTER('Fund Data'!$P:$P,'Fund Data'!$C:$C = $C1555,'Fund Data'!$A:$A = ($A1555 - 2), 'Fund Data'!$B:$B = 12),0) - SUM(FILTER('Fund Data'!$V:$V, 'Fund Data'!$C:$C = $C1555, 'Fund Data'!$A:$A = ($A1555 - 2), 'Fund Data'!$B:$B &gt; 3)))  * 'Pa"&amp;"rameters and Distribution Sum'!$B$4 * (1 - 'Parameters and Distribution Sum'!$A$4),0)"),0.0)</f>
        <v>0</v>
      </c>
      <c r="Y1555" s="52">
        <f t="shared" si="140"/>
        <v>0</v>
      </c>
      <c r="Z1555" s="52">
        <f>IFERROR(__xludf.DUMMYFUNCTION("((IFERROR((SUM(FILTER('Fund Data'!$V:$V, 'Fund Data'!$C:$C = $C1555, 'Fund Data'!$A:$A = $A1555 - 1, 'Fund Data'!$B:$B &gt;= 4, 'Fund Data'!$B:$B &lt;= ($B1555 + 5))) / 12) * ($B1555 - 3) * 'Parameters and Distribution Sum'!$B$4, 0) + IF($B1555 &gt;= 9, IFERROR(SU"&amp;"M(FILTER('Fund Data'!$V:$V, 'Fund Data'!$C:$C = $C1555, 'Fund Data'!$A:$A = $A1555, 'Fund Data'!$B:$B &lt;= 3)) * 'Parameters and Distribution Sum'!$B$4, 0),0)))"),0.0)</f>
        <v>0</v>
      </c>
      <c r="AA1555" s="44">
        <f>IFERROR(__xludf.DUMMYFUNCTION("IFERROR(((IFERROR(SUM(FILTER('Fund Data'!$V:$V, 'Fund Data'!$C:$C = $C1555, 'Fund Data'!$A:$A = $A1555 - 2, 'Fund Data'!$B:$B &gt;= 4)) * 'Parameters and Distribution Sum'!$B$4,0) + IFERROR(SUM(FILTER('Fund Data'!$V:$V, 'Fund Data'!$C:$C = $C1555, 'Fund Data"&amp;"'!$A:$A = $A1555 - 1, 'Fund Data'!$B:$B &lt;= 3)) * 'Parameters and Distribution Sum'!$B$4,0))),0)"),0.0)</f>
        <v>0</v>
      </c>
      <c r="AB1555" s="44">
        <f t="shared" si="141"/>
        <v>0</v>
      </c>
      <c r="AC1555" s="44">
        <f t="shared" si="142"/>
        <v>0</v>
      </c>
      <c r="AD1555" s="44">
        <f t="shared" si="7"/>
        <v>0</v>
      </c>
      <c r="AE1555" s="44"/>
    </row>
    <row r="1556">
      <c r="A1556" s="178"/>
      <c r="B1556" s="179"/>
      <c r="C1556" s="147"/>
      <c r="D1556" s="44"/>
      <c r="E1556" s="44"/>
      <c r="F1556" s="44"/>
      <c r="G1556" s="44"/>
      <c r="H1556" s="44"/>
      <c r="I1556" s="44"/>
      <c r="J1556" s="44"/>
      <c r="K1556" s="44"/>
      <c r="L1556" s="44"/>
      <c r="M1556" s="44"/>
      <c r="N1556" s="44"/>
      <c r="O1556" s="44"/>
      <c r="P1556" s="52">
        <f t="shared" si="23"/>
        <v>0</v>
      </c>
      <c r="Q1556" s="124">
        <f t="shared" si="2"/>
        <v>0</v>
      </c>
      <c r="R1556" s="52">
        <f t="array" ref="R1556">IFERROR(INDEX('Fund YTD Target Values'!$1:$1000, MATCH($C1556,'Fund YTD Target Values'!$A:$A,0), MATCH($A1556,'Fund YTD Target Values'!$1:$1,0)),0)</f>
        <v>0</v>
      </c>
      <c r="S1556" s="52">
        <f>IFERROR(__xludf.DUMMYFUNCTION("IFERROR(sum(FILTER('Fund Data'!$V:$V, 'Fund Data'!$C:$C = $C1556, 'Fund Data'!$A:$A &lt; $A1556)),0) + IFERROR(sum(FILTER('Fund Data'!$V:$V, 'Fund Data'!$C:$C = $C1556, 'Fund Data'!$A:$A = $A1556, 'Fund Data'!$B:$B &lt;= $B1556)),0)"),0.0)</f>
        <v>0</v>
      </c>
      <c r="T1556" s="44"/>
      <c r="U1556" s="44"/>
      <c r="V1556" s="44">
        <f t="shared" si="3"/>
        <v>0</v>
      </c>
      <c r="W1556" s="52">
        <f>IFERROR(__xludf.DUMMYFUNCTION("iFERROR((FILTER('Fund Data'!$Y:$Y, 'Fund Data'!$C:$C = $C1556, 'Fund Data'!$A:$A = $A1556 - 1, 'Fund Data'!$B:$B = 12) + FILTER('Fund Data'!$AA:$AA, 'Fund Data'!$C:$C = $C1556, 'Fund Data'!$A:$A = $A1556 - 1, 'Fund Data'!$B:$B = 12)) * (1 + AVERAGE(FILTER"&amp;"('Inflation Data'!$C:$C,'Inflation Data'!$A:$A = ($A1556 - 2)))) * 'Parameters and Distribution Sum'!$A$4,0)"),0.0)</f>
        <v>0</v>
      </c>
      <c r="X1556" s="52">
        <f>IFERROR(__xludf.DUMMYFUNCTION("IFERROR((IFERROR(FILTER('Fund Data'!$P:$P,'Fund Data'!$C:$C = $C1556,'Fund Data'!$A:$A = ($A1556 - 2), 'Fund Data'!$B:$B = 12),0) - SUM(FILTER('Fund Data'!$V:$V, 'Fund Data'!$C:$C = $C1556, 'Fund Data'!$A:$A = ($A1556 - 2), 'Fund Data'!$B:$B &gt; 3)))  * 'Pa"&amp;"rameters and Distribution Sum'!$B$4 * (1 - 'Parameters and Distribution Sum'!$A$4),0)"),0.0)</f>
        <v>0</v>
      </c>
      <c r="Y1556" s="52">
        <f t="shared" si="140"/>
        <v>0</v>
      </c>
      <c r="Z1556" s="52">
        <f>IFERROR(__xludf.DUMMYFUNCTION("((IFERROR((SUM(FILTER('Fund Data'!$V:$V, 'Fund Data'!$C:$C = $C1556, 'Fund Data'!$A:$A = $A1556 - 1, 'Fund Data'!$B:$B &gt;= 4, 'Fund Data'!$B:$B &lt;= ($B1556 + 5))) / 12) * ($B1556 - 3) * 'Parameters and Distribution Sum'!$B$4, 0) + IF($B1556 &gt;= 9, IFERROR(SU"&amp;"M(FILTER('Fund Data'!$V:$V, 'Fund Data'!$C:$C = $C1556, 'Fund Data'!$A:$A = $A1556, 'Fund Data'!$B:$B &lt;= 3)) * 'Parameters and Distribution Sum'!$B$4, 0),0)))"),0.0)</f>
        <v>0</v>
      </c>
      <c r="AA1556" s="44">
        <f>IFERROR(__xludf.DUMMYFUNCTION("IFERROR(((IFERROR(SUM(FILTER('Fund Data'!$V:$V, 'Fund Data'!$C:$C = $C1556, 'Fund Data'!$A:$A = $A1556 - 2, 'Fund Data'!$B:$B &gt;= 4)) * 'Parameters and Distribution Sum'!$B$4,0) + IFERROR(SUM(FILTER('Fund Data'!$V:$V, 'Fund Data'!$C:$C = $C1556, 'Fund Data"&amp;"'!$A:$A = $A1556 - 1, 'Fund Data'!$B:$B &lt;= 3)) * 'Parameters and Distribution Sum'!$B$4,0))),0)"),0.0)</f>
        <v>0</v>
      </c>
      <c r="AB1556" s="44">
        <f t="shared" si="141"/>
        <v>0</v>
      </c>
      <c r="AC1556" s="44">
        <f t="shared" si="142"/>
        <v>0</v>
      </c>
      <c r="AD1556" s="44">
        <f t="shared" si="7"/>
        <v>0</v>
      </c>
      <c r="AE1556" s="44"/>
    </row>
    <row r="1557">
      <c r="A1557" s="178"/>
      <c r="B1557" s="179"/>
      <c r="C1557" s="147"/>
      <c r="D1557" s="44"/>
      <c r="E1557" s="44"/>
      <c r="F1557" s="44"/>
      <c r="G1557" s="44"/>
      <c r="H1557" s="44"/>
      <c r="I1557" s="44"/>
      <c r="J1557" s="44"/>
      <c r="K1557" s="44"/>
      <c r="L1557" s="44"/>
      <c r="M1557" s="44"/>
      <c r="N1557" s="44"/>
      <c r="O1557" s="44"/>
      <c r="P1557" s="52">
        <f t="shared" si="23"/>
        <v>0</v>
      </c>
      <c r="Q1557" s="124">
        <f t="shared" si="2"/>
        <v>0</v>
      </c>
      <c r="R1557" s="52">
        <f t="array" ref="R1557">IFERROR(INDEX('Fund YTD Target Values'!$1:$1000, MATCH($C1557,'Fund YTD Target Values'!$A:$A,0), MATCH($A1557,'Fund YTD Target Values'!$1:$1,0)),0)</f>
        <v>0</v>
      </c>
      <c r="S1557" s="52">
        <f>IFERROR(__xludf.DUMMYFUNCTION("IFERROR(sum(FILTER('Fund Data'!$V:$V, 'Fund Data'!$C:$C = $C1557, 'Fund Data'!$A:$A &lt; $A1557)),0) + IFERROR(sum(FILTER('Fund Data'!$V:$V, 'Fund Data'!$C:$C = $C1557, 'Fund Data'!$A:$A = $A1557, 'Fund Data'!$B:$B &lt;= $B1557)),0)"),0.0)</f>
        <v>0</v>
      </c>
      <c r="T1557" s="44"/>
      <c r="U1557" s="44"/>
      <c r="V1557" s="44">
        <f t="shared" si="3"/>
        <v>0</v>
      </c>
      <c r="W1557" s="52">
        <f>IFERROR(__xludf.DUMMYFUNCTION("iFERROR((FILTER('Fund Data'!$Y:$Y, 'Fund Data'!$C:$C = $C1557, 'Fund Data'!$A:$A = $A1557 - 1, 'Fund Data'!$B:$B = 12) + FILTER('Fund Data'!$AA:$AA, 'Fund Data'!$C:$C = $C1557, 'Fund Data'!$A:$A = $A1557 - 1, 'Fund Data'!$B:$B = 12)) * (1 + AVERAGE(FILTER"&amp;"('Inflation Data'!$C:$C,'Inflation Data'!$A:$A = ($A1557 - 2)))) * 'Parameters and Distribution Sum'!$A$4,0)"),0.0)</f>
        <v>0</v>
      </c>
      <c r="X1557" s="52">
        <f>IFERROR(__xludf.DUMMYFUNCTION("IFERROR((IFERROR(FILTER('Fund Data'!$P:$P,'Fund Data'!$C:$C = $C1557,'Fund Data'!$A:$A = ($A1557 - 2), 'Fund Data'!$B:$B = 12),0) - SUM(FILTER('Fund Data'!$V:$V, 'Fund Data'!$C:$C = $C1557, 'Fund Data'!$A:$A = ($A1557 - 2), 'Fund Data'!$B:$B &gt; 3)))  * 'Pa"&amp;"rameters and Distribution Sum'!$B$4 * (1 - 'Parameters and Distribution Sum'!$A$4),0)"),0.0)</f>
        <v>0</v>
      </c>
      <c r="Y1557" s="52">
        <f t="shared" si="140"/>
        <v>0</v>
      </c>
      <c r="Z1557" s="52">
        <f>IFERROR(__xludf.DUMMYFUNCTION("((IFERROR((SUM(FILTER('Fund Data'!$V:$V, 'Fund Data'!$C:$C = $C1557, 'Fund Data'!$A:$A = $A1557 - 1, 'Fund Data'!$B:$B &gt;= 4, 'Fund Data'!$B:$B &lt;= ($B1557 + 5))) / 12) * ($B1557 - 3) * 'Parameters and Distribution Sum'!$B$4, 0) + IF($B1557 &gt;= 9, IFERROR(SU"&amp;"M(FILTER('Fund Data'!$V:$V, 'Fund Data'!$C:$C = $C1557, 'Fund Data'!$A:$A = $A1557, 'Fund Data'!$B:$B &lt;= 3)) * 'Parameters and Distribution Sum'!$B$4, 0),0)))"),0.0)</f>
        <v>0</v>
      </c>
      <c r="AA1557" s="44">
        <f>IFERROR(__xludf.DUMMYFUNCTION("IFERROR(((IFERROR(SUM(FILTER('Fund Data'!$V:$V, 'Fund Data'!$C:$C = $C1557, 'Fund Data'!$A:$A = $A1557 - 2, 'Fund Data'!$B:$B &gt;= 4)) * 'Parameters and Distribution Sum'!$B$4,0) + IFERROR(SUM(FILTER('Fund Data'!$V:$V, 'Fund Data'!$C:$C = $C1557, 'Fund Data"&amp;"'!$A:$A = $A1557 - 1, 'Fund Data'!$B:$B &lt;= 3)) * 'Parameters and Distribution Sum'!$B$4,0))),0)"),0.0)</f>
        <v>0</v>
      </c>
      <c r="AB1557" s="44">
        <f t="shared" si="141"/>
        <v>0</v>
      </c>
      <c r="AC1557" s="44">
        <f t="shared" si="142"/>
        <v>0</v>
      </c>
      <c r="AD1557" s="44">
        <f t="shared" si="7"/>
        <v>0</v>
      </c>
      <c r="AE1557" s="44"/>
    </row>
    <row r="1558">
      <c r="A1558" s="178"/>
      <c r="B1558" s="179"/>
      <c r="C1558" s="147"/>
      <c r="D1558" s="44"/>
      <c r="E1558" s="44"/>
      <c r="F1558" s="44"/>
      <c r="G1558" s="44"/>
      <c r="H1558" s="44"/>
      <c r="I1558" s="44"/>
      <c r="J1558" s="44"/>
      <c r="K1558" s="44"/>
      <c r="L1558" s="44"/>
      <c r="M1558" s="44"/>
      <c r="N1558" s="44"/>
      <c r="O1558" s="44"/>
      <c r="P1558" s="52">
        <f t="shared" si="23"/>
        <v>0</v>
      </c>
      <c r="Q1558" s="124">
        <f t="shared" si="2"/>
        <v>0</v>
      </c>
      <c r="R1558" s="52">
        <f t="array" ref="R1558">IFERROR(INDEX('Fund YTD Target Values'!$1:$1000, MATCH($C1558,'Fund YTD Target Values'!$A:$A,0), MATCH($A1558,'Fund YTD Target Values'!$1:$1,0)),0)</f>
        <v>0</v>
      </c>
      <c r="S1558" s="52">
        <f>IFERROR(__xludf.DUMMYFUNCTION("IFERROR(sum(FILTER('Fund Data'!$V:$V, 'Fund Data'!$C:$C = $C1558, 'Fund Data'!$A:$A &lt; $A1558)),0) + IFERROR(sum(FILTER('Fund Data'!$V:$V, 'Fund Data'!$C:$C = $C1558, 'Fund Data'!$A:$A = $A1558, 'Fund Data'!$B:$B &lt;= $B1558)),0)"),0.0)</f>
        <v>0</v>
      </c>
      <c r="T1558" s="44"/>
      <c r="U1558" s="44"/>
      <c r="V1558" s="44">
        <f t="shared" si="3"/>
        <v>0</v>
      </c>
      <c r="W1558" s="52">
        <f>IFERROR(__xludf.DUMMYFUNCTION("iFERROR((FILTER('Fund Data'!$Y:$Y, 'Fund Data'!$C:$C = $C1558, 'Fund Data'!$A:$A = $A1558 - 1, 'Fund Data'!$B:$B = 12) + FILTER('Fund Data'!$AA:$AA, 'Fund Data'!$C:$C = $C1558, 'Fund Data'!$A:$A = $A1558 - 1, 'Fund Data'!$B:$B = 12)) * (1 + AVERAGE(FILTER"&amp;"('Inflation Data'!$C:$C,'Inflation Data'!$A:$A = ($A1558 - 2)))) * 'Parameters and Distribution Sum'!$A$4,0)"),0.0)</f>
        <v>0</v>
      </c>
      <c r="X1558" s="52">
        <f>IFERROR(__xludf.DUMMYFUNCTION("IFERROR((IFERROR(FILTER('Fund Data'!$P:$P,'Fund Data'!$C:$C = $C1558,'Fund Data'!$A:$A = ($A1558 - 2), 'Fund Data'!$B:$B = 12),0) - SUM(FILTER('Fund Data'!$V:$V, 'Fund Data'!$C:$C = $C1558, 'Fund Data'!$A:$A = ($A1558 - 2), 'Fund Data'!$B:$B &gt; 3)))  * 'Pa"&amp;"rameters and Distribution Sum'!$B$4 * (1 - 'Parameters and Distribution Sum'!$A$4),0)"),0.0)</f>
        <v>0</v>
      </c>
      <c r="Y1558" s="52">
        <f t="shared" si="140"/>
        <v>0</v>
      </c>
      <c r="Z1558" s="52">
        <f>IFERROR(__xludf.DUMMYFUNCTION("((IFERROR((SUM(FILTER('Fund Data'!$V:$V, 'Fund Data'!$C:$C = $C1558, 'Fund Data'!$A:$A = $A1558 - 1, 'Fund Data'!$B:$B &gt;= 4, 'Fund Data'!$B:$B &lt;= ($B1558 + 5))) / 12) * ($B1558 - 3) * 'Parameters and Distribution Sum'!$B$4, 0) + IF($B1558 &gt;= 9, IFERROR(SU"&amp;"M(FILTER('Fund Data'!$V:$V, 'Fund Data'!$C:$C = $C1558, 'Fund Data'!$A:$A = $A1558, 'Fund Data'!$B:$B &lt;= 3)) * 'Parameters and Distribution Sum'!$B$4, 0),0)))"),0.0)</f>
        <v>0</v>
      </c>
      <c r="AA1558" s="44">
        <f>IFERROR(__xludf.DUMMYFUNCTION("IFERROR(((IFERROR(SUM(FILTER('Fund Data'!$V:$V, 'Fund Data'!$C:$C = $C1558, 'Fund Data'!$A:$A = $A1558 - 2, 'Fund Data'!$B:$B &gt;= 4)) * 'Parameters and Distribution Sum'!$B$4,0) + IFERROR(SUM(FILTER('Fund Data'!$V:$V, 'Fund Data'!$C:$C = $C1558, 'Fund Data"&amp;"'!$A:$A = $A1558 - 1, 'Fund Data'!$B:$B &lt;= 3)) * 'Parameters and Distribution Sum'!$B$4,0))),0)"),0.0)</f>
        <v>0</v>
      </c>
      <c r="AB1558" s="44">
        <f t="shared" si="141"/>
        <v>0</v>
      </c>
      <c r="AC1558" s="44">
        <f t="shared" si="142"/>
        <v>0</v>
      </c>
      <c r="AD1558" s="44">
        <f t="shared" si="7"/>
        <v>0</v>
      </c>
      <c r="AE1558" s="44"/>
    </row>
    <row r="1559">
      <c r="A1559" s="178"/>
      <c r="B1559" s="179"/>
      <c r="C1559" s="147"/>
      <c r="D1559" s="44"/>
      <c r="E1559" s="44"/>
      <c r="F1559" s="44"/>
      <c r="G1559" s="44"/>
      <c r="H1559" s="44"/>
      <c r="I1559" s="44"/>
      <c r="J1559" s="44"/>
      <c r="K1559" s="44"/>
      <c r="L1559" s="44"/>
      <c r="M1559" s="44"/>
      <c r="N1559" s="44"/>
      <c r="O1559" s="44"/>
      <c r="P1559" s="52">
        <f t="shared" si="23"/>
        <v>0</v>
      </c>
      <c r="Q1559" s="124">
        <f t="shared" si="2"/>
        <v>0</v>
      </c>
      <c r="R1559" s="52">
        <f t="array" ref="R1559">IFERROR(INDEX('Fund YTD Target Values'!$1:$1000, MATCH($C1559,'Fund YTD Target Values'!$A:$A,0), MATCH($A1559,'Fund YTD Target Values'!$1:$1,0)),0)</f>
        <v>0</v>
      </c>
      <c r="S1559" s="52">
        <f>IFERROR(__xludf.DUMMYFUNCTION("IFERROR(sum(FILTER('Fund Data'!$V:$V, 'Fund Data'!$C:$C = $C1559, 'Fund Data'!$A:$A &lt; $A1559)),0) + IFERROR(sum(FILTER('Fund Data'!$V:$V, 'Fund Data'!$C:$C = $C1559, 'Fund Data'!$A:$A = $A1559, 'Fund Data'!$B:$B &lt;= $B1559)),0)"),0.0)</f>
        <v>0</v>
      </c>
      <c r="T1559" s="44"/>
      <c r="U1559" s="44"/>
      <c r="V1559" s="44">
        <f t="shared" si="3"/>
        <v>0</v>
      </c>
      <c r="W1559" s="52">
        <f>IFERROR(__xludf.DUMMYFUNCTION("iFERROR((FILTER('Fund Data'!$Y:$Y, 'Fund Data'!$C:$C = $C1559, 'Fund Data'!$A:$A = $A1559 - 1, 'Fund Data'!$B:$B = 12) + FILTER('Fund Data'!$AA:$AA, 'Fund Data'!$C:$C = $C1559, 'Fund Data'!$A:$A = $A1559 - 1, 'Fund Data'!$B:$B = 12)) * (1 + AVERAGE(FILTER"&amp;"('Inflation Data'!$C:$C,'Inflation Data'!$A:$A = ($A1559 - 2)))) * 'Parameters and Distribution Sum'!$A$4,0)"),0.0)</f>
        <v>0</v>
      </c>
      <c r="X1559" s="52">
        <f>IFERROR(__xludf.DUMMYFUNCTION("IFERROR((IFERROR(FILTER('Fund Data'!$P:$P,'Fund Data'!$C:$C = $C1559,'Fund Data'!$A:$A = ($A1559 - 2), 'Fund Data'!$B:$B = 12),0) - SUM(FILTER('Fund Data'!$V:$V, 'Fund Data'!$C:$C = $C1559, 'Fund Data'!$A:$A = ($A1559 - 2), 'Fund Data'!$B:$B &gt; 3)))  * 'Pa"&amp;"rameters and Distribution Sum'!$B$4 * (1 - 'Parameters and Distribution Sum'!$A$4),0)"),0.0)</f>
        <v>0</v>
      </c>
      <c r="Y1559" s="52">
        <f t="shared" si="140"/>
        <v>0</v>
      </c>
      <c r="Z1559" s="52">
        <f>IFERROR(__xludf.DUMMYFUNCTION("((IFERROR((SUM(FILTER('Fund Data'!$V:$V, 'Fund Data'!$C:$C = $C1559, 'Fund Data'!$A:$A = $A1559 - 1, 'Fund Data'!$B:$B &gt;= 4, 'Fund Data'!$B:$B &lt;= ($B1559 + 5))) / 12) * ($B1559 - 3) * 'Parameters and Distribution Sum'!$B$4, 0) + IF($B1559 &gt;= 9, IFERROR(SU"&amp;"M(FILTER('Fund Data'!$V:$V, 'Fund Data'!$C:$C = $C1559, 'Fund Data'!$A:$A = $A1559, 'Fund Data'!$B:$B &lt;= 3)) * 'Parameters and Distribution Sum'!$B$4, 0),0)))"),0.0)</f>
        <v>0</v>
      </c>
      <c r="AA1559" s="44">
        <f>IFERROR(__xludf.DUMMYFUNCTION("IFERROR(((IFERROR(SUM(FILTER('Fund Data'!$V:$V, 'Fund Data'!$C:$C = $C1559, 'Fund Data'!$A:$A = $A1559 - 2, 'Fund Data'!$B:$B &gt;= 4)) * 'Parameters and Distribution Sum'!$B$4,0) + IFERROR(SUM(FILTER('Fund Data'!$V:$V, 'Fund Data'!$C:$C = $C1559, 'Fund Data"&amp;"'!$A:$A = $A1559 - 1, 'Fund Data'!$B:$B &lt;= 3)) * 'Parameters and Distribution Sum'!$B$4,0))),0)"),0.0)</f>
        <v>0</v>
      </c>
      <c r="AB1559" s="44">
        <f t="shared" si="141"/>
        <v>0</v>
      </c>
      <c r="AC1559" s="44">
        <f t="shared" si="142"/>
        <v>0</v>
      </c>
      <c r="AD1559" s="44">
        <f t="shared" si="7"/>
        <v>0</v>
      </c>
      <c r="AE1559" s="44"/>
    </row>
    <row r="1560">
      <c r="A1560" s="178"/>
      <c r="B1560" s="179"/>
      <c r="C1560" s="147"/>
      <c r="D1560" s="44"/>
      <c r="E1560" s="44"/>
      <c r="F1560" s="44"/>
      <c r="G1560" s="44"/>
      <c r="H1560" s="44"/>
      <c r="I1560" s="44"/>
      <c r="J1560" s="44"/>
      <c r="K1560" s="44"/>
      <c r="L1560" s="44"/>
      <c r="M1560" s="44"/>
      <c r="N1560" s="44"/>
      <c r="O1560" s="44"/>
      <c r="P1560" s="52">
        <f t="shared" si="23"/>
        <v>0</v>
      </c>
      <c r="Q1560" s="124">
        <f t="shared" si="2"/>
        <v>0</v>
      </c>
      <c r="R1560" s="52">
        <f t="array" ref="R1560">IFERROR(INDEX('Fund YTD Target Values'!$1:$1000, MATCH($C1560,'Fund YTD Target Values'!$A:$A,0), MATCH($A1560,'Fund YTD Target Values'!$1:$1,0)),0)</f>
        <v>0</v>
      </c>
      <c r="S1560" s="52">
        <f>IFERROR(__xludf.DUMMYFUNCTION("IFERROR(sum(FILTER('Fund Data'!$V:$V, 'Fund Data'!$C:$C = $C1560, 'Fund Data'!$A:$A &lt; $A1560)),0) + IFERROR(sum(FILTER('Fund Data'!$V:$V, 'Fund Data'!$C:$C = $C1560, 'Fund Data'!$A:$A = $A1560, 'Fund Data'!$B:$B &lt;= $B1560)),0)"),0.0)</f>
        <v>0</v>
      </c>
      <c r="T1560" s="44"/>
      <c r="U1560" s="44"/>
      <c r="V1560" s="44">
        <f t="shared" si="3"/>
        <v>0</v>
      </c>
      <c r="W1560" s="52">
        <f>IFERROR(__xludf.DUMMYFUNCTION("iFERROR((FILTER('Fund Data'!$Y:$Y, 'Fund Data'!$C:$C = $C1560, 'Fund Data'!$A:$A = $A1560 - 1, 'Fund Data'!$B:$B = 12) + FILTER('Fund Data'!$AA:$AA, 'Fund Data'!$C:$C = $C1560, 'Fund Data'!$A:$A = $A1560 - 1, 'Fund Data'!$B:$B = 12)) * (1 + AVERAGE(FILTER"&amp;"('Inflation Data'!$C:$C,'Inflation Data'!$A:$A = ($A1560 - 2)))) * 'Parameters and Distribution Sum'!$A$4,0)"),0.0)</f>
        <v>0</v>
      </c>
      <c r="X1560" s="52">
        <f>IFERROR(__xludf.DUMMYFUNCTION("IFERROR((IFERROR(FILTER('Fund Data'!$P:$P,'Fund Data'!$C:$C = $C1560,'Fund Data'!$A:$A = ($A1560 - 2), 'Fund Data'!$B:$B = 12),0) - SUM(FILTER('Fund Data'!$V:$V, 'Fund Data'!$C:$C = $C1560, 'Fund Data'!$A:$A = ($A1560 - 2), 'Fund Data'!$B:$B &gt; 3)))  * 'Pa"&amp;"rameters and Distribution Sum'!$B$4 * (1 - 'Parameters and Distribution Sum'!$A$4),0)"),0.0)</f>
        <v>0</v>
      </c>
      <c r="Y1560" s="52">
        <f t="shared" si="140"/>
        <v>0</v>
      </c>
      <c r="Z1560" s="52">
        <f>IFERROR(__xludf.DUMMYFUNCTION("((IFERROR((SUM(FILTER('Fund Data'!$V:$V, 'Fund Data'!$C:$C = $C1560, 'Fund Data'!$A:$A = $A1560 - 1, 'Fund Data'!$B:$B &gt;= 4, 'Fund Data'!$B:$B &lt;= ($B1560 + 5))) / 12) * ($B1560 - 3) * 'Parameters and Distribution Sum'!$B$4, 0) + IF($B1560 &gt;= 9, IFERROR(SU"&amp;"M(FILTER('Fund Data'!$V:$V, 'Fund Data'!$C:$C = $C1560, 'Fund Data'!$A:$A = $A1560, 'Fund Data'!$B:$B &lt;= 3)) * 'Parameters and Distribution Sum'!$B$4, 0),0)))"),0.0)</f>
        <v>0</v>
      </c>
      <c r="AA1560" s="44">
        <f>IFERROR(__xludf.DUMMYFUNCTION("IFERROR(((IFERROR(SUM(FILTER('Fund Data'!$V:$V, 'Fund Data'!$C:$C = $C1560, 'Fund Data'!$A:$A = $A1560 - 2, 'Fund Data'!$B:$B &gt;= 4)) * 'Parameters and Distribution Sum'!$B$4,0) + IFERROR(SUM(FILTER('Fund Data'!$V:$V, 'Fund Data'!$C:$C = $C1560, 'Fund Data"&amp;"'!$A:$A = $A1560 - 1, 'Fund Data'!$B:$B &lt;= 3)) * 'Parameters and Distribution Sum'!$B$4,0))),0)"),0.0)</f>
        <v>0</v>
      </c>
      <c r="AB1560" s="44">
        <f t="shared" si="141"/>
        <v>0</v>
      </c>
      <c r="AC1560" s="44">
        <f t="shared" si="142"/>
        <v>0</v>
      </c>
      <c r="AD1560" s="44">
        <f t="shared" si="7"/>
        <v>0</v>
      </c>
      <c r="AE1560" s="44"/>
    </row>
    <row r="1561">
      <c r="A1561" s="178"/>
      <c r="B1561" s="179"/>
      <c r="C1561" s="147"/>
      <c r="D1561" s="44"/>
      <c r="E1561" s="44"/>
      <c r="F1561" s="44"/>
      <c r="G1561" s="44"/>
      <c r="H1561" s="44"/>
      <c r="I1561" s="44"/>
      <c r="J1561" s="44"/>
      <c r="K1561" s="44"/>
      <c r="L1561" s="44"/>
      <c r="M1561" s="44"/>
      <c r="N1561" s="44"/>
      <c r="O1561" s="44"/>
      <c r="P1561" s="52">
        <f t="shared" si="23"/>
        <v>0</v>
      </c>
      <c r="Q1561" s="124">
        <f t="shared" si="2"/>
        <v>0</v>
      </c>
      <c r="R1561" s="52">
        <f t="array" ref="R1561">IFERROR(INDEX('Fund YTD Target Values'!$1:$1000, MATCH($C1561,'Fund YTD Target Values'!$A:$A,0), MATCH($A1561,'Fund YTD Target Values'!$1:$1,0)),0)</f>
        <v>0</v>
      </c>
      <c r="S1561" s="52">
        <f>IFERROR(__xludf.DUMMYFUNCTION("IFERROR(sum(FILTER('Fund Data'!$V:$V, 'Fund Data'!$C:$C = $C1561, 'Fund Data'!$A:$A &lt; $A1561)),0) + IFERROR(sum(FILTER('Fund Data'!$V:$V, 'Fund Data'!$C:$C = $C1561, 'Fund Data'!$A:$A = $A1561, 'Fund Data'!$B:$B &lt;= $B1561)),0)"),0.0)</f>
        <v>0</v>
      </c>
      <c r="T1561" s="44"/>
      <c r="U1561" s="44"/>
      <c r="V1561" s="44">
        <f t="shared" si="3"/>
        <v>0</v>
      </c>
      <c r="W1561" s="52">
        <f>IFERROR(__xludf.DUMMYFUNCTION("iFERROR((FILTER('Fund Data'!$Y:$Y, 'Fund Data'!$C:$C = $C1561, 'Fund Data'!$A:$A = $A1561 - 1, 'Fund Data'!$B:$B = 12) + FILTER('Fund Data'!$AA:$AA, 'Fund Data'!$C:$C = $C1561, 'Fund Data'!$A:$A = $A1561 - 1, 'Fund Data'!$B:$B = 12)) * (1 + AVERAGE(FILTER"&amp;"('Inflation Data'!$C:$C,'Inflation Data'!$A:$A = ($A1561 - 2)))) * 'Parameters and Distribution Sum'!$A$4,0)"),0.0)</f>
        <v>0</v>
      </c>
      <c r="X1561" s="52">
        <f>IFERROR(__xludf.DUMMYFUNCTION("IFERROR((IFERROR(FILTER('Fund Data'!$P:$P,'Fund Data'!$C:$C = $C1561,'Fund Data'!$A:$A = ($A1561 - 2), 'Fund Data'!$B:$B = 12),0) - SUM(FILTER('Fund Data'!$V:$V, 'Fund Data'!$C:$C = $C1561, 'Fund Data'!$A:$A = ($A1561 - 2), 'Fund Data'!$B:$B &gt; 3)))  * 'Pa"&amp;"rameters and Distribution Sum'!$B$4 * (1 - 'Parameters and Distribution Sum'!$A$4),0)"),0.0)</f>
        <v>0</v>
      </c>
      <c r="Y1561" s="52">
        <f t="shared" si="140"/>
        <v>0</v>
      </c>
      <c r="Z1561" s="52">
        <f>IFERROR(__xludf.DUMMYFUNCTION("((IFERROR((SUM(FILTER('Fund Data'!$V:$V, 'Fund Data'!$C:$C = $C1561, 'Fund Data'!$A:$A = $A1561 - 1, 'Fund Data'!$B:$B &gt;= 4, 'Fund Data'!$B:$B &lt;= ($B1561 + 5))) / 12) * ($B1561 - 3) * 'Parameters and Distribution Sum'!$B$4, 0) + IF($B1561 &gt;= 9, IFERROR(SU"&amp;"M(FILTER('Fund Data'!$V:$V, 'Fund Data'!$C:$C = $C1561, 'Fund Data'!$A:$A = $A1561, 'Fund Data'!$B:$B &lt;= 3)) * 'Parameters and Distribution Sum'!$B$4, 0),0)))"),0.0)</f>
        <v>0</v>
      </c>
      <c r="AA1561" s="44">
        <f>IFERROR(__xludf.DUMMYFUNCTION("IFERROR(((IFERROR(SUM(FILTER('Fund Data'!$V:$V, 'Fund Data'!$C:$C = $C1561, 'Fund Data'!$A:$A = $A1561 - 2, 'Fund Data'!$B:$B &gt;= 4)) * 'Parameters and Distribution Sum'!$B$4,0) + IFERROR(SUM(FILTER('Fund Data'!$V:$V, 'Fund Data'!$C:$C = $C1561, 'Fund Data"&amp;"'!$A:$A = $A1561 - 1, 'Fund Data'!$B:$B &lt;= 3)) * 'Parameters and Distribution Sum'!$B$4,0))),0)"),0.0)</f>
        <v>0</v>
      </c>
      <c r="AB1561" s="44">
        <f t="shared" si="141"/>
        <v>0</v>
      </c>
      <c r="AC1561" s="44">
        <f t="shared" si="142"/>
        <v>0</v>
      </c>
      <c r="AD1561" s="44">
        <f t="shared" si="7"/>
        <v>0</v>
      </c>
      <c r="AE1561" s="44"/>
    </row>
    <row r="1562">
      <c r="A1562" s="178"/>
      <c r="B1562" s="179"/>
      <c r="C1562" s="147"/>
      <c r="D1562" s="44"/>
      <c r="E1562" s="44"/>
      <c r="F1562" s="44"/>
      <c r="G1562" s="44"/>
      <c r="H1562" s="44"/>
      <c r="I1562" s="44"/>
      <c r="J1562" s="44"/>
      <c r="K1562" s="44"/>
      <c r="L1562" s="44"/>
      <c r="M1562" s="44"/>
      <c r="N1562" s="44"/>
      <c r="O1562" s="44"/>
      <c r="P1562" s="52">
        <f t="shared" si="23"/>
        <v>0</v>
      </c>
      <c r="Q1562" s="124">
        <f t="shared" si="2"/>
        <v>0</v>
      </c>
      <c r="R1562" s="52">
        <f t="array" ref="R1562">IFERROR(INDEX('Fund YTD Target Values'!$1:$1000, MATCH($C1562,'Fund YTD Target Values'!$A:$A,0), MATCH($A1562,'Fund YTD Target Values'!$1:$1,0)),0)</f>
        <v>0</v>
      </c>
      <c r="S1562" s="52">
        <f>IFERROR(__xludf.DUMMYFUNCTION("IFERROR(sum(FILTER('Fund Data'!$V:$V, 'Fund Data'!$C:$C = $C1562, 'Fund Data'!$A:$A &lt; $A1562)),0) + IFERROR(sum(FILTER('Fund Data'!$V:$V, 'Fund Data'!$C:$C = $C1562, 'Fund Data'!$A:$A = $A1562, 'Fund Data'!$B:$B &lt;= $B1562)),0)"),0.0)</f>
        <v>0</v>
      </c>
      <c r="T1562" s="44"/>
      <c r="U1562" s="44"/>
      <c r="V1562" s="44">
        <f t="shared" si="3"/>
        <v>0</v>
      </c>
      <c r="W1562" s="52">
        <f>IFERROR(__xludf.DUMMYFUNCTION("iFERROR((FILTER('Fund Data'!$Y:$Y, 'Fund Data'!$C:$C = $C1562, 'Fund Data'!$A:$A = $A1562 - 1, 'Fund Data'!$B:$B = 12) + FILTER('Fund Data'!$AA:$AA, 'Fund Data'!$C:$C = $C1562, 'Fund Data'!$A:$A = $A1562 - 1, 'Fund Data'!$B:$B = 12)) * (1 + AVERAGE(FILTER"&amp;"('Inflation Data'!$C:$C,'Inflation Data'!$A:$A = ($A1562 - 2)))) * 'Parameters and Distribution Sum'!$A$4,0)"),0.0)</f>
        <v>0</v>
      </c>
      <c r="X1562" s="52">
        <f>IFERROR(__xludf.DUMMYFUNCTION("IFERROR((IFERROR(FILTER('Fund Data'!$P:$P,'Fund Data'!$C:$C = $C1562,'Fund Data'!$A:$A = ($A1562 - 2), 'Fund Data'!$B:$B = 12),0) - SUM(FILTER('Fund Data'!$V:$V, 'Fund Data'!$C:$C = $C1562, 'Fund Data'!$A:$A = ($A1562 - 2), 'Fund Data'!$B:$B &gt; 3)))  * 'Pa"&amp;"rameters and Distribution Sum'!$B$4 * (1 - 'Parameters and Distribution Sum'!$A$4),0)"),0.0)</f>
        <v>0</v>
      </c>
      <c r="Y1562" s="52">
        <f t="shared" si="140"/>
        <v>0</v>
      </c>
      <c r="Z1562" s="52">
        <f>IFERROR(__xludf.DUMMYFUNCTION("((IFERROR((SUM(FILTER('Fund Data'!$V:$V, 'Fund Data'!$C:$C = $C1562, 'Fund Data'!$A:$A = $A1562 - 1, 'Fund Data'!$B:$B &gt;= 4, 'Fund Data'!$B:$B &lt;= ($B1562 + 5))) / 12) * ($B1562 - 3) * 'Parameters and Distribution Sum'!$B$4, 0) + IF($B1562 &gt;= 9, IFERROR(SU"&amp;"M(FILTER('Fund Data'!$V:$V, 'Fund Data'!$C:$C = $C1562, 'Fund Data'!$A:$A = $A1562, 'Fund Data'!$B:$B &lt;= 3)) * 'Parameters and Distribution Sum'!$B$4, 0),0)))"),0.0)</f>
        <v>0</v>
      </c>
      <c r="AA1562" s="44">
        <f>IFERROR(__xludf.DUMMYFUNCTION("IFERROR(((IFERROR(SUM(FILTER('Fund Data'!$V:$V, 'Fund Data'!$C:$C = $C1562, 'Fund Data'!$A:$A = $A1562 - 2, 'Fund Data'!$B:$B &gt;= 4)) * 'Parameters and Distribution Sum'!$B$4,0) + IFERROR(SUM(FILTER('Fund Data'!$V:$V, 'Fund Data'!$C:$C = $C1562, 'Fund Data"&amp;"'!$A:$A = $A1562 - 1, 'Fund Data'!$B:$B &lt;= 3)) * 'Parameters and Distribution Sum'!$B$4,0))),0)"),0.0)</f>
        <v>0</v>
      </c>
      <c r="AB1562" s="44">
        <f t="shared" si="141"/>
        <v>0</v>
      </c>
      <c r="AC1562" s="44">
        <f t="shared" si="142"/>
        <v>0</v>
      </c>
      <c r="AD1562" s="44">
        <f t="shared" si="7"/>
        <v>0</v>
      </c>
      <c r="AE1562" s="44"/>
    </row>
    <row r="1563">
      <c r="A1563" s="178"/>
      <c r="B1563" s="179"/>
      <c r="C1563" s="147"/>
      <c r="D1563" s="44"/>
      <c r="E1563" s="44"/>
      <c r="F1563" s="44"/>
      <c r="G1563" s="44"/>
      <c r="H1563" s="44"/>
      <c r="I1563" s="44"/>
      <c r="J1563" s="44"/>
      <c r="K1563" s="44"/>
      <c r="L1563" s="44"/>
      <c r="M1563" s="44"/>
      <c r="N1563" s="44"/>
      <c r="O1563" s="44"/>
      <c r="P1563" s="52">
        <f t="shared" si="23"/>
        <v>0</v>
      </c>
      <c r="Q1563" s="124">
        <f t="shared" si="2"/>
        <v>0</v>
      </c>
      <c r="R1563" s="52">
        <f t="array" ref="R1563">IFERROR(INDEX('Fund YTD Target Values'!$1:$1000, MATCH($C1563,'Fund YTD Target Values'!$A:$A,0), MATCH($A1563,'Fund YTD Target Values'!$1:$1,0)),0)</f>
        <v>0</v>
      </c>
      <c r="S1563" s="52">
        <f>IFERROR(__xludf.DUMMYFUNCTION("IFERROR(sum(FILTER('Fund Data'!$V:$V, 'Fund Data'!$C:$C = $C1563, 'Fund Data'!$A:$A &lt; $A1563)),0) + IFERROR(sum(FILTER('Fund Data'!$V:$V, 'Fund Data'!$C:$C = $C1563, 'Fund Data'!$A:$A = $A1563, 'Fund Data'!$B:$B &lt;= $B1563)),0)"),0.0)</f>
        <v>0</v>
      </c>
      <c r="T1563" s="44"/>
      <c r="U1563" s="44"/>
      <c r="V1563" s="44">
        <f t="shared" si="3"/>
        <v>0</v>
      </c>
      <c r="W1563" s="52">
        <f>IFERROR(__xludf.DUMMYFUNCTION("iFERROR((FILTER('Fund Data'!$Y:$Y, 'Fund Data'!$C:$C = $C1563, 'Fund Data'!$A:$A = $A1563 - 1, 'Fund Data'!$B:$B = 12) + FILTER('Fund Data'!$AA:$AA, 'Fund Data'!$C:$C = $C1563, 'Fund Data'!$A:$A = $A1563 - 1, 'Fund Data'!$B:$B = 12)) * (1 + AVERAGE(FILTER"&amp;"('Inflation Data'!$C:$C,'Inflation Data'!$A:$A = ($A1563 - 2)))) * 'Parameters and Distribution Sum'!$A$4,0)"),0.0)</f>
        <v>0</v>
      </c>
      <c r="X1563" s="52">
        <f>IFERROR(__xludf.DUMMYFUNCTION("IFERROR((IFERROR(FILTER('Fund Data'!$P:$P,'Fund Data'!$C:$C = $C1563,'Fund Data'!$A:$A = ($A1563 - 2), 'Fund Data'!$B:$B = 12),0) - SUM(FILTER('Fund Data'!$V:$V, 'Fund Data'!$C:$C = $C1563, 'Fund Data'!$A:$A = ($A1563 - 2), 'Fund Data'!$B:$B &gt; 3)))  * 'Pa"&amp;"rameters and Distribution Sum'!$B$4 * (1 - 'Parameters and Distribution Sum'!$A$4),0)"),0.0)</f>
        <v>0</v>
      </c>
      <c r="Y1563" s="52">
        <f t="shared" si="140"/>
        <v>0</v>
      </c>
      <c r="Z1563" s="52">
        <f>IFERROR(__xludf.DUMMYFUNCTION("((IFERROR((SUM(FILTER('Fund Data'!$V:$V, 'Fund Data'!$C:$C = $C1563, 'Fund Data'!$A:$A = $A1563 - 1, 'Fund Data'!$B:$B &gt;= 4, 'Fund Data'!$B:$B &lt;= ($B1563 + 5))) / 12) * ($B1563 - 3) * 'Parameters and Distribution Sum'!$B$4, 0) + IF($B1563 &gt;= 9, IFERROR(SU"&amp;"M(FILTER('Fund Data'!$V:$V, 'Fund Data'!$C:$C = $C1563, 'Fund Data'!$A:$A = $A1563, 'Fund Data'!$B:$B &lt;= 3)) * 'Parameters and Distribution Sum'!$B$4, 0),0)))"),0.0)</f>
        <v>0</v>
      </c>
      <c r="AA1563" s="44">
        <f>IFERROR(__xludf.DUMMYFUNCTION("IFERROR(((IFERROR(SUM(FILTER('Fund Data'!$V:$V, 'Fund Data'!$C:$C = $C1563, 'Fund Data'!$A:$A = $A1563 - 2, 'Fund Data'!$B:$B &gt;= 4)) * 'Parameters and Distribution Sum'!$B$4,0) + IFERROR(SUM(FILTER('Fund Data'!$V:$V, 'Fund Data'!$C:$C = $C1563, 'Fund Data"&amp;"'!$A:$A = $A1563 - 1, 'Fund Data'!$B:$B &lt;= 3)) * 'Parameters and Distribution Sum'!$B$4,0))),0)"),0.0)</f>
        <v>0</v>
      </c>
      <c r="AB1563" s="44">
        <f t="shared" si="141"/>
        <v>0</v>
      </c>
      <c r="AC1563" s="44">
        <f t="shared" si="142"/>
        <v>0</v>
      </c>
      <c r="AD1563" s="44">
        <f t="shared" si="7"/>
        <v>0</v>
      </c>
      <c r="AE1563" s="44"/>
    </row>
    <row r="1564">
      <c r="A1564" s="178"/>
      <c r="B1564" s="179"/>
      <c r="C1564" s="147"/>
      <c r="D1564" s="44"/>
      <c r="E1564" s="44"/>
      <c r="F1564" s="44"/>
      <c r="G1564" s="44"/>
      <c r="H1564" s="44"/>
      <c r="I1564" s="44"/>
      <c r="J1564" s="44"/>
      <c r="K1564" s="44"/>
      <c r="L1564" s="44"/>
      <c r="M1564" s="44"/>
      <c r="N1564" s="44"/>
      <c r="O1564" s="44"/>
      <c r="P1564" s="52">
        <f t="shared" si="23"/>
        <v>0</v>
      </c>
      <c r="Q1564" s="124">
        <f t="shared" si="2"/>
        <v>0</v>
      </c>
      <c r="R1564" s="52">
        <f t="array" ref="R1564">IFERROR(INDEX('Fund YTD Target Values'!$1:$1000, MATCH($C1564,'Fund YTD Target Values'!$A:$A,0), MATCH($A1564,'Fund YTD Target Values'!$1:$1,0)),0)</f>
        <v>0</v>
      </c>
      <c r="S1564" s="52">
        <f>IFERROR(__xludf.DUMMYFUNCTION("IFERROR(sum(FILTER('Fund Data'!$V:$V, 'Fund Data'!$C:$C = $C1564, 'Fund Data'!$A:$A &lt; $A1564)),0) + IFERROR(sum(FILTER('Fund Data'!$V:$V, 'Fund Data'!$C:$C = $C1564, 'Fund Data'!$A:$A = $A1564, 'Fund Data'!$B:$B &lt;= $B1564)),0)"),0.0)</f>
        <v>0</v>
      </c>
      <c r="T1564" s="44"/>
      <c r="U1564" s="44"/>
      <c r="V1564" s="44">
        <f t="shared" si="3"/>
        <v>0</v>
      </c>
      <c r="W1564" s="52">
        <f>IFERROR(__xludf.DUMMYFUNCTION("iFERROR((FILTER('Fund Data'!$Y:$Y, 'Fund Data'!$C:$C = $C1564, 'Fund Data'!$A:$A = $A1564 - 1, 'Fund Data'!$B:$B = 12) + FILTER('Fund Data'!$AA:$AA, 'Fund Data'!$C:$C = $C1564, 'Fund Data'!$A:$A = $A1564 - 1, 'Fund Data'!$B:$B = 12)) * (1 + AVERAGE(FILTER"&amp;"('Inflation Data'!$C:$C,'Inflation Data'!$A:$A = ($A1564 - 2)))) * 'Parameters and Distribution Sum'!$A$4,0)"),0.0)</f>
        <v>0</v>
      </c>
      <c r="X1564" s="52">
        <f>IFERROR(__xludf.DUMMYFUNCTION("IFERROR((IFERROR(FILTER('Fund Data'!$P:$P,'Fund Data'!$C:$C = $C1564,'Fund Data'!$A:$A = ($A1564 - 2), 'Fund Data'!$B:$B = 12),0) - SUM(FILTER('Fund Data'!$V:$V, 'Fund Data'!$C:$C = $C1564, 'Fund Data'!$A:$A = ($A1564 - 2), 'Fund Data'!$B:$B &gt; 3)))  * 'Pa"&amp;"rameters and Distribution Sum'!$B$4 * (1 - 'Parameters and Distribution Sum'!$A$4),0)"),0.0)</f>
        <v>0</v>
      </c>
      <c r="Y1564" s="52">
        <f t="shared" si="140"/>
        <v>0</v>
      </c>
      <c r="Z1564" s="52">
        <f>IFERROR(__xludf.DUMMYFUNCTION("((IFERROR((SUM(FILTER('Fund Data'!$V:$V, 'Fund Data'!$C:$C = $C1564, 'Fund Data'!$A:$A = $A1564 - 1, 'Fund Data'!$B:$B &gt;= 4, 'Fund Data'!$B:$B &lt;= ($B1564 + 5))) / 12) * ($B1564 - 3) * 'Parameters and Distribution Sum'!$B$4, 0) + IF($B1564 &gt;= 9, IFERROR(SU"&amp;"M(FILTER('Fund Data'!$V:$V, 'Fund Data'!$C:$C = $C1564, 'Fund Data'!$A:$A = $A1564, 'Fund Data'!$B:$B &lt;= 3)) * 'Parameters and Distribution Sum'!$B$4, 0),0)))"),0.0)</f>
        <v>0</v>
      </c>
      <c r="AA1564" s="44">
        <f>IFERROR(__xludf.DUMMYFUNCTION("IFERROR(((IFERROR(SUM(FILTER('Fund Data'!$V:$V, 'Fund Data'!$C:$C = $C1564, 'Fund Data'!$A:$A = $A1564 - 2, 'Fund Data'!$B:$B &gt;= 4)) * 'Parameters and Distribution Sum'!$B$4,0) + IFERROR(SUM(FILTER('Fund Data'!$V:$V, 'Fund Data'!$C:$C = $C1564, 'Fund Data"&amp;"'!$A:$A = $A1564 - 1, 'Fund Data'!$B:$B &lt;= 3)) * 'Parameters and Distribution Sum'!$B$4,0))),0)"),0.0)</f>
        <v>0</v>
      </c>
      <c r="AB1564" s="44">
        <f t="shared" si="141"/>
        <v>0</v>
      </c>
      <c r="AC1564" s="44">
        <f t="shared" si="142"/>
        <v>0</v>
      </c>
      <c r="AD1564" s="44">
        <f t="shared" si="7"/>
        <v>0</v>
      </c>
      <c r="AE1564" s="44"/>
    </row>
    <row r="1565">
      <c r="A1565" s="178"/>
      <c r="B1565" s="179"/>
      <c r="C1565" s="147"/>
      <c r="D1565" s="44"/>
      <c r="E1565" s="44"/>
      <c r="F1565" s="44"/>
      <c r="G1565" s="44"/>
      <c r="H1565" s="44"/>
      <c r="I1565" s="44"/>
      <c r="J1565" s="44"/>
      <c r="K1565" s="44"/>
      <c r="L1565" s="44"/>
      <c r="M1565" s="44"/>
      <c r="N1565" s="44"/>
      <c r="O1565" s="44"/>
      <c r="P1565" s="52">
        <f t="shared" si="23"/>
        <v>0</v>
      </c>
      <c r="Q1565" s="124">
        <f t="shared" si="2"/>
        <v>0</v>
      </c>
      <c r="R1565" s="52">
        <f t="array" ref="R1565">IFERROR(INDEX('Fund YTD Target Values'!$1:$1000, MATCH($C1565,'Fund YTD Target Values'!$A:$A,0), MATCH($A1565,'Fund YTD Target Values'!$1:$1,0)),0)</f>
        <v>0</v>
      </c>
      <c r="S1565" s="52">
        <f>IFERROR(__xludf.DUMMYFUNCTION("IFERROR(sum(FILTER('Fund Data'!$V:$V, 'Fund Data'!$C:$C = $C1565, 'Fund Data'!$A:$A &lt; $A1565)),0) + IFERROR(sum(FILTER('Fund Data'!$V:$V, 'Fund Data'!$C:$C = $C1565, 'Fund Data'!$A:$A = $A1565, 'Fund Data'!$B:$B &lt;= $B1565)),0)"),0.0)</f>
        <v>0</v>
      </c>
      <c r="T1565" s="44"/>
      <c r="U1565" s="44"/>
      <c r="V1565" s="44">
        <f t="shared" si="3"/>
        <v>0</v>
      </c>
      <c r="W1565" s="52">
        <f>IFERROR(__xludf.DUMMYFUNCTION("iFERROR((FILTER('Fund Data'!$Y:$Y, 'Fund Data'!$C:$C = $C1565, 'Fund Data'!$A:$A = $A1565 - 1, 'Fund Data'!$B:$B = 12) + FILTER('Fund Data'!$AA:$AA, 'Fund Data'!$C:$C = $C1565, 'Fund Data'!$A:$A = $A1565 - 1, 'Fund Data'!$B:$B = 12)) * (1 + AVERAGE(FILTER"&amp;"('Inflation Data'!$C:$C,'Inflation Data'!$A:$A = ($A1565 - 2)))) * 'Parameters and Distribution Sum'!$A$4,0)"),0.0)</f>
        <v>0</v>
      </c>
      <c r="X1565" s="52">
        <f>IFERROR(__xludf.DUMMYFUNCTION("IFERROR((IFERROR(FILTER('Fund Data'!$P:$P,'Fund Data'!$C:$C = $C1565,'Fund Data'!$A:$A = ($A1565 - 2), 'Fund Data'!$B:$B = 12),0) - SUM(FILTER('Fund Data'!$V:$V, 'Fund Data'!$C:$C = $C1565, 'Fund Data'!$A:$A = ($A1565 - 2), 'Fund Data'!$B:$B &gt; 3)))  * 'Pa"&amp;"rameters and Distribution Sum'!$B$4 * (1 - 'Parameters and Distribution Sum'!$A$4),0)"),0.0)</f>
        <v>0</v>
      </c>
      <c r="Y1565" s="52">
        <f t="shared" si="140"/>
        <v>0</v>
      </c>
      <c r="Z1565" s="52">
        <f>IFERROR(__xludf.DUMMYFUNCTION("((IFERROR((SUM(FILTER('Fund Data'!$V:$V, 'Fund Data'!$C:$C = $C1565, 'Fund Data'!$A:$A = $A1565 - 1, 'Fund Data'!$B:$B &gt;= 4, 'Fund Data'!$B:$B &lt;= ($B1565 + 5))) / 12) * ($B1565 - 3) * 'Parameters and Distribution Sum'!$B$4, 0) + IF($B1565 &gt;= 9, IFERROR(SU"&amp;"M(FILTER('Fund Data'!$V:$V, 'Fund Data'!$C:$C = $C1565, 'Fund Data'!$A:$A = $A1565, 'Fund Data'!$B:$B &lt;= 3)) * 'Parameters and Distribution Sum'!$B$4, 0),0)))"),0.0)</f>
        <v>0</v>
      </c>
      <c r="AA1565" s="44">
        <f>IFERROR(__xludf.DUMMYFUNCTION("IFERROR(((IFERROR(SUM(FILTER('Fund Data'!$V:$V, 'Fund Data'!$C:$C = $C1565, 'Fund Data'!$A:$A = $A1565 - 2, 'Fund Data'!$B:$B &gt;= 4)) * 'Parameters and Distribution Sum'!$B$4,0) + IFERROR(SUM(FILTER('Fund Data'!$V:$V, 'Fund Data'!$C:$C = $C1565, 'Fund Data"&amp;"'!$A:$A = $A1565 - 1, 'Fund Data'!$B:$B &lt;= 3)) * 'Parameters and Distribution Sum'!$B$4,0))),0)"),0.0)</f>
        <v>0</v>
      </c>
      <c r="AB1565" s="44">
        <f t="shared" si="141"/>
        <v>0</v>
      </c>
      <c r="AC1565" s="44">
        <f t="shared" si="142"/>
        <v>0</v>
      </c>
      <c r="AD1565" s="44">
        <f t="shared" si="7"/>
        <v>0</v>
      </c>
      <c r="AE1565" s="44"/>
    </row>
    <row r="1566">
      <c r="A1566" s="178"/>
      <c r="B1566" s="179"/>
      <c r="C1566" s="147"/>
      <c r="D1566" s="44"/>
      <c r="E1566" s="44"/>
      <c r="F1566" s="44"/>
      <c r="G1566" s="44"/>
      <c r="H1566" s="44"/>
      <c r="I1566" s="44"/>
      <c r="J1566" s="44"/>
      <c r="K1566" s="44"/>
      <c r="L1566" s="44"/>
      <c r="M1566" s="44"/>
      <c r="N1566" s="44"/>
      <c r="O1566" s="44"/>
      <c r="P1566" s="52">
        <f t="shared" si="23"/>
        <v>0</v>
      </c>
      <c r="Q1566" s="124">
        <f t="shared" si="2"/>
        <v>0</v>
      </c>
      <c r="R1566" s="52">
        <f t="array" ref="R1566">IFERROR(INDEX('Fund YTD Target Values'!$1:$1000, MATCH($C1566,'Fund YTD Target Values'!$A:$A,0), MATCH($A1566,'Fund YTD Target Values'!$1:$1,0)),0)</f>
        <v>0</v>
      </c>
      <c r="S1566" s="52">
        <f>IFERROR(__xludf.DUMMYFUNCTION("IFERROR(sum(FILTER('Fund Data'!$V:$V, 'Fund Data'!$C:$C = $C1566, 'Fund Data'!$A:$A &lt; $A1566)),0) + IFERROR(sum(FILTER('Fund Data'!$V:$V, 'Fund Data'!$C:$C = $C1566, 'Fund Data'!$A:$A = $A1566, 'Fund Data'!$B:$B &lt;= $B1566)),0)"),0.0)</f>
        <v>0</v>
      </c>
      <c r="T1566" s="44"/>
      <c r="U1566" s="44"/>
      <c r="V1566" s="44">
        <f t="shared" si="3"/>
        <v>0</v>
      </c>
      <c r="W1566" s="52">
        <f>IFERROR(__xludf.DUMMYFUNCTION("iFERROR((FILTER('Fund Data'!$Y:$Y, 'Fund Data'!$C:$C = $C1566, 'Fund Data'!$A:$A = $A1566 - 1, 'Fund Data'!$B:$B = 12) + FILTER('Fund Data'!$AA:$AA, 'Fund Data'!$C:$C = $C1566, 'Fund Data'!$A:$A = $A1566 - 1, 'Fund Data'!$B:$B = 12)) * (1 + AVERAGE(FILTER"&amp;"('Inflation Data'!$C:$C,'Inflation Data'!$A:$A = ($A1566 - 2)))) * 'Parameters and Distribution Sum'!$A$4,0)"),0.0)</f>
        <v>0</v>
      </c>
      <c r="X1566" s="52">
        <f>IFERROR(__xludf.DUMMYFUNCTION("IFERROR((IFERROR(FILTER('Fund Data'!$P:$P,'Fund Data'!$C:$C = $C1566,'Fund Data'!$A:$A = ($A1566 - 2), 'Fund Data'!$B:$B = 12),0) - SUM(FILTER('Fund Data'!$V:$V, 'Fund Data'!$C:$C = $C1566, 'Fund Data'!$A:$A = ($A1566 - 2), 'Fund Data'!$B:$B &gt; 3)))  * 'Pa"&amp;"rameters and Distribution Sum'!$B$4 * (1 - 'Parameters and Distribution Sum'!$A$4),0)"),0.0)</f>
        <v>0</v>
      </c>
      <c r="Y1566" s="52">
        <f t="shared" si="140"/>
        <v>0</v>
      </c>
      <c r="Z1566" s="52">
        <f>IFERROR(__xludf.DUMMYFUNCTION("((IFERROR((SUM(FILTER('Fund Data'!$V:$V, 'Fund Data'!$C:$C = $C1566, 'Fund Data'!$A:$A = $A1566 - 1, 'Fund Data'!$B:$B &gt;= 4, 'Fund Data'!$B:$B &lt;= ($B1566 + 5))) / 12) * ($B1566 - 3) * 'Parameters and Distribution Sum'!$B$4, 0) + IF($B1566 &gt;= 9, IFERROR(SU"&amp;"M(FILTER('Fund Data'!$V:$V, 'Fund Data'!$C:$C = $C1566, 'Fund Data'!$A:$A = $A1566, 'Fund Data'!$B:$B &lt;= 3)) * 'Parameters and Distribution Sum'!$B$4, 0),0)))"),0.0)</f>
        <v>0</v>
      </c>
      <c r="AA1566" s="44">
        <f>IFERROR(__xludf.DUMMYFUNCTION("IFERROR(((IFERROR(SUM(FILTER('Fund Data'!$V:$V, 'Fund Data'!$C:$C = $C1566, 'Fund Data'!$A:$A = $A1566 - 2, 'Fund Data'!$B:$B &gt;= 4)) * 'Parameters and Distribution Sum'!$B$4,0) + IFERROR(SUM(FILTER('Fund Data'!$V:$V, 'Fund Data'!$C:$C = $C1566, 'Fund Data"&amp;"'!$A:$A = $A1566 - 1, 'Fund Data'!$B:$B &lt;= 3)) * 'Parameters and Distribution Sum'!$B$4,0))),0)"),0.0)</f>
        <v>0</v>
      </c>
      <c r="AB1566" s="44">
        <f t="shared" si="141"/>
        <v>0</v>
      </c>
      <c r="AC1566" s="44">
        <f t="shared" si="142"/>
        <v>0</v>
      </c>
      <c r="AD1566" s="44">
        <f t="shared" si="7"/>
        <v>0</v>
      </c>
      <c r="AE1566" s="44"/>
    </row>
    <row r="1567">
      <c r="A1567" s="178"/>
      <c r="B1567" s="179"/>
      <c r="C1567" s="147"/>
      <c r="D1567" s="44"/>
      <c r="E1567" s="44"/>
      <c r="F1567" s="44"/>
      <c r="G1567" s="44"/>
      <c r="H1567" s="44"/>
      <c r="I1567" s="44"/>
      <c r="J1567" s="44"/>
      <c r="K1567" s="44"/>
      <c r="L1567" s="44"/>
      <c r="M1567" s="44"/>
      <c r="N1567" s="44"/>
      <c r="O1567" s="44"/>
      <c r="P1567" s="52">
        <f t="shared" si="23"/>
        <v>0</v>
      </c>
      <c r="Q1567" s="124">
        <f t="shared" si="2"/>
        <v>0</v>
      </c>
      <c r="R1567" s="52">
        <f t="array" ref="R1567">IFERROR(INDEX('Fund YTD Target Values'!$1:$1000, MATCH($C1567,'Fund YTD Target Values'!$A:$A,0), MATCH($A1567,'Fund YTD Target Values'!$1:$1,0)),0)</f>
        <v>0</v>
      </c>
      <c r="S1567" s="52">
        <f>IFERROR(__xludf.DUMMYFUNCTION("IFERROR(sum(FILTER('Fund Data'!$V:$V, 'Fund Data'!$C:$C = $C1567, 'Fund Data'!$A:$A &lt; $A1567)),0) + IFERROR(sum(FILTER('Fund Data'!$V:$V, 'Fund Data'!$C:$C = $C1567, 'Fund Data'!$A:$A = $A1567, 'Fund Data'!$B:$B &lt;= $B1567)),0)"),0.0)</f>
        <v>0</v>
      </c>
      <c r="T1567" s="44"/>
      <c r="U1567" s="44"/>
      <c r="V1567" s="44">
        <f t="shared" si="3"/>
        <v>0</v>
      </c>
      <c r="W1567" s="52">
        <f>IFERROR(__xludf.DUMMYFUNCTION("iFERROR((FILTER('Fund Data'!$Y:$Y, 'Fund Data'!$C:$C = $C1567, 'Fund Data'!$A:$A = $A1567 - 1, 'Fund Data'!$B:$B = 12) + FILTER('Fund Data'!$AA:$AA, 'Fund Data'!$C:$C = $C1567, 'Fund Data'!$A:$A = $A1567 - 1, 'Fund Data'!$B:$B = 12)) * (1 + AVERAGE(FILTER"&amp;"('Inflation Data'!$C:$C,'Inflation Data'!$A:$A = ($A1567 - 2)))) * 'Parameters and Distribution Sum'!$A$4,0)"),0.0)</f>
        <v>0</v>
      </c>
      <c r="X1567" s="52">
        <f>IFERROR(__xludf.DUMMYFUNCTION("IFERROR((IFERROR(FILTER('Fund Data'!$P:$P,'Fund Data'!$C:$C = $C1567,'Fund Data'!$A:$A = ($A1567 - 2), 'Fund Data'!$B:$B = 12),0) - SUM(FILTER('Fund Data'!$V:$V, 'Fund Data'!$C:$C = $C1567, 'Fund Data'!$A:$A = ($A1567 - 2), 'Fund Data'!$B:$B &gt; 3)))  * 'Pa"&amp;"rameters and Distribution Sum'!$B$4 * (1 - 'Parameters and Distribution Sum'!$A$4),0)"),0.0)</f>
        <v>0</v>
      </c>
      <c r="Y1567" s="52">
        <f t="shared" si="140"/>
        <v>0</v>
      </c>
      <c r="Z1567" s="52">
        <f>IFERROR(__xludf.DUMMYFUNCTION("((IFERROR((SUM(FILTER('Fund Data'!$V:$V, 'Fund Data'!$C:$C = $C1567, 'Fund Data'!$A:$A = $A1567 - 1, 'Fund Data'!$B:$B &gt;= 4, 'Fund Data'!$B:$B &lt;= ($B1567 + 5))) / 12) * ($B1567 - 3) * 'Parameters and Distribution Sum'!$B$4, 0) + IF($B1567 &gt;= 9, IFERROR(SU"&amp;"M(FILTER('Fund Data'!$V:$V, 'Fund Data'!$C:$C = $C1567, 'Fund Data'!$A:$A = $A1567, 'Fund Data'!$B:$B &lt;= 3)) * 'Parameters and Distribution Sum'!$B$4, 0),0)))"),0.0)</f>
        <v>0</v>
      </c>
      <c r="AA1567" s="44">
        <f>IFERROR(__xludf.DUMMYFUNCTION("IFERROR(((IFERROR(SUM(FILTER('Fund Data'!$V:$V, 'Fund Data'!$C:$C = $C1567, 'Fund Data'!$A:$A = $A1567 - 2, 'Fund Data'!$B:$B &gt;= 4)) * 'Parameters and Distribution Sum'!$B$4,0) + IFERROR(SUM(FILTER('Fund Data'!$V:$V, 'Fund Data'!$C:$C = $C1567, 'Fund Data"&amp;"'!$A:$A = $A1567 - 1, 'Fund Data'!$B:$B &lt;= 3)) * 'Parameters and Distribution Sum'!$B$4,0))),0)"),0.0)</f>
        <v>0</v>
      </c>
      <c r="AB1567" s="44">
        <f t="shared" si="141"/>
        <v>0</v>
      </c>
      <c r="AC1567" s="44">
        <f t="shared" si="142"/>
        <v>0</v>
      </c>
      <c r="AD1567" s="44">
        <f t="shared" si="7"/>
        <v>0</v>
      </c>
      <c r="AE1567" s="44"/>
    </row>
    <row r="1568">
      <c r="A1568" s="178"/>
      <c r="B1568" s="179"/>
      <c r="C1568" s="147"/>
      <c r="D1568" s="44"/>
      <c r="E1568" s="44"/>
      <c r="F1568" s="44"/>
      <c r="G1568" s="44"/>
      <c r="H1568" s="44"/>
      <c r="I1568" s="44"/>
      <c r="J1568" s="44"/>
      <c r="K1568" s="44"/>
      <c r="L1568" s="44"/>
      <c r="M1568" s="44"/>
      <c r="N1568" s="44"/>
      <c r="O1568" s="44"/>
      <c r="P1568" s="52">
        <f t="shared" si="23"/>
        <v>0</v>
      </c>
      <c r="Q1568" s="124">
        <f t="shared" si="2"/>
        <v>0</v>
      </c>
      <c r="R1568" s="52">
        <f t="array" ref="R1568">IFERROR(INDEX('Fund YTD Target Values'!$1:$1000, MATCH($C1568,'Fund YTD Target Values'!$A:$A,0), MATCH($A1568,'Fund YTD Target Values'!$1:$1,0)),0)</f>
        <v>0</v>
      </c>
      <c r="S1568" s="52">
        <f>IFERROR(__xludf.DUMMYFUNCTION("IFERROR(sum(FILTER('Fund Data'!$V:$V, 'Fund Data'!$C:$C = $C1568, 'Fund Data'!$A:$A &lt; $A1568)),0) + IFERROR(sum(FILTER('Fund Data'!$V:$V, 'Fund Data'!$C:$C = $C1568, 'Fund Data'!$A:$A = $A1568, 'Fund Data'!$B:$B &lt;= $B1568)),0)"),0.0)</f>
        <v>0</v>
      </c>
      <c r="T1568" s="44"/>
      <c r="U1568" s="44"/>
      <c r="V1568" s="44">
        <f t="shared" si="3"/>
        <v>0</v>
      </c>
      <c r="W1568" s="52">
        <f>IFERROR(__xludf.DUMMYFUNCTION("iFERROR((FILTER('Fund Data'!$Y:$Y, 'Fund Data'!$C:$C = $C1568, 'Fund Data'!$A:$A = $A1568 - 1, 'Fund Data'!$B:$B = 12) + FILTER('Fund Data'!$AA:$AA, 'Fund Data'!$C:$C = $C1568, 'Fund Data'!$A:$A = $A1568 - 1, 'Fund Data'!$B:$B = 12)) * (1 + AVERAGE(FILTER"&amp;"('Inflation Data'!$C:$C,'Inflation Data'!$A:$A = ($A1568 - 2)))) * 'Parameters and Distribution Sum'!$A$4,0)"),0.0)</f>
        <v>0</v>
      </c>
      <c r="X1568" s="52">
        <f>IFERROR(__xludf.DUMMYFUNCTION("IFERROR((IFERROR(FILTER('Fund Data'!$P:$P,'Fund Data'!$C:$C = $C1568,'Fund Data'!$A:$A = ($A1568 - 2), 'Fund Data'!$B:$B = 12),0) - SUM(FILTER('Fund Data'!$V:$V, 'Fund Data'!$C:$C = $C1568, 'Fund Data'!$A:$A = ($A1568 - 2), 'Fund Data'!$B:$B &gt; 3)))  * 'Pa"&amp;"rameters and Distribution Sum'!$B$4 * (1 - 'Parameters and Distribution Sum'!$A$4),0)"),0.0)</f>
        <v>0</v>
      </c>
      <c r="Y1568" s="52">
        <f t="shared" si="140"/>
        <v>0</v>
      </c>
      <c r="Z1568" s="52">
        <f>IFERROR(__xludf.DUMMYFUNCTION("((IFERROR((SUM(FILTER('Fund Data'!$V:$V, 'Fund Data'!$C:$C = $C1568, 'Fund Data'!$A:$A = $A1568 - 1, 'Fund Data'!$B:$B &gt;= 4, 'Fund Data'!$B:$B &lt;= ($B1568 + 5))) / 12) * ($B1568 - 3) * 'Parameters and Distribution Sum'!$B$4, 0) + IF($B1568 &gt;= 9, IFERROR(SU"&amp;"M(FILTER('Fund Data'!$V:$V, 'Fund Data'!$C:$C = $C1568, 'Fund Data'!$A:$A = $A1568, 'Fund Data'!$B:$B &lt;= 3)) * 'Parameters and Distribution Sum'!$B$4, 0),0)))"),0.0)</f>
        <v>0</v>
      </c>
      <c r="AA1568" s="44">
        <f>IFERROR(__xludf.DUMMYFUNCTION("IFERROR(((IFERROR(SUM(FILTER('Fund Data'!$V:$V, 'Fund Data'!$C:$C = $C1568, 'Fund Data'!$A:$A = $A1568 - 2, 'Fund Data'!$B:$B &gt;= 4)) * 'Parameters and Distribution Sum'!$B$4,0) + IFERROR(SUM(FILTER('Fund Data'!$V:$V, 'Fund Data'!$C:$C = $C1568, 'Fund Data"&amp;"'!$A:$A = $A1568 - 1, 'Fund Data'!$B:$B &lt;= 3)) * 'Parameters and Distribution Sum'!$B$4,0))),0)"),0.0)</f>
        <v>0</v>
      </c>
      <c r="AB1568" s="44">
        <f t="shared" si="141"/>
        <v>0</v>
      </c>
      <c r="AC1568" s="44">
        <f t="shared" si="142"/>
        <v>0</v>
      </c>
      <c r="AD1568" s="44">
        <f t="shared" si="7"/>
        <v>0</v>
      </c>
      <c r="AE1568" s="44"/>
    </row>
    <row r="1569">
      <c r="A1569" s="178"/>
      <c r="B1569" s="179"/>
      <c r="C1569" s="147"/>
      <c r="D1569" s="44"/>
      <c r="E1569" s="44"/>
      <c r="F1569" s="44"/>
      <c r="G1569" s="44"/>
      <c r="H1569" s="44"/>
      <c r="I1569" s="44"/>
      <c r="J1569" s="44"/>
      <c r="K1569" s="44"/>
      <c r="L1569" s="44"/>
      <c r="M1569" s="44"/>
      <c r="N1569" s="44"/>
      <c r="O1569" s="44"/>
      <c r="P1569" s="52">
        <f t="shared" si="23"/>
        <v>0</v>
      </c>
      <c r="Q1569" s="124">
        <f t="shared" si="2"/>
        <v>0</v>
      </c>
      <c r="R1569" s="52">
        <f t="array" ref="R1569">IFERROR(INDEX('Fund YTD Target Values'!$1:$1000, MATCH($C1569,'Fund YTD Target Values'!$A:$A,0), MATCH($A1569,'Fund YTD Target Values'!$1:$1,0)),0)</f>
        <v>0</v>
      </c>
      <c r="S1569" s="52">
        <f>IFERROR(__xludf.DUMMYFUNCTION("IFERROR(sum(FILTER('Fund Data'!$V:$V, 'Fund Data'!$C:$C = $C1569, 'Fund Data'!$A:$A &lt; $A1569)),0) + IFERROR(sum(FILTER('Fund Data'!$V:$V, 'Fund Data'!$C:$C = $C1569, 'Fund Data'!$A:$A = $A1569, 'Fund Data'!$B:$B &lt;= $B1569)),0)"),0.0)</f>
        <v>0</v>
      </c>
      <c r="T1569" s="44"/>
      <c r="U1569" s="44"/>
      <c r="V1569" s="44">
        <f t="shared" si="3"/>
        <v>0</v>
      </c>
      <c r="W1569" s="52">
        <f>IFERROR(__xludf.DUMMYFUNCTION("iFERROR((FILTER('Fund Data'!$Y:$Y, 'Fund Data'!$C:$C = $C1569, 'Fund Data'!$A:$A = $A1569 - 1, 'Fund Data'!$B:$B = 12) + FILTER('Fund Data'!$AA:$AA, 'Fund Data'!$C:$C = $C1569, 'Fund Data'!$A:$A = $A1569 - 1, 'Fund Data'!$B:$B = 12)) * (1 + AVERAGE(FILTER"&amp;"('Inflation Data'!$C:$C,'Inflation Data'!$A:$A = ($A1569 - 2)))) * 'Parameters and Distribution Sum'!$A$4,0)"),0.0)</f>
        <v>0</v>
      </c>
      <c r="X1569" s="52">
        <f>IFERROR(__xludf.DUMMYFUNCTION("IFERROR((IFERROR(FILTER('Fund Data'!$P:$P,'Fund Data'!$C:$C = $C1569,'Fund Data'!$A:$A = ($A1569 - 2), 'Fund Data'!$B:$B = 12),0) - SUM(FILTER('Fund Data'!$V:$V, 'Fund Data'!$C:$C = $C1569, 'Fund Data'!$A:$A = ($A1569 - 2), 'Fund Data'!$B:$B &gt; 3)))  * 'Pa"&amp;"rameters and Distribution Sum'!$B$4 * (1 - 'Parameters and Distribution Sum'!$A$4),0)"),0.0)</f>
        <v>0</v>
      </c>
      <c r="Y1569" s="52">
        <f t="shared" si="140"/>
        <v>0</v>
      </c>
      <c r="Z1569" s="52">
        <f>IFERROR(__xludf.DUMMYFUNCTION("((IFERROR((SUM(FILTER('Fund Data'!$V:$V, 'Fund Data'!$C:$C = $C1569, 'Fund Data'!$A:$A = $A1569 - 1, 'Fund Data'!$B:$B &gt;= 4, 'Fund Data'!$B:$B &lt;= ($B1569 + 5))) / 12) * ($B1569 - 3) * 'Parameters and Distribution Sum'!$B$4, 0) + IF($B1569 &gt;= 9, IFERROR(SU"&amp;"M(FILTER('Fund Data'!$V:$V, 'Fund Data'!$C:$C = $C1569, 'Fund Data'!$A:$A = $A1569, 'Fund Data'!$B:$B &lt;= 3)) * 'Parameters and Distribution Sum'!$B$4, 0),0)))"),0.0)</f>
        <v>0</v>
      </c>
      <c r="AA1569" s="44">
        <f>IFERROR(__xludf.DUMMYFUNCTION("IFERROR(((IFERROR(SUM(FILTER('Fund Data'!$V:$V, 'Fund Data'!$C:$C = $C1569, 'Fund Data'!$A:$A = $A1569 - 2, 'Fund Data'!$B:$B &gt;= 4)) * 'Parameters and Distribution Sum'!$B$4,0) + IFERROR(SUM(FILTER('Fund Data'!$V:$V, 'Fund Data'!$C:$C = $C1569, 'Fund Data"&amp;"'!$A:$A = $A1569 - 1, 'Fund Data'!$B:$B &lt;= 3)) * 'Parameters and Distribution Sum'!$B$4,0))),0)"),0.0)</f>
        <v>0</v>
      </c>
      <c r="AB1569" s="44">
        <f t="shared" si="141"/>
        <v>0</v>
      </c>
      <c r="AC1569" s="44">
        <f t="shared" si="142"/>
        <v>0</v>
      </c>
      <c r="AD1569" s="44">
        <f t="shared" si="7"/>
        <v>0</v>
      </c>
      <c r="AE1569" s="44"/>
    </row>
    <row r="1570">
      <c r="A1570" s="178"/>
      <c r="B1570" s="179"/>
      <c r="C1570" s="147"/>
      <c r="D1570" s="44"/>
      <c r="E1570" s="44"/>
      <c r="F1570" s="44"/>
      <c r="G1570" s="44"/>
      <c r="H1570" s="44"/>
      <c r="I1570" s="44"/>
      <c r="J1570" s="44"/>
      <c r="K1570" s="44"/>
      <c r="L1570" s="44"/>
      <c r="M1570" s="44"/>
      <c r="N1570" s="44"/>
      <c r="O1570" s="44"/>
      <c r="P1570" s="52">
        <f t="shared" si="23"/>
        <v>0</v>
      </c>
      <c r="Q1570" s="124">
        <f t="shared" si="2"/>
        <v>0</v>
      </c>
      <c r="R1570" s="52">
        <f t="array" ref="R1570">IFERROR(INDEX('Fund YTD Target Values'!$1:$1000, MATCH($C1570,'Fund YTD Target Values'!$A:$A,0), MATCH($A1570,'Fund YTD Target Values'!$1:$1,0)),0)</f>
        <v>0</v>
      </c>
      <c r="S1570" s="52">
        <f>IFERROR(__xludf.DUMMYFUNCTION("IFERROR(sum(FILTER('Fund Data'!$V:$V, 'Fund Data'!$C:$C = $C1570, 'Fund Data'!$A:$A &lt; $A1570)),0) + IFERROR(sum(FILTER('Fund Data'!$V:$V, 'Fund Data'!$C:$C = $C1570, 'Fund Data'!$A:$A = $A1570, 'Fund Data'!$B:$B &lt;= $B1570)),0)"),0.0)</f>
        <v>0</v>
      </c>
      <c r="T1570" s="44"/>
      <c r="U1570" s="44"/>
      <c r="V1570" s="44">
        <f t="shared" si="3"/>
        <v>0</v>
      </c>
      <c r="W1570" s="52">
        <f>IFERROR(__xludf.DUMMYFUNCTION("iFERROR((FILTER('Fund Data'!$Y:$Y, 'Fund Data'!$C:$C = $C1570, 'Fund Data'!$A:$A = $A1570 - 1, 'Fund Data'!$B:$B = 12) + FILTER('Fund Data'!$AA:$AA, 'Fund Data'!$C:$C = $C1570, 'Fund Data'!$A:$A = $A1570 - 1, 'Fund Data'!$B:$B = 12)) * (1 + AVERAGE(FILTER"&amp;"('Inflation Data'!$C:$C,'Inflation Data'!$A:$A = ($A1570 - 2)))) * 'Parameters and Distribution Sum'!$A$4,0)"),0.0)</f>
        <v>0</v>
      </c>
      <c r="X1570" s="52">
        <f>IFERROR(__xludf.DUMMYFUNCTION("IFERROR((IFERROR(FILTER('Fund Data'!$P:$P,'Fund Data'!$C:$C = $C1570,'Fund Data'!$A:$A = ($A1570 - 2), 'Fund Data'!$B:$B = 12),0) - SUM(FILTER('Fund Data'!$V:$V, 'Fund Data'!$C:$C = $C1570, 'Fund Data'!$A:$A = ($A1570 - 2), 'Fund Data'!$B:$B &gt; 3)))  * 'Pa"&amp;"rameters and Distribution Sum'!$B$4 * (1 - 'Parameters and Distribution Sum'!$A$4),0)"),0.0)</f>
        <v>0</v>
      </c>
      <c r="Y1570" s="52">
        <f t="shared" si="140"/>
        <v>0</v>
      </c>
      <c r="Z1570" s="52">
        <f>IFERROR(__xludf.DUMMYFUNCTION("((IFERROR((SUM(FILTER('Fund Data'!$V:$V, 'Fund Data'!$C:$C = $C1570, 'Fund Data'!$A:$A = $A1570 - 1, 'Fund Data'!$B:$B &gt;= 4, 'Fund Data'!$B:$B &lt;= ($B1570 + 5))) / 12) * ($B1570 - 3) * 'Parameters and Distribution Sum'!$B$4, 0) + IF($B1570 &gt;= 9, IFERROR(SU"&amp;"M(FILTER('Fund Data'!$V:$V, 'Fund Data'!$C:$C = $C1570, 'Fund Data'!$A:$A = $A1570, 'Fund Data'!$B:$B &lt;= 3)) * 'Parameters and Distribution Sum'!$B$4, 0),0)))"),0.0)</f>
        <v>0</v>
      </c>
      <c r="AA1570" s="44">
        <f>IFERROR(__xludf.DUMMYFUNCTION("IFERROR(((IFERROR(SUM(FILTER('Fund Data'!$V:$V, 'Fund Data'!$C:$C = $C1570, 'Fund Data'!$A:$A = $A1570 - 2, 'Fund Data'!$B:$B &gt;= 4)) * 'Parameters and Distribution Sum'!$B$4,0) + IFERROR(SUM(FILTER('Fund Data'!$V:$V, 'Fund Data'!$C:$C = $C1570, 'Fund Data"&amp;"'!$A:$A = $A1570 - 1, 'Fund Data'!$B:$B &lt;= 3)) * 'Parameters and Distribution Sum'!$B$4,0))),0)"),0.0)</f>
        <v>0</v>
      </c>
      <c r="AB1570" s="44">
        <f t="shared" si="141"/>
        <v>0</v>
      </c>
      <c r="AC1570" s="44">
        <f t="shared" si="142"/>
        <v>0</v>
      </c>
      <c r="AD1570" s="44">
        <f t="shared" si="7"/>
        <v>0</v>
      </c>
      <c r="AE1570" s="44"/>
    </row>
    <row r="1571">
      <c r="A1571" s="178"/>
      <c r="B1571" s="179"/>
      <c r="C1571" s="147"/>
      <c r="D1571" s="44"/>
      <c r="E1571" s="44"/>
      <c r="F1571" s="44"/>
      <c r="G1571" s="44"/>
      <c r="H1571" s="44"/>
      <c r="I1571" s="44"/>
      <c r="J1571" s="44"/>
      <c r="K1571" s="44"/>
      <c r="L1571" s="44"/>
      <c r="M1571" s="44"/>
      <c r="N1571" s="44"/>
      <c r="O1571" s="44"/>
      <c r="P1571" s="52">
        <f t="shared" si="23"/>
        <v>0</v>
      </c>
      <c r="Q1571" s="124">
        <f t="shared" si="2"/>
        <v>0</v>
      </c>
      <c r="R1571" s="52">
        <f t="array" ref="R1571">IFERROR(INDEX('Fund YTD Target Values'!$1:$1000, MATCH($C1571,'Fund YTD Target Values'!$A:$A,0), MATCH($A1571,'Fund YTD Target Values'!$1:$1,0)),0)</f>
        <v>0</v>
      </c>
      <c r="S1571" s="52">
        <f>IFERROR(__xludf.DUMMYFUNCTION("IFERROR(sum(FILTER('Fund Data'!$V:$V, 'Fund Data'!$C:$C = $C1571, 'Fund Data'!$A:$A &lt; $A1571)),0) + IFERROR(sum(FILTER('Fund Data'!$V:$V, 'Fund Data'!$C:$C = $C1571, 'Fund Data'!$A:$A = $A1571, 'Fund Data'!$B:$B &lt;= $B1571)),0)"),0.0)</f>
        <v>0</v>
      </c>
      <c r="T1571" s="44"/>
      <c r="U1571" s="44"/>
      <c r="V1571" s="44">
        <f t="shared" si="3"/>
        <v>0</v>
      </c>
      <c r="W1571" s="52">
        <f>IFERROR(__xludf.DUMMYFUNCTION("iFERROR((FILTER('Fund Data'!$Y:$Y, 'Fund Data'!$C:$C = $C1571, 'Fund Data'!$A:$A = $A1571 - 1, 'Fund Data'!$B:$B = 12) + FILTER('Fund Data'!$AA:$AA, 'Fund Data'!$C:$C = $C1571, 'Fund Data'!$A:$A = $A1571 - 1, 'Fund Data'!$B:$B = 12)) * (1 + AVERAGE(FILTER"&amp;"('Inflation Data'!$C:$C,'Inflation Data'!$A:$A = ($A1571 - 2)))) * 'Parameters and Distribution Sum'!$A$4,0)"),0.0)</f>
        <v>0</v>
      </c>
      <c r="X1571" s="52">
        <f>IFERROR(__xludf.DUMMYFUNCTION("IFERROR((IFERROR(FILTER('Fund Data'!$P:$P,'Fund Data'!$C:$C = $C1571,'Fund Data'!$A:$A = ($A1571 - 2), 'Fund Data'!$B:$B = 12),0) - SUM(FILTER('Fund Data'!$V:$V, 'Fund Data'!$C:$C = $C1571, 'Fund Data'!$A:$A = ($A1571 - 2), 'Fund Data'!$B:$B &gt; 3)))  * 'Pa"&amp;"rameters and Distribution Sum'!$B$4 * (1 - 'Parameters and Distribution Sum'!$A$4),0)"),0.0)</f>
        <v>0</v>
      </c>
      <c r="Y1571" s="52">
        <f t="shared" si="140"/>
        <v>0</v>
      </c>
      <c r="Z1571" s="52">
        <f>IFERROR(__xludf.DUMMYFUNCTION("((IFERROR((SUM(FILTER('Fund Data'!$V:$V, 'Fund Data'!$C:$C = $C1571, 'Fund Data'!$A:$A = $A1571 - 1, 'Fund Data'!$B:$B &gt;= 4, 'Fund Data'!$B:$B &lt;= ($B1571 + 5))) / 12) * ($B1571 - 3) * 'Parameters and Distribution Sum'!$B$4, 0) + IF($B1571 &gt;= 9, IFERROR(SU"&amp;"M(FILTER('Fund Data'!$V:$V, 'Fund Data'!$C:$C = $C1571, 'Fund Data'!$A:$A = $A1571, 'Fund Data'!$B:$B &lt;= 3)) * 'Parameters and Distribution Sum'!$B$4, 0),0)))"),0.0)</f>
        <v>0</v>
      </c>
      <c r="AA1571" s="44">
        <f>IFERROR(__xludf.DUMMYFUNCTION("IFERROR(((IFERROR(SUM(FILTER('Fund Data'!$V:$V, 'Fund Data'!$C:$C = $C1571, 'Fund Data'!$A:$A = $A1571 - 2, 'Fund Data'!$B:$B &gt;= 4)) * 'Parameters and Distribution Sum'!$B$4,0) + IFERROR(SUM(FILTER('Fund Data'!$V:$V, 'Fund Data'!$C:$C = $C1571, 'Fund Data"&amp;"'!$A:$A = $A1571 - 1, 'Fund Data'!$B:$B &lt;= 3)) * 'Parameters and Distribution Sum'!$B$4,0))),0)"),0.0)</f>
        <v>0</v>
      </c>
      <c r="AB1571" s="44">
        <f t="shared" si="141"/>
        <v>0</v>
      </c>
      <c r="AC1571" s="44">
        <f t="shared" si="142"/>
        <v>0</v>
      </c>
      <c r="AD1571" s="44">
        <f t="shared" si="7"/>
        <v>0</v>
      </c>
      <c r="AE1571" s="44"/>
    </row>
    <row r="1572">
      <c r="A1572" s="178"/>
      <c r="B1572" s="179"/>
      <c r="C1572" s="147"/>
      <c r="D1572" s="44"/>
      <c r="E1572" s="44"/>
      <c r="F1572" s="44"/>
      <c r="G1572" s="44"/>
      <c r="H1572" s="44"/>
      <c r="I1572" s="44"/>
      <c r="J1572" s="44"/>
      <c r="K1572" s="44"/>
      <c r="L1572" s="44"/>
      <c r="M1572" s="44"/>
      <c r="N1572" s="44"/>
      <c r="O1572" s="44"/>
      <c r="P1572" s="52">
        <f t="shared" si="23"/>
        <v>0</v>
      </c>
      <c r="Q1572" s="124">
        <f t="shared" si="2"/>
        <v>0</v>
      </c>
      <c r="R1572" s="52">
        <f t="array" ref="R1572">IFERROR(INDEX('Fund YTD Target Values'!$1:$1000, MATCH($C1572,'Fund YTD Target Values'!$A:$A,0), MATCH($A1572,'Fund YTD Target Values'!$1:$1,0)),0)</f>
        <v>0</v>
      </c>
      <c r="S1572" s="52">
        <f>IFERROR(__xludf.DUMMYFUNCTION("IFERROR(sum(FILTER('Fund Data'!$V:$V, 'Fund Data'!$C:$C = $C1572, 'Fund Data'!$A:$A &lt; $A1572)),0) + IFERROR(sum(FILTER('Fund Data'!$V:$V, 'Fund Data'!$C:$C = $C1572, 'Fund Data'!$A:$A = $A1572, 'Fund Data'!$B:$B &lt;= $B1572)),0)"),0.0)</f>
        <v>0</v>
      </c>
      <c r="T1572" s="44"/>
      <c r="U1572" s="44"/>
      <c r="V1572" s="44">
        <f t="shared" si="3"/>
        <v>0</v>
      </c>
      <c r="W1572" s="52">
        <f>IFERROR(__xludf.DUMMYFUNCTION("iFERROR((FILTER('Fund Data'!$Y:$Y, 'Fund Data'!$C:$C = $C1572, 'Fund Data'!$A:$A = $A1572 - 1, 'Fund Data'!$B:$B = 12) + FILTER('Fund Data'!$AA:$AA, 'Fund Data'!$C:$C = $C1572, 'Fund Data'!$A:$A = $A1572 - 1, 'Fund Data'!$B:$B = 12)) * (1 + AVERAGE(FILTER"&amp;"('Inflation Data'!$C:$C,'Inflation Data'!$A:$A = ($A1572 - 2)))) * 'Parameters and Distribution Sum'!$A$4,0)"),0.0)</f>
        <v>0</v>
      </c>
      <c r="X1572" s="52">
        <f>IFERROR(__xludf.DUMMYFUNCTION("IFERROR((IFERROR(FILTER('Fund Data'!$P:$P,'Fund Data'!$C:$C = $C1572,'Fund Data'!$A:$A = ($A1572 - 2), 'Fund Data'!$B:$B = 12),0) - SUM(FILTER('Fund Data'!$V:$V, 'Fund Data'!$C:$C = $C1572, 'Fund Data'!$A:$A = ($A1572 - 2), 'Fund Data'!$B:$B &gt; 3)))  * 'Pa"&amp;"rameters and Distribution Sum'!$B$4 * (1 - 'Parameters and Distribution Sum'!$A$4),0)"),0.0)</f>
        <v>0</v>
      </c>
      <c r="Y1572" s="52">
        <f t="shared" si="140"/>
        <v>0</v>
      </c>
      <c r="Z1572" s="52">
        <f>IFERROR(__xludf.DUMMYFUNCTION("((IFERROR((SUM(FILTER('Fund Data'!$V:$V, 'Fund Data'!$C:$C = $C1572, 'Fund Data'!$A:$A = $A1572 - 1, 'Fund Data'!$B:$B &gt;= 4, 'Fund Data'!$B:$B &lt;= ($B1572 + 5))) / 12) * ($B1572 - 3) * 'Parameters and Distribution Sum'!$B$4, 0) + IF($B1572 &gt;= 9, IFERROR(SU"&amp;"M(FILTER('Fund Data'!$V:$V, 'Fund Data'!$C:$C = $C1572, 'Fund Data'!$A:$A = $A1572, 'Fund Data'!$B:$B &lt;= 3)) * 'Parameters and Distribution Sum'!$B$4, 0),0)))"),0.0)</f>
        <v>0</v>
      </c>
      <c r="AA1572" s="44">
        <f>IFERROR(__xludf.DUMMYFUNCTION("IFERROR(((IFERROR(SUM(FILTER('Fund Data'!$V:$V, 'Fund Data'!$C:$C = $C1572, 'Fund Data'!$A:$A = $A1572 - 2, 'Fund Data'!$B:$B &gt;= 4)) * 'Parameters and Distribution Sum'!$B$4,0) + IFERROR(SUM(FILTER('Fund Data'!$V:$V, 'Fund Data'!$C:$C = $C1572, 'Fund Data"&amp;"'!$A:$A = $A1572 - 1, 'Fund Data'!$B:$B &lt;= 3)) * 'Parameters and Distribution Sum'!$B$4,0))),0)"),0.0)</f>
        <v>0</v>
      </c>
      <c r="AB1572" s="44">
        <f t="shared" si="141"/>
        <v>0</v>
      </c>
      <c r="AC1572" s="44">
        <f t="shared" si="142"/>
        <v>0</v>
      </c>
      <c r="AD1572" s="44">
        <f t="shared" si="7"/>
        <v>0</v>
      </c>
      <c r="AE1572" s="44"/>
    </row>
    <row r="1573">
      <c r="A1573" s="178"/>
      <c r="B1573" s="179"/>
      <c r="C1573" s="147"/>
      <c r="D1573" s="44"/>
      <c r="E1573" s="44"/>
      <c r="F1573" s="44"/>
      <c r="G1573" s="44"/>
      <c r="H1573" s="44"/>
      <c r="I1573" s="44"/>
      <c r="J1573" s="44"/>
      <c r="K1573" s="44"/>
      <c r="L1573" s="44"/>
      <c r="M1573" s="44"/>
      <c r="N1573" s="44"/>
      <c r="O1573" s="44"/>
      <c r="P1573" s="52">
        <f t="shared" si="23"/>
        <v>0</v>
      </c>
      <c r="Q1573" s="124">
        <f t="shared" si="2"/>
        <v>0</v>
      </c>
      <c r="R1573" s="52">
        <f t="array" ref="R1573">IFERROR(INDEX('Fund YTD Target Values'!$1:$1000, MATCH($C1573,'Fund YTD Target Values'!$A:$A,0), MATCH($A1573,'Fund YTD Target Values'!$1:$1,0)),0)</f>
        <v>0</v>
      </c>
      <c r="S1573" s="52">
        <f>IFERROR(__xludf.DUMMYFUNCTION("IFERROR(sum(FILTER('Fund Data'!$V:$V, 'Fund Data'!$C:$C = $C1573, 'Fund Data'!$A:$A &lt; $A1573)),0) + IFERROR(sum(FILTER('Fund Data'!$V:$V, 'Fund Data'!$C:$C = $C1573, 'Fund Data'!$A:$A = $A1573, 'Fund Data'!$B:$B &lt;= $B1573)),0)"),0.0)</f>
        <v>0</v>
      </c>
      <c r="T1573" s="44"/>
      <c r="U1573" s="44"/>
      <c r="V1573" s="44">
        <f t="shared" si="3"/>
        <v>0</v>
      </c>
      <c r="W1573" s="52">
        <f>IFERROR(__xludf.DUMMYFUNCTION("iFERROR((FILTER('Fund Data'!$Y:$Y, 'Fund Data'!$C:$C = $C1573, 'Fund Data'!$A:$A = $A1573 - 1, 'Fund Data'!$B:$B = 12) + FILTER('Fund Data'!$AA:$AA, 'Fund Data'!$C:$C = $C1573, 'Fund Data'!$A:$A = $A1573 - 1, 'Fund Data'!$B:$B = 12)) * (1 + AVERAGE(FILTER"&amp;"('Inflation Data'!$C:$C,'Inflation Data'!$A:$A = ($A1573 - 2)))) * 'Parameters and Distribution Sum'!$A$4,0)"),0.0)</f>
        <v>0</v>
      </c>
      <c r="X1573" s="52">
        <f>IFERROR(__xludf.DUMMYFUNCTION("IFERROR((IFERROR(FILTER('Fund Data'!$P:$P,'Fund Data'!$C:$C = $C1573,'Fund Data'!$A:$A = ($A1573 - 2), 'Fund Data'!$B:$B = 12),0) - SUM(FILTER('Fund Data'!$V:$V, 'Fund Data'!$C:$C = $C1573, 'Fund Data'!$A:$A = ($A1573 - 2), 'Fund Data'!$B:$B &gt; 3)))  * 'Pa"&amp;"rameters and Distribution Sum'!$B$4 * (1 - 'Parameters and Distribution Sum'!$A$4),0)"),0.0)</f>
        <v>0</v>
      </c>
      <c r="Y1573" s="52">
        <f t="shared" si="140"/>
        <v>0</v>
      </c>
      <c r="Z1573" s="52">
        <f>IFERROR(__xludf.DUMMYFUNCTION("((IFERROR((SUM(FILTER('Fund Data'!$V:$V, 'Fund Data'!$C:$C = $C1573, 'Fund Data'!$A:$A = $A1573 - 1, 'Fund Data'!$B:$B &gt;= 4, 'Fund Data'!$B:$B &lt;= ($B1573 + 5))) / 12) * ($B1573 - 3) * 'Parameters and Distribution Sum'!$B$4, 0) + IF($B1573 &gt;= 9, IFERROR(SU"&amp;"M(FILTER('Fund Data'!$V:$V, 'Fund Data'!$C:$C = $C1573, 'Fund Data'!$A:$A = $A1573, 'Fund Data'!$B:$B &lt;= 3)) * 'Parameters and Distribution Sum'!$B$4, 0),0)))"),0.0)</f>
        <v>0</v>
      </c>
      <c r="AA1573" s="44">
        <f>IFERROR(__xludf.DUMMYFUNCTION("IFERROR(((IFERROR(SUM(FILTER('Fund Data'!$V:$V, 'Fund Data'!$C:$C = $C1573, 'Fund Data'!$A:$A = $A1573 - 2, 'Fund Data'!$B:$B &gt;= 4)) * 'Parameters and Distribution Sum'!$B$4,0) + IFERROR(SUM(FILTER('Fund Data'!$V:$V, 'Fund Data'!$C:$C = $C1573, 'Fund Data"&amp;"'!$A:$A = $A1573 - 1, 'Fund Data'!$B:$B &lt;= 3)) * 'Parameters and Distribution Sum'!$B$4,0))),0)"),0.0)</f>
        <v>0</v>
      </c>
      <c r="AB1573" s="44">
        <f t="shared" si="141"/>
        <v>0</v>
      </c>
      <c r="AC1573" s="44">
        <f t="shared" si="142"/>
        <v>0</v>
      </c>
      <c r="AD1573" s="44">
        <f t="shared" si="7"/>
        <v>0</v>
      </c>
      <c r="AE1573" s="44"/>
    </row>
    <row r="1574">
      <c r="A1574" s="178"/>
      <c r="B1574" s="179"/>
      <c r="C1574" s="147"/>
      <c r="D1574" s="44"/>
      <c r="E1574" s="44"/>
      <c r="F1574" s="44"/>
      <c r="G1574" s="44"/>
      <c r="H1574" s="44"/>
      <c r="I1574" s="44"/>
      <c r="J1574" s="44"/>
      <c r="K1574" s="44"/>
      <c r="L1574" s="44"/>
      <c r="M1574" s="44"/>
      <c r="N1574" s="44"/>
      <c r="O1574" s="44"/>
      <c r="P1574" s="52">
        <f t="shared" si="23"/>
        <v>0</v>
      </c>
      <c r="Q1574" s="124">
        <f t="shared" si="2"/>
        <v>0</v>
      </c>
      <c r="R1574" s="52">
        <f t="array" ref="R1574">IFERROR(INDEX('Fund YTD Target Values'!$1:$1000, MATCH($C1574,'Fund YTD Target Values'!$A:$A,0), MATCH($A1574,'Fund YTD Target Values'!$1:$1,0)),0)</f>
        <v>0</v>
      </c>
      <c r="S1574" s="52">
        <f>IFERROR(__xludf.DUMMYFUNCTION("IFERROR(sum(FILTER('Fund Data'!$V:$V, 'Fund Data'!$C:$C = $C1574, 'Fund Data'!$A:$A &lt; $A1574)),0) + IFERROR(sum(FILTER('Fund Data'!$V:$V, 'Fund Data'!$C:$C = $C1574, 'Fund Data'!$A:$A = $A1574, 'Fund Data'!$B:$B &lt;= $B1574)),0)"),0.0)</f>
        <v>0</v>
      </c>
      <c r="T1574" s="44"/>
      <c r="U1574" s="44"/>
      <c r="V1574" s="44">
        <f t="shared" si="3"/>
        <v>0</v>
      </c>
      <c r="W1574" s="52">
        <f>IFERROR(__xludf.DUMMYFUNCTION("iFERROR((FILTER('Fund Data'!$Y:$Y, 'Fund Data'!$C:$C = $C1574, 'Fund Data'!$A:$A = $A1574 - 1, 'Fund Data'!$B:$B = 12) + FILTER('Fund Data'!$AA:$AA, 'Fund Data'!$C:$C = $C1574, 'Fund Data'!$A:$A = $A1574 - 1, 'Fund Data'!$B:$B = 12)) * (1 + AVERAGE(FILTER"&amp;"('Inflation Data'!$C:$C,'Inflation Data'!$A:$A = ($A1574 - 2)))) * 'Parameters and Distribution Sum'!$A$4,0)"),0.0)</f>
        <v>0</v>
      </c>
      <c r="X1574" s="52">
        <f>IFERROR(__xludf.DUMMYFUNCTION("IFERROR((IFERROR(FILTER('Fund Data'!$P:$P,'Fund Data'!$C:$C = $C1574,'Fund Data'!$A:$A = ($A1574 - 2), 'Fund Data'!$B:$B = 12),0) - SUM(FILTER('Fund Data'!$V:$V, 'Fund Data'!$C:$C = $C1574, 'Fund Data'!$A:$A = ($A1574 - 2), 'Fund Data'!$B:$B &gt; 3)))  * 'Pa"&amp;"rameters and Distribution Sum'!$B$4 * (1 - 'Parameters and Distribution Sum'!$A$4),0)"),0.0)</f>
        <v>0</v>
      </c>
      <c r="Y1574" s="52">
        <f t="shared" si="140"/>
        <v>0</v>
      </c>
      <c r="Z1574" s="52">
        <f>IFERROR(__xludf.DUMMYFUNCTION("((IFERROR((SUM(FILTER('Fund Data'!$V:$V, 'Fund Data'!$C:$C = $C1574, 'Fund Data'!$A:$A = $A1574 - 1, 'Fund Data'!$B:$B &gt;= 4, 'Fund Data'!$B:$B &lt;= ($B1574 + 5))) / 12) * ($B1574 - 3) * 'Parameters and Distribution Sum'!$B$4, 0) + IF($B1574 &gt;= 9, IFERROR(SU"&amp;"M(FILTER('Fund Data'!$V:$V, 'Fund Data'!$C:$C = $C1574, 'Fund Data'!$A:$A = $A1574, 'Fund Data'!$B:$B &lt;= 3)) * 'Parameters and Distribution Sum'!$B$4, 0),0)))"),0.0)</f>
        <v>0</v>
      </c>
      <c r="AA1574" s="44">
        <f>IFERROR(__xludf.DUMMYFUNCTION("IFERROR(((IFERROR(SUM(FILTER('Fund Data'!$V:$V, 'Fund Data'!$C:$C = $C1574, 'Fund Data'!$A:$A = $A1574 - 2, 'Fund Data'!$B:$B &gt;= 4)) * 'Parameters and Distribution Sum'!$B$4,0) + IFERROR(SUM(FILTER('Fund Data'!$V:$V, 'Fund Data'!$C:$C = $C1574, 'Fund Data"&amp;"'!$A:$A = $A1574 - 1, 'Fund Data'!$B:$B &lt;= 3)) * 'Parameters and Distribution Sum'!$B$4,0))),0)"),0.0)</f>
        <v>0</v>
      </c>
      <c r="AB1574" s="44">
        <f t="shared" si="141"/>
        <v>0</v>
      </c>
      <c r="AC1574" s="44">
        <f t="shared" si="142"/>
        <v>0</v>
      </c>
      <c r="AD1574" s="44">
        <f t="shared" si="7"/>
        <v>0</v>
      </c>
      <c r="AE1574" s="44"/>
    </row>
    <row r="1575">
      <c r="A1575" s="178"/>
      <c r="B1575" s="179"/>
      <c r="C1575" s="147"/>
      <c r="D1575" s="44"/>
      <c r="E1575" s="44"/>
      <c r="F1575" s="44"/>
      <c r="G1575" s="44"/>
      <c r="H1575" s="44"/>
      <c r="I1575" s="44"/>
      <c r="J1575" s="44"/>
      <c r="K1575" s="44"/>
      <c r="L1575" s="44"/>
      <c r="M1575" s="44"/>
      <c r="N1575" s="44"/>
      <c r="O1575" s="44"/>
      <c r="P1575" s="52">
        <f t="shared" si="23"/>
        <v>0</v>
      </c>
      <c r="Q1575" s="124">
        <f t="shared" si="2"/>
        <v>0</v>
      </c>
      <c r="R1575" s="52">
        <f t="array" ref="R1575">IFERROR(INDEX('Fund YTD Target Values'!$1:$1000, MATCH($C1575,'Fund YTD Target Values'!$A:$A,0), MATCH($A1575,'Fund YTD Target Values'!$1:$1,0)),0)</f>
        <v>0</v>
      </c>
      <c r="S1575" s="52">
        <f>IFERROR(__xludf.DUMMYFUNCTION("IFERROR(sum(FILTER('Fund Data'!$V:$V, 'Fund Data'!$C:$C = $C1575, 'Fund Data'!$A:$A &lt; $A1575)),0) + IFERROR(sum(FILTER('Fund Data'!$V:$V, 'Fund Data'!$C:$C = $C1575, 'Fund Data'!$A:$A = $A1575, 'Fund Data'!$B:$B &lt;= $B1575)),0)"),0.0)</f>
        <v>0</v>
      </c>
      <c r="T1575" s="44"/>
      <c r="U1575" s="44"/>
      <c r="V1575" s="44">
        <f t="shared" si="3"/>
        <v>0</v>
      </c>
      <c r="W1575" s="52">
        <f>IFERROR(__xludf.DUMMYFUNCTION("iFERROR((FILTER('Fund Data'!$Y:$Y, 'Fund Data'!$C:$C = $C1575, 'Fund Data'!$A:$A = $A1575 - 1, 'Fund Data'!$B:$B = 12) + FILTER('Fund Data'!$AA:$AA, 'Fund Data'!$C:$C = $C1575, 'Fund Data'!$A:$A = $A1575 - 1, 'Fund Data'!$B:$B = 12)) * (1 + AVERAGE(FILTER"&amp;"('Inflation Data'!$C:$C,'Inflation Data'!$A:$A = ($A1575 - 2)))) * 'Parameters and Distribution Sum'!$A$4,0)"),0.0)</f>
        <v>0</v>
      </c>
      <c r="X1575" s="52">
        <f>IFERROR(__xludf.DUMMYFUNCTION("IFERROR((IFERROR(FILTER('Fund Data'!$P:$P,'Fund Data'!$C:$C = $C1575,'Fund Data'!$A:$A = ($A1575 - 2), 'Fund Data'!$B:$B = 12),0) - SUM(FILTER('Fund Data'!$V:$V, 'Fund Data'!$C:$C = $C1575, 'Fund Data'!$A:$A = ($A1575 - 2), 'Fund Data'!$B:$B &gt; 3)))  * 'Pa"&amp;"rameters and Distribution Sum'!$B$4 * (1 - 'Parameters and Distribution Sum'!$A$4),0)"),0.0)</f>
        <v>0</v>
      </c>
      <c r="Y1575" s="52">
        <f t="shared" si="140"/>
        <v>0</v>
      </c>
      <c r="Z1575" s="52">
        <f>IFERROR(__xludf.DUMMYFUNCTION("((IFERROR((SUM(FILTER('Fund Data'!$V:$V, 'Fund Data'!$C:$C = $C1575, 'Fund Data'!$A:$A = $A1575 - 1, 'Fund Data'!$B:$B &gt;= 4, 'Fund Data'!$B:$B &lt;= ($B1575 + 5))) / 12) * ($B1575 - 3) * 'Parameters and Distribution Sum'!$B$4, 0) + IF($B1575 &gt;= 9, IFERROR(SU"&amp;"M(FILTER('Fund Data'!$V:$V, 'Fund Data'!$C:$C = $C1575, 'Fund Data'!$A:$A = $A1575, 'Fund Data'!$B:$B &lt;= 3)) * 'Parameters and Distribution Sum'!$B$4, 0),0)))"),0.0)</f>
        <v>0</v>
      </c>
      <c r="AA1575" s="44">
        <f>IFERROR(__xludf.DUMMYFUNCTION("IFERROR(((IFERROR(SUM(FILTER('Fund Data'!$V:$V, 'Fund Data'!$C:$C = $C1575, 'Fund Data'!$A:$A = $A1575 - 2, 'Fund Data'!$B:$B &gt;= 4)) * 'Parameters and Distribution Sum'!$B$4,0) + IFERROR(SUM(FILTER('Fund Data'!$V:$V, 'Fund Data'!$C:$C = $C1575, 'Fund Data"&amp;"'!$A:$A = $A1575 - 1, 'Fund Data'!$B:$B &lt;= 3)) * 'Parameters and Distribution Sum'!$B$4,0))),0)"),0.0)</f>
        <v>0</v>
      </c>
      <c r="AB1575" s="44">
        <f t="shared" si="141"/>
        <v>0</v>
      </c>
      <c r="AC1575" s="44">
        <f t="shared" si="142"/>
        <v>0</v>
      </c>
      <c r="AD1575" s="44">
        <f t="shared" si="7"/>
        <v>0</v>
      </c>
      <c r="AE1575" s="44"/>
    </row>
    <row r="1576">
      <c r="A1576" s="178"/>
      <c r="B1576" s="179"/>
      <c r="C1576" s="147"/>
      <c r="D1576" s="44"/>
      <c r="E1576" s="44"/>
      <c r="F1576" s="44"/>
      <c r="G1576" s="44"/>
      <c r="H1576" s="44"/>
      <c r="I1576" s="44"/>
      <c r="J1576" s="44"/>
      <c r="K1576" s="44"/>
      <c r="L1576" s="44"/>
      <c r="M1576" s="44"/>
      <c r="N1576" s="44"/>
      <c r="O1576" s="44"/>
      <c r="P1576" s="52">
        <f t="shared" si="23"/>
        <v>0</v>
      </c>
      <c r="Q1576" s="124">
        <f t="shared" si="2"/>
        <v>0</v>
      </c>
      <c r="R1576" s="52">
        <f t="array" ref="R1576">IFERROR(INDEX('Fund YTD Target Values'!$1:$1000, MATCH($C1576,'Fund YTD Target Values'!$A:$A,0), MATCH($A1576,'Fund YTD Target Values'!$1:$1,0)),0)</f>
        <v>0</v>
      </c>
      <c r="S1576" s="52">
        <f>IFERROR(__xludf.DUMMYFUNCTION("IFERROR(sum(FILTER('Fund Data'!$V:$V, 'Fund Data'!$C:$C = $C1576, 'Fund Data'!$A:$A &lt; $A1576)),0) + IFERROR(sum(FILTER('Fund Data'!$V:$V, 'Fund Data'!$C:$C = $C1576, 'Fund Data'!$A:$A = $A1576, 'Fund Data'!$B:$B &lt;= $B1576)),0)"),0.0)</f>
        <v>0</v>
      </c>
      <c r="T1576" s="44"/>
      <c r="U1576" s="44"/>
      <c r="V1576" s="44">
        <f t="shared" si="3"/>
        <v>0</v>
      </c>
      <c r="W1576" s="52">
        <f>IFERROR(__xludf.DUMMYFUNCTION("iFERROR((FILTER('Fund Data'!$Y:$Y, 'Fund Data'!$C:$C = $C1576, 'Fund Data'!$A:$A = $A1576 - 1, 'Fund Data'!$B:$B = 12) + FILTER('Fund Data'!$AA:$AA, 'Fund Data'!$C:$C = $C1576, 'Fund Data'!$A:$A = $A1576 - 1, 'Fund Data'!$B:$B = 12)) * (1 + AVERAGE(FILTER"&amp;"('Inflation Data'!$C:$C,'Inflation Data'!$A:$A = ($A1576 - 2)))) * 'Parameters and Distribution Sum'!$A$4,0)"),0.0)</f>
        <v>0</v>
      </c>
      <c r="X1576" s="52">
        <f>IFERROR(__xludf.DUMMYFUNCTION("IFERROR((IFERROR(FILTER('Fund Data'!$P:$P,'Fund Data'!$C:$C = $C1576,'Fund Data'!$A:$A = ($A1576 - 2), 'Fund Data'!$B:$B = 12),0) - SUM(FILTER('Fund Data'!$V:$V, 'Fund Data'!$C:$C = $C1576, 'Fund Data'!$A:$A = ($A1576 - 2), 'Fund Data'!$B:$B &gt; 3)))  * 'Pa"&amp;"rameters and Distribution Sum'!$B$4 * (1 - 'Parameters and Distribution Sum'!$A$4),0)"),0.0)</f>
        <v>0</v>
      </c>
      <c r="Y1576" s="52">
        <f t="shared" si="140"/>
        <v>0</v>
      </c>
      <c r="Z1576" s="52">
        <f>IFERROR(__xludf.DUMMYFUNCTION("((IFERROR((SUM(FILTER('Fund Data'!$V:$V, 'Fund Data'!$C:$C = $C1576, 'Fund Data'!$A:$A = $A1576 - 1, 'Fund Data'!$B:$B &gt;= 4, 'Fund Data'!$B:$B &lt;= ($B1576 + 5))) / 12) * ($B1576 - 3) * 'Parameters and Distribution Sum'!$B$4, 0) + IF($B1576 &gt;= 9, IFERROR(SU"&amp;"M(FILTER('Fund Data'!$V:$V, 'Fund Data'!$C:$C = $C1576, 'Fund Data'!$A:$A = $A1576, 'Fund Data'!$B:$B &lt;= 3)) * 'Parameters and Distribution Sum'!$B$4, 0),0)))"),0.0)</f>
        <v>0</v>
      </c>
      <c r="AA1576" s="44">
        <f>IFERROR(__xludf.DUMMYFUNCTION("IFERROR(((IFERROR(SUM(FILTER('Fund Data'!$V:$V, 'Fund Data'!$C:$C = $C1576, 'Fund Data'!$A:$A = $A1576 - 2, 'Fund Data'!$B:$B &gt;= 4)) * 'Parameters and Distribution Sum'!$B$4,0) + IFERROR(SUM(FILTER('Fund Data'!$V:$V, 'Fund Data'!$C:$C = $C1576, 'Fund Data"&amp;"'!$A:$A = $A1576 - 1, 'Fund Data'!$B:$B &lt;= 3)) * 'Parameters and Distribution Sum'!$B$4,0))),0)"),0.0)</f>
        <v>0</v>
      </c>
      <c r="AB1576" s="44">
        <f t="shared" si="141"/>
        <v>0</v>
      </c>
      <c r="AC1576" s="44">
        <f t="shared" si="142"/>
        <v>0</v>
      </c>
      <c r="AD1576" s="44">
        <f t="shared" si="7"/>
        <v>0</v>
      </c>
      <c r="AE1576" s="44"/>
    </row>
    <row r="1577">
      <c r="A1577" s="178"/>
      <c r="B1577" s="179"/>
      <c r="C1577" s="147"/>
      <c r="D1577" s="44"/>
      <c r="E1577" s="44"/>
      <c r="F1577" s="44"/>
      <c r="G1577" s="44"/>
      <c r="H1577" s="44"/>
      <c r="I1577" s="44"/>
      <c r="J1577" s="44"/>
      <c r="K1577" s="44"/>
      <c r="L1577" s="44"/>
      <c r="M1577" s="44"/>
      <c r="N1577" s="44"/>
      <c r="O1577" s="44"/>
      <c r="P1577" s="52">
        <f t="shared" si="23"/>
        <v>0</v>
      </c>
      <c r="Q1577" s="124">
        <f t="shared" si="2"/>
        <v>0</v>
      </c>
      <c r="R1577" s="52">
        <f t="array" ref="R1577">IFERROR(INDEX('Fund YTD Target Values'!$1:$1000, MATCH($C1577,'Fund YTD Target Values'!$A:$A,0), MATCH($A1577,'Fund YTD Target Values'!$1:$1,0)),0)</f>
        <v>0</v>
      </c>
      <c r="S1577" s="52">
        <f>IFERROR(__xludf.DUMMYFUNCTION("IFERROR(sum(FILTER('Fund Data'!$V:$V, 'Fund Data'!$C:$C = $C1577, 'Fund Data'!$A:$A &lt; $A1577)),0) + IFERROR(sum(FILTER('Fund Data'!$V:$V, 'Fund Data'!$C:$C = $C1577, 'Fund Data'!$A:$A = $A1577, 'Fund Data'!$B:$B &lt;= $B1577)),0)"),0.0)</f>
        <v>0</v>
      </c>
      <c r="T1577" s="44"/>
      <c r="U1577" s="44"/>
      <c r="V1577" s="44">
        <f t="shared" si="3"/>
        <v>0</v>
      </c>
      <c r="W1577" s="52">
        <f>IFERROR(__xludf.DUMMYFUNCTION("iFERROR((FILTER('Fund Data'!$Y:$Y, 'Fund Data'!$C:$C = $C1577, 'Fund Data'!$A:$A = $A1577 - 1, 'Fund Data'!$B:$B = 12) + FILTER('Fund Data'!$AA:$AA, 'Fund Data'!$C:$C = $C1577, 'Fund Data'!$A:$A = $A1577 - 1, 'Fund Data'!$B:$B = 12)) * (1 + AVERAGE(FILTER"&amp;"('Inflation Data'!$C:$C,'Inflation Data'!$A:$A = ($A1577 - 2)))) * 'Parameters and Distribution Sum'!$A$4,0)"),0.0)</f>
        <v>0</v>
      </c>
      <c r="X1577" s="52">
        <f>IFERROR(__xludf.DUMMYFUNCTION("IFERROR((IFERROR(FILTER('Fund Data'!$P:$P,'Fund Data'!$C:$C = $C1577,'Fund Data'!$A:$A = ($A1577 - 2), 'Fund Data'!$B:$B = 12),0) - SUM(FILTER('Fund Data'!$V:$V, 'Fund Data'!$C:$C = $C1577, 'Fund Data'!$A:$A = ($A1577 - 2), 'Fund Data'!$B:$B &gt; 3)))  * 'Pa"&amp;"rameters and Distribution Sum'!$B$4 * (1 - 'Parameters and Distribution Sum'!$A$4),0)"),0.0)</f>
        <v>0</v>
      </c>
      <c r="Y1577" s="52">
        <f t="shared" si="140"/>
        <v>0</v>
      </c>
      <c r="Z1577" s="52">
        <f>IFERROR(__xludf.DUMMYFUNCTION("((IFERROR((SUM(FILTER('Fund Data'!$V:$V, 'Fund Data'!$C:$C = $C1577, 'Fund Data'!$A:$A = $A1577 - 1, 'Fund Data'!$B:$B &gt;= 4, 'Fund Data'!$B:$B &lt;= ($B1577 + 5))) / 12) * ($B1577 - 3) * 'Parameters and Distribution Sum'!$B$4, 0) + IF($B1577 &gt;= 9, IFERROR(SU"&amp;"M(FILTER('Fund Data'!$V:$V, 'Fund Data'!$C:$C = $C1577, 'Fund Data'!$A:$A = $A1577, 'Fund Data'!$B:$B &lt;= 3)) * 'Parameters and Distribution Sum'!$B$4, 0),0)))"),0.0)</f>
        <v>0</v>
      </c>
      <c r="AA1577" s="44">
        <f>IFERROR(__xludf.DUMMYFUNCTION("IFERROR(((IFERROR(SUM(FILTER('Fund Data'!$V:$V, 'Fund Data'!$C:$C = $C1577, 'Fund Data'!$A:$A = $A1577 - 2, 'Fund Data'!$B:$B &gt;= 4)) * 'Parameters and Distribution Sum'!$B$4,0) + IFERROR(SUM(FILTER('Fund Data'!$V:$V, 'Fund Data'!$C:$C = $C1577, 'Fund Data"&amp;"'!$A:$A = $A1577 - 1, 'Fund Data'!$B:$B &lt;= 3)) * 'Parameters and Distribution Sum'!$B$4,0))),0)"),0.0)</f>
        <v>0</v>
      </c>
      <c r="AB1577" s="44">
        <f t="shared" si="141"/>
        <v>0</v>
      </c>
      <c r="AC1577" s="44">
        <f t="shared" si="142"/>
        <v>0</v>
      </c>
      <c r="AD1577" s="44">
        <f t="shared" si="7"/>
        <v>0</v>
      </c>
      <c r="AE1577" s="44"/>
    </row>
    <row r="1578">
      <c r="A1578" s="178"/>
      <c r="B1578" s="179"/>
      <c r="C1578" s="147"/>
      <c r="D1578" s="44"/>
      <c r="E1578" s="44"/>
      <c r="F1578" s="44"/>
      <c r="G1578" s="44"/>
      <c r="H1578" s="44"/>
      <c r="I1578" s="44"/>
      <c r="J1578" s="44"/>
      <c r="K1578" s="44"/>
      <c r="L1578" s="44"/>
      <c r="M1578" s="44"/>
      <c r="N1578" s="44"/>
      <c r="O1578" s="44"/>
      <c r="P1578" s="52">
        <f t="shared" si="23"/>
        <v>0</v>
      </c>
      <c r="Q1578" s="124">
        <f t="shared" si="2"/>
        <v>0</v>
      </c>
      <c r="R1578" s="52">
        <f t="array" ref="R1578">IFERROR(INDEX('Fund YTD Target Values'!$1:$1000, MATCH($C1578,'Fund YTD Target Values'!$A:$A,0), MATCH($A1578,'Fund YTD Target Values'!$1:$1,0)),0)</f>
        <v>0</v>
      </c>
      <c r="S1578" s="52">
        <f>IFERROR(__xludf.DUMMYFUNCTION("IFERROR(sum(FILTER('Fund Data'!$V:$V, 'Fund Data'!$C:$C = $C1578, 'Fund Data'!$A:$A &lt; $A1578)),0) + IFERROR(sum(FILTER('Fund Data'!$V:$V, 'Fund Data'!$C:$C = $C1578, 'Fund Data'!$A:$A = $A1578, 'Fund Data'!$B:$B &lt;= $B1578)),0)"),0.0)</f>
        <v>0</v>
      </c>
      <c r="T1578" s="44"/>
      <c r="U1578" s="44"/>
      <c r="V1578" s="44">
        <f t="shared" si="3"/>
        <v>0</v>
      </c>
      <c r="W1578" s="52">
        <f>IFERROR(__xludf.DUMMYFUNCTION("iFERROR((FILTER('Fund Data'!$Y:$Y, 'Fund Data'!$C:$C = $C1578, 'Fund Data'!$A:$A = $A1578 - 1, 'Fund Data'!$B:$B = 12) + FILTER('Fund Data'!$AA:$AA, 'Fund Data'!$C:$C = $C1578, 'Fund Data'!$A:$A = $A1578 - 1, 'Fund Data'!$B:$B = 12)) * (1 + AVERAGE(FILTER"&amp;"('Inflation Data'!$C:$C,'Inflation Data'!$A:$A = ($A1578 - 2)))) * 'Parameters and Distribution Sum'!$A$4,0)"),0.0)</f>
        <v>0</v>
      </c>
      <c r="X1578" s="52">
        <f>IFERROR(__xludf.DUMMYFUNCTION("IFERROR((IFERROR(FILTER('Fund Data'!$P:$P,'Fund Data'!$C:$C = $C1578,'Fund Data'!$A:$A = ($A1578 - 2), 'Fund Data'!$B:$B = 12),0) - SUM(FILTER('Fund Data'!$V:$V, 'Fund Data'!$C:$C = $C1578, 'Fund Data'!$A:$A = ($A1578 - 2), 'Fund Data'!$B:$B &gt; 3)))  * 'Pa"&amp;"rameters and Distribution Sum'!$B$4 * (1 - 'Parameters and Distribution Sum'!$A$4),0)"),0.0)</f>
        <v>0</v>
      </c>
      <c r="Y1578" s="52">
        <f t="shared" si="140"/>
        <v>0</v>
      </c>
      <c r="Z1578" s="52">
        <f>IFERROR(__xludf.DUMMYFUNCTION("((IFERROR((SUM(FILTER('Fund Data'!$V:$V, 'Fund Data'!$C:$C = $C1578, 'Fund Data'!$A:$A = $A1578 - 1, 'Fund Data'!$B:$B &gt;= 4, 'Fund Data'!$B:$B &lt;= ($B1578 + 5))) / 12) * ($B1578 - 3) * 'Parameters and Distribution Sum'!$B$4, 0) + IF($B1578 &gt;= 9, IFERROR(SU"&amp;"M(FILTER('Fund Data'!$V:$V, 'Fund Data'!$C:$C = $C1578, 'Fund Data'!$A:$A = $A1578, 'Fund Data'!$B:$B &lt;= 3)) * 'Parameters and Distribution Sum'!$B$4, 0),0)))"),0.0)</f>
        <v>0</v>
      </c>
      <c r="AA1578" s="44">
        <f>IFERROR(__xludf.DUMMYFUNCTION("IFERROR(((IFERROR(SUM(FILTER('Fund Data'!$V:$V, 'Fund Data'!$C:$C = $C1578, 'Fund Data'!$A:$A = $A1578 - 2, 'Fund Data'!$B:$B &gt;= 4)) * 'Parameters and Distribution Sum'!$B$4,0) + IFERROR(SUM(FILTER('Fund Data'!$V:$V, 'Fund Data'!$C:$C = $C1578, 'Fund Data"&amp;"'!$A:$A = $A1578 - 1, 'Fund Data'!$B:$B &lt;= 3)) * 'Parameters and Distribution Sum'!$B$4,0))),0)"),0.0)</f>
        <v>0</v>
      </c>
      <c r="AB1578" s="44">
        <f t="shared" si="141"/>
        <v>0</v>
      </c>
      <c r="AC1578" s="44">
        <f t="shared" si="142"/>
        <v>0</v>
      </c>
      <c r="AD1578" s="44">
        <f t="shared" si="7"/>
        <v>0</v>
      </c>
      <c r="AE1578" s="44"/>
    </row>
    <row r="1579">
      <c r="A1579" s="178"/>
      <c r="B1579" s="179"/>
      <c r="C1579" s="147"/>
      <c r="D1579" s="44"/>
      <c r="E1579" s="44"/>
      <c r="F1579" s="44"/>
      <c r="G1579" s="44"/>
      <c r="H1579" s="44"/>
      <c r="I1579" s="44"/>
      <c r="J1579" s="44"/>
      <c r="K1579" s="44"/>
      <c r="L1579" s="44"/>
      <c r="M1579" s="44"/>
      <c r="N1579" s="44"/>
      <c r="O1579" s="44"/>
      <c r="P1579" s="52">
        <f t="shared" si="23"/>
        <v>0</v>
      </c>
      <c r="Q1579" s="124">
        <f t="shared" si="2"/>
        <v>0</v>
      </c>
      <c r="R1579" s="52">
        <f t="array" ref="R1579">IFERROR(INDEX('Fund YTD Target Values'!$1:$1000, MATCH($C1579,'Fund YTD Target Values'!$A:$A,0), MATCH($A1579,'Fund YTD Target Values'!$1:$1,0)),0)</f>
        <v>0</v>
      </c>
      <c r="S1579" s="52">
        <f>IFERROR(__xludf.DUMMYFUNCTION("IFERROR(sum(FILTER('Fund Data'!$V:$V, 'Fund Data'!$C:$C = $C1579, 'Fund Data'!$A:$A &lt; $A1579)),0) + IFERROR(sum(FILTER('Fund Data'!$V:$V, 'Fund Data'!$C:$C = $C1579, 'Fund Data'!$A:$A = $A1579, 'Fund Data'!$B:$B &lt;= $B1579)),0)"),0.0)</f>
        <v>0</v>
      </c>
      <c r="T1579" s="44"/>
      <c r="U1579" s="44"/>
      <c r="V1579" s="44">
        <f t="shared" si="3"/>
        <v>0</v>
      </c>
      <c r="W1579" s="52">
        <f>IFERROR(__xludf.DUMMYFUNCTION("iFERROR((FILTER('Fund Data'!$Y:$Y, 'Fund Data'!$C:$C = $C1579, 'Fund Data'!$A:$A = $A1579 - 1, 'Fund Data'!$B:$B = 12) + FILTER('Fund Data'!$AA:$AA, 'Fund Data'!$C:$C = $C1579, 'Fund Data'!$A:$A = $A1579 - 1, 'Fund Data'!$B:$B = 12)) * (1 + AVERAGE(FILTER"&amp;"('Inflation Data'!$C:$C,'Inflation Data'!$A:$A = ($A1579 - 2)))) * 'Parameters and Distribution Sum'!$A$4,0)"),0.0)</f>
        <v>0</v>
      </c>
      <c r="X1579" s="52">
        <f>IFERROR(__xludf.DUMMYFUNCTION("IFERROR((IFERROR(FILTER('Fund Data'!$P:$P,'Fund Data'!$C:$C = $C1579,'Fund Data'!$A:$A = ($A1579 - 2), 'Fund Data'!$B:$B = 12),0) - SUM(FILTER('Fund Data'!$V:$V, 'Fund Data'!$C:$C = $C1579, 'Fund Data'!$A:$A = ($A1579 - 2), 'Fund Data'!$B:$B &gt; 3)))  * 'Pa"&amp;"rameters and Distribution Sum'!$B$4 * (1 - 'Parameters and Distribution Sum'!$A$4),0)"),0.0)</f>
        <v>0</v>
      </c>
      <c r="Y1579" s="52">
        <f t="shared" si="140"/>
        <v>0</v>
      </c>
      <c r="Z1579" s="52">
        <f>IFERROR(__xludf.DUMMYFUNCTION("((IFERROR((SUM(FILTER('Fund Data'!$V:$V, 'Fund Data'!$C:$C = $C1579, 'Fund Data'!$A:$A = $A1579 - 1, 'Fund Data'!$B:$B &gt;= 4, 'Fund Data'!$B:$B &lt;= ($B1579 + 5))) / 12) * ($B1579 - 3) * 'Parameters and Distribution Sum'!$B$4, 0) + IF($B1579 &gt;= 9, IFERROR(SU"&amp;"M(FILTER('Fund Data'!$V:$V, 'Fund Data'!$C:$C = $C1579, 'Fund Data'!$A:$A = $A1579, 'Fund Data'!$B:$B &lt;= 3)) * 'Parameters and Distribution Sum'!$B$4, 0),0)))"),0.0)</f>
        <v>0</v>
      </c>
      <c r="AA1579" s="44">
        <f>IFERROR(__xludf.DUMMYFUNCTION("IFERROR(((IFERROR(SUM(FILTER('Fund Data'!$V:$V, 'Fund Data'!$C:$C = $C1579, 'Fund Data'!$A:$A = $A1579 - 2, 'Fund Data'!$B:$B &gt;= 4)) * 'Parameters and Distribution Sum'!$B$4,0) + IFERROR(SUM(FILTER('Fund Data'!$V:$V, 'Fund Data'!$C:$C = $C1579, 'Fund Data"&amp;"'!$A:$A = $A1579 - 1, 'Fund Data'!$B:$B &lt;= 3)) * 'Parameters and Distribution Sum'!$B$4,0))),0)"),0.0)</f>
        <v>0</v>
      </c>
      <c r="AB1579" s="44">
        <f t="shared" si="141"/>
        <v>0</v>
      </c>
      <c r="AC1579" s="44">
        <f t="shared" si="142"/>
        <v>0</v>
      </c>
      <c r="AD1579" s="44">
        <f t="shared" si="7"/>
        <v>0</v>
      </c>
      <c r="AE1579" s="44"/>
    </row>
    <row r="1580">
      <c r="A1580" s="178"/>
      <c r="B1580" s="179"/>
      <c r="C1580" s="147"/>
      <c r="D1580" s="44"/>
      <c r="E1580" s="44"/>
      <c r="F1580" s="44"/>
      <c r="G1580" s="44"/>
      <c r="H1580" s="44"/>
      <c r="I1580" s="44"/>
      <c r="J1580" s="44"/>
      <c r="K1580" s="44"/>
      <c r="L1580" s="44"/>
      <c r="M1580" s="44"/>
      <c r="N1580" s="44"/>
      <c r="O1580" s="44"/>
      <c r="P1580" s="52">
        <f t="shared" si="23"/>
        <v>0</v>
      </c>
      <c r="Q1580" s="124">
        <f t="shared" si="2"/>
        <v>0</v>
      </c>
      <c r="R1580" s="52">
        <f t="array" ref="R1580">IFERROR(INDEX('Fund YTD Target Values'!$1:$1000, MATCH($C1580,'Fund YTD Target Values'!$A:$A,0), MATCH($A1580,'Fund YTD Target Values'!$1:$1,0)),0)</f>
        <v>0</v>
      </c>
      <c r="S1580" s="52">
        <f>IFERROR(__xludf.DUMMYFUNCTION("IFERROR(sum(FILTER('Fund Data'!$V:$V, 'Fund Data'!$C:$C = $C1580, 'Fund Data'!$A:$A &lt; $A1580)),0) + IFERROR(sum(FILTER('Fund Data'!$V:$V, 'Fund Data'!$C:$C = $C1580, 'Fund Data'!$A:$A = $A1580, 'Fund Data'!$B:$B &lt;= $B1580)),0)"),0.0)</f>
        <v>0</v>
      </c>
      <c r="T1580" s="44"/>
      <c r="U1580" s="44"/>
      <c r="V1580" s="44">
        <f t="shared" si="3"/>
        <v>0</v>
      </c>
      <c r="W1580" s="52">
        <f>IFERROR(__xludf.DUMMYFUNCTION("iFERROR((FILTER('Fund Data'!$Y:$Y, 'Fund Data'!$C:$C = $C1580, 'Fund Data'!$A:$A = $A1580 - 1, 'Fund Data'!$B:$B = 12) + FILTER('Fund Data'!$AA:$AA, 'Fund Data'!$C:$C = $C1580, 'Fund Data'!$A:$A = $A1580 - 1, 'Fund Data'!$B:$B = 12)) * (1 + AVERAGE(FILTER"&amp;"('Inflation Data'!$C:$C,'Inflation Data'!$A:$A = ($A1580 - 2)))) * 'Parameters and Distribution Sum'!$A$4,0)"),0.0)</f>
        <v>0</v>
      </c>
      <c r="X1580" s="52">
        <f>IFERROR(__xludf.DUMMYFUNCTION("IFERROR((IFERROR(FILTER('Fund Data'!$P:$P,'Fund Data'!$C:$C = $C1580,'Fund Data'!$A:$A = ($A1580 - 2), 'Fund Data'!$B:$B = 12),0) - SUM(FILTER('Fund Data'!$V:$V, 'Fund Data'!$C:$C = $C1580, 'Fund Data'!$A:$A = ($A1580 - 2), 'Fund Data'!$B:$B &gt; 3)))  * 'Pa"&amp;"rameters and Distribution Sum'!$B$4 * (1 - 'Parameters and Distribution Sum'!$A$4),0)"),0.0)</f>
        <v>0</v>
      </c>
      <c r="Y1580" s="52">
        <f t="shared" si="140"/>
        <v>0</v>
      </c>
      <c r="Z1580" s="52">
        <f>IFERROR(__xludf.DUMMYFUNCTION("((IFERROR((SUM(FILTER('Fund Data'!$V:$V, 'Fund Data'!$C:$C = $C1580, 'Fund Data'!$A:$A = $A1580 - 1, 'Fund Data'!$B:$B &gt;= 4, 'Fund Data'!$B:$B &lt;= ($B1580 + 5))) / 12) * ($B1580 - 3) * 'Parameters and Distribution Sum'!$B$4, 0) + IF($B1580 &gt;= 9, IFERROR(SU"&amp;"M(FILTER('Fund Data'!$V:$V, 'Fund Data'!$C:$C = $C1580, 'Fund Data'!$A:$A = $A1580, 'Fund Data'!$B:$B &lt;= 3)) * 'Parameters and Distribution Sum'!$B$4, 0),0)))"),0.0)</f>
        <v>0</v>
      </c>
      <c r="AA1580" s="44">
        <f>IFERROR(__xludf.DUMMYFUNCTION("IFERROR(((IFERROR(SUM(FILTER('Fund Data'!$V:$V, 'Fund Data'!$C:$C = $C1580, 'Fund Data'!$A:$A = $A1580 - 2, 'Fund Data'!$B:$B &gt;= 4)) * 'Parameters and Distribution Sum'!$B$4,0) + IFERROR(SUM(FILTER('Fund Data'!$V:$V, 'Fund Data'!$C:$C = $C1580, 'Fund Data"&amp;"'!$A:$A = $A1580 - 1, 'Fund Data'!$B:$B &lt;= 3)) * 'Parameters and Distribution Sum'!$B$4,0))),0)"),0.0)</f>
        <v>0</v>
      </c>
      <c r="AB1580" s="44">
        <f t="shared" si="141"/>
        <v>0</v>
      </c>
      <c r="AC1580" s="44">
        <f t="shared" si="142"/>
        <v>0</v>
      </c>
      <c r="AD1580" s="44">
        <f t="shared" si="7"/>
        <v>0</v>
      </c>
      <c r="AE1580" s="44"/>
    </row>
    <row r="1581">
      <c r="A1581" s="178"/>
      <c r="B1581" s="179"/>
      <c r="C1581" s="147"/>
      <c r="D1581" s="44"/>
      <c r="E1581" s="44"/>
      <c r="F1581" s="44"/>
      <c r="G1581" s="44"/>
      <c r="H1581" s="44"/>
      <c r="I1581" s="44"/>
      <c r="J1581" s="44"/>
      <c r="K1581" s="44"/>
      <c r="L1581" s="44"/>
      <c r="M1581" s="44"/>
      <c r="N1581" s="44"/>
      <c r="O1581" s="44"/>
      <c r="P1581" s="52">
        <f t="shared" si="23"/>
        <v>0</v>
      </c>
      <c r="Q1581" s="124">
        <f t="shared" si="2"/>
        <v>0</v>
      </c>
      <c r="R1581" s="52">
        <f t="array" ref="R1581">IFERROR(INDEX('Fund YTD Target Values'!$1:$1000, MATCH($C1581,'Fund YTD Target Values'!$A:$A,0), MATCH($A1581,'Fund YTD Target Values'!$1:$1,0)),0)</f>
        <v>0</v>
      </c>
      <c r="S1581" s="52">
        <f>IFERROR(__xludf.DUMMYFUNCTION("IFERROR(sum(FILTER('Fund Data'!$V:$V, 'Fund Data'!$C:$C = $C1581, 'Fund Data'!$A:$A &lt; $A1581)),0) + IFERROR(sum(FILTER('Fund Data'!$V:$V, 'Fund Data'!$C:$C = $C1581, 'Fund Data'!$A:$A = $A1581, 'Fund Data'!$B:$B &lt;= $B1581)),0)"),0.0)</f>
        <v>0</v>
      </c>
      <c r="T1581" s="44"/>
      <c r="U1581" s="44"/>
      <c r="V1581" s="44">
        <f t="shared" si="3"/>
        <v>0</v>
      </c>
      <c r="W1581" s="52">
        <f>IFERROR(__xludf.DUMMYFUNCTION("iFERROR((FILTER('Fund Data'!$Y:$Y, 'Fund Data'!$C:$C = $C1581, 'Fund Data'!$A:$A = $A1581 - 1, 'Fund Data'!$B:$B = 12) + FILTER('Fund Data'!$AA:$AA, 'Fund Data'!$C:$C = $C1581, 'Fund Data'!$A:$A = $A1581 - 1, 'Fund Data'!$B:$B = 12)) * (1 + AVERAGE(FILTER"&amp;"('Inflation Data'!$C:$C,'Inflation Data'!$A:$A = ($A1581 - 2)))) * 'Parameters and Distribution Sum'!$A$4,0)"),0.0)</f>
        <v>0</v>
      </c>
      <c r="X1581" s="52">
        <f>IFERROR(__xludf.DUMMYFUNCTION("IFERROR((IFERROR(FILTER('Fund Data'!$P:$P,'Fund Data'!$C:$C = $C1581,'Fund Data'!$A:$A = ($A1581 - 2), 'Fund Data'!$B:$B = 12),0) - SUM(FILTER('Fund Data'!$V:$V, 'Fund Data'!$C:$C = $C1581, 'Fund Data'!$A:$A = ($A1581 - 2), 'Fund Data'!$B:$B &gt; 3)))  * 'Pa"&amp;"rameters and Distribution Sum'!$B$4 * (1 - 'Parameters and Distribution Sum'!$A$4),0)"),0.0)</f>
        <v>0</v>
      </c>
      <c r="Y1581" s="52">
        <f t="shared" si="140"/>
        <v>0</v>
      </c>
      <c r="Z1581" s="52">
        <f>IFERROR(__xludf.DUMMYFUNCTION("((IFERROR((SUM(FILTER('Fund Data'!$V:$V, 'Fund Data'!$C:$C = $C1581, 'Fund Data'!$A:$A = $A1581 - 1, 'Fund Data'!$B:$B &gt;= 4, 'Fund Data'!$B:$B &lt;= ($B1581 + 5))) / 12) * ($B1581 - 3) * 'Parameters and Distribution Sum'!$B$4, 0) + IF($B1581 &gt;= 9, IFERROR(SU"&amp;"M(FILTER('Fund Data'!$V:$V, 'Fund Data'!$C:$C = $C1581, 'Fund Data'!$A:$A = $A1581, 'Fund Data'!$B:$B &lt;= 3)) * 'Parameters and Distribution Sum'!$B$4, 0),0)))"),0.0)</f>
        <v>0</v>
      </c>
      <c r="AA1581" s="44">
        <f>IFERROR(__xludf.DUMMYFUNCTION("IFERROR(((IFERROR(SUM(FILTER('Fund Data'!$V:$V, 'Fund Data'!$C:$C = $C1581, 'Fund Data'!$A:$A = $A1581 - 2, 'Fund Data'!$B:$B &gt;= 4)) * 'Parameters and Distribution Sum'!$B$4,0) + IFERROR(SUM(FILTER('Fund Data'!$V:$V, 'Fund Data'!$C:$C = $C1581, 'Fund Data"&amp;"'!$A:$A = $A1581 - 1, 'Fund Data'!$B:$B &lt;= 3)) * 'Parameters and Distribution Sum'!$B$4,0))),0)"),0.0)</f>
        <v>0</v>
      </c>
      <c r="AB1581" s="44">
        <f t="shared" si="141"/>
        <v>0</v>
      </c>
      <c r="AC1581" s="44">
        <f t="shared" si="142"/>
        <v>0</v>
      </c>
      <c r="AD1581" s="44">
        <f t="shared" si="7"/>
        <v>0</v>
      </c>
      <c r="AE1581" s="44"/>
    </row>
    <row r="1582">
      <c r="A1582" s="178"/>
      <c r="B1582" s="179"/>
      <c r="C1582" s="147"/>
      <c r="D1582" s="44"/>
      <c r="E1582" s="44"/>
      <c r="F1582" s="44"/>
      <c r="G1582" s="44"/>
      <c r="H1582" s="44"/>
      <c r="I1582" s="44"/>
      <c r="J1582" s="44"/>
      <c r="K1582" s="44"/>
      <c r="L1582" s="44"/>
      <c r="M1582" s="44"/>
      <c r="N1582" s="44"/>
      <c r="O1582" s="44"/>
      <c r="P1582" s="52">
        <f t="shared" si="23"/>
        <v>0</v>
      </c>
      <c r="Q1582" s="124">
        <f t="shared" si="2"/>
        <v>0</v>
      </c>
      <c r="R1582" s="52">
        <f t="array" ref="R1582">IFERROR(INDEX('Fund YTD Target Values'!$1:$1000, MATCH($C1582,'Fund YTD Target Values'!$A:$A,0), MATCH($A1582,'Fund YTD Target Values'!$1:$1,0)),0)</f>
        <v>0</v>
      </c>
      <c r="S1582" s="52">
        <f>IFERROR(__xludf.DUMMYFUNCTION("IFERROR(sum(FILTER('Fund Data'!$V:$V, 'Fund Data'!$C:$C = $C1582, 'Fund Data'!$A:$A &lt; $A1582)),0) + IFERROR(sum(FILTER('Fund Data'!$V:$V, 'Fund Data'!$C:$C = $C1582, 'Fund Data'!$A:$A = $A1582, 'Fund Data'!$B:$B &lt;= $B1582)),0)"),0.0)</f>
        <v>0</v>
      </c>
      <c r="T1582" s="44"/>
      <c r="U1582" s="44"/>
      <c r="V1582" s="44">
        <f t="shared" si="3"/>
        <v>0</v>
      </c>
      <c r="W1582" s="52">
        <f>IFERROR(__xludf.DUMMYFUNCTION("iFERROR((FILTER('Fund Data'!$Y:$Y, 'Fund Data'!$C:$C = $C1582, 'Fund Data'!$A:$A = $A1582 - 1, 'Fund Data'!$B:$B = 12) + FILTER('Fund Data'!$AA:$AA, 'Fund Data'!$C:$C = $C1582, 'Fund Data'!$A:$A = $A1582 - 1, 'Fund Data'!$B:$B = 12)) * (1 + AVERAGE(FILTER"&amp;"('Inflation Data'!$C:$C,'Inflation Data'!$A:$A = ($A1582 - 2)))) * 'Parameters and Distribution Sum'!$A$4,0)"),0.0)</f>
        <v>0</v>
      </c>
      <c r="X1582" s="52">
        <f>IFERROR(__xludf.DUMMYFUNCTION("IFERROR((IFERROR(FILTER('Fund Data'!$P:$P,'Fund Data'!$C:$C = $C1582,'Fund Data'!$A:$A = ($A1582 - 2), 'Fund Data'!$B:$B = 12),0) - SUM(FILTER('Fund Data'!$V:$V, 'Fund Data'!$C:$C = $C1582, 'Fund Data'!$A:$A = ($A1582 - 2), 'Fund Data'!$B:$B &gt; 3)))  * 'Pa"&amp;"rameters and Distribution Sum'!$B$4 * (1 - 'Parameters and Distribution Sum'!$A$4),0)"),0.0)</f>
        <v>0</v>
      </c>
      <c r="Y1582" s="52">
        <f t="shared" si="140"/>
        <v>0</v>
      </c>
      <c r="Z1582" s="52">
        <f>IFERROR(__xludf.DUMMYFUNCTION("((IFERROR((SUM(FILTER('Fund Data'!$V:$V, 'Fund Data'!$C:$C = $C1582, 'Fund Data'!$A:$A = $A1582 - 1, 'Fund Data'!$B:$B &gt;= 4, 'Fund Data'!$B:$B &lt;= ($B1582 + 5))) / 12) * ($B1582 - 3) * 'Parameters and Distribution Sum'!$B$4, 0) + IF($B1582 &gt;= 9, IFERROR(SU"&amp;"M(FILTER('Fund Data'!$V:$V, 'Fund Data'!$C:$C = $C1582, 'Fund Data'!$A:$A = $A1582, 'Fund Data'!$B:$B &lt;= 3)) * 'Parameters and Distribution Sum'!$B$4, 0),0)))"),0.0)</f>
        <v>0</v>
      </c>
      <c r="AA1582" s="44">
        <f>IFERROR(__xludf.DUMMYFUNCTION("IFERROR(((IFERROR(SUM(FILTER('Fund Data'!$V:$V, 'Fund Data'!$C:$C = $C1582, 'Fund Data'!$A:$A = $A1582 - 2, 'Fund Data'!$B:$B &gt;= 4)) * 'Parameters and Distribution Sum'!$B$4,0) + IFERROR(SUM(FILTER('Fund Data'!$V:$V, 'Fund Data'!$C:$C = $C1582, 'Fund Data"&amp;"'!$A:$A = $A1582 - 1, 'Fund Data'!$B:$B &lt;= 3)) * 'Parameters and Distribution Sum'!$B$4,0))),0)"),0.0)</f>
        <v>0</v>
      </c>
      <c r="AB1582" s="44">
        <f t="shared" si="141"/>
        <v>0</v>
      </c>
      <c r="AC1582" s="44">
        <f t="shared" si="142"/>
        <v>0</v>
      </c>
      <c r="AD1582" s="44">
        <f t="shared" si="7"/>
        <v>0</v>
      </c>
      <c r="AE1582" s="44"/>
    </row>
    <row r="1583">
      <c r="A1583" s="178"/>
      <c r="B1583" s="179"/>
      <c r="C1583" s="147"/>
      <c r="D1583" s="44"/>
      <c r="E1583" s="44"/>
      <c r="F1583" s="44"/>
      <c r="G1583" s="44"/>
      <c r="H1583" s="44"/>
      <c r="I1583" s="44"/>
      <c r="J1583" s="44"/>
      <c r="K1583" s="44"/>
      <c r="L1583" s="44"/>
      <c r="M1583" s="44"/>
      <c r="N1583" s="44"/>
      <c r="O1583" s="44"/>
      <c r="P1583" s="52">
        <f t="shared" si="23"/>
        <v>0</v>
      </c>
      <c r="Q1583" s="124">
        <f t="shared" si="2"/>
        <v>0</v>
      </c>
      <c r="R1583" s="52">
        <f t="array" ref="R1583">IFERROR(INDEX('Fund YTD Target Values'!$1:$1000, MATCH($C1583,'Fund YTD Target Values'!$A:$A,0), MATCH($A1583,'Fund YTD Target Values'!$1:$1,0)),0)</f>
        <v>0</v>
      </c>
      <c r="S1583" s="52">
        <f>IFERROR(__xludf.DUMMYFUNCTION("IFERROR(sum(FILTER('Fund Data'!$V:$V, 'Fund Data'!$C:$C = $C1583, 'Fund Data'!$A:$A &lt; $A1583)),0) + IFERROR(sum(FILTER('Fund Data'!$V:$V, 'Fund Data'!$C:$C = $C1583, 'Fund Data'!$A:$A = $A1583, 'Fund Data'!$B:$B &lt;= $B1583)),0)"),0.0)</f>
        <v>0</v>
      </c>
      <c r="T1583" s="44"/>
      <c r="U1583" s="44"/>
      <c r="V1583" s="44">
        <f t="shared" si="3"/>
        <v>0</v>
      </c>
      <c r="W1583" s="52">
        <f>IFERROR(__xludf.DUMMYFUNCTION("iFERROR((FILTER('Fund Data'!$Y:$Y, 'Fund Data'!$C:$C = $C1583, 'Fund Data'!$A:$A = $A1583 - 1, 'Fund Data'!$B:$B = 12) + FILTER('Fund Data'!$AA:$AA, 'Fund Data'!$C:$C = $C1583, 'Fund Data'!$A:$A = $A1583 - 1, 'Fund Data'!$B:$B = 12)) * (1 + AVERAGE(FILTER"&amp;"('Inflation Data'!$C:$C,'Inflation Data'!$A:$A = ($A1583 - 2)))) * 'Parameters and Distribution Sum'!$A$4,0)"),0.0)</f>
        <v>0</v>
      </c>
      <c r="X1583" s="52">
        <f>IFERROR(__xludf.DUMMYFUNCTION("IFERROR((IFERROR(FILTER('Fund Data'!$P:$P,'Fund Data'!$C:$C = $C1583,'Fund Data'!$A:$A = ($A1583 - 2), 'Fund Data'!$B:$B = 12),0) - SUM(FILTER('Fund Data'!$V:$V, 'Fund Data'!$C:$C = $C1583, 'Fund Data'!$A:$A = ($A1583 - 2), 'Fund Data'!$B:$B &gt; 3)))  * 'Pa"&amp;"rameters and Distribution Sum'!$B$4 * (1 - 'Parameters and Distribution Sum'!$A$4),0)"),0.0)</f>
        <v>0</v>
      </c>
      <c r="Y1583" s="52">
        <f t="shared" si="140"/>
        <v>0</v>
      </c>
      <c r="Z1583" s="52">
        <f>IFERROR(__xludf.DUMMYFUNCTION("((IFERROR((SUM(FILTER('Fund Data'!$V:$V, 'Fund Data'!$C:$C = $C1583, 'Fund Data'!$A:$A = $A1583 - 1, 'Fund Data'!$B:$B &gt;= 4, 'Fund Data'!$B:$B &lt;= ($B1583 + 5))) / 12) * ($B1583 - 3) * 'Parameters and Distribution Sum'!$B$4, 0) + IF($B1583 &gt;= 9, IFERROR(SU"&amp;"M(FILTER('Fund Data'!$V:$V, 'Fund Data'!$C:$C = $C1583, 'Fund Data'!$A:$A = $A1583, 'Fund Data'!$B:$B &lt;= 3)) * 'Parameters and Distribution Sum'!$B$4, 0),0)))"),0.0)</f>
        <v>0</v>
      </c>
      <c r="AA1583" s="44">
        <f>IFERROR(__xludf.DUMMYFUNCTION("IFERROR(((IFERROR(SUM(FILTER('Fund Data'!$V:$V, 'Fund Data'!$C:$C = $C1583, 'Fund Data'!$A:$A = $A1583 - 2, 'Fund Data'!$B:$B &gt;= 4)) * 'Parameters and Distribution Sum'!$B$4,0) + IFERROR(SUM(FILTER('Fund Data'!$V:$V, 'Fund Data'!$C:$C = $C1583, 'Fund Data"&amp;"'!$A:$A = $A1583 - 1, 'Fund Data'!$B:$B &lt;= 3)) * 'Parameters and Distribution Sum'!$B$4,0))),0)"),0.0)</f>
        <v>0</v>
      </c>
      <c r="AB1583" s="44">
        <f t="shared" si="141"/>
        <v>0</v>
      </c>
      <c r="AC1583" s="44">
        <f t="shared" si="142"/>
        <v>0</v>
      </c>
      <c r="AD1583" s="44">
        <f t="shared" si="7"/>
        <v>0</v>
      </c>
      <c r="AE1583" s="44"/>
    </row>
    <row r="1584">
      <c r="A1584" s="178"/>
      <c r="B1584" s="179"/>
      <c r="C1584" s="147"/>
      <c r="D1584" s="44"/>
      <c r="E1584" s="44"/>
      <c r="F1584" s="44"/>
      <c r="G1584" s="44"/>
      <c r="H1584" s="44"/>
      <c r="I1584" s="44"/>
      <c r="J1584" s="44"/>
      <c r="K1584" s="44"/>
      <c r="L1584" s="44"/>
      <c r="M1584" s="44"/>
      <c r="N1584" s="44"/>
      <c r="O1584" s="44"/>
      <c r="P1584" s="52">
        <f t="shared" si="23"/>
        <v>0</v>
      </c>
      <c r="Q1584" s="124">
        <f t="shared" si="2"/>
        <v>0</v>
      </c>
      <c r="R1584" s="52">
        <f t="array" ref="R1584">IFERROR(INDEX('Fund YTD Target Values'!$1:$1000, MATCH($C1584,'Fund YTD Target Values'!$A:$A,0), MATCH($A1584,'Fund YTD Target Values'!$1:$1,0)),0)</f>
        <v>0</v>
      </c>
      <c r="S1584" s="52">
        <f>IFERROR(__xludf.DUMMYFUNCTION("IFERROR(sum(FILTER('Fund Data'!$V:$V, 'Fund Data'!$C:$C = $C1584, 'Fund Data'!$A:$A &lt; $A1584)),0) + IFERROR(sum(FILTER('Fund Data'!$V:$V, 'Fund Data'!$C:$C = $C1584, 'Fund Data'!$A:$A = $A1584, 'Fund Data'!$B:$B &lt;= $B1584)),0)"),0.0)</f>
        <v>0</v>
      </c>
      <c r="T1584" s="44"/>
      <c r="U1584" s="44"/>
      <c r="V1584" s="44">
        <f t="shared" si="3"/>
        <v>0</v>
      </c>
      <c r="W1584" s="52">
        <f>IFERROR(__xludf.DUMMYFUNCTION("iFERROR((FILTER('Fund Data'!$Y:$Y, 'Fund Data'!$C:$C = $C1584, 'Fund Data'!$A:$A = $A1584 - 1, 'Fund Data'!$B:$B = 12) + FILTER('Fund Data'!$AA:$AA, 'Fund Data'!$C:$C = $C1584, 'Fund Data'!$A:$A = $A1584 - 1, 'Fund Data'!$B:$B = 12)) * (1 + AVERAGE(FILTER"&amp;"('Inflation Data'!$C:$C,'Inflation Data'!$A:$A = ($A1584 - 2)))) * 'Parameters and Distribution Sum'!$A$4,0)"),0.0)</f>
        <v>0</v>
      </c>
      <c r="X1584" s="52">
        <f>IFERROR(__xludf.DUMMYFUNCTION("IFERROR((IFERROR(FILTER('Fund Data'!$P:$P,'Fund Data'!$C:$C = $C1584,'Fund Data'!$A:$A = ($A1584 - 2), 'Fund Data'!$B:$B = 12),0) - SUM(FILTER('Fund Data'!$V:$V, 'Fund Data'!$C:$C = $C1584, 'Fund Data'!$A:$A = ($A1584 - 2), 'Fund Data'!$B:$B &gt; 3)))  * 'Pa"&amp;"rameters and Distribution Sum'!$B$4 * (1 - 'Parameters and Distribution Sum'!$A$4),0)"),0.0)</f>
        <v>0</v>
      </c>
      <c r="Y1584" s="52">
        <f t="shared" si="140"/>
        <v>0</v>
      </c>
      <c r="Z1584" s="52">
        <f>IFERROR(__xludf.DUMMYFUNCTION("((IFERROR((SUM(FILTER('Fund Data'!$V:$V, 'Fund Data'!$C:$C = $C1584, 'Fund Data'!$A:$A = $A1584 - 1, 'Fund Data'!$B:$B &gt;= 4, 'Fund Data'!$B:$B &lt;= ($B1584 + 5))) / 12) * ($B1584 - 3) * 'Parameters and Distribution Sum'!$B$4, 0) + IF($B1584 &gt;= 9, IFERROR(SU"&amp;"M(FILTER('Fund Data'!$V:$V, 'Fund Data'!$C:$C = $C1584, 'Fund Data'!$A:$A = $A1584, 'Fund Data'!$B:$B &lt;= 3)) * 'Parameters and Distribution Sum'!$B$4, 0),0)))"),0.0)</f>
        <v>0</v>
      </c>
      <c r="AA1584" s="44">
        <f>IFERROR(__xludf.DUMMYFUNCTION("IFERROR(((IFERROR(SUM(FILTER('Fund Data'!$V:$V, 'Fund Data'!$C:$C = $C1584, 'Fund Data'!$A:$A = $A1584 - 2, 'Fund Data'!$B:$B &gt;= 4)) * 'Parameters and Distribution Sum'!$B$4,0) + IFERROR(SUM(FILTER('Fund Data'!$V:$V, 'Fund Data'!$C:$C = $C1584, 'Fund Data"&amp;"'!$A:$A = $A1584 - 1, 'Fund Data'!$B:$B &lt;= 3)) * 'Parameters and Distribution Sum'!$B$4,0))),0)"),0.0)</f>
        <v>0</v>
      </c>
      <c r="AB1584" s="44">
        <f t="shared" si="141"/>
        <v>0</v>
      </c>
      <c r="AC1584" s="44">
        <f t="shared" si="142"/>
        <v>0</v>
      </c>
      <c r="AD1584" s="44">
        <f t="shared" si="7"/>
        <v>0</v>
      </c>
      <c r="AE1584" s="44"/>
    </row>
    <row r="1585">
      <c r="A1585" s="178"/>
      <c r="B1585" s="179"/>
      <c r="C1585" s="147"/>
      <c r="D1585" s="44"/>
      <c r="E1585" s="44"/>
      <c r="F1585" s="44"/>
      <c r="G1585" s="44"/>
      <c r="H1585" s="44"/>
      <c r="I1585" s="44"/>
      <c r="J1585" s="44"/>
      <c r="K1585" s="44"/>
      <c r="L1585" s="44"/>
      <c r="M1585" s="44"/>
      <c r="N1585" s="44"/>
      <c r="O1585" s="44"/>
      <c r="P1585" s="52">
        <f t="shared" si="23"/>
        <v>0</v>
      </c>
      <c r="Q1585" s="124">
        <f t="shared" si="2"/>
        <v>0</v>
      </c>
      <c r="R1585" s="52">
        <f t="array" ref="R1585">IFERROR(INDEX('Fund YTD Target Values'!$1:$1000, MATCH($C1585,'Fund YTD Target Values'!$A:$A,0), MATCH($A1585,'Fund YTD Target Values'!$1:$1,0)),0)</f>
        <v>0</v>
      </c>
      <c r="S1585" s="52">
        <f>IFERROR(__xludf.DUMMYFUNCTION("IFERROR(sum(FILTER('Fund Data'!$V:$V, 'Fund Data'!$C:$C = $C1585, 'Fund Data'!$A:$A &lt; $A1585)),0) + IFERROR(sum(FILTER('Fund Data'!$V:$V, 'Fund Data'!$C:$C = $C1585, 'Fund Data'!$A:$A = $A1585, 'Fund Data'!$B:$B &lt;= $B1585)),0)"),0.0)</f>
        <v>0</v>
      </c>
      <c r="T1585" s="44"/>
      <c r="U1585" s="44"/>
      <c r="V1585" s="44">
        <f t="shared" si="3"/>
        <v>0</v>
      </c>
      <c r="W1585" s="52">
        <f>IFERROR(__xludf.DUMMYFUNCTION("iFERROR((FILTER('Fund Data'!$Y:$Y, 'Fund Data'!$C:$C = $C1585, 'Fund Data'!$A:$A = $A1585 - 1, 'Fund Data'!$B:$B = 12) + FILTER('Fund Data'!$AA:$AA, 'Fund Data'!$C:$C = $C1585, 'Fund Data'!$A:$A = $A1585 - 1, 'Fund Data'!$B:$B = 12)) * (1 + AVERAGE(FILTER"&amp;"('Inflation Data'!$C:$C,'Inflation Data'!$A:$A = ($A1585 - 2)))) * 'Parameters and Distribution Sum'!$A$4,0)"),0.0)</f>
        <v>0</v>
      </c>
      <c r="X1585" s="52">
        <f>IFERROR(__xludf.DUMMYFUNCTION("IFERROR((IFERROR(FILTER('Fund Data'!$P:$P,'Fund Data'!$C:$C = $C1585,'Fund Data'!$A:$A = ($A1585 - 2), 'Fund Data'!$B:$B = 12),0) - SUM(FILTER('Fund Data'!$V:$V, 'Fund Data'!$C:$C = $C1585, 'Fund Data'!$A:$A = ($A1585 - 2), 'Fund Data'!$B:$B &gt; 3)))  * 'Pa"&amp;"rameters and Distribution Sum'!$B$4 * (1 - 'Parameters and Distribution Sum'!$A$4),0)"),0.0)</f>
        <v>0</v>
      </c>
      <c r="Y1585" s="52">
        <f t="shared" si="140"/>
        <v>0</v>
      </c>
      <c r="Z1585" s="52">
        <f>IFERROR(__xludf.DUMMYFUNCTION("((IFERROR((SUM(FILTER('Fund Data'!$V:$V, 'Fund Data'!$C:$C = $C1585, 'Fund Data'!$A:$A = $A1585 - 1, 'Fund Data'!$B:$B &gt;= 4, 'Fund Data'!$B:$B &lt;= ($B1585 + 5))) / 12) * ($B1585 - 3) * 'Parameters and Distribution Sum'!$B$4, 0) + IF($B1585 &gt;= 9, IFERROR(SU"&amp;"M(FILTER('Fund Data'!$V:$V, 'Fund Data'!$C:$C = $C1585, 'Fund Data'!$A:$A = $A1585, 'Fund Data'!$B:$B &lt;= 3)) * 'Parameters and Distribution Sum'!$B$4, 0),0)))"),0.0)</f>
        <v>0</v>
      </c>
      <c r="AA1585" s="44">
        <f>IFERROR(__xludf.DUMMYFUNCTION("IFERROR(((IFERROR(SUM(FILTER('Fund Data'!$V:$V, 'Fund Data'!$C:$C = $C1585, 'Fund Data'!$A:$A = $A1585 - 2, 'Fund Data'!$B:$B &gt;= 4)) * 'Parameters and Distribution Sum'!$B$4,0) + IFERROR(SUM(FILTER('Fund Data'!$V:$V, 'Fund Data'!$C:$C = $C1585, 'Fund Data"&amp;"'!$A:$A = $A1585 - 1, 'Fund Data'!$B:$B &lt;= 3)) * 'Parameters and Distribution Sum'!$B$4,0))),0)"),0.0)</f>
        <v>0</v>
      </c>
      <c r="AB1585" s="44">
        <f t="shared" si="141"/>
        <v>0</v>
      </c>
      <c r="AC1585" s="44">
        <f t="shared" si="142"/>
        <v>0</v>
      </c>
      <c r="AD1585" s="44">
        <f t="shared" si="7"/>
        <v>0</v>
      </c>
      <c r="AE1585" s="44"/>
    </row>
    <row r="1586">
      <c r="A1586" s="178"/>
      <c r="B1586" s="179"/>
      <c r="C1586" s="147"/>
      <c r="D1586" s="44"/>
      <c r="E1586" s="44"/>
      <c r="F1586" s="44"/>
      <c r="G1586" s="44"/>
      <c r="H1586" s="44"/>
      <c r="I1586" s="44"/>
      <c r="J1586" s="44"/>
      <c r="K1586" s="44"/>
      <c r="L1586" s="44"/>
      <c r="M1586" s="44"/>
      <c r="N1586" s="44"/>
      <c r="O1586" s="44"/>
      <c r="P1586" s="52">
        <f t="shared" si="23"/>
        <v>0</v>
      </c>
      <c r="Q1586" s="124">
        <f t="shared" si="2"/>
        <v>0</v>
      </c>
      <c r="R1586" s="52">
        <f t="array" ref="R1586">IFERROR(INDEX('Fund YTD Target Values'!$1:$1000, MATCH($C1586,'Fund YTD Target Values'!$A:$A,0), MATCH($A1586,'Fund YTD Target Values'!$1:$1,0)),0)</f>
        <v>0</v>
      </c>
      <c r="S1586" s="52">
        <f>IFERROR(__xludf.DUMMYFUNCTION("IFERROR(sum(FILTER('Fund Data'!$V:$V, 'Fund Data'!$C:$C = $C1586, 'Fund Data'!$A:$A &lt; $A1586)),0) + IFERROR(sum(FILTER('Fund Data'!$V:$V, 'Fund Data'!$C:$C = $C1586, 'Fund Data'!$A:$A = $A1586, 'Fund Data'!$B:$B &lt;= $B1586)),0)"),0.0)</f>
        <v>0</v>
      </c>
      <c r="T1586" s="44"/>
      <c r="U1586" s="44"/>
      <c r="V1586" s="44">
        <f t="shared" si="3"/>
        <v>0</v>
      </c>
      <c r="W1586" s="52">
        <f>IFERROR(__xludf.DUMMYFUNCTION("iFERROR((FILTER('Fund Data'!$Y:$Y, 'Fund Data'!$C:$C = $C1586, 'Fund Data'!$A:$A = $A1586 - 1, 'Fund Data'!$B:$B = 12) + FILTER('Fund Data'!$AA:$AA, 'Fund Data'!$C:$C = $C1586, 'Fund Data'!$A:$A = $A1586 - 1, 'Fund Data'!$B:$B = 12)) * (1 + AVERAGE(FILTER"&amp;"('Inflation Data'!$C:$C,'Inflation Data'!$A:$A = ($A1586 - 2)))) * 'Parameters and Distribution Sum'!$A$4,0)"),0.0)</f>
        <v>0</v>
      </c>
      <c r="X1586" s="52">
        <f>IFERROR(__xludf.DUMMYFUNCTION("IFERROR((IFERROR(FILTER('Fund Data'!$P:$P,'Fund Data'!$C:$C = $C1586,'Fund Data'!$A:$A = ($A1586 - 2), 'Fund Data'!$B:$B = 12),0) - SUM(FILTER('Fund Data'!$V:$V, 'Fund Data'!$C:$C = $C1586, 'Fund Data'!$A:$A = ($A1586 - 2), 'Fund Data'!$B:$B &gt; 3)))  * 'Pa"&amp;"rameters and Distribution Sum'!$B$4 * (1 - 'Parameters and Distribution Sum'!$A$4),0)"),0.0)</f>
        <v>0</v>
      </c>
      <c r="Y1586" s="52">
        <f t="shared" si="140"/>
        <v>0</v>
      </c>
      <c r="Z1586" s="52">
        <f>IFERROR(__xludf.DUMMYFUNCTION("((IFERROR((SUM(FILTER('Fund Data'!$V:$V, 'Fund Data'!$C:$C = $C1586, 'Fund Data'!$A:$A = $A1586 - 1, 'Fund Data'!$B:$B &gt;= 4, 'Fund Data'!$B:$B &lt;= ($B1586 + 5))) / 12) * ($B1586 - 3) * 'Parameters and Distribution Sum'!$B$4, 0) + IF($B1586 &gt;= 9, IFERROR(SU"&amp;"M(FILTER('Fund Data'!$V:$V, 'Fund Data'!$C:$C = $C1586, 'Fund Data'!$A:$A = $A1586, 'Fund Data'!$B:$B &lt;= 3)) * 'Parameters and Distribution Sum'!$B$4, 0),0)))"),0.0)</f>
        <v>0</v>
      </c>
      <c r="AA1586" s="44">
        <f>IFERROR(__xludf.DUMMYFUNCTION("IFERROR(((IFERROR(SUM(FILTER('Fund Data'!$V:$V, 'Fund Data'!$C:$C = $C1586, 'Fund Data'!$A:$A = $A1586 - 2, 'Fund Data'!$B:$B &gt;= 4)) * 'Parameters and Distribution Sum'!$B$4,0) + IFERROR(SUM(FILTER('Fund Data'!$V:$V, 'Fund Data'!$C:$C = $C1586, 'Fund Data"&amp;"'!$A:$A = $A1586 - 1, 'Fund Data'!$B:$B &lt;= 3)) * 'Parameters and Distribution Sum'!$B$4,0))),0)"),0.0)</f>
        <v>0</v>
      </c>
      <c r="AB1586" s="44">
        <f t="shared" si="141"/>
        <v>0</v>
      </c>
      <c r="AC1586" s="44">
        <f t="shared" si="142"/>
        <v>0</v>
      </c>
      <c r="AD1586" s="44">
        <f t="shared" si="7"/>
        <v>0</v>
      </c>
      <c r="AE1586" s="44"/>
    </row>
    <row r="1587">
      <c r="A1587" s="178"/>
      <c r="B1587" s="179"/>
      <c r="C1587" s="147"/>
      <c r="D1587" s="44"/>
      <c r="E1587" s="44"/>
      <c r="F1587" s="44"/>
      <c r="G1587" s="44"/>
      <c r="H1587" s="44"/>
      <c r="I1587" s="44"/>
      <c r="J1587" s="44"/>
      <c r="K1587" s="44"/>
      <c r="L1587" s="44"/>
      <c r="M1587" s="44"/>
      <c r="N1587" s="44"/>
      <c r="O1587" s="44"/>
      <c r="P1587" s="52">
        <f t="shared" si="23"/>
        <v>0</v>
      </c>
      <c r="Q1587" s="124">
        <f t="shared" si="2"/>
        <v>0</v>
      </c>
      <c r="R1587" s="52">
        <f t="array" ref="R1587">IFERROR(INDEX('Fund YTD Target Values'!$1:$1000, MATCH($C1587,'Fund YTD Target Values'!$A:$A,0), MATCH($A1587,'Fund YTD Target Values'!$1:$1,0)),0)</f>
        <v>0</v>
      </c>
      <c r="S1587" s="52">
        <f>IFERROR(__xludf.DUMMYFUNCTION("IFERROR(sum(FILTER('Fund Data'!$V:$V, 'Fund Data'!$C:$C = $C1587, 'Fund Data'!$A:$A &lt; $A1587)),0) + IFERROR(sum(FILTER('Fund Data'!$V:$V, 'Fund Data'!$C:$C = $C1587, 'Fund Data'!$A:$A = $A1587, 'Fund Data'!$B:$B &lt;= $B1587)),0)"),0.0)</f>
        <v>0</v>
      </c>
      <c r="T1587" s="44"/>
      <c r="U1587" s="44"/>
      <c r="V1587" s="44">
        <f t="shared" si="3"/>
        <v>0</v>
      </c>
      <c r="W1587" s="52">
        <f>IFERROR(__xludf.DUMMYFUNCTION("iFERROR((FILTER('Fund Data'!$Y:$Y, 'Fund Data'!$C:$C = $C1587, 'Fund Data'!$A:$A = $A1587 - 1, 'Fund Data'!$B:$B = 12) + FILTER('Fund Data'!$AA:$AA, 'Fund Data'!$C:$C = $C1587, 'Fund Data'!$A:$A = $A1587 - 1, 'Fund Data'!$B:$B = 12)) * (1 + AVERAGE(FILTER"&amp;"('Inflation Data'!$C:$C,'Inflation Data'!$A:$A = ($A1587 - 2)))) * 'Parameters and Distribution Sum'!$A$4,0)"),0.0)</f>
        <v>0</v>
      </c>
      <c r="X1587" s="52">
        <f>IFERROR(__xludf.DUMMYFUNCTION("IFERROR((IFERROR(FILTER('Fund Data'!$P:$P,'Fund Data'!$C:$C = $C1587,'Fund Data'!$A:$A = ($A1587 - 2), 'Fund Data'!$B:$B = 12),0) - SUM(FILTER('Fund Data'!$V:$V, 'Fund Data'!$C:$C = $C1587, 'Fund Data'!$A:$A = ($A1587 - 2), 'Fund Data'!$B:$B &gt; 3)))  * 'Pa"&amp;"rameters and Distribution Sum'!$B$4 * (1 - 'Parameters and Distribution Sum'!$A$4),0)"),0.0)</f>
        <v>0</v>
      </c>
      <c r="Y1587" s="52">
        <f t="shared" si="140"/>
        <v>0</v>
      </c>
      <c r="Z1587" s="52">
        <f>IFERROR(__xludf.DUMMYFUNCTION("((IFERROR((SUM(FILTER('Fund Data'!$V:$V, 'Fund Data'!$C:$C = $C1587, 'Fund Data'!$A:$A = $A1587 - 1, 'Fund Data'!$B:$B &gt;= 4, 'Fund Data'!$B:$B &lt;= ($B1587 + 5))) / 12) * ($B1587 - 3) * 'Parameters and Distribution Sum'!$B$4, 0) + IF($B1587 &gt;= 9, IFERROR(SU"&amp;"M(FILTER('Fund Data'!$V:$V, 'Fund Data'!$C:$C = $C1587, 'Fund Data'!$A:$A = $A1587, 'Fund Data'!$B:$B &lt;= 3)) * 'Parameters and Distribution Sum'!$B$4, 0),0)))"),0.0)</f>
        <v>0</v>
      </c>
      <c r="AA1587" s="44">
        <f>IFERROR(__xludf.DUMMYFUNCTION("IFERROR(((IFERROR(SUM(FILTER('Fund Data'!$V:$V, 'Fund Data'!$C:$C = $C1587, 'Fund Data'!$A:$A = $A1587 - 2, 'Fund Data'!$B:$B &gt;= 4)) * 'Parameters and Distribution Sum'!$B$4,0) + IFERROR(SUM(FILTER('Fund Data'!$V:$V, 'Fund Data'!$C:$C = $C1587, 'Fund Data"&amp;"'!$A:$A = $A1587 - 1, 'Fund Data'!$B:$B &lt;= 3)) * 'Parameters and Distribution Sum'!$B$4,0))),0)"),0.0)</f>
        <v>0</v>
      </c>
      <c r="AB1587" s="44">
        <f t="shared" si="141"/>
        <v>0</v>
      </c>
      <c r="AC1587" s="44">
        <f t="shared" si="142"/>
        <v>0</v>
      </c>
      <c r="AD1587" s="44">
        <f t="shared" si="7"/>
        <v>0</v>
      </c>
      <c r="AE1587" s="44"/>
    </row>
    <row r="1588">
      <c r="A1588" s="178"/>
      <c r="B1588" s="179"/>
      <c r="C1588" s="147"/>
      <c r="D1588" s="44"/>
      <c r="E1588" s="44"/>
      <c r="F1588" s="44"/>
      <c r="G1588" s="44"/>
      <c r="H1588" s="44"/>
      <c r="I1588" s="44"/>
      <c r="J1588" s="44"/>
      <c r="K1588" s="44"/>
      <c r="L1588" s="44"/>
      <c r="M1588" s="44"/>
      <c r="N1588" s="44"/>
      <c r="O1588" s="44"/>
      <c r="P1588" s="52">
        <f t="shared" si="23"/>
        <v>0</v>
      </c>
      <c r="Q1588" s="124">
        <f t="shared" si="2"/>
        <v>0</v>
      </c>
      <c r="R1588" s="52">
        <f t="array" ref="R1588">IFERROR(INDEX('Fund YTD Target Values'!$1:$1000, MATCH($C1588,'Fund YTD Target Values'!$A:$A,0), MATCH($A1588,'Fund YTD Target Values'!$1:$1,0)),0)</f>
        <v>0</v>
      </c>
      <c r="S1588" s="52">
        <f>IFERROR(__xludf.DUMMYFUNCTION("IFERROR(sum(FILTER('Fund Data'!$V:$V, 'Fund Data'!$C:$C = $C1588, 'Fund Data'!$A:$A &lt; $A1588)),0) + IFERROR(sum(FILTER('Fund Data'!$V:$V, 'Fund Data'!$C:$C = $C1588, 'Fund Data'!$A:$A = $A1588, 'Fund Data'!$B:$B &lt;= $B1588)),0)"),0.0)</f>
        <v>0</v>
      </c>
      <c r="T1588" s="44"/>
      <c r="U1588" s="44"/>
      <c r="V1588" s="44">
        <f t="shared" si="3"/>
        <v>0</v>
      </c>
      <c r="W1588" s="52">
        <f>IFERROR(__xludf.DUMMYFUNCTION("iFERROR((FILTER('Fund Data'!$Y:$Y, 'Fund Data'!$C:$C = $C1588, 'Fund Data'!$A:$A = $A1588 - 1, 'Fund Data'!$B:$B = 12) + FILTER('Fund Data'!$AA:$AA, 'Fund Data'!$C:$C = $C1588, 'Fund Data'!$A:$A = $A1588 - 1, 'Fund Data'!$B:$B = 12)) * (1 + AVERAGE(FILTER"&amp;"('Inflation Data'!$C:$C,'Inflation Data'!$A:$A = ($A1588 - 2)))) * 'Parameters and Distribution Sum'!$A$4,0)"),0.0)</f>
        <v>0</v>
      </c>
      <c r="X1588" s="52">
        <f>IFERROR(__xludf.DUMMYFUNCTION("IFERROR((IFERROR(FILTER('Fund Data'!$P:$P,'Fund Data'!$C:$C = $C1588,'Fund Data'!$A:$A = ($A1588 - 2), 'Fund Data'!$B:$B = 12),0) - SUM(FILTER('Fund Data'!$V:$V, 'Fund Data'!$C:$C = $C1588, 'Fund Data'!$A:$A = ($A1588 - 2), 'Fund Data'!$B:$B &gt; 3)))  * 'Pa"&amp;"rameters and Distribution Sum'!$B$4 * (1 - 'Parameters and Distribution Sum'!$A$4),0)"),0.0)</f>
        <v>0</v>
      </c>
      <c r="Y1588" s="52">
        <f t="shared" si="140"/>
        <v>0</v>
      </c>
      <c r="Z1588" s="52">
        <f>IFERROR(__xludf.DUMMYFUNCTION("((IFERROR((SUM(FILTER('Fund Data'!$V:$V, 'Fund Data'!$C:$C = $C1588, 'Fund Data'!$A:$A = $A1588 - 1, 'Fund Data'!$B:$B &gt;= 4, 'Fund Data'!$B:$B &lt;= ($B1588 + 5))) / 12) * ($B1588 - 3) * 'Parameters and Distribution Sum'!$B$4, 0) + IF($B1588 &gt;= 9, IFERROR(SU"&amp;"M(FILTER('Fund Data'!$V:$V, 'Fund Data'!$C:$C = $C1588, 'Fund Data'!$A:$A = $A1588, 'Fund Data'!$B:$B &lt;= 3)) * 'Parameters and Distribution Sum'!$B$4, 0),0)))"),0.0)</f>
        <v>0</v>
      </c>
      <c r="AA1588" s="44">
        <f>IFERROR(__xludf.DUMMYFUNCTION("IFERROR(((IFERROR(SUM(FILTER('Fund Data'!$V:$V, 'Fund Data'!$C:$C = $C1588, 'Fund Data'!$A:$A = $A1588 - 2, 'Fund Data'!$B:$B &gt;= 4)) * 'Parameters and Distribution Sum'!$B$4,0) + IFERROR(SUM(FILTER('Fund Data'!$V:$V, 'Fund Data'!$C:$C = $C1588, 'Fund Data"&amp;"'!$A:$A = $A1588 - 1, 'Fund Data'!$B:$B &lt;= 3)) * 'Parameters and Distribution Sum'!$B$4,0))),0)"),0.0)</f>
        <v>0</v>
      </c>
      <c r="AB1588" s="44">
        <f t="shared" si="141"/>
        <v>0</v>
      </c>
      <c r="AC1588" s="44">
        <f t="shared" si="142"/>
        <v>0</v>
      </c>
      <c r="AD1588" s="44">
        <f t="shared" si="7"/>
        <v>0</v>
      </c>
      <c r="AE1588" s="44"/>
    </row>
    <row r="1589">
      <c r="A1589" s="178"/>
      <c r="B1589" s="179"/>
      <c r="C1589" s="147"/>
      <c r="D1589" s="44"/>
      <c r="E1589" s="44"/>
      <c r="F1589" s="44"/>
      <c r="G1589" s="44"/>
      <c r="H1589" s="44"/>
      <c r="I1589" s="44"/>
      <c r="J1589" s="44"/>
      <c r="K1589" s="44"/>
      <c r="L1589" s="44"/>
      <c r="M1589" s="44"/>
      <c r="N1589" s="44"/>
      <c r="O1589" s="44"/>
      <c r="P1589" s="52">
        <f t="shared" si="23"/>
        <v>0</v>
      </c>
      <c r="Q1589" s="124">
        <f t="shared" si="2"/>
        <v>0</v>
      </c>
      <c r="R1589" s="52">
        <f t="array" ref="R1589">IFERROR(INDEX('Fund YTD Target Values'!$1:$1000, MATCH($C1589,'Fund YTD Target Values'!$A:$A,0), MATCH($A1589,'Fund YTD Target Values'!$1:$1,0)),0)</f>
        <v>0</v>
      </c>
      <c r="S1589" s="52">
        <f>IFERROR(__xludf.DUMMYFUNCTION("IFERROR(sum(FILTER('Fund Data'!$V:$V, 'Fund Data'!$C:$C = $C1589, 'Fund Data'!$A:$A &lt; $A1589)),0) + IFERROR(sum(FILTER('Fund Data'!$V:$V, 'Fund Data'!$C:$C = $C1589, 'Fund Data'!$A:$A = $A1589, 'Fund Data'!$B:$B &lt;= $B1589)),0)"),0.0)</f>
        <v>0</v>
      </c>
      <c r="T1589" s="44"/>
      <c r="U1589" s="44"/>
      <c r="V1589" s="44">
        <f t="shared" si="3"/>
        <v>0</v>
      </c>
      <c r="W1589" s="52">
        <f>IFERROR(__xludf.DUMMYFUNCTION("iFERROR((FILTER('Fund Data'!$Y:$Y, 'Fund Data'!$C:$C = $C1589, 'Fund Data'!$A:$A = $A1589 - 1, 'Fund Data'!$B:$B = 12) + FILTER('Fund Data'!$AA:$AA, 'Fund Data'!$C:$C = $C1589, 'Fund Data'!$A:$A = $A1589 - 1, 'Fund Data'!$B:$B = 12)) * (1 + AVERAGE(FILTER"&amp;"('Inflation Data'!$C:$C,'Inflation Data'!$A:$A = ($A1589 - 2)))) * 'Parameters and Distribution Sum'!$A$4,0)"),0.0)</f>
        <v>0</v>
      </c>
      <c r="X1589" s="52">
        <f>IFERROR(__xludf.DUMMYFUNCTION("IFERROR((IFERROR(FILTER('Fund Data'!$P:$P,'Fund Data'!$C:$C = $C1589,'Fund Data'!$A:$A = ($A1589 - 2), 'Fund Data'!$B:$B = 12),0) - SUM(FILTER('Fund Data'!$V:$V, 'Fund Data'!$C:$C = $C1589, 'Fund Data'!$A:$A = ($A1589 - 2), 'Fund Data'!$B:$B &gt; 3)))  * 'Pa"&amp;"rameters and Distribution Sum'!$B$4 * (1 - 'Parameters and Distribution Sum'!$A$4),0)"),0.0)</f>
        <v>0</v>
      </c>
      <c r="Y1589" s="52">
        <f t="shared" si="140"/>
        <v>0</v>
      </c>
      <c r="Z1589" s="52">
        <f>IFERROR(__xludf.DUMMYFUNCTION("((IFERROR((SUM(FILTER('Fund Data'!$V:$V, 'Fund Data'!$C:$C = $C1589, 'Fund Data'!$A:$A = $A1589 - 1, 'Fund Data'!$B:$B &gt;= 4, 'Fund Data'!$B:$B &lt;= ($B1589 + 5))) / 12) * ($B1589 - 3) * 'Parameters and Distribution Sum'!$B$4, 0) + IF($B1589 &gt;= 9, IFERROR(SU"&amp;"M(FILTER('Fund Data'!$V:$V, 'Fund Data'!$C:$C = $C1589, 'Fund Data'!$A:$A = $A1589, 'Fund Data'!$B:$B &lt;= 3)) * 'Parameters and Distribution Sum'!$B$4, 0),0)))"),0.0)</f>
        <v>0</v>
      </c>
      <c r="AA1589" s="44">
        <f>IFERROR(__xludf.DUMMYFUNCTION("IFERROR(((IFERROR(SUM(FILTER('Fund Data'!$V:$V, 'Fund Data'!$C:$C = $C1589, 'Fund Data'!$A:$A = $A1589 - 2, 'Fund Data'!$B:$B &gt;= 4)) * 'Parameters and Distribution Sum'!$B$4,0) + IFERROR(SUM(FILTER('Fund Data'!$V:$V, 'Fund Data'!$C:$C = $C1589, 'Fund Data"&amp;"'!$A:$A = $A1589 - 1, 'Fund Data'!$B:$B &lt;= 3)) * 'Parameters and Distribution Sum'!$B$4,0))),0)"),0.0)</f>
        <v>0</v>
      </c>
      <c r="AB1589" s="44">
        <f t="shared" si="141"/>
        <v>0</v>
      </c>
      <c r="AC1589" s="44">
        <f t="shared" si="142"/>
        <v>0</v>
      </c>
      <c r="AD1589" s="44">
        <f t="shared" si="7"/>
        <v>0</v>
      </c>
      <c r="AE1589" s="44"/>
    </row>
    <row r="1590">
      <c r="A1590" s="178"/>
      <c r="B1590" s="179"/>
      <c r="C1590" s="147"/>
      <c r="D1590" s="44"/>
      <c r="E1590" s="44"/>
      <c r="F1590" s="44"/>
      <c r="G1590" s="44"/>
      <c r="H1590" s="44"/>
      <c r="I1590" s="44"/>
      <c r="J1590" s="44"/>
      <c r="K1590" s="44"/>
      <c r="L1590" s="44"/>
      <c r="M1590" s="44"/>
      <c r="N1590" s="44"/>
      <c r="O1590" s="44"/>
      <c r="P1590" s="52">
        <f t="shared" si="23"/>
        <v>0</v>
      </c>
      <c r="Q1590" s="124">
        <f t="shared" si="2"/>
        <v>0</v>
      </c>
      <c r="R1590" s="52">
        <f t="array" ref="R1590">IFERROR(INDEX('Fund YTD Target Values'!$1:$1000, MATCH($C1590,'Fund YTD Target Values'!$A:$A,0), MATCH($A1590,'Fund YTD Target Values'!$1:$1,0)),0)</f>
        <v>0</v>
      </c>
      <c r="S1590" s="52">
        <f>IFERROR(__xludf.DUMMYFUNCTION("IFERROR(sum(FILTER('Fund Data'!$V:$V, 'Fund Data'!$C:$C = $C1590, 'Fund Data'!$A:$A &lt; $A1590)),0) + IFERROR(sum(FILTER('Fund Data'!$V:$V, 'Fund Data'!$C:$C = $C1590, 'Fund Data'!$A:$A = $A1590, 'Fund Data'!$B:$B &lt;= $B1590)),0)"),0.0)</f>
        <v>0</v>
      </c>
      <c r="T1590" s="44"/>
      <c r="U1590" s="44"/>
      <c r="V1590" s="44">
        <f t="shared" si="3"/>
        <v>0</v>
      </c>
      <c r="W1590" s="52">
        <f>IFERROR(__xludf.DUMMYFUNCTION("iFERROR((FILTER('Fund Data'!$Y:$Y, 'Fund Data'!$C:$C = $C1590, 'Fund Data'!$A:$A = $A1590 - 1, 'Fund Data'!$B:$B = 12) + FILTER('Fund Data'!$AA:$AA, 'Fund Data'!$C:$C = $C1590, 'Fund Data'!$A:$A = $A1590 - 1, 'Fund Data'!$B:$B = 12)) * (1 + AVERAGE(FILTER"&amp;"('Inflation Data'!$C:$C,'Inflation Data'!$A:$A = ($A1590 - 2)))) * 'Parameters and Distribution Sum'!$A$4,0)"),0.0)</f>
        <v>0</v>
      </c>
      <c r="X1590" s="52">
        <f>IFERROR(__xludf.DUMMYFUNCTION("IFERROR((IFERROR(FILTER('Fund Data'!$P:$P,'Fund Data'!$C:$C = $C1590,'Fund Data'!$A:$A = ($A1590 - 2), 'Fund Data'!$B:$B = 12),0) - SUM(FILTER('Fund Data'!$V:$V, 'Fund Data'!$C:$C = $C1590, 'Fund Data'!$A:$A = ($A1590 - 2), 'Fund Data'!$B:$B &gt; 3)))  * 'Pa"&amp;"rameters and Distribution Sum'!$B$4 * (1 - 'Parameters and Distribution Sum'!$A$4),0)"),0.0)</f>
        <v>0</v>
      </c>
      <c r="Y1590" s="52">
        <f t="shared" si="140"/>
        <v>0</v>
      </c>
      <c r="Z1590" s="52">
        <f>IFERROR(__xludf.DUMMYFUNCTION("((IFERROR((SUM(FILTER('Fund Data'!$V:$V, 'Fund Data'!$C:$C = $C1590, 'Fund Data'!$A:$A = $A1590 - 1, 'Fund Data'!$B:$B &gt;= 4, 'Fund Data'!$B:$B &lt;= ($B1590 + 5))) / 12) * ($B1590 - 3) * 'Parameters and Distribution Sum'!$B$4, 0) + IF($B1590 &gt;= 9, IFERROR(SU"&amp;"M(FILTER('Fund Data'!$V:$V, 'Fund Data'!$C:$C = $C1590, 'Fund Data'!$A:$A = $A1590, 'Fund Data'!$B:$B &lt;= 3)) * 'Parameters and Distribution Sum'!$B$4, 0),0)))"),0.0)</f>
        <v>0</v>
      </c>
      <c r="AA1590" s="44">
        <f>IFERROR(__xludf.DUMMYFUNCTION("IFERROR(((IFERROR(SUM(FILTER('Fund Data'!$V:$V, 'Fund Data'!$C:$C = $C1590, 'Fund Data'!$A:$A = $A1590 - 2, 'Fund Data'!$B:$B &gt;= 4)) * 'Parameters and Distribution Sum'!$B$4,0) + IFERROR(SUM(FILTER('Fund Data'!$V:$V, 'Fund Data'!$C:$C = $C1590, 'Fund Data"&amp;"'!$A:$A = $A1590 - 1, 'Fund Data'!$B:$B &lt;= 3)) * 'Parameters and Distribution Sum'!$B$4,0))),0)"),0.0)</f>
        <v>0</v>
      </c>
      <c r="AB1590" s="44">
        <f t="shared" si="141"/>
        <v>0</v>
      </c>
      <c r="AC1590" s="44">
        <f t="shared" si="142"/>
        <v>0</v>
      </c>
      <c r="AD1590" s="44">
        <f t="shared" si="7"/>
        <v>0</v>
      </c>
      <c r="AE1590" s="44"/>
    </row>
    <row r="1591">
      <c r="A1591" s="178"/>
      <c r="B1591" s="179"/>
      <c r="C1591" s="147"/>
      <c r="D1591" s="44"/>
      <c r="E1591" s="44"/>
      <c r="F1591" s="44"/>
      <c r="G1591" s="44"/>
      <c r="H1591" s="44"/>
      <c r="I1591" s="44"/>
      <c r="J1591" s="44"/>
      <c r="K1591" s="44"/>
      <c r="L1591" s="44"/>
      <c r="M1591" s="44"/>
      <c r="N1591" s="44"/>
      <c r="O1591" s="44"/>
      <c r="P1591" s="52">
        <f t="shared" si="23"/>
        <v>0</v>
      </c>
      <c r="Q1591" s="124">
        <f t="shared" si="2"/>
        <v>0</v>
      </c>
      <c r="R1591" s="52">
        <f t="array" ref="R1591">IFERROR(INDEX('Fund YTD Target Values'!$1:$1000, MATCH($C1591,'Fund YTD Target Values'!$A:$A,0), MATCH($A1591,'Fund YTD Target Values'!$1:$1,0)),0)</f>
        <v>0</v>
      </c>
      <c r="S1591" s="52">
        <f>IFERROR(__xludf.DUMMYFUNCTION("IFERROR(sum(FILTER('Fund Data'!$V:$V, 'Fund Data'!$C:$C = $C1591, 'Fund Data'!$A:$A &lt; $A1591)),0) + IFERROR(sum(FILTER('Fund Data'!$V:$V, 'Fund Data'!$C:$C = $C1591, 'Fund Data'!$A:$A = $A1591, 'Fund Data'!$B:$B &lt;= $B1591)),0)"),0.0)</f>
        <v>0</v>
      </c>
      <c r="T1591" s="44"/>
      <c r="U1591" s="44"/>
      <c r="V1591" s="44">
        <f t="shared" si="3"/>
        <v>0</v>
      </c>
      <c r="W1591" s="52">
        <f>IFERROR(__xludf.DUMMYFUNCTION("iFERROR((FILTER('Fund Data'!$Y:$Y, 'Fund Data'!$C:$C = $C1591, 'Fund Data'!$A:$A = $A1591 - 1, 'Fund Data'!$B:$B = 12) + FILTER('Fund Data'!$AA:$AA, 'Fund Data'!$C:$C = $C1591, 'Fund Data'!$A:$A = $A1591 - 1, 'Fund Data'!$B:$B = 12)) * (1 + AVERAGE(FILTER"&amp;"('Inflation Data'!$C:$C,'Inflation Data'!$A:$A = ($A1591 - 2)))) * 'Parameters and Distribution Sum'!$A$4,0)"),0.0)</f>
        <v>0</v>
      </c>
      <c r="X1591" s="52">
        <f>IFERROR(__xludf.DUMMYFUNCTION("IFERROR((IFERROR(FILTER('Fund Data'!$P:$P,'Fund Data'!$C:$C = $C1591,'Fund Data'!$A:$A = ($A1591 - 2), 'Fund Data'!$B:$B = 12),0) - SUM(FILTER('Fund Data'!$V:$V, 'Fund Data'!$C:$C = $C1591, 'Fund Data'!$A:$A = ($A1591 - 2), 'Fund Data'!$B:$B &gt; 3)))  * 'Pa"&amp;"rameters and Distribution Sum'!$B$4 * (1 - 'Parameters and Distribution Sum'!$A$4),0)"),0.0)</f>
        <v>0</v>
      </c>
      <c r="Y1591" s="52">
        <f t="shared" si="140"/>
        <v>0</v>
      </c>
      <c r="Z1591" s="52">
        <f>IFERROR(__xludf.DUMMYFUNCTION("((IFERROR((SUM(FILTER('Fund Data'!$V:$V, 'Fund Data'!$C:$C = $C1591, 'Fund Data'!$A:$A = $A1591 - 1, 'Fund Data'!$B:$B &gt;= 4, 'Fund Data'!$B:$B &lt;= ($B1591 + 5))) / 12) * ($B1591 - 3) * 'Parameters and Distribution Sum'!$B$4, 0) + IF($B1591 &gt;= 9, IFERROR(SU"&amp;"M(FILTER('Fund Data'!$V:$V, 'Fund Data'!$C:$C = $C1591, 'Fund Data'!$A:$A = $A1591, 'Fund Data'!$B:$B &lt;= 3)) * 'Parameters and Distribution Sum'!$B$4, 0),0)))"),0.0)</f>
        <v>0</v>
      </c>
      <c r="AA1591" s="44">
        <f>IFERROR(__xludf.DUMMYFUNCTION("IFERROR(((IFERROR(SUM(FILTER('Fund Data'!$V:$V, 'Fund Data'!$C:$C = $C1591, 'Fund Data'!$A:$A = $A1591 - 2, 'Fund Data'!$B:$B &gt;= 4)) * 'Parameters and Distribution Sum'!$B$4,0) + IFERROR(SUM(FILTER('Fund Data'!$V:$V, 'Fund Data'!$C:$C = $C1591, 'Fund Data"&amp;"'!$A:$A = $A1591 - 1, 'Fund Data'!$B:$B &lt;= 3)) * 'Parameters and Distribution Sum'!$B$4,0))),0)"),0.0)</f>
        <v>0</v>
      </c>
      <c r="AB1591" s="44">
        <f t="shared" si="141"/>
        <v>0</v>
      </c>
      <c r="AC1591" s="44">
        <f t="shared" si="142"/>
        <v>0</v>
      </c>
      <c r="AD1591" s="44">
        <f t="shared" si="7"/>
        <v>0</v>
      </c>
      <c r="AE1591" s="44"/>
    </row>
    <row r="1592">
      <c r="A1592" s="178"/>
      <c r="B1592" s="179"/>
      <c r="C1592" s="147"/>
      <c r="D1592" s="44"/>
      <c r="E1592" s="44"/>
      <c r="F1592" s="44"/>
      <c r="G1592" s="44"/>
      <c r="H1592" s="44"/>
      <c r="I1592" s="44"/>
      <c r="J1592" s="44"/>
      <c r="K1592" s="44"/>
      <c r="L1592" s="44"/>
      <c r="M1592" s="44"/>
      <c r="N1592" s="44"/>
      <c r="O1592" s="44"/>
      <c r="P1592" s="52">
        <f t="shared" si="23"/>
        <v>0</v>
      </c>
      <c r="Q1592" s="124">
        <f t="shared" si="2"/>
        <v>0</v>
      </c>
      <c r="R1592" s="52">
        <f t="array" ref="R1592">IFERROR(INDEX('Fund YTD Target Values'!$1:$1000, MATCH($C1592,'Fund YTD Target Values'!$A:$A,0), MATCH($A1592,'Fund YTD Target Values'!$1:$1,0)),0)</f>
        <v>0</v>
      </c>
      <c r="S1592" s="52">
        <f>IFERROR(__xludf.DUMMYFUNCTION("IFERROR(sum(FILTER('Fund Data'!$V:$V, 'Fund Data'!$C:$C = $C1592, 'Fund Data'!$A:$A &lt; $A1592)),0) + IFERROR(sum(FILTER('Fund Data'!$V:$V, 'Fund Data'!$C:$C = $C1592, 'Fund Data'!$A:$A = $A1592, 'Fund Data'!$B:$B &lt;= $B1592)),0)"),0.0)</f>
        <v>0</v>
      </c>
      <c r="T1592" s="44"/>
      <c r="U1592" s="44"/>
      <c r="V1592" s="44">
        <f t="shared" si="3"/>
        <v>0</v>
      </c>
      <c r="W1592" s="52">
        <f>IFERROR(__xludf.DUMMYFUNCTION("iFERROR((FILTER('Fund Data'!$Y:$Y, 'Fund Data'!$C:$C = $C1592, 'Fund Data'!$A:$A = $A1592 - 1, 'Fund Data'!$B:$B = 12) + FILTER('Fund Data'!$AA:$AA, 'Fund Data'!$C:$C = $C1592, 'Fund Data'!$A:$A = $A1592 - 1, 'Fund Data'!$B:$B = 12)) * (1 + AVERAGE(FILTER"&amp;"('Inflation Data'!$C:$C,'Inflation Data'!$A:$A = ($A1592 - 2)))) * 'Parameters and Distribution Sum'!$A$4,0)"),0.0)</f>
        <v>0</v>
      </c>
      <c r="X1592" s="52">
        <f>IFERROR(__xludf.DUMMYFUNCTION("IFERROR((IFERROR(FILTER('Fund Data'!$P:$P,'Fund Data'!$C:$C = $C1592,'Fund Data'!$A:$A = ($A1592 - 2), 'Fund Data'!$B:$B = 12),0) - SUM(FILTER('Fund Data'!$V:$V, 'Fund Data'!$C:$C = $C1592, 'Fund Data'!$A:$A = ($A1592 - 2), 'Fund Data'!$B:$B &gt; 3)))  * 'Pa"&amp;"rameters and Distribution Sum'!$B$4 * (1 - 'Parameters and Distribution Sum'!$A$4),0)"),0.0)</f>
        <v>0</v>
      </c>
      <c r="Y1592" s="52">
        <f t="shared" si="140"/>
        <v>0</v>
      </c>
      <c r="Z1592" s="52">
        <f>IFERROR(__xludf.DUMMYFUNCTION("((IFERROR((SUM(FILTER('Fund Data'!$V:$V, 'Fund Data'!$C:$C = $C1592, 'Fund Data'!$A:$A = $A1592 - 1, 'Fund Data'!$B:$B &gt;= 4, 'Fund Data'!$B:$B &lt;= ($B1592 + 5))) / 12) * ($B1592 - 3) * 'Parameters and Distribution Sum'!$B$4, 0) + IF($B1592 &gt;= 9, IFERROR(SU"&amp;"M(FILTER('Fund Data'!$V:$V, 'Fund Data'!$C:$C = $C1592, 'Fund Data'!$A:$A = $A1592, 'Fund Data'!$B:$B &lt;= 3)) * 'Parameters and Distribution Sum'!$B$4, 0),0)))"),0.0)</f>
        <v>0</v>
      </c>
      <c r="AA1592" s="44">
        <f>IFERROR(__xludf.DUMMYFUNCTION("IFERROR(((IFERROR(SUM(FILTER('Fund Data'!$V:$V, 'Fund Data'!$C:$C = $C1592, 'Fund Data'!$A:$A = $A1592 - 2, 'Fund Data'!$B:$B &gt;= 4)) * 'Parameters and Distribution Sum'!$B$4,0) + IFERROR(SUM(FILTER('Fund Data'!$V:$V, 'Fund Data'!$C:$C = $C1592, 'Fund Data"&amp;"'!$A:$A = $A1592 - 1, 'Fund Data'!$B:$B &lt;= 3)) * 'Parameters and Distribution Sum'!$B$4,0))),0)"),0.0)</f>
        <v>0</v>
      </c>
      <c r="AB1592" s="44">
        <f t="shared" si="141"/>
        <v>0</v>
      </c>
      <c r="AC1592" s="44">
        <f t="shared" si="142"/>
        <v>0</v>
      </c>
      <c r="AD1592" s="44">
        <f t="shared" si="7"/>
        <v>0</v>
      </c>
      <c r="AE1592" s="44"/>
    </row>
    <row r="1593">
      <c r="A1593" s="178"/>
      <c r="B1593" s="179"/>
      <c r="C1593" s="147"/>
      <c r="D1593" s="44"/>
      <c r="E1593" s="44"/>
      <c r="F1593" s="44"/>
      <c r="G1593" s="44"/>
      <c r="H1593" s="44"/>
      <c r="I1593" s="44"/>
      <c r="J1593" s="44"/>
      <c r="K1593" s="44"/>
      <c r="L1593" s="44"/>
      <c r="M1593" s="44"/>
      <c r="N1593" s="44"/>
      <c r="O1593" s="44"/>
      <c r="P1593" s="52">
        <f t="shared" si="23"/>
        <v>0</v>
      </c>
      <c r="Q1593" s="124">
        <f t="shared" si="2"/>
        <v>0</v>
      </c>
      <c r="R1593" s="52">
        <f t="array" ref="R1593">IFERROR(INDEX('Fund YTD Target Values'!$1:$1000, MATCH($C1593,'Fund YTD Target Values'!$A:$A,0), MATCH($A1593,'Fund YTD Target Values'!$1:$1,0)),0)</f>
        <v>0</v>
      </c>
      <c r="S1593" s="52">
        <f>IFERROR(__xludf.DUMMYFUNCTION("IFERROR(sum(FILTER('Fund Data'!$V:$V, 'Fund Data'!$C:$C = $C1593, 'Fund Data'!$A:$A &lt; $A1593)),0) + IFERROR(sum(FILTER('Fund Data'!$V:$V, 'Fund Data'!$C:$C = $C1593, 'Fund Data'!$A:$A = $A1593, 'Fund Data'!$B:$B &lt;= $B1593)),0)"),0.0)</f>
        <v>0</v>
      </c>
      <c r="T1593" s="44"/>
      <c r="U1593" s="44"/>
      <c r="V1593" s="44">
        <f t="shared" si="3"/>
        <v>0</v>
      </c>
      <c r="W1593" s="52">
        <f>IFERROR(__xludf.DUMMYFUNCTION("iFERROR((FILTER('Fund Data'!$Y:$Y, 'Fund Data'!$C:$C = $C1593, 'Fund Data'!$A:$A = $A1593 - 1, 'Fund Data'!$B:$B = 12) + FILTER('Fund Data'!$AA:$AA, 'Fund Data'!$C:$C = $C1593, 'Fund Data'!$A:$A = $A1593 - 1, 'Fund Data'!$B:$B = 12)) * (1 + AVERAGE(FILTER"&amp;"('Inflation Data'!$C:$C,'Inflation Data'!$A:$A = ($A1593 - 2)))) * 'Parameters and Distribution Sum'!$A$4,0)"),0.0)</f>
        <v>0</v>
      </c>
      <c r="X1593" s="52">
        <f>IFERROR(__xludf.DUMMYFUNCTION("IFERROR((IFERROR(FILTER('Fund Data'!$P:$P,'Fund Data'!$C:$C = $C1593,'Fund Data'!$A:$A = ($A1593 - 2), 'Fund Data'!$B:$B = 12),0) - SUM(FILTER('Fund Data'!$V:$V, 'Fund Data'!$C:$C = $C1593, 'Fund Data'!$A:$A = ($A1593 - 2), 'Fund Data'!$B:$B &gt; 3)))  * 'Pa"&amp;"rameters and Distribution Sum'!$B$4 * (1 - 'Parameters and Distribution Sum'!$A$4),0)"),0.0)</f>
        <v>0</v>
      </c>
      <c r="Y1593" s="52">
        <f t="shared" si="140"/>
        <v>0</v>
      </c>
      <c r="Z1593" s="52">
        <f>IFERROR(__xludf.DUMMYFUNCTION("((IFERROR((SUM(FILTER('Fund Data'!$V:$V, 'Fund Data'!$C:$C = $C1593, 'Fund Data'!$A:$A = $A1593 - 1, 'Fund Data'!$B:$B &gt;= 4, 'Fund Data'!$B:$B &lt;= ($B1593 + 5))) / 12) * ($B1593 - 3) * 'Parameters and Distribution Sum'!$B$4, 0) + IF($B1593 &gt;= 9, IFERROR(SU"&amp;"M(FILTER('Fund Data'!$V:$V, 'Fund Data'!$C:$C = $C1593, 'Fund Data'!$A:$A = $A1593, 'Fund Data'!$B:$B &lt;= 3)) * 'Parameters and Distribution Sum'!$B$4, 0),0)))"),0.0)</f>
        <v>0</v>
      </c>
      <c r="AA1593" s="44">
        <f>IFERROR(__xludf.DUMMYFUNCTION("IFERROR(((IFERROR(SUM(FILTER('Fund Data'!$V:$V, 'Fund Data'!$C:$C = $C1593, 'Fund Data'!$A:$A = $A1593 - 2, 'Fund Data'!$B:$B &gt;= 4)) * 'Parameters and Distribution Sum'!$B$4,0) + IFERROR(SUM(FILTER('Fund Data'!$V:$V, 'Fund Data'!$C:$C = $C1593, 'Fund Data"&amp;"'!$A:$A = $A1593 - 1, 'Fund Data'!$B:$B &lt;= 3)) * 'Parameters and Distribution Sum'!$B$4,0))),0)"),0.0)</f>
        <v>0</v>
      </c>
      <c r="AB1593" s="44">
        <f t="shared" si="141"/>
        <v>0</v>
      </c>
      <c r="AC1593" s="44">
        <f t="shared" si="142"/>
        <v>0</v>
      </c>
      <c r="AD1593" s="44">
        <f t="shared" si="7"/>
        <v>0</v>
      </c>
      <c r="AE1593" s="44"/>
    </row>
    <row r="1594">
      <c r="A1594" s="178"/>
      <c r="B1594" s="179"/>
      <c r="C1594" s="147"/>
      <c r="D1594" s="44"/>
      <c r="E1594" s="44"/>
      <c r="F1594" s="44"/>
      <c r="G1594" s="44"/>
      <c r="H1594" s="44"/>
      <c r="I1594" s="44"/>
      <c r="J1594" s="44"/>
      <c r="K1594" s="44"/>
      <c r="L1594" s="44"/>
      <c r="M1594" s="44"/>
      <c r="N1594" s="44"/>
      <c r="O1594" s="44"/>
      <c r="P1594" s="52">
        <f t="shared" si="23"/>
        <v>0</v>
      </c>
      <c r="Q1594" s="124">
        <f t="shared" si="2"/>
        <v>0</v>
      </c>
      <c r="R1594" s="52">
        <f t="array" ref="R1594">IFERROR(INDEX('Fund YTD Target Values'!$1:$1000, MATCH($C1594,'Fund YTD Target Values'!$A:$A,0), MATCH($A1594,'Fund YTD Target Values'!$1:$1,0)),0)</f>
        <v>0</v>
      </c>
      <c r="S1594" s="52">
        <f>IFERROR(__xludf.DUMMYFUNCTION("IFERROR(sum(FILTER('Fund Data'!$V:$V, 'Fund Data'!$C:$C = $C1594, 'Fund Data'!$A:$A &lt; $A1594)),0) + IFERROR(sum(FILTER('Fund Data'!$V:$V, 'Fund Data'!$C:$C = $C1594, 'Fund Data'!$A:$A = $A1594, 'Fund Data'!$B:$B &lt;= $B1594)),0)"),0.0)</f>
        <v>0</v>
      </c>
      <c r="T1594" s="44"/>
      <c r="U1594" s="44"/>
      <c r="V1594" s="44">
        <f t="shared" si="3"/>
        <v>0</v>
      </c>
      <c r="W1594" s="52">
        <f>IFERROR(__xludf.DUMMYFUNCTION("iFERROR((FILTER('Fund Data'!$Y:$Y, 'Fund Data'!$C:$C = $C1594, 'Fund Data'!$A:$A = $A1594 - 1, 'Fund Data'!$B:$B = 12) + FILTER('Fund Data'!$AA:$AA, 'Fund Data'!$C:$C = $C1594, 'Fund Data'!$A:$A = $A1594 - 1, 'Fund Data'!$B:$B = 12)) * (1 + AVERAGE(FILTER"&amp;"('Inflation Data'!$C:$C,'Inflation Data'!$A:$A = ($A1594 - 2)))) * 'Parameters and Distribution Sum'!$A$4,0)"),0.0)</f>
        <v>0</v>
      </c>
      <c r="X1594" s="52">
        <f>IFERROR(__xludf.DUMMYFUNCTION("IFERROR((IFERROR(FILTER('Fund Data'!$P:$P,'Fund Data'!$C:$C = $C1594,'Fund Data'!$A:$A = ($A1594 - 2), 'Fund Data'!$B:$B = 12),0) - SUM(FILTER('Fund Data'!$V:$V, 'Fund Data'!$C:$C = $C1594, 'Fund Data'!$A:$A = ($A1594 - 2), 'Fund Data'!$B:$B &gt; 3)))  * 'Pa"&amp;"rameters and Distribution Sum'!$B$4 * (1 - 'Parameters and Distribution Sum'!$A$4),0)"),0.0)</f>
        <v>0</v>
      </c>
      <c r="Y1594" s="52">
        <f t="shared" si="140"/>
        <v>0</v>
      </c>
      <c r="Z1594" s="52">
        <f>IFERROR(__xludf.DUMMYFUNCTION("((IFERROR((SUM(FILTER('Fund Data'!$V:$V, 'Fund Data'!$C:$C = $C1594, 'Fund Data'!$A:$A = $A1594 - 1, 'Fund Data'!$B:$B &gt;= 4, 'Fund Data'!$B:$B &lt;= ($B1594 + 5))) / 12) * ($B1594 - 3) * 'Parameters and Distribution Sum'!$B$4, 0) + IF($B1594 &gt;= 9, IFERROR(SU"&amp;"M(FILTER('Fund Data'!$V:$V, 'Fund Data'!$C:$C = $C1594, 'Fund Data'!$A:$A = $A1594, 'Fund Data'!$B:$B &lt;= 3)) * 'Parameters and Distribution Sum'!$B$4, 0),0)))"),0.0)</f>
        <v>0</v>
      </c>
      <c r="AA1594" s="44">
        <f>IFERROR(__xludf.DUMMYFUNCTION("IFERROR(((IFERROR(SUM(FILTER('Fund Data'!$V:$V, 'Fund Data'!$C:$C = $C1594, 'Fund Data'!$A:$A = $A1594 - 2, 'Fund Data'!$B:$B &gt;= 4)) * 'Parameters and Distribution Sum'!$B$4,0) + IFERROR(SUM(FILTER('Fund Data'!$V:$V, 'Fund Data'!$C:$C = $C1594, 'Fund Data"&amp;"'!$A:$A = $A1594 - 1, 'Fund Data'!$B:$B &lt;= 3)) * 'Parameters and Distribution Sum'!$B$4,0))),0)"),0.0)</f>
        <v>0</v>
      </c>
      <c r="AB1594" s="44">
        <f t="shared" si="141"/>
        <v>0</v>
      </c>
      <c r="AC1594" s="44">
        <f t="shared" si="142"/>
        <v>0</v>
      </c>
      <c r="AD1594" s="44">
        <f t="shared" si="7"/>
        <v>0</v>
      </c>
      <c r="AE1594" s="44"/>
    </row>
    <row r="1595">
      <c r="A1595" s="178"/>
      <c r="B1595" s="179"/>
      <c r="C1595" s="147"/>
      <c r="D1595" s="44"/>
      <c r="E1595" s="44"/>
      <c r="F1595" s="44"/>
      <c r="G1595" s="44"/>
      <c r="H1595" s="44"/>
      <c r="I1595" s="44"/>
      <c r="J1595" s="44"/>
      <c r="K1595" s="44"/>
      <c r="L1595" s="44"/>
      <c r="M1595" s="44"/>
      <c r="N1595" s="44"/>
      <c r="O1595" s="44"/>
      <c r="P1595" s="52">
        <f t="shared" si="23"/>
        <v>0</v>
      </c>
      <c r="Q1595" s="124">
        <f t="shared" si="2"/>
        <v>0</v>
      </c>
      <c r="R1595" s="52">
        <f t="array" ref="R1595">IFERROR(INDEX('Fund YTD Target Values'!$1:$1000, MATCH($C1595,'Fund YTD Target Values'!$A:$A,0), MATCH($A1595,'Fund YTD Target Values'!$1:$1,0)),0)</f>
        <v>0</v>
      </c>
      <c r="S1595" s="52">
        <f>IFERROR(__xludf.DUMMYFUNCTION("IFERROR(sum(FILTER('Fund Data'!$V:$V, 'Fund Data'!$C:$C = $C1595, 'Fund Data'!$A:$A &lt; $A1595)),0) + IFERROR(sum(FILTER('Fund Data'!$V:$V, 'Fund Data'!$C:$C = $C1595, 'Fund Data'!$A:$A = $A1595, 'Fund Data'!$B:$B &lt;= $B1595)),0)"),0.0)</f>
        <v>0</v>
      </c>
      <c r="T1595" s="44"/>
      <c r="U1595" s="44"/>
      <c r="V1595" s="44">
        <f t="shared" si="3"/>
        <v>0</v>
      </c>
      <c r="W1595" s="52">
        <f>IFERROR(__xludf.DUMMYFUNCTION("iFERROR((FILTER('Fund Data'!$Y:$Y, 'Fund Data'!$C:$C = $C1595, 'Fund Data'!$A:$A = $A1595 - 1, 'Fund Data'!$B:$B = 12) + FILTER('Fund Data'!$AA:$AA, 'Fund Data'!$C:$C = $C1595, 'Fund Data'!$A:$A = $A1595 - 1, 'Fund Data'!$B:$B = 12)) * (1 + AVERAGE(FILTER"&amp;"('Inflation Data'!$C:$C,'Inflation Data'!$A:$A = ($A1595 - 2)))) * 'Parameters and Distribution Sum'!$A$4,0)"),0.0)</f>
        <v>0</v>
      </c>
      <c r="X1595" s="52">
        <f>IFERROR(__xludf.DUMMYFUNCTION("IFERROR((IFERROR(FILTER('Fund Data'!$P:$P,'Fund Data'!$C:$C = $C1595,'Fund Data'!$A:$A = ($A1595 - 2), 'Fund Data'!$B:$B = 12),0) - SUM(FILTER('Fund Data'!$V:$V, 'Fund Data'!$C:$C = $C1595, 'Fund Data'!$A:$A = ($A1595 - 2), 'Fund Data'!$B:$B &gt; 3)))  * 'Pa"&amp;"rameters and Distribution Sum'!$B$4 * (1 - 'Parameters and Distribution Sum'!$A$4),0)"),0.0)</f>
        <v>0</v>
      </c>
      <c r="Y1595" s="52">
        <f t="shared" si="140"/>
        <v>0</v>
      </c>
      <c r="Z1595" s="52">
        <f>IFERROR(__xludf.DUMMYFUNCTION("((IFERROR((SUM(FILTER('Fund Data'!$V:$V, 'Fund Data'!$C:$C = $C1595, 'Fund Data'!$A:$A = $A1595 - 1, 'Fund Data'!$B:$B &gt;= 4, 'Fund Data'!$B:$B &lt;= ($B1595 + 5))) / 12) * ($B1595 - 3) * 'Parameters and Distribution Sum'!$B$4, 0) + IF($B1595 &gt;= 9, IFERROR(SU"&amp;"M(FILTER('Fund Data'!$V:$V, 'Fund Data'!$C:$C = $C1595, 'Fund Data'!$A:$A = $A1595, 'Fund Data'!$B:$B &lt;= 3)) * 'Parameters and Distribution Sum'!$B$4, 0),0)))"),0.0)</f>
        <v>0</v>
      </c>
      <c r="AA1595" s="44">
        <f>IFERROR(__xludf.DUMMYFUNCTION("IFERROR(((IFERROR(SUM(FILTER('Fund Data'!$V:$V, 'Fund Data'!$C:$C = $C1595, 'Fund Data'!$A:$A = $A1595 - 2, 'Fund Data'!$B:$B &gt;= 4)) * 'Parameters and Distribution Sum'!$B$4,0) + IFERROR(SUM(FILTER('Fund Data'!$V:$V, 'Fund Data'!$C:$C = $C1595, 'Fund Data"&amp;"'!$A:$A = $A1595 - 1, 'Fund Data'!$B:$B &lt;= 3)) * 'Parameters and Distribution Sum'!$B$4,0))),0)"),0.0)</f>
        <v>0</v>
      </c>
      <c r="AB1595" s="44">
        <f t="shared" si="141"/>
        <v>0</v>
      </c>
      <c r="AC1595" s="44">
        <f t="shared" si="142"/>
        <v>0</v>
      </c>
      <c r="AD1595" s="44">
        <f t="shared" si="7"/>
        <v>0</v>
      </c>
      <c r="AE1595" s="44"/>
    </row>
    <row r="1596">
      <c r="A1596" s="178"/>
      <c r="B1596" s="179"/>
      <c r="C1596" s="147"/>
      <c r="D1596" s="44"/>
      <c r="E1596" s="44"/>
      <c r="F1596" s="44"/>
      <c r="G1596" s="44"/>
      <c r="H1596" s="44"/>
      <c r="I1596" s="44"/>
      <c r="J1596" s="44"/>
      <c r="K1596" s="44"/>
      <c r="L1596" s="44"/>
      <c r="M1596" s="44"/>
      <c r="N1596" s="44"/>
      <c r="O1596" s="44"/>
      <c r="P1596" s="52">
        <f t="shared" si="23"/>
        <v>0</v>
      </c>
      <c r="Q1596" s="124">
        <f t="shared" si="2"/>
        <v>0</v>
      </c>
      <c r="R1596" s="52">
        <f t="array" ref="R1596">IFERROR(INDEX('Fund YTD Target Values'!$1:$1000, MATCH($C1596,'Fund YTD Target Values'!$A:$A,0), MATCH($A1596,'Fund YTD Target Values'!$1:$1,0)),0)</f>
        <v>0</v>
      </c>
      <c r="S1596" s="52">
        <f>IFERROR(__xludf.DUMMYFUNCTION("IFERROR(sum(FILTER('Fund Data'!$V:$V, 'Fund Data'!$C:$C = $C1596, 'Fund Data'!$A:$A &lt; $A1596)),0) + IFERROR(sum(FILTER('Fund Data'!$V:$V, 'Fund Data'!$C:$C = $C1596, 'Fund Data'!$A:$A = $A1596, 'Fund Data'!$B:$B &lt;= $B1596)),0)"),0.0)</f>
        <v>0</v>
      </c>
      <c r="T1596" s="44"/>
      <c r="U1596" s="44"/>
      <c r="V1596" s="44">
        <f t="shared" si="3"/>
        <v>0</v>
      </c>
      <c r="W1596" s="52">
        <f>IFERROR(__xludf.DUMMYFUNCTION("iFERROR((FILTER('Fund Data'!$Y:$Y, 'Fund Data'!$C:$C = $C1596, 'Fund Data'!$A:$A = $A1596 - 1, 'Fund Data'!$B:$B = 12) + FILTER('Fund Data'!$AA:$AA, 'Fund Data'!$C:$C = $C1596, 'Fund Data'!$A:$A = $A1596 - 1, 'Fund Data'!$B:$B = 12)) * (1 + AVERAGE(FILTER"&amp;"('Inflation Data'!$C:$C,'Inflation Data'!$A:$A = ($A1596 - 2)))) * 'Parameters and Distribution Sum'!$A$4,0)"),0.0)</f>
        <v>0</v>
      </c>
      <c r="X1596" s="52">
        <f>IFERROR(__xludf.DUMMYFUNCTION("IFERROR((IFERROR(FILTER('Fund Data'!$P:$P,'Fund Data'!$C:$C = $C1596,'Fund Data'!$A:$A = ($A1596 - 2), 'Fund Data'!$B:$B = 12),0) - SUM(FILTER('Fund Data'!$V:$V, 'Fund Data'!$C:$C = $C1596, 'Fund Data'!$A:$A = ($A1596 - 2), 'Fund Data'!$B:$B &gt; 3)))  * 'Pa"&amp;"rameters and Distribution Sum'!$B$4 * (1 - 'Parameters and Distribution Sum'!$A$4),0)"),0.0)</f>
        <v>0</v>
      </c>
      <c r="Y1596" s="52">
        <f t="shared" si="140"/>
        <v>0</v>
      </c>
      <c r="Z1596" s="52">
        <f>IFERROR(__xludf.DUMMYFUNCTION("((IFERROR((SUM(FILTER('Fund Data'!$V:$V, 'Fund Data'!$C:$C = $C1596, 'Fund Data'!$A:$A = $A1596 - 1, 'Fund Data'!$B:$B &gt;= 4, 'Fund Data'!$B:$B &lt;= ($B1596 + 5))) / 12) * ($B1596 - 3) * 'Parameters and Distribution Sum'!$B$4, 0) + IF($B1596 &gt;= 9, IFERROR(SU"&amp;"M(FILTER('Fund Data'!$V:$V, 'Fund Data'!$C:$C = $C1596, 'Fund Data'!$A:$A = $A1596, 'Fund Data'!$B:$B &lt;= 3)) * 'Parameters and Distribution Sum'!$B$4, 0),0)))"),0.0)</f>
        <v>0</v>
      </c>
      <c r="AA1596" s="44">
        <f>IFERROR(__xludf.DUMMYFUNCTION("IFERROR(((IFERROR(SUM(FILTER('Fund Data'!$V:$V, 'Fund Data'!$C:$C = $C1596, 'Fund Data'!$A:$A = $A1596 - 2, 'Fund Data'!$B:$B &gt;= 4)) * 'Parameters and Distribution Sum'!$B$4,0) + IFERROR(SUM(FILTER('Fund Data'!$V:$V, 'Fund Data'!$C:$C = $C1596, 'Fund Data"&amp;"'!$A:$A = $A1596 - 1, 'Fund Data'!$B:$B &lt;= 3)) * 'Parameters and Distribution Sum'!$B$4,0))),0)"),0.0)</f>
        <v>0</v>
      </c>
      <c r="AB1596" s="44">
        <f t="shared" si="141"/>
        <v>0</v>
      </c>
      <c r="AC1596" s="44">
        <f t="shared" si="142"/>
        <v>0</v>
      </c>
      <c r="AD1596" s="44">
        <f t="shared" si="7"/>
        <v>0</v>
      </c>
      <c r="AE1596" s="44"/>
    </row>
    <row r="1597">
      <c r="A1597" s="178"/>
      <c r="B1597" s="179"/>
      <c r="C1597" s="147"/>
      <c r="D1597" s="44"/>
      <c r="E1597" s="44"/>
      <c r="F1597" s="44"/>
      <c r="G1597" s="44"/>
      <c r="H1597" s="44"/>
      <c r="I1597" s="44"/>
      <c r="J1597" s="44"/>
      <c r="K1597" s="44"/>
      <c r="L1597" s="44"/>
      <c r="M1597" s="44"/>
      <c r="N1597" s="44"/>
      <c r="O1597" s="44"/>
      <c r="P1597" s="52">
        <f t="shared" si="23"/>
        <v>0</v>
      </c>
      <c r="Q1597" s="124">
        <f t="shared" si="2"/>
        <v>0</v>
      </c>
      <c r="R1597" s="52">
        <f t="array" ref="R1597">IFERROR(INDEX('Fund YTD Target Values'!$1:$1000, MATCH($C1597,'Fund YTD Target Values'!$A:$A,0), MATCH($A1597,'Fund YTD Target Values'!$1:$1,0)),0)</f>
        <v>0</v>
      </c>
      <c r="S1597" s="52">
        <f>IFERROR(__xludf.DUMMYFUNCTION("IFERROR(sum(FILTER('Fund Data'!$V:$V, 'Fund Data'!$C:$C = $C1597, 'Fund Data'!$A:$A &lt; $A1597)),0) + IFERROR(sum(FILTER('Fund Data'!$V:$V, 'Fund Data'!$C:$C = $C1597, 'Fund Data'!$A:$A = $A1597, 'Fund Data'!$B:$B &lt;= $B1597)),0)"),0.0)</f>
        <v>0</v>
      </c>
      <c r="T1597" s="44"/>
      <c r="U1597" s="44"/>
      <c r="V1597" s="44">
        <f t="shared" si="3"/>
        <v>0</v>
      </c>
      <c r="W1597" s="52">
        <f>IFERROR(__xludf.DUMMYFUNCTION("iFERROR((FILTER('Fund Data'!$Y:$Y, 'Fund Data'!$C:$C = $C1597, 'Fund Data'!$A:$A = $A1597 - 1, 'Fund Data'!$B:$B = 12) + FILTER('Fund Data'!$AA:$AA, 'Fund Data'!$C:$C = $C1597, 'Fund Data'!$A:$A = $A1597 - 1, 'Fund Data'!$B:$B = 12)) * (1 + AVERAGE(FILTER"&amp;"('Inflation Data'!$C:$C,'Inflation Data'!$A:$A = ($A1597 - 2)))) * 'Parameters and Distribution Sum'!$A$4,0)"),0.0)</f>
        <v>0</v>
      </c>
      <c r="X1597" s="52">
        <f>IFERROR(__xludf.DUMMYFUNCTION("IFERROR((IFERROR(FILTER('Fund Data'!$P:$P,'Fund Data'!$C:$C = $C1597,'Fund Data'!$A:$A = ($A1597 - 2), 'Fund Data'!$B:$B = 12),0) - SUM(FILTER('Fund Data'!$V:$V, 'Fund Data'!$C:$C = $C1597, 'Fund Data'!$A:$A = ($A1597 - 2), 'Fund Data'!$B:$B &gt; 3)))  * 'Pa"&amp;"rameters and Distribution Sum'!$B$4 * (1 - 'Parameters and Distribution Sum'!$A$4),0)"),0.0)</f>
        <v>0</v>
      </c>
      <c r="Y1597" s="52">
        <f t="shared" si="140"/>
        <v>0</v>
      </c>
      <c r="Z1597" s="52">
        <f>IFERROR(__xludf.DUMMYFUNCTION("((IFERROR((SUM(FILTER('Fund Data'!$V:$V, 'Fund Data'!$C:$C = $C1597, 'Fund Data'!$A:$A = $A1597 - 1, 'Fund Data'!$B:$B &gt;= 4, 'Fund Data'!$B:$B &lt;= ($B1597 + 5))) / 12) * ($B1597 - 3) * 'Parameters and Distribution Sum'!$B$4, 0) + IF($B1597 &gt;= 9, IFERROR(SU"&amp;"M(FILTER('Fund Data'!$V:$V, 'Fund Data'!$C:$C = $C1597, 'Fund Data'!$A:$A = $A1597, 'Fund Data'!$B:$B &lt;= 3)) * 'Parameters and Distribution Sum'!$B$4, 0),0)))"),0.0)</f>
        <v>0</v>
      </c>
      <c r="AA1597" s="44">
        <f>IFERROR(__xludf.DUMMYFUNCTION("IFERROR(((IFERROR(SUM(FILTER('Fund Data'!$V:$V, 'Fund Data'!$C:$C = $C1597, 'Fund Data'!$A:$A = $A1597 - 2, 'Fund Data'!$B:$B &gt;= 4)) * 'Parameters and Distribution Sum'!$B$4,0) + IFERROR(SUM(FILTER('Fund Data'!$V:$V, 'Fund Data'!$C:$C = $C1597, 'Fund Data"&amp;"'!$A:$A = $A1597 - 1, 'Fund Data'!$B:$B &lt;= 3)) * 'Parameters and Distribution Sum'!$B$4,0))),0)"),0.0)</f>
        <v>0</v>
      </c>
      <c r="AB1597" s="44">
        <f t="shared" si="141"/>
        <v>0</v>
      </c>
      <c r="AC1597" s="44">
        <f t="shared" si="142"/>
        <v>0</v>
      </c>
      <c r="AD1597" s="44">
        <f t="shared" si="7"/>
        <v>0</v>
      </c>
      <c r="AE1597" s="44"/>
    </row>
    <row r="1598">
      <c r="A1598" s="178"/>
      <c r="B1598" s="179"/>
      <c r="C1598" s="147"/>
      <c r="D1598" s="44"/>
      <c r="E1598" s="44"/>
      <c r="F1598" s="44"/>
      <c r="G1598" s="44"/>
      <c r="H1598" s="44"/>
      <c r="I1598" s="44"/>
      <c r="J1598" s="44"/>
      <c r="K1598" s="44"/>
      <c r="L1598" s="44"/>
      <c r="M1598" s="44"/>
      <c r="N1598" s="44"/>
      <c r="O1598" s="44"/>
      <c r="P1598" s="52">
        <f t="shared" si="23"/>
        <v>0</v>
      </c>
      <c r="Q1598" s="124">
        <f t="shared" si="2"/>
        <v>0</v>
      </c>
      <c r="R1598" s="52">
        <f t="array" ref="R1598">IFERROR(INDEX('Fund YTD Target Values'!$1:$1000, MATCH($C1598,'Fund YTD Target Values'!$A:$A,0), MATCH($A1598,'Fund YTD Target Values'!$1:$1,0)),0)</f>
        <v>0</v>
      </c>
      <c r="S1598" s="52">
        <f>IFERROR(__xludf.DUMMYFUNCTION("IFERROR(sum(FILTER('Fund Data'!$V:$V, 'Fund Data'!$C:$C = $C1598, 'Fund Data'!$A:$A &lt; $A1598)),0) + IFERROR(sum(FILTER('Fund Data'!$V:$V, 'Fund Data'!$C:$C = $C1598, 'Fund Data'!$A:$A = $A1598, 'Fund Data'!$B:$B &lt;= $B1598)),0)"),0.0)</f>
        <v>0</v>
      </c>
      <c r="T1598" s="44"/>
      <c r="U1598" s="44"/>
      <c r="V1598" s="44">
        <f t="shared" si="3"/>
        <v>0</v>
      </c>
      <c r="W1598" s="52">
        <f>IFERROR(__xludf.DUMMYFUNCTION("iFERROR((FILTER('Fund Data'!$Y:$Y, 'Fund Data'!$C:$C = $C1598, 'Fund Data'!$A:$A = $A1598 - 1, 'Fund Data'!$B:$B = 12) + FILTER('Fund Data'!$AA:$AA, 'Fund Data'!$C:$C = $C1598, 'Fund Data'!$A:$A = $A1598 - 1, 'Fund Data'!$B:$B = 12)) * (1 + AVERAGE(FILTER"&amp;"('Inflation Data'!$C:$C,'Inflation Data'!$A:$A = ($A1598 - 2)))) * 'Parameters and Distribution Sum'!$A$4,0)"),0.0)</f>
        <v>0</v>
      </c>
      <c r="X1598" s="52">
        <f>IFERROR(__xludf.DUMMYFUNCTION("IFERROR((IFERROR(FILTER('Fund Data'!$P:$P,'Fund Data'!$C:$C = $C1598,'Fund Data'!$A:$A = ($A1598 - 2), 'Fund Data'!$B:$B = 12),0) - SUM(FILTER('Fund Data'!$V:$V, 'Fund Data'!$C:$C = $C1598, 'Fund Data'!$A:$A = ($A1598 - 2), 'Fund Data'!$B:$B &gt; 3)))  * 'Pa"&amp;"rameters and Distribution Sum'!$B$4 * (1 - 'Parameters and Distribution Sum'!$A$4),0)"),0.0)</f>
        <v>0</v>
      </c>
      <c r="Y1598" s="52">
        <f t="shared" si="140"/>
        <v>0</v>
      </c>
      <c r="Z1598" s="52">
        <f>IFERROR(__xludf.DUMMYFUNCTION("((IFERROR((SUM(FILTER('Fund Data'!$V:$V, 'Fund Data'!$C:$C = $C1598, 'Fund Data'!$A:$A = $A1598 - 1, 'Fund Data'!$B:$B &gt;= 4, 'Fund Data'!$B:$B &lt;= ($B1598 + 5))) / 12) * ($B1598 - 3) * 'Parameters and Distribution Sum'!$B$4, 0) + IF($B1598 &gt;= 9, IFERROR(SU"&amp;"M(FILTER('Fund Data'!$V:$V, 'Fund Data'!$C:$C = $C1598, 'Fund Data'!$A:$A = $A1598, 'Fund Data'!$B:$B &lt;= 3)) * 'Parameters and Distribution Sum'!$B$4, 0),0)))"),0.0)</f>
        <v>0</v>
      </c>
      <c r="AA1598" s="44">
        <f>IFERROR(__xludf.DUMMYFUNCTION("IFERROR(((IFERROR(SUM(FILTER('Fund Data'!$V:$V, 'Fund Data'!$C:$C = $C1598, 'Fund Data'!$A:$A = $A1598 - 2, 'Fund Data'!$B:$B &gt;= 4)) * 'Parameters and Distribution Sum'!$B$4,0) + IFERROR(SUM(FILTER('Fund Data'!$V:$V, 'Fund Data'!$C:$C = $C1598, 'Fund Data"&amp;"'!$A:$A = $A1598 - 1, 'Fund Data'!$B:$B &lt;= 3)) * 'Parameters and Distribution Sum'!$B$4,0))),0)"),0.0)</f>
        <v>0</v>
      </c>
      <c r="AB1598" s="44">
        <f t="shared" si="141"/>
        <v>0</v>
      </c>
      <c r="AC1598" s="44">
        <f t="shared" si="142"/>
        <v>0</v>
      </c>
      <c r="AD1598" s="44">
        <f t="shared" si="7"/>
        <v>0</v>
      </c>
      <c r="AE1598" s="44"/>
    </row>
    <row r="1599">
      <c r="A1599" s="178"/>
      <c r="B1599" s="179"/>
      <c r="C1599" s="147"/>
      <c r="D1599" s="44"/>
      <c r="E1599" s="44"/>
      <c r="F1599" s="44"/>
      <c r="G1599" s="44"/>
      <c r="H1599" s="44"/>
      <c r="I1599" s="44"/>
      <c r="J1599" s="44"/>
      <c r="K1599" s="44"/>
      <c r="L1599" s="44"/>
      <c r="M1599" s="44"/>
      <c r="N1599" s="44"/>
      <c r="O1599" s="44"/>
      <c r="P1599" s="52">
        <f t="shared" si="23"/>
        <v>0</v>
      </c>
      <c r="Q1599" s="124">
        <f t="shared" si="2"/>
        <v>0</v>
      </c>
      <c r="R1599" s="52">
        <f t="array" ref="R1599">IFERROR(INDEX('Fund YTD Target Values'!$1:$1000, MATCH($C1599,'Fund YTD Target Values'!$A:$A,0), MATCH($A1599,'Fund YTD Target Values'!$1:$1,0)),0)</f>
        <v>0</v>
      </c>
      <c r="S1599" s="52">
        <f>IFERROR(__xludf.DUMMYFUNCTION("IFERROR(sum(FILTER('Fund Data'!$V:$V, 'Fund Data'!$C:$C = $C1599, 'Fund Data'!$A:$A &lt; $A1599)),0) + IFERROR(sum(FILTER('Fund Data'!$V:$V, 'Fund Data'!$C:$C = $C1599, 'Fund Data'!$A:$A = $A1599, 'Fund Data'!$B:$B &lt;= $B1599)),0)"),0.0)</f>
        <v>0</v>
      </c>
      <c r="T1599" s="44"/>
      <c r="U1599" s="44"/>
      <c r="V1599" s="44">
        <f t="shared" si="3"/>
        <v>0</v>
      </c>
      <c r="W1599" s="52">
        <f>IFERROR(__xludf.DUMMYFUNCTION("iFERROR((FILTER('Fund Data'!$Y:$Y, 'Fund Data'!$C:$C = $C1599, 'Fund Data'!$A:$A = $A1599 - 1, 'Fund Data'!$B:$B = 12) + FILTER('Fund Data'!$AA:$AA, 'Fund Data'!$C:$C = $C1599, 'Fund Data'!$A:$A = $A1599 - 1, 'Fund Data'!$B:$B = 12)) * (1 + AVERAGE(FILTER"&amp;"('Inflation Data'!$C:$C,'Inflation Data'!$A:$A = ($A1599 - 2)))) * 'Parameters and Distribution Sum'!$A$4,0)"),0.0)</f>
        <v>0</v>
      </c>
      <c r="X1599" s="52">
        <f>IFERROR(__xludf.DUMMYFUNCTION("IFERROR((IFERROR(FILTER('Fund Data'!$P:$P,'Fund Data'!$C:$C = $C1599,'Fund Data'!$A:$A = ($A1599 - 2), 'Fund Data'!$B:$B = 12),0) - SUM(FILTER('Fund Data'!$V:$V, 'Fund Data'!$C:$C = $C1599, 'Fund Data'!$A:$A = ($A1599 - 2), 'Fund Data'!$B:$B &gt; 3)))  * 'Pa"&amp;"rameters and Distribution Sum'!$B$4 * (1 - 'Parameters and Distribution Sum'!$A$4),0)"),0.0)</f>
        <v>0</v>
      </c>
      <c r="Y1599" s="52">
        <f t="shared" si="140"/>
        <v>0</v>
      </c>
      <c r="Z1599" s="52">
        <f>IFERROR(__xludf.DUMMYFUNCTION("((IFERROR((SUM(FILTER('Fund Data'!$V:$V, 'Fund Data'!$C:$C = $C1599, 'Fund Data'!$A:$A = $A1599 - 1, 'Fund Data'!$B:$B &gt;= 4, 'Fund Data'!$B:$B &lt;= ($B1599 + 5))) / 12) * ($B1599 - 3) * 'Parameters and Distribution Sum'!$B$4, 0) + IF($B1599 &gt;= 9, IFERROR(SU"&amp;"M(FILTER('Fund Data'!$V:$V, 'Fund Data'!$C:$C = $C1599, 'Fund Data'!$A:$A = $A1599, 'Fund Data'!$B:$B &lt;= 3)) * 'Parameters and Distribution Sum'!$B$4, 0),0)))"),0.0)</f>
        <v>0</v>
      </c>
      <c r="AA1599" s="44">
        <f>IFERROR(__xludf.DUMMYFUNCTION("IFERROR(((IFERROR(SUM(FILTER('Fund Data'!$V:$V, 'Fund Data'!$C:$C = $C1599, 'Fund Data'!$A:$A = $A1599 - 2, 'Fund Data'!$B:$B &gt;= 4)) * 'Parameters and Distribution Sum'!$B$4,0) + IFERROR(SUM(FILTER('Fund Data'!$V:$V, 'Fund Data'!$C:$C = $C1599, 'Fund Data"&amp;"'!$A:$A = $A1599 - 1, 'Fund Data'!$B:$B &lt;= 3)) * 'Parameters and Distribution Sum'!$B$4,0))),0)"),0.0)</f>
        <v>0</v>
      </c>
      <c r="AB1599" s="44">
        <f t="shared" si="141"/>
        <v>0</v>
      </c>
      <c r="AC1599" s="44">
        <f t="shared" si="142"/>
        <v>0</v>
      </c>
      <c r="AD1599" s="44">
        <f t="shared" si="7"/>
        <v>0</v>
      </c>
      <c r="AE1599" s="44"/>
    </row>
    <row r="1600">
      <c r="A1600" s="178"/>
      <c r="B1600" s="179"/>
      <c r="C1600" s="147"/>
      <c r="D1600" s="44"/>
      <c r="E1600" s="44"/>
      <c r="F1600" s="44"/>
      <c r="G1600" s="44"/>
      <c r="H1600" s="44"/>
      <c r="I1600" s="44"/>
      <c r="J1600" s="44"/>
      <c r="K1600" s="44"/>
      <c r="L1600" s="44"/>
      <c r="M1600" s="44"/>
      <c r="N1600" s="44"/>
      <c r="O1600" s="44"/>
      <c r="P1600" s="52">
        <f t="shared" si="23"/>
        <v>0</v>
      </c>
      <c r="Q1600" s="124">
        <f t="shared" si="2"/>
        <v>0</v>
      </c>
      <c r="R1600" s="52">
        <f t="array" ref="R1600">IFERROR(INDEX('Fund YTD Target Values'!$1:$1000, MATCH($C1600,'Fund YTD Target Values'!$A:$A,0), MATCH($A1600,'Fund YTD Target Values'!$1:$1,0)),0)</f>
        <v>0</v>
      </c>
      <c r="S1600" s="52">
        <f>IFERROR(__xludf.DUMMYFUNCTION("IFERROR(sum(FILTER('Fund Data'!$V:$V, 'Fund Data'!$C:$C = $C1600, 'Fund Data'!$A:$A &lt; $A1600)),0) + IFERROR(sum(FILTER('Fund Data'!$V:$V, 'Fund Data'!$C:$C = $C1600, 'Fund Data'!$A:$A = $A1600, 'Fund Data'!$B:$B &lt;= $B1600)),0)"),0.0)</f>
        <v>0</v>
      </c>
      <c r="T1600" s="44"/>
      <c r="U1600" s="44"/>
      <c r="V1600" s="44">
        <f t="shared" si="3"/>
        <v>0</v>
      </c>
      <c r="W1600" s="52">
        <f>IFERROR(__xludf.DUMMYFUNCTION("iFERROR((FILTER('Fund Data'!$Y:$Y, 'Fund Data'!$C:$C = $C1600, 'Fund Data'!$A:$A = $A1600 - 1, 'Fund Data'!$B:$B = 12) + FILTER('Fund Data'!$AA:$AA, 'Fund Data'!$C:$C = $C1600, 'Fund Data'!$A:$A = $A1600 - 1, 'Fund Data'!$B:$B = 12)) * (1 + AVERAGE(FILTER"&amp;"('Inflation Data'!$C:$C,'Inflation Data'!$A:$A = ($A1600 - 2)))) * 'Parameters and Distribution Sum'!$A$4,0)"),0.0)</f>
        <v>0</v>
      </c>
      <c r="X1600" s="52">
        <f>IFERROR(__xludf.DUMMYFUNCTION("IFERROR((IFERROR(FILTER('Fund Data'!$P:$P,'Fund Data'!$C:$C = $C1600,'Fund Data'!$A:$A = ($A1600 - 2), 'Fund Data'!$B:$B = 12),0) - SUM(FILTER('Fund Data'!$V:$V, 'Fund Data'!$C:$C = $C1600, 'Fund Data'!$A:$A = ($A1600 - 2), 'Fund Data'!$B:$B &gt; 3)))  * 'Pa"&amp;"rameters and Distribution Sum'!$B$4 * (1 - 'Parameters and Distribution Sum'!$A$4),0)"),0.0)</f>
        <v>0</v>
      </c>
      <c r="Y1600" s="52">
        <f t="shared" si="140"/>
        <v>0</v>
      </c>
      <c r="Z1600" s="52">
        <f>IFERROR(__xludf.DUMMYFUNCTION("((IFERROR((SUM(FILTER('Fund Data'!$V:$V, 'Fund Data'!$C:$C = $C1600, 'Fund Data'!$A:$A = $A1600 - 1, 'Fund Data'!$B:$B &gt;= 4, 'Fund Data'!$B:$B &lt;= ($B1600 + 5))) / 12) * ($B1600 - 3) * 'Parameters and Distribution Sum'!$B$4, 0) + IF($B1600 &gt;= 9, IFERROR(SU"&amp;"M(FILTER('Fund Data'!$V:$V, 'Fund Data'!$C:$C = $C1600, 'Fund Data'!$A:$A = $A1600, 'Fund Data'!$B:$B &lt;= 3)) * 'Parameters and Distribution Sum'!$B$4, 0),0)))"),0.0)</f>
        <v>0</v>
      </c>
      <c r="AA1600" s="44">
        <f>IFERROR(__xludf.DUMMYFUNCTION("IFERROR(((IFERROR(SUM(FILTER('Fund Data'!$V:$V, 'Fund Data'!$C:$C = $C1600, 'Fund Data'!$A:$A = $A1600 - 2, 'Fund Data'!$B:$B &gt;= 4)) * 'Parameters and Distribution Sum'!$B$4,0) + IFERROR(SUM(FILTER('Fund Data'!$V:$V, 'Fund Data'!$C:$C = $C1600, 'Fund Data"&amp;"'!$A:$A = $A1600 - 1, 'Fund Data'!$B:$B &lt;= 3)) * 'Parameters and Distribution Sum'!$B$4,0))),0)"),0.0)</f>
        <v>0</v>
      </c>
      <c r="AB1600" s="44">
        <f t="shared" si="141"/>
        <v>0</v>
      </c>
      <c r="AC1600" s="44">
        <f t="shared" si="142"/>
        <v>0</v>
      </c>
      <c r="AD1600" s="44">
        <f t="shared" si="7"/>
        <v>0</v>
      </c>
      <c r="AE1600" s="44"/>
    </row>
    <row r="1601">
      <c r="A1601" s="178"/>
      <c r="B1601" s="179"/>
      <c r="C1601" s="147"/>
      <c r="D1601" s="44"/>
      <c r="E1601" s="44"/>
      <c r="F1601" s="44"/>
      <c r="G1601" s="44"/>
      <c r="H1601" s="44"/>
      <c r="I1601" s="44"/>
      <c r="J1601" s="44"/>
      <c r="K1601" s="44"/>
      <c r="L1601" s="44"/>
      <c r="M1601" s="44"/>
      <c r="N1601" s="44"/>
      <c r="O1601" s="44"/>
      <c r="P1601" s="52">
        <f t="shared" si="23"/>
        <v>0</v>
      </c>
      <c r="Q1601" s="124">
        <f t="shared" si="2"/>
        <v>0</v>
      </c>
      <c r="R1601" s="52">
        <f t="array" ref="R1601">IFERROR(INDEX('Fund YTD Target Values'!$1:$1000, MATCH($C1601,'Fund YTD Target Values'!$A:$A,0), MATCH($A1601,'Fund YTD Target Values'!$1:$1,0)),0)</f>
        <v>0</v>
      </c>
      <c r="S1601" s="52">
        <f>IFERROR(__xludf.DUMMYFUNCTION("IFERROR(sum(FILTER('Fund Data'!$V:$V, 'Fund Data'!$C:$C = $C1601, 'Fund Data'!$A:$A &lt; $A1601)),0) + IFERROR(sum(FILTER('Fund Data'!$V:$V, 'Fund Data'!$C:$C = $C1601, 'Fund Data'!$A:$A = $A1601, 'Fund Data'!$B:$B &lt;= $B1601)),0)"),0.0)</f>
        <v>0</v>
      </c>
      <c r="T1601" s="44"/>
      <c r="U1601" s="44"/>
      <c r="V1601" s="44">
        <f t="shared" si="3"/>
        <v>0</v>
      </c>
      <c r="W1601" s="52">
        <f>IFERROR(__xludf.DUMMYFUNCTION("iFERROR((FILTER('Fund Data'!$Y:$Y, 'Fund Data'!$C:$C = $C1601, 'Fund Data'!$A:$A = $A1601 - 1, 'Fund Data'!$B:$B = 12) + FILTER('Fund Data'!$AA:$AA, 'Fund Data'!$C:$C = $C1601, 'Fund Data'!$A:$A = $A1601 - 1, 'Fund Data'!$B:$B = 12)) * (1 + AVERAGE(FILTER"&amp;"('Inflation Data'!$C:$C,'Inflation Data'!$A:$A = ($A1601 - 2)))) * 'Parameters and Distribution Sum'!$A$4,0)"),0.0)</f>
        <v>0</v>
      </c>
      <c r="X1601" s="52">
        <f>IFERROR(__xludf.DUMMYFUNCTION("IFERROR((IFERROR(FILTER('Fund Data'!$P:$P,'Fund Data'!$C:$C = $C1601,'Fund Data'!$A:$A = ($A1601 - 2), 'Fund Data'!$B:$B = 12),0) - SUM(FILTER('Fund Data'!$V:$V, 'Fund Data'!$C:$C = $C1601, 'Fund Data'!$A:$A = ($A1601 - 2), 'Fund Data'!$B:$B &gt; 3)))  * 'Pa"&amp;"rameters and Distribution Sum'!$B$4 * (1 - 'Parameters and Distribution Sum'!$A$4),0)"),0.0)</f>
        <v>0</v>
      </c>
      <c r="Y1601" s="52">
        <f t="shared" si="140"/>
        <v>0</v>
      </c>
      <c r="Z1601" s="52">
        <f>IFERROR(__xludf.DUMMYFUNCTION("((IFERROR((SUM(FILTER('Fund Data'!$V:$V, 'Fund Data'!$C:$C = $C1601, 'Fund Data'!$A:$A = $A1601 - 1, 'Fund Data'!$B:$B &gt;= 4, 'Fund Data'!$B:$B &lt;= ($B1601 + 5))) / 12) * ($B1601 - 3) * 'Parameters and Distribution Sum'!$B$4, 0) + IF($B1601 &gt;= 9, IFERROR(SU"&amp;"M(FILTER('Fund Data'!$V:$V, 'Fund Data'!$C:$C = $C1601, 'Fund Data'!$A:$A = $A1601, 'Fund Data'!$B:$B &lt;= 3)) * 'Parameters and Distribution Sum'!$B$4, 0),0)))"),0.0)</f>
        <v>0</v>
      </c>
      <c r="AA1601" s="44">
        <f>IFERROR(__xludf.DUMMYFUNCTION("IFERROR(((IFERROR(SUM(FILTER('Fund Data'!$V:$V, 'Fund Data'!$C:$C = $C1601, 'Fund Data'!$A:$A = $A1601 - 2, 'Fund Data'!$B:$B &gt;= 4)) * 'Parameters and Distribution Sum'!$B$4,0) + IFERROR(SUM(FILTER('Fund Data'!$V:$V, 'Fund Data'!$C:$C = $C1601, 'Fund Data"&amp;"'!$A:$A = $A1601 - 1, 'Fund Data'!$B:$B &lt;= 3)) * 'Parameters and Distribution Sum'!$B$4,0))),0)"),0.0)</f>
        <v>0</v>
      </c>
      <c r="AB1601" s="44">
        <f t="shared" si="141"/>
        <v>0</v>
      </c>
      <c r="AC1601" s="44">
        <f t="shared" si="142"/>
        <v>0</v>
      </c>
      <c r="AD1601" s="44">
        <f t="shared" si="7"/>
        <v>0</v>
      </c>
      <c r="AE1601" s="44"/>
    </row>
    <row r="1602">
      <c r="A1602" s="178"/>
      <c r="B1602" s="179"/>
      <c r="C1602" s="147"/>
      <c r="D1602" s="44"/>
      <c r="E1602" s="44"/>
      <c r="F1602" s="44"/>
      <c r="G1602" s="44"/>
      <c r="H1602" s="44"/>
      <c r="I1602" s="44"/>
      <c r="J1602" s="44"/>
      <c r="K1602" s="44"/>
      <c r="L1602" s="44"/>
      <c r="M1602" s="44"/>
      <c r="N1602" s="44"/>
      <c r="O1602" s="44"/>
      <c r="P1602" s="52">
        <f t="shared" si="23"/>
        <v>0</v>
      </c>
      <c r="Q1602" s="124">
        <f t="shared" si="2"/>
        <v>0</v>
      </c>
      <c r="R1602" s="52">
        <f t="array" ref="R1602">IFERROR(INDEX('Fund YTD Target Values'!$1:$1000, MATCH($C1602,'Fund YTD Target Values'!$A:$A,0), MATCH($A1602,'Fund YTD Target Values'!$1:$1,0)),0)</f>
        <v>0</v>
      </c>
      <c r="S1602" s="52">
        <f>IFERROR(__xludf.DUMMYFUNCTION("IFERROR(sum(FILTER('Fund Data'!$V:$V, 'Fund Data'!$C:$C = $C1602, 'Fund Data'!$A:$A &lt; $A1602)),0) + IFERROR(sum(FILTER('Fund Data'!$V:$V, 'Fund Data'!$C:$C = $C1602, 'Fund Data'!$A:$A = $A1602, 'Fund Data'!$B:$B &lt;= $B1602)),0)"),0.0)</f>
        <v>0</v>
      </c>
      <c r="T1602" s="44"/>
      <c r="U1602" s="44"/>
      <c r="V1602" s="44">
        <f t="shared" si="3"/>
        <v>0</v>
      </c>
      <c r="W1602" s="52">
        <f>IFERROR(__xludf.DUMMYFUNCTION("iFERROR((FILTER('Fund Data'!$Y:$Y, 'Fund Data'!$C:$C = $C1602, 'Fund Data'!$A:$A = $A1602 - 1, 'Fund Data'!$B:$B = 12) + FILTER('Fund Data'!$AA:$AA, 'Fund Data'!$C:$C = $C1602, 'Fund Data'!$A:$A = $A1602 - 1, 'Fund Data'!$B:$B = 12)) * (1 + AVERAGE(FILTER"&amp;"('Inflation Data'!$C:$C,'Inflation Data'!$A:$A = ($A1602 - 2)))) * 'Parameters and Distribution Sum'!$A$4,0)"),0.0)</f>
        <v>0</v>
      </c>
      <c r="X1602" s="52">
        <f>IFERROR(__xludf.DUMMYFUNCTION("IFERROR((IFERROR(FILTER('Fund Data'!$P:$P,'Fund Data'!$C:$C = $C1602,'Fund Data'!$A:$A = ($A1602 - 2), 'Fund Data'!$B:$B = 12),0) - SUM(FILTER('Fund Data'!$V:$V, 'Fund Data'!$C:$C = $C1602, 'Fund Data'!$A:$A = ($A1602 - 2), 'Fund Data'!$B:$B &gt; 3)))  * 'Pa"&amp;"rameters and Distribution Sum'!$B$4 * (1 - 'Parameters and Distribution Sum'!$A$4),0)"),0.0)</f>
        <v>0</v>
      </c>
      <c r="Y1602" s="52">
        <f t="shared" si="140"/>
        <v>0</v>
      </c>
      <c r="Z1602" s="52">
        <f>IFERROR(__xludf.DUMMYFUNCTION("((IFERROR((SUM(FILTER('Fund Data'!$V:$V, 'Fund Data'!$C:$C = $C1602, 'Fund Data'!$A:$A = $A1602 - 1, 'Fund Data'!$B:$B &gt;= 4, 'Fund Data'!$B:$B &lt;= ($B1602 + 5))) / 12) * ($B1602 - 3) * 'Parameters and Distribution Sum'!$B$4, 0) + IF($B1602 &gt;= 9, IFERROR(SU"&amp;"M(FILTER('Fund Data'!$V:$V, 'Fund Data'!$C:$C = $C1602, 'Fund Data'!$A:$A = $A1602, 'Fund Data'!$B:$B &lt;= 3)) * 'Parameters and Distribution Sum'!$B$4, 0),0)))"),0.0)</f>
        <v>0</v>
      </c>
      <c r="AA1602" s="44">
        <f>IFERROR(__xludf.DUMMYFUNCTION("IFERROR(((IFERROR(SUM(FILTER('Fund Data'!$V:$V, 'Fund Data'!$C:$C = $C1602, 'Fund Data'!$A:$A = $A1602 - 2, 'Fund Data'!$B:$B &gt;= 4)) * 'Parameters and Distribution Sum'!$B$4,0) + IFERROR(SUM(FILTER('Fund Data'!$V:$V, 'Fund Data'!$C:$C = $C1602, 'Fund Data"&amp;"'!$A:$A = $A1602 - 1, 'Fund Data'!$B:$B &lt;= 3)) * 'Parameters and Distribution Sum'!$B$4,0))),0)"),0.0)</f>
        <v>0</v>
      </c>
      <c r="AB1602" s="44">
        <f t="shared" si="141"/>
        <v>0</v>
      </c>
      <c r="AC1602" s="44">
        <f t="shared" si="142"/>
        <v>0</v>
      </c>
      <c r="AD1602" s="44">
        <f t="shared" si="7"/>
        <v>0</v>
      </c>
      <c r="AE1602" s="44"/>
    </row>
    <row r="1603">
      <c r="A1603" s="178"/>
      <c r="B1603" s="179"/>
      <c r="C1603" s="147"/>
      <c r="D1603" s="44"/>
      <c r="E1603" s="44"/>
      <c r="F1603" s="44"/>
      <c r="G1603" s="44"/>
      <c r="H1603" s="44"/>
      <c r="I1603" s="44"/>
      <c r="J1603" s="44"/>
      <c r="K1603" s="44"/>
      <c r="L1603" s="44"/>
      <c r="M1603" s="44"/>
      <c r="N1603" s="44"/>
      <c r="O1603" s="44"/>
      <c r="P1603" s="52">
        <f t="shared" si="23"/>
        <v>0</v>
      </c>
      <c r="Q1603" s="124">
        <f t="shared" si="2"/>
        <v>0</v>
      </c>
      <c r="R1603" s="52">
        <f t="array" ref="R1603">IFERROR(INDEX('Fund YTD Target Values'!$1:$1000, MATCH($C1603,'Fund YTD Target Values'!$A:$A,0), MATCH($A1603,'Fund YTD Target Values'!$1:$1,0)),0)</f>
        <v>0</v>
      </c>
      <c r="S1603" s="52">
        <f>IFERROR(__xludf.DUMMYFUNCTION("IFERROR(sum(FILTER('Fund Data'!$V:$V, 'Fund Data'!$C:$C = $C1603, 'Fund Data'!$A:$A &lt; $A1603)),0) + IFERROR(sum(FILTER('Fund Data'!$V:$V, 'Fund Data'!$C:$C = $C1603, 'Fund Data'!$A:$A = $A1603, 'Fund Data'!$B:$B &lt;= $B1603)),0)"),0.0)</f>
        <v>0</v>
      </c>
      <c r="T1603" s="44"/>
      <c r="U1603" s="44"/>
      <c r="V1603" s="44">
        <f t="shared" si="3"/>
        <v>0</v>
      </c>
      <c r="W1603" s="52">
        <f>IFERROR(__xludf.DUMMYFUNCTION("iFERROR((FILTER('Fund Data'!$Y:$Y, 'Fund Data'!$C:$C = $C1603, 'Fund Data'!$A:$A = $A1603 - 1, 'Fund Data'!$B:$B = 12) + FILTER('Fund Data'!$AA:$AA, 'Fund Data'!$C:$C = $C1603, 'Fund Data'!$A:$A = $A1603 - 1, 'Fund Data'!$B:$B = 12)) * (1 + AVERAGE(FILTER"&amp;"('Inflation Data'!$C:$C,'Inflation Data'!$A:$A = ($A1603 - 2)))) * 'Parameters and Distribution Sum'!$A$4,0)"),0.0)</f>
        <v>0</v>
      </c>
      <c r="X1603" s="52">
        <f>IFERROR(__xludf.DUMMYFUNCTION("IFERROR((IFERROR(FILTER('Fund Data'!$P:$P,'Fund Data'!$C:$C = $C1603,'Fund Data'!$A:$A = ($A1603 - 2), 'Fund Data'!$B:$B = 12),0) - SUM(FILTER('Fund Data'!$V:$V, 'Fund Data'!$C:$C = $C1603, 'Fund Data'!$A:$A = ($A1603 - 2), 'Fund Data'!$B:$B &gt; 3)))  * 'Pa"&amp;"rameters and Distribution Sum'!$B$4 * (1 - 'Parameters and Distribution Sum'!$A$4),0)"),0.0)</f>
        <v>0</v>
      </c>
      <c r="Y1603" s="52">
        <f t="shared" si="140"/>
        <v>0</v>
      </c>
      <c r="Z1603" s="52">
        <f>IFERROR(__xludf.DUMMYFUNCTION("((IFERROR((SUM(FILTER('Fund Data'!$V:$V, 'Fund Data'!$C:$C = $C1603, 'Fund Data'!$A:$A = $A1603 - 1, 'Fund Data'!$B:$B &gt;= 4, 'Fund Data'!$B:$B &lt;= ($B1603 + 5))) / 12) * ($B1603 - 3) * 'Parameters and Distribution Sum'!$B$4, 0) + IF($B1603 &gt;= 9, IFERROR(SU"&amp;"M(FILTER('Fund Data'!$V:$V, 'Fund Data'!$C:$C = $C1603, 'Fund Data'!$A:$A = $A1603, 'Fund Data'!$B:$B &lt;= 3)) * 'Parameters and Distribution Sum'!$B$4, 0),0)))"),0.0)</f>
        <v>0</v>
      </c>
      <c r="AA1603" s="44">
        <f>IFERROR(__xludf.DUMMYFUNCTION("IFERROR(((IFERROR(SUM(FILTER('Fund Data'!$V:$V, 'Fund Data'!$C:$C = $C1603, 'Fund Data'!$A:$A = $A1603 - 2, 'Fund Data'!$B:$B &gt;= 4)) * 'Parameters and Distribution Sum'!$B$4,0) + IFERROR(SUM(FILTER('Fund Data'!$V:$V, 'Fund Data'!$C:$C = $C1603, 'Fund Data"&amp;"'!$A:$A = $A1603 - 1, 'Fund Data'!$B:$B &lt;= 3)) * 'Parameters and Distribution Sum'!$B$4,0))),0)"),0.0)</f>
        <v>0</v>
      </c>
      <c r="AB1603" s="44">
        <f t="shared" si="141"/>
        <v>0</v>
      </c>
      <c r="AC1603" s="44">
        <f t="shared" si="142"/>
        <v>0</v>
      </c>
      <c r="AD1603" s="44">
        <f t="shared" si="7"/>
        <v>0</v>
      </c>
      <c r="AE1603" s="44"/>
    </row>
    <row r="1604">
      <c r="A1604" s="178"/>
      <c r="B1604" s="179"/>
      <c r="C1604" s="147"/>
      <c r="D1604" s="44"/>
      <c r="E1604" s="44"/>
      <c r="F1604" s="44"/>
      <c r="G1604" s="44"/>
      <c r="H1604" s="44"/>
      <c r="I1604" s="44"/>
      <c r="J1604" s="44"/>
      <c r="K1604" s="44"/>
      <c r="L1604" s="44"/>
      <c r="M1604" s="44"/>
      <c r="N1604" s="44"/>
      <c r="O1604" s="44"/>
      <c r="P1604" s="52">
        <f t="shared" si="23"/>
        <v>0</v>
      </c>
      <c r="Q1604" s="124">
        <f t="shared" si="2"/>
        <v>0</v>
      </c>
      <c r="R1604" s="52">
        <f t="array" ref="R1604">IFERROR(INDEX('Fund YTD Target Values'!$1:$1000, MATCH($C1604,'Fund YTD Target Values'!$A:$A,0), MATCH($A1604,'Fund YTD Target Values'!$1:$1,0)),0)</f>
        <v>0</v>
      </c>
      <c r="S1604" s="52">
        <f>IFERROR(__xludf.DUMMYFUNCTION("IFERROR(sum(FILTER('Fund Data'!$V:$V, 'Fund Data'!$C:$C = $C1604, 'Fund Data'!$A:$A &lt; $A1604)),0) + IFERROR(sum(FILTER('Fund Data'!$V:$V, 'Fund Data'!$C:$C = $C1604, 'Fund Data'!$A:$A = $A1604, 'Fund Data'!$B:$B &lt;= $B1604)),0)"),0.0)</f>
        <v>0</v>
      </c>
      <c r="T1604" s="44"/>
      <c r="U1604" s="44"/>
      <c r="V1604" s="44">
        <f t="shared" si="3"/>
        <v>0</v>
      </c>
      <c r="W1604" s="52">
        <f>IFERROR(__xludf.DUMMYFUNCTION("iFERROR((FILTER('Fund Data'!$Y:$Y, 'Fund Data'!$C:$C = $C1604, 'Fund Data'!$A:$A = $A1604 - 1, 'Fund Data'!$B:$B = 12) + FILTER('Fund Data'!$AA:$AA, 'Fund Data'!$C:$C = $C1604, 'Fund Data'!$A:$A = $A1604 - 1, 'Fund Data'!$B:$B = 12)) * (1 + AVERAGE(FILTER"&amp;"('Inflation Data'!$C:$C,'Inflation Data'!$A:$A = ($A1604 - 2)))) * 'Parameters and Distribution Sum'!$A$4,0)"),0.0)</f>
        <v>0</v>
      </c>
      <c r="X1604" s="52">
        <f>IFERROR(__xludf.DUMMYFUNCTION("IFERROR((IFERROR(FILTER('Fund Data'!$P:$P,'Fund Data'!$C:$C = $C1604,'Fund Data'!$A:$A = ($A1604 - 2), 'Fund Data'!$B:$B = 12),0) - SUM(FILTER('Fund Data'!$V:$V, 'Fund Data'!$C:$C = $C1604, 'Fund Data'!$A:$A = ($A1604 - 2), 'Fund Data'!$B:$B &gt; 3)))  * 'Pa"&amp;"rameters and Distribution Sum'!$B$4 * (1 - 'Parameters and Distribution Sum'!$A$4),0)"),0.0)</f>
        <v>0</v>
      </c>
      <c r="Y1604" s="52">
        <f t="shared" si="140"/>
        <v>0</v>
      </c>
      <c r="Z1604" s="52">
        <f>IFERROR(__xludf.DUMMYFUNCTION("((IFERROR((SUM(FILTER('Fund Data'!$V:$V, 'Fund Data'!$C:$C = $C1604, 'Fund Data'!$A:$A = $A1604 - 1, 'Fund Data'!$B:$B &gt;= 4, 'Fund Data'!$B:$B &lt;= ($B1604 + 5))) / 12) * ($B1604 - 3) * 'Parameters and Distribution Sum'!$B$4, 0) + IF($B1604 &gt;= 9, IFERROR(SU"&amp;"M(FILTER('Fund Data'!$V:$V, 'Fund Data'!$C:$C = $C1604, 'Fund Data'!$A:$A = $A1604, 'Fund Data'!$B:$B &lt;= 3)) * 'Parameters and Distribution Sum'!$B$4, 0),0)))"),0.0)</f>
        <v>0</v>
      </c>
      <c r="AA1604" s="44">
        <f>IFERROR(__xludf.DUMMYFUNCTION("IFERROR(((IFERROR(SUM(FILTER('Fund Data'!$V:$V, 'Fund Data'!$C:$C = $C1604, 'Fund Data'!$A:$A = $A1604 - 2, 'Fund Data'!$B:$B &gt;= 4)) * 'Parameters and Distribution Sum'!$B$4,0) + IFERROR(SUM(FILTER('Fund Data'!$V:$V, 'Fund Data'!$C:$C = $C1604, 'Fund Data"&amp;"'!$A:$A = $A1604 - 1, 'Fund Data'!$B:$B &lt;= 3)) * 'Parameters and Distribution Sum'!$B$4,0))),0)"),0.0)</f>
        <v>0</v>
      </c>
      <c r="AB1604" s="44">
        <f t="shared" si="141"/>
        <v>0</v>
      </c>
      <c r="AC1604" s="44">
        <f t="shared" si="142"/>
        <v>0</v>
      </c>
      <c r="AD1604" s="44">
        <f t="shared" si="7"/>
        <v>0</v>
      </c>
      <c r="AE1604" s="44"/>
    </row>
    <row r="1605">
      <c r="A1605" s="178"/>
      <c r="B1605" s="179"/>
      <c r="C1605" s="147"/>
      <c r="D1605" s="44"/>
      <c r="E1605" s="44"/>
      <c r="F1605" s="44"/>
      <c r="G1605" s="44"/>
      <c r="H1605" s="44"/>
      <c r="I1605" s="44"/>
      <c r="J1605" s="44"/>
      <c r="K1605" s="44"/>
      <c r="L1605" s="44"/>
      <c r="M1605" s="44"/>
      <c r="N1605" s="44"/>
      <c r="O1605" s="44"/>
      <c r="P1605" s="52">
        <f t="shared" si="23"/>
        <v>0</v>
      </c>
      <c r="Q1605" s="124">
        <f t="shared" si="2"/>
        <v>0</v>
      </c>
      <c r="R1605" s="52">
        <f t="array" ref="R1605">IFERROR(INDEX('Fund YTD Target Values'!$1:$1000, MATCH($C1605,'Fund YTD Target Values'!$A:$A,0), MATCH($A1605,'Fund YTD Target Values'!$1:$1,0)),0)</f>
        <v>0</v>
      </c>
      <c r="S1605" s="52">
        <f>IFERROR(__xludf.DUMMYFUNCTION("IFERROR(sum(FILTER('Fund Data'!$V:$V, 'Fund Data'!$C:$C = $C1605, 'Fund Data'!$A:$A &lt; $A1605)),0) + IFERROR(sum(FILTER('Fund Data'!$V:$V, 'Fund Data'!$C:$C = $C1605, 'Fund Data'!$A:$A = $A1605, 'Fund Data'!$B:$B &lt;= $B1605)),0)"),0.0)</f>
        <v>0</v>
      </c>
      <c r="T1605" s="44"/>
      <c r="U1605" s="44"/>
      <c r="V1605" s="44">
        <f t="shared" si="3"/>
        <v>0</v>
      </c>
      <c r="W1605" s="52">
        <f>IFERROR(__xludf.DUMMYFUNCTION("iFERROR((FILTER('Fund Data'!$Y:$Y, 'Fund Data'!$C:$C = $C1605, 'Fund Data'!$A:$A = $A1605 - 1, 'Fund Data'!$B:$B = 12) + FILTER('Fund Data'!$AA:$AA, 'Fund Data'!$C:$C = $C1605, 'Fund Data'!$A:$A = $A1605 - 1, 'Fund Data'!$B:$B = 12)) * (1 + AVERAGE(FILTER"&amp;"('Inflation Data'!$C:$C,'Inflation Data'!$A:$A = ($A1605 - 2)))) * 'Parameters and Distribution Sum'!$A$4,0)"),0.0)</f>
        <v>0</v>
      </c>
      <c r="X1605" s="52">
        <f>IFERROR(__xludf.DUMMYFUNCTION("IFERROR((IFERROR(FILTER('Fund Data'!$P:$P,'Fund Data'!$C:$C = $C1605,'Fund Data'!$A:$A = ($A1605 - 2), 'Fund Data'!$B:$B = 12),0) - SUM(FILTER('Fund Data'!$V:$V, 'Fund Data'!$C:$C = $C1605, 'Fund Data'!$A:$A = ($A1605 - 2), 'Fund Data'!$B:$B &gt; 3)))  * 'Pa"&amp;"rameters and Distribution Sum'!$B$4 * (1 - 'Parameters and Distribution Sum'!$A$4),0)"),0.0)</f>
        <v>0</v>
      </c>
      <c r="Y1605" s="52">
        <f t="shared" si="140"/>
        <v>0</v>
      </c>
      <c r="Z1605" s="52">
        <f>IFERROR(__xludf.DUMMYFUNCTION("((IFERROR((SUM(FILTER('Fund Data'!$V:$V, 'Fund Data'!$C:$C = $C1605, 'Fund Data'!$A:$A = $A1605 - 1, 'Fund Data'!$B:$B &gt;= 4, 'Fund Data'!$B:$B &lt;= ($B1605 + 5))) / 12) * ($B1605 - 3) * 'Parameters and Distribution Sum'!$B$4, 0) + IF($B1605 &gt;= 9, IFERROR(SU"&amp;"M(FILTER('Fund Data'!$V:$V, 'Fund Data'!$C:$C = $C1605, 'Fund Data'!$A:$A = $A1605, 'Fund Data'!$B:$B &lt;= 3)) * 'Parameters and Distribution Sum'!$B$4, 0),0)))"),0.0)</f>
        <v>0</v>
      </c>
      <c r="AA1605" s="44">
        <f>IFERROR(__xludf.DUMMYFUNCTION("IFERROR(((IFERROR(SUM(FILTER('Fund Data'!$V:$V, 'Fund Data'!$C:$C = $C1605, 'Fund Data'!$A:$A = $A1605 - 2, 'Fund Data'!$B:$B &gt;= 4)) * 'Parameters and Distribution Sum'!$B$4,0) + IFERROR(SUM(FILTER('Fund Data'!$V:$V, 'Fund Data'!$C:$C = $C1605, 'Fund Data"&amp;"'!$A:$A = $A1605 - 1, 'Fund Data'!$B:$B &lt;= 3)) * 'Parameters and Distribution Sum'!$B$4,0))),0)"),0.0)</f>
        <v>0</v>
      </c>
      <c r="AB1605" s="44">
        <f t="shared" si="141"/>
        <v>0</v>
      </c>
      <c r="AC1605" s="44">
        <f t="shared" si="142"/>
        <v>0</v>
      </c>
      <c r="AD1605" s="44">
        <f t="shared" si="7"/>
        <v>0</v>
      </c>
      <c r="AE1605" s="44"/>
    </row>
    <row r="1606">
      <c r="A1606" s="178"/>
      <c r="B1606" s="179"/>
      <c r="C1606" s="147"/>
      <c r="D1606" s="44"/>
      <c r="E1606" s="44"/>
      <c r="F1606" s="44"/>
      <c r="G1606" s="44"/>
      <c r="H1606" s="44"/>
      <c r="I1606" s="44"/>
      <c r="J1606" s="44"/>
      <c r="K1606" s="44"/>
      <c r="L1606" s="44"/>
      <c r="M1606" s="44"/>
      <c r="N1606" s="44"/>
      <c r="O1606" s="44"/>
      <c r="P1606" s="52">
        <f t="shared" si="23"/>
        <v>0</v>
      </c>
      <c r="Q1606" s="124">
        <f t="shared" si="2"/>
        <v>0</v>
      </c>
      <c r="R1606" s="52">
        <f t="array" ref="R1606">IFERROR(INDEX('Fund YTD Target Values'!$1:$1000, MATCH($C1606,'Fund YTD Target Values'!$A:$A,0), MATCH($A1606,'Fund YTD Target Values'!$1:$1,0)),0)</f>
        <v>0</v>
      </c>
      <c r="S1606" s="52">
        <f>IFERROR(__xludf.DUMMYFUNCTION("IFERROR(sum(FILTER('Fund Data'!$V:$V, 'Fund Data'!$C:$C = $C1606, 'Fund Data'!$A:$A &lt; $A1606)),0) + IFERROR(sum(FILTER('Fund Data'!$V:$V, 'Fund Data'!$C:$C = $C1606, 'Fund Data'!$A:$A = $A1606, 'Fund Data'!$B:$B &lt;= $B1606)),0)"),0.0)</f>
        <v>0</v>
      </c>
      <c r="T1606" s="44"/>
      <c r="U1606" s="44"/>
      <c r="V1606" s="44">
        <f t="shared" si="3"/>
        <v>0</v>
      </c>
      <c r="W1606" s="52">
        <f>IFERROR(__xludf.DUMMYFUNCTION("iFERROR((FILTER('Fund Data'!$Y:$Y, 'Fund Data'!$C:$C = $C1606, 'Fund Data'!$A:$A = $A1606 - 1, 'Fund Data'!$B:$B = 12) + FILTER('Fund Data'!$AA:$AA, 'Fund Data'!$C:$C = $C1606, 'Fund Data'!$A:$A = $A1606 - 1, 'Fund Data'!$B:$B = 12)) * (1 + AVERAGE(FILTER"&amp;"('Inflation Data'!$C:$C,'Inflation Data'!$A:$A = ($A1606 - 2)))) * 'Parameters and Distribution Sum'!$A$4,0)"),0.0)</f>
        <v>0</v>
      </c>
      <c r="X1606" s="52">
        <f>IFERROR(__xludf.DUMMYFUNCTION("IFERROR((IFERROR(FILTER('Fund Data'!$P:$P,'Fund Data'!$C:$C = $C1606,'Fund Data'!$A:$A = ($A1606 - 2), 'Fund Data'!$B:$B = 12),0) - SUM(FILTER('Fund Data'!$V:$V, 'Fund Data'!$C:$C = $C1606, 'Fund Data'!$A:$A = ($A1606 - 2), 'Fund Data'!$B:$B &gt; 3)))  * 'Pa"&amp;"rameters and Distribution Sum'!$B$4 * (1 - 'Parameters and Distribution Sum'!$A$4),0)"),0.0)</f>
        <v>0</v>
      </c>
      <c r="Y1606" s="52">
        <f t="shared" si="140"/>
        <v>0</v>
      </c>
      <c r="Z1606" s="52">
        <f>IFERROR(__xludf.DUMMYFUNCTION("((IFERROR((SUM(FILTER('Fund Data'!$V:$V, 'Fund Data'!$C:$C = $C1606, 'Fund Data'!$A:$A = $A1606 - 1, 'Fund Data'!$B:$B &gt;= 4, 'Fund Data'!$B:$B &lt;= ($B1606 + 5))) / 12) * ($B1606 - 3) * 'Parameters and Distribution Sum'!$B$4, 0) + IF($B1606 &gt;= 9, IFERROR(SU"&amp;"M(FILTER('Fund Data'!$V:$V, 'Fund Data'!$C:$C = $C1606, 'Fund Data'!$A:$A = $A1606, 'Fund Data'!$B:$B &lt;= 3)) * 'Parameters and Distribution Sum'!$B$4, 0),0)))"),0.0)</f>
        <v>0</v>
      </c>
      <c r="AA1606" s="44">
        <f>IFERROR(__xludf.DUMMYFUNCTION("IFERROR(((IFERROR(SUM(FILTER('Fund Data'!$V:$V, 'Fund Data'!$C:$C = $C1606, 'Fund Data'!$A:$A = $A1606 - 2, 'Fund Data'!$B:$B &gt;= 4)) * 'Parameters and Distribution Sum'!$B$4,0) + IFERROR(SUM(FILTER('Fund Data'!$V:$V, 'Fund Data'!$C:$C = $C1606, 'Fund Data"&amp;"'!$A:$A = $A1606 - 1, 'Fund Data'!$B:$B &lt;= 3)) * 'Parameters and Distribution Sum'!$B$4,0))),0)"),0.0)</f>
        <v>0</v>
      </c>
      <c r="AB1606" s="44">
        <f t="shared" si="141"/>
        <v>0</v>
      </c>
      <c r="AC1606" s="44">
        <f t="shared" si="142"/>
        <v>0</v>
      </c>
      <c r="AD1606" s="44">
        <f t="shared" si="7"/>
        <v>0</v>
      </c>
      <c r="AE1606" s="44"/>
    </row>
    <row r="1607">
      <c r="A1607" s="178"/>
      <c r="B1607" s="179"/>
      <c r="C1607" s="147"/>
      <c r="D1607" s="44"/>
      <c r="E1607" s="44"/>
      <c r="F1607" s="44"/>
      <c r="G1607" s="44"/>
      <c r="H1607" s="44"/>
      <c r="I1607" s="44"/>
      <c r="J1607" s="44"/>
      <c r="K1607" s="44"/>
      <c r="L1607" s="44"/>
      <c r="M1607" s="44"/>
      <c r="N1607" s="44"/>
      <c r="O1607" s="44"/>
      <c r="P1607" s="52">
        <f t="shared" si="23"/>
        <v>0</v>
      </c>
      <c r="Q1607" s="124">
        <f t="shared" si="2"/>
        <v>0</v>
      </c>
      <c r="R1607" s="52">
        <f t="array" ref="R1607">IFERROR(INDEX('Fund YTD Target Values'!$1:$1000, MATCH($C1607,'Fund YTD Target Values'!$A:$A,0), MATCH($A1607,'Fund YTD Target Values'!$1:$1,0)),0)</f>
        <v>0</v>
      </c>
      <c r="S1607" s="52">
        <f>IFERROR(__xludf.DUMMYFUNCTION("IFERROR(sum(FILTER('Fund Data'!$V:$V, 'Fund Data'!$C:$C = $C1607, 'Fund Data'!$A:$A &lt; $A1607)),0) + IFERROR(sum(FILTER('Fund Data'!$V:$V, 'Fund Data'!$C:$C = $C1607, 'Fund Data'!$A:$A = $A1607, 'Fund Data'!$B:$B &lt;= $B1607)),0)"),0.0)</f>
        <v>0</v>
      </c>
      <c r="T1607" s="44"/>
      <c r="U1607" s="44"/>
      <c r="V1607" s="44">
        <f t="shared" si="3"/>
        <v>0</v>
      </c>
      <c r="W1607" s="52">
        <f>IFERROR(__xludf.DUMMYFUNCTION("iFERROR((FILTER('Fund Data'!$Y:$Y, 'Fund Data'!$C:$C = $C1607, 'Fund Data'!$A:$A = $A1607 - 1, 'Fund Data'!$B:$B = 12) + FILTER('Fund Data'!$AA:$AA, 'Fund Data'!$C:$C = $C1607, 'Fund Data'!$A:$A = $A1607 - 1, 'Fund Data'!$B:$B = 12)) * (1 + AVERAGE(FILTER"&amp;"('Inflation Data'!$C:$C,'Inflation Data'!$A:$A = ($A1607 - 2)))) * 'Parameters and Distribution Sum'!$A$4,0)"),0.0)</f>
        <v>0</v>
      </c>
      <c r="X1607" s="52">
        <f>IFERROR(__xludf.DUMMYFUNCTION("IFERROR((IFERROR(FILTER('Fund Data'!$P:$P,'Fund Data'!$C:$C = $C1607,'Fund Data'!$A:$A = ($A1607 - 2), 'Fund Data'!$B:$B = 12),0) - SUM(FILTER('Fund Data'!$V:$V, 'Fund Data'!$C:$C = $C1607, 'Fund Data'!$A:$A = ($A1607 - 2), 'Fund Data'!$B:$B &gt; 3)))  * 'Pa"&amp;"rameters and Distribution Sum'!$B$4 * (1 - 'Parameters and Distribution Sum'!$A$4),0)"),0.0)</f>
        <v>0</v>
      </c>
      <c r="Y1607" s="52">
        <f t="shared" si="140"/>
        <v>0</v>
      </c>
      <c r="Z1607" s="52">
        <f>IFERROR(__xludf.DUMMYFUNCTION("((IFERROR((SUM(FILTER('Fund Data'!$V:$V, 'Fund Data'!$C:$C = $C1607, 'Fund Data'!$A:$A = $A1607 - 1, 'Fund Data'!$B:$B &gt;= 4, 'Fund Data'!$B:$B &lt;= ($B1607 + 5))) / 12) * ($B1607 - 3) * 'Parameters and Distribution Sum'!$B$4, 0) + IF($B1607 &gt;= 9, IFERROR(SU"&amp;"M(FILTER('Fund Data'!$V:$V, 'Fund Data'!$C:$C = $C1607, 'Fund Data'!$A:$A = $A1607, 'Fund Data'!$B:$B &lt;= 3)) * 'Parameters and Distribution Sum'!$B$4, 0),0)))"),0.0)</f>
        <v>0</v>
      </c>
      <c r="AA1607" s="44">
        <f>IFERROR(__xludf.DUMMYFUNCTION("IFERROR(((IFERROR(SUM(FILTER('Fund Data'!$V:$V, 'Fund Data'!$C:$C = $C1607, 'Fund Data'!$A:$A = $A1607 - 2, 'Fund Data'!$B:$B &gt;= 4)) * 'Parameters and Distribution Sum'!$B$4,0) + IFERROR(SUM(FILTER('Fund Data'!$V:$V, 'Fund Data'!$C:$C = $C1607, 'Fund Data"&amp;"'!$A:$A = $A1607 - 1, 'Fund Data'!$B:$B &lt;= 3)) * 'Parameters and Distribution Sum'!$B$4,0))),0)"),0.0)</f>
        <v>0</v>
      </c>
      <c r="AB1607" s="44">
        <f t="shared" si="141"/>
        <v>0</v>
      </c>
      <c r="AC1607" s="44">
        <f t="shared" si="142"/>
        <v>0</v>
      </c>
      <c r="AD1607" s="44">
        <f t="shared" si="7"/>
        <v>0</v>
      </c>
      <c r="AE1607" s="44"/>
    </row>
    <row r="1608">
      <c r="A1608" s="178"/>
      <c r="B1608" s="179"/>
      <c r="C1608" s="147"/>
      <c r="D1608" s="44"/>
      <c r="E1608" s="44"/>
      <c r="F1608" s="44"/>
      <c r="G1608" s="44"/>
      <c r="H1608" s="44"/>
      <c r="I1608" s="44"/>
      <c r="J1608" s="44"/>
      <c r="K1608" s="44"/>
      <c r="L1608" s="44"/>
      <c r="M1608" s="44"/>
      <c r="N1608" s="44"/>
      <c r="O1608" s="44"/>
      <c r="P1608" s="52">
        <f t="shared" si="23"/>
        <v>0</v>
      </c>
      <c r="Q1608" s="124">
        <f t="shared" si="2"/>
        <v>0</v>
      </c>
      <c r="R1608" s="52">
        <f t="array" ref="R1608">IFERROR(INDEX('Fund YTD Target Values'!$1:$1000, MATCH($C1608,'Fund YTD Target Values'!$A:$A,0), MATCH($A1608,'Fund YTD Target Values'!$1:$1,0)),0)</f>
        <v>0</v>
      </c>
      <c r="S1608" s="52">
        <f>IFERROR(__xludf.DUMMYFUNCTION("IFERROR(sum(FILTER('Fund Data'!$V:$V, 'Fund Data'!$C:$C = $C1608, 'Fund Data'!$A:$A &lt; $A1608)),0) + IFERROR(sum(FILTER('Fund Data'!$V:$V, 'Fund Data'!$C:$C = $C1608, 'Fund Data'!$A:$A = $A1608, 'Fund Data'!$B:$B &lt;= $B1608)),0)"),0.0)</f>
        <v>0</v>
      </c>
      <c r="T1608" s="44"/>
      <c r="U1608" s="44"/>
      <c r="V1608" s="44">
        <f t="shared" si="3"/>
        <v>0</v>
      </c>
      <c r="W1608" s="52">
        <f>IFERROR(__xludf.DUMMYFUNCTION("iFERROR((FILTER('Fund Data'!$Y:$Y, 'Fund Data'!$C:$C = $C1608, 'Fund Data'!$A:$A = $A1608 - 1, 'Fund Data'!$B:$B = 12) + FILTER('Fund Data'!$AA:$AA, 'Fund Data'!$C:$C = $C1608, 'Fund Data'!$A:$A = $A1608 - 1, 'Fund Data'!$B:$B = 12)) * (1 + AVERAGE(FILTER"&amp;"('Inflation Data'!$C:$C,'Inflation Data'!$A:$A = ($A1608 - 2)))) * 'Parameters and Distribution Sum'!$A$4,0)"),0.0)</f>
        <v>0</v>
      </c>
      <c r="X1608" s="52">
        <f>IFERROR(__xludf.DUMMYFUNCTION("IFERROR((IFERROR(FILTER('Fund Data'!$P:$P,'Fund Data'!$C:$C = $C1608,'Fund Data'!$A:$A = ($A1608 - 2), 'Fund Data'!$B:$B = 12),0) - SUM(FILTER('Fund Data'!$V:$V, 'Fund Data'!$C:$C = $C1608, 'Fund Data'!$A:$A = ($A1608 - 2), 'Fund Data'!$B:$B &gt; 3)))  * 'Pa"&amp;"rameters and Distribution Sum'!$B$4 * (1 - 'Parameters and Distribution Sum'!$A$4),0)"),0.0)</f>
        <v>0</v>
      </c>
      <c r="Y1608" s="52">
        <f t="shared" si="140"/>
        <v>0</v>
      </c>
      <c r="Z1608" s="52">
        <f>IFERROR(__xludf.DUMMYFUNCTION("((IFERROR((SUM(FILTER('Fund Data'!$V:$V, 'Fund Data'!$C:$C = $C1608, 'Fund Data'!$A:$A = $A1608 - 1, 'Fund Data'!$B:$B &gt;= 4, 'Fund Data'!$B:$B &lt;= ($B1608 + 5))) / 12) * ($B1608 - 3) * 'Parameters and Distribution Sum'!$B$4, 0) + IF($B1608 &gt;= 9, IFERROR(SU"&amp;"M(FILTER('Fund Data'!$V:$V, 'Fund Data'!$C:$C = $C1608, 'Fund Data'!$A:$A = $A1608, 'Fund Data'!$B:$B &lt;= 3)) * 'Parameters and Distribution Sum'!$B$4, 0),0)))"),0.0)</f>
        <v>0</v>
      </c>
      <c r="AA1608" s="44">
        <f>IFERROR(__xludf.DUMMYFUNCTION("IFERROR(((IFERROR(SUM(FILTER('Fund Data'!$V:$V, 'Fund Data'!$C:$C = $C1608, 'Fund Data'!$A:$A = $A1608 - 2, 'Fund Data'!$B:$B &gt;= 4)) * 'Parameters and Distribution Sum'!$B$4,0) + IFERROR(SUM(FILTER('Fund Data'!$V:$V, 'Fund Data'!$C:$C = $C1608, 'Fund Data"&amp;"'!$A:$A = $A1608 - 1, 'Fund Data'!$B:$B &lt;= 3)) * 'Parameters and Distribution Sum'!$B$4,0))),0)"),0.0)</f>
        <v>0</v>
      </c>
      <c r="AB1608" s="44">
        <f t="shared" si="141"/>
        <v>0</v>
      </c>
      <c r="AC1608" s="44">
        <f t="shared" si="142"/>
        <v>0</v>
      </c>
      <c r="AD1608" s="44">
        <f t="shared" si="7"/>
        <v>0</v>
      </c>
      <c r="AE1608" s="44"/>
    </row>
    <row r="1609">
      <c r="A1609" s="178"/>
      <c r="B1609" s="179"/>
      <c r="C1609" s="147"/>
      <c r="D1609" s="44"/>
      <c r="E1609" s="44"/>
      <c r="F1609" s="44"/>
      <c r="G1609" s="44"/>
      <c r="H1609" s="44"/>
      <c r="I1609" s="44"/>
      <c r="J1609" s="44"/>
      <c r="K1609" s="44"/>
      <c r="L1609" s="44"/>
      <c r="M1609" s="44"/>
      <c r="N1609" s="44"/>
      <c r="O1609" s="44"/>
      <c r="P1609" s="52">
        <f t="shared" si="23"/>
        <v>0</v>
      </c>
      <c r="Q1609" s="124">
        <f t="shared" si="2"/>
        <v>0</v>
      </c>
      <c r="R1609" s="52">
        <f t="array" ref="R1609">IFERROR(INDEX('Fund YTD Target Values'!$1:$1000, MATCH($C1609,'Fund YTD Target Values'!$A:$A,0), MATCH($A1609,'Fund YTD Target Values'!$1:$1,0)),0)</f>
        <v>0</v>
      </c>
      <c r="S1609" s="52">
        <f>IFERROR(__xludf.DUMMYFUNCTION("IFERROR(sum(FILTER('Fund Data'!$V:$V, 'Fund Data'!$C:$C = $C1609, 'Fund Data'!$A:$A &lt; $A1609)),0) + IFERROR(sum(FILTER('Fund Data'!$V:$V, 'Fund Data'!$C:$C = $C1609, 'Fund Data'!$A:$A = $A1609, 'Fund Data'!$B:$B &lt;= $B1609)),0)"),0.0)</f>
        <v>0</v>
      </c>
      <c r="T1609" s="44"/>
      <c r="U1609" s="44"/>
      <c r="V1609" s="44">
        <f t="shared" si="3"/>
        <v>0</v>
      </c>
      <c r="W1609" s="52">
        <f>IFERROR(__xludf.DUMMYFUNCTION("iFERROR((FILTER('Fund Data'!$Y:$Y, 'Fund Data'!$C:$C = $C1609, 'Fund Data'!$A:$A = $A1609 - 1, 'Fund Data'!$B:$B = 12) + FILTER('Fund Data'!$AA:$AA, 'Fund Data'!$C:$C = $C1609, 'Fund Data'!$A:$A = $A1609 - 1, 'Fund Data'!$B:$B = 12)) * (1 + AVERAGE(FILTER"&amp;"('Inflation Data'!$C:$C,'Inflation Data'!$A:$A = ($A1609 - 2)))) * 'Parameters and Distribution Sum'!$A$4,0)"),0.0)</f>
        <v>0</v>
      </c>
      <c r="X1609" s="52">
        <f>IFERROR(__xludf.DUMMYFUNCTION("IFERROR((IFERROR(FILTER('Fund Data'!$P:$P,'Fund Data'!$C:$C = $C1609,'Fund Data'!$A:$A = ($A1609 - 2), 'Fund Data'!$B:$B = 12),0) - SUM(FILTER('Fund Data'!$V:$V, 'Fund Data'!$C:$C = $C1609, 'Fund Data'!$A:$A = ($A1609 - 2), 'Fund Data'!$B:$B &gt; 3)))  * 'Pa"&amp;"rameters and Distribution Sum'!$B$4 * (1 - 'Parameters and Distribution Sum'!$A$4),0)"),0.0)</f>
        <v>0</v>
      </c>
      <c r="Y1609" s="52">
        <f t="shared" si="140"/>
        <v>0</v>
      </c>
      <c r="Z1609" s="52">
        <f>IFERROR(__xludf.DUMMYFUNCTION("((IFERROR((SUM(FILTER('Fund Data'!$V:$V, 'Fund Data'!$C:$C = $C1609, 'Fund Data'!$A:$A = $A1609 - 1, 'Fund Data'!$B:$B &gt;= 4, 'Fund Data'!$B:$B &lt;= ($B1609 + 5))) / 12) * ($B1609 - 3) * 'Parameters and Distribution Sum'!$B$4, 0) + IF($B1609 &gt;= 9, IFERROR(SU"&amp;"M(FILTER('Fund Data'!$V:$V, 'Fund Data'!$C:$C = $C1609, 'Fund Data'!$A:$A = $A1609, 'Fund Data'!$B:$B &lt;= 3)) * 'Parameters and Distribution Sum'!$B$4, 0),0)))"),0.0)</f>
        <v>0</v>
      </c>
      <c r="AA1609" s="44">
        <f>IFERROR(__xludf.DUMMYFUNCTION("IFERROR(((IFERROR(SUM(FILTER('Fund Data'!$V:$V, 'Fund Data'!$C:$C = $C1609, 'Fund Data'!$A:$A = $A1609 - 2, 'Fund Data'!$B:$B &gt;= 4)) * 'Parameters and Distribution Sum'!$B$4,0) + IFERROR(SUM(FILTER('Fund Data'!$V:$V, 'Fund Data'!$C:$C = $C1609, 'Fund Data"&amp;"'!$A:$A = $A1609 - 1, 'Fund Data'!$B:$B &lt;= 3)) * 'Parameters and Distribution Sum'!$B$4,0))),0)"),0.0)</f>
        <v>0</v>
      </c>
      <c r="AB1609" s="44">
        <f t="shared" si="141"/>
        <v>0</v>
      </c>
      <c r="AC1609" s="44">
        <f t="shared" si="142"/>
        <v>0</v>
      </c>
      <c r="AD1609" s="44">
        <f t="shared" si="7"/>
        <v>0</v>
      </c>
      <c r="AE1609" s="44"/>
    </row>
    <row r="1610">
      <c r="A1610" s="178"/>
      <c r="B1610" s="179"/>
      <c r="C1610" s="147"/>
      <c r="D1610" s="44"/>
      <c r="E1610" s="44"/>
      <c r="F1610" s="44"/>
      <c r="G1610" s="44"/>
      <c r="H1610" s="44"/>
      <c r="I1610" s="44"/>
      <c r="J1610" s="44"/>
      <c r="K1610" s="44"/>
      <c r="L1610" s="44"/>
      <c r="M1610" s="44"/>
      <c r="N1610" s="44"/>
      <c r="O1610" s="44"/>
      <c r="P1610" s="52">
        <f t="shared" si="23"/>
        <v>0</v>
      </c>
      <c r="Q1610" s="124">
        <f t="shared" si="2"/>
        <v>0</v>
      </c>
      <c r="R1610" s="52">
        <f t="array" ref="R1610">IFERROR(INDEX('Fund YTD Target Values'!$1:$1000, MATCH($C1610,'Fund YTD Target Values'!$A:$A,0), MATCH($A1610,'Fund YTD Target Values'!$1:$1,0)),0)</f>
        <v>0</v>
      </c>
      <c r="S1610" s="52">
        <f>IFERROR(__xludf.DUMMYFUNCTION("IFERROR(sum(FILTER('Fund Data'!$V:$V, 'Fund Data'!$C:$C = $C1610, 'Fund Data'!$A:$A &lt; $A1610)),0) + IFERROR(sum(FILTER('Fund Data'!$V:$V, 'Fund Data'!$C:$C = $C1610, 'Fund Data'!$A:$A = $A1610, 'Fund Data'!$B:$B &lt;= $B1610)),0)"),0.0)</f>
        <v>0</v>
      </c>
      <c r="T1610" s="44"/>
      <c r="U1610" s="44"/>
      <c r="V1610" s="44">
        <f t="shared" si="3"/>
        <v>0</v>
      </c>
      <c r="W1610" s="52">
        <f>IFERROR(__xludf.DUMMYFUNCTION("iFERROR((FILTER('Fund Data'!$Y:$Y, 'Fund Data'!$C:$C = $C1610, 'Fund Data'!$A:$A = $A1610 - 1, 'Fund Data'!$B:$B = 12) + FILTER('Fund Data'!$AA:$AA, 'Fund Data'!$C:$C = $C1610, 'Fund Data'!$A:$A = $A1610 - 1, 'Fund Data'!$B:$B = 12)) * (1 + AVERAGE(FILTER"&amp;"('Inflation Data'!$C:$C,'Inflation Data'!$A:$A = ($A1610 - 2)))) * 'Parameters and Distribution Sum'!$A$4,0)"),0.0)</f>
        <v>0</v>
      </c>
      <c r="X1610" s="52">
        <f>IFERROR(__xludf.DUMMYFUNCTION("IFERROR((IFERROR(FILTER('Fund Data'!$P:$P,'Fund Data'!$C:$C = $C1610,'Fund Data'!$A:$A = ($A1610 - 2), 'Fund Data'!$B:$B = 12),0) - SUM(FILTER('Fund Data'!$V:$V, 'Fund Data'!$C:$C = $C1610, 'Fund Data'!$A:$A = ($A1610 - 2), 'Fund Data'!$B:$B &gt; 3)))  * 'Pa"&amp;"rameters and Distribution Sum'!$B$4 * (1 - 'Parameters and Distribution Sum'!$A$4),0)"),0.0)</f>
        <v>0</v>
      </c>
      <c r="Y1610" s="52">
        <f t="shared" si="140"/>
        <v>0</v>
      </c>
      <c r="Z1610" s="52">
        <f>IFERROR(__xludf.DUMMYFUNCTION("((IFERROR((SUM(FILTER('Fund Data'!$V:$V, 'Fund Data'!$C:$C = $C1610, 'Fund Data'!$A:$A = $A1610 - 1, 'Fund Data'!$B:$B &gt;= 4, 'Fund Data'!$B:$B &lt;= ($B1610 + 5))) / 12) * ($B1610 - 3) * 'Parameters and Distribution Sum'!$B$4, 0) + IF($B1610 &gt;= 9, IFERROR(SU"&amp;"M(FILTER('Fund Data'!$V:$V, 'Fund Data'!$C:$C = $C1610, 'Fund Data'!$A:$A = $A1610, 'Fund Data'!$B:$B &lt;= 3)) * 'Parameters and Distribution Sum'!$B$4, 0),0)))"),0.0)</f>
        <v>0</v>
      </c>
      <c r="AA1610" s="44">
        <f>IFERROR(__xludf.DUMMYFUNCTION("IFERROR(((IFERROR(SUM(FILTER('Fund Data'!$V:$V, 'Fund Data'!$C:$C = $C1610, 'Fund Data'!$A:$A = $A1610 - 2, 'Fund Data'!$B:$B &gt;= 4)) * 'Parameters and Distribution Sum'!$B$4,0) + IFERROR(SUM(FILTER('Fund Data'!$V:$V, 'Fund Data'!$C:$C = $C1610, 'Fund Data"&amp;"'!$A:$A = $A1610 - 1, 'Fund Data'!$B:$B &lt;= 3)) * 'Parameters and Distribution Sum'!$B$4,0))),0)"),0.0)</f>
        <v>0</v>
      </c>
      <c r="AB1610" s="44">
        <f t="shared" si="141"/>
        <v>0</v>
      </c>
      <c r="AC1610" s="44">
        <f t="shared" si="142"/>
        <v>0</v>
      </c>
      <c r="AD1610" s="44">
        <f t="shared" si="7"/>
        <v>0</v>
      </c>
      <c r="AE1610" s="44"/>
    </row>
    <row r="1611">
      <c r="A1611" s="178"/>
      <c r="B1611" s="179"/>
      <c r="C1611" s="147"/>
      <c r="D1611" s="44"/>
      <c r="E1611" s="44"/>
      <c r="F1611" s="44"/>
      <c r="G1611" s="44"/>
      <c r="H1611" s="44"/>
      <c r="I1611" s="44"/>
      <c r="J1611" s="44"/>
      <c r="K1611" s="44"/>
      <c r="L1611" s="44"/>
      <c r="M1611" s="44"/>
      <c r="N1611" s="44"/>
      <c r="O1611" s="44"/>
      <c r="P1611" s="52">
        <f t="shared" si="23"/>
        <v>0</v>
      </c>
      <c r="Q1611" s="124">
        <f t="shared" si="2"/>
        <v>0</v>
      </c>
      <c r="R1611" s="52">
        <f t="array" ref="R1611">IFERROR(INDEX('Fund YTD Target Values'!$1:$1000, MATCH($C1611,'Fund YTD Target Values'!$A:$A,0), MATCH($A1611,'Fund YTD Target Values'!$1:$1,0)),0)</f>
        <v>0</v>
      </c>
      <c r="S1611" s="52">
        <f>IFERROR(__xludf.DUMMYFUNCTION("IFERROR(sum(FILTER('Fund Data'!$V:$V, 'Fund Data'!$C:$C = $C1611, 'Fund Data'!$A:$A &lt; $A1611)),0) + IFERROR(sum(FILTER('Fund Data'!$V:$V, 'Fund Data'!$C:$C = $C1611, 'Fund Data'!$A:$A = $A1611, 'Fund Data'!$B:$B &lt;= $B1611)),0)"),0.0)</f>
        <v>0</v>
      </c>
      <c r="T1611" s="44"/>
      <c r="U1611" s="44"/>
      <c r="V1611" s="44">
        <f t="shared" si="3"/>
        <v>0</v>
      </c>
      <c r="W1611" s="52">
        <f>IFERROR(__xludf.DUMMYFUNCTION("iFERROR((FILTER('Fund Data'!$Y:$Y, 'Fund Data'!$C:$C = $C1611, 'Fund Data'!$A:$A = $A1611 - 1, 'Fund Data'!$B:$B = 12) + FILTER('Fund Data'!$AA:$AA, 'Fund Data'!$C:$C = $C1611, 'Fund Data'!$A:$A = $A1611 - 1, 'Fund Data'!$B:$B = 12)) * (1 + AVERAGE(FILTER"&amp;"('Inflation Data'!$C:$C,'Inflation Data'!$A:$A = ($A1611 - 2)))) * 'Parameters and Distribution Sum'!$A$4,0)"),0.0)</f>
        <v>0</v>
      </c>
      <c r="X1611" s="52">
        <f>IFERROR(__xludf.DUMMYFUNCTION("IFERROR((IFERROR(FILTER('Fund Data'!$P:$P,'Fund Data'!$C:$C = $C1611,'Fund Data'!$A:$A = ($A1611 - 2), 'Fund Data'!$B:$B = 12),0) - SUM(FILTER('Fund Data'!$V:$V, 'Fund Data'!$C:$C = $C1611, 'Fund Data'!$A:$A = ($A1611 - 2), 'Fund Data'!$B:$B &gt; 3)))  * 'Pa"&amp;"rameters and Distribution Sum'!$B$4 * (1 - 'Parameters and Distribution Sum'!$A$4),0)"),0.0)</f>
        <v>0</v>
      </c>
      <c r="Y1611" s="52">
        <f t="shared" si="140"/>
        <v>0</v>
      </c>
      <c r="Z1611" s="52">
        <f>IFERROR(__xludf.DUMMYFUNCTION("((IFERROR((SUM(FILTER('Fund Data'!$V:$V, 'Fund Data'!$C:$C = $C1611, 'Fund Data'!$A:$A = $A1611 - 1, 'Fund Data'!$B:$B &gt;= 4, 'Fund Data'!$B:$B &lt;= ($B1611 + 5))) / 12) * ($B1611 - 3) * 'Parameters and Distribution Sum'!$B$4, 0) + IF($B1611 &gt;= 9, IFERROR(SU"&amp;"M(FILTER('Fund Data'!$V:$V, 'Fund Data'!$C:$C = $C1611, 'Fund Data'!$A:$A = $A1611, 'Fund Data'!$B:$B &lt;= 3)) * 'Parameters and Distribution Sum'!$B$4, 0),0)))"),0.0)</f>
        <v>0</v>
      </c>
      <c r="AA1611" s="44">
        <f>IFERROR(__xludf.DUMMYFUNCTION("IFERROR(((IFERROR(SUM(FILTER('Fund Data'!$V:$V, 'Fund Data'!$C:$C = $C1611, 'Fund Data'!$A:$A = $A1611 - 2, 'Fund Data'!$B:$B &gt;= 4)) * 'Parameters and Distribution Sum'!$B$4,0) + IFERROR(SUM(FILTER('Fund Data'!$V:$V, 'Fund Data'!$C:$C = $C1611, 'Fund Data"&amp;"'!$A:$A = $A1611 - 1, 'Fund Data'!$B:$B &lt;= 3)) * 'Parameters and Distribution Sum'!$B$4,0))),0)"),0.0)</f>
        <v>0</v>
      </c>
      <c r="AB1611" s="44">
        <f t="shared" si="141"/>
        <v>0</v>
      </c>
      <c r="AC1611" s="44">
        <f t="shared" si="142"/>
        <v>0</v>
      </c>
      <c r="AD1611" s="44">
        <f t="shared" si="7"/>
        <v>0</v>
      </c>
      <c r="AE1611" s="44"/>
    </row>
    <row r="1612">
      <c r="A1612" s="178"/>
      <c r="B1612" s="179"/>
      <c r="C1612" s="147"/>
      <c r="D1612" s="44"/>
      <c r="E1612" s="44"/>
      <c r="F1612" s="44"/>
      <c r="G1612" s="44"/>
      <c r="H1612" s="44"/>
      <c r="I1612" s="44"/>
      <c r="J1612" s="44"/>
      <c r="K1612" s="44"/>
      <c r="L1612" s="44"/>
      <c r="M1612" s="44"/>
      <c r="N1612" s="44"/>
      <c r="O1612" s="44"/>
      <c r="P1612" s="52">
        <f t="shared" si="23"/>
        <v>0</v>
      </c>
      <c r="Q1612" s="124">
        <f t="shared" si="2"/>
        <v>0</v>
      </c>
      <c r="R1612" s="52">
        <f t="array" ref="R1612">IFERROR(INDEX('Fund YTD Target Values'!$1:$1000, MATCH($C1612,'Fund YTD Target Values'!$A:$A,0), MATCH($A1612,'Fund YTD Target Values'!$1:$1,0)),0)</f>
        <v>0</v>
      </c>
      <c r="S1612" s="52">
        <f>IFERROR(__xludf.DUMMYFUNCTION("IFERROR(sum(FILTER('Fund Data'!$V:$V, 'Fund Data'!$C:$C = $C1612, 'Fund Data'!$A:$A &lt; $A1612)),0) + IFERROR(sum(FILTER('Fund Data'!$V:$V, 'Fund Data'!$C:$C = $C1612, 'Fund Data'!$A:$A = $A1612, 'Fund Data'!$B:$B &lt;= $B1612)),0)"),0.0)</f>
        <v>0</v>
      </c>
      <c r="T1612" s="44"/>
      <c r="U1612" s="44"/>
      <c r="V1612" s="44">
        <f t="shared" si="3"/>
        <v>0</v>
      </c>
      <c r="W1612" s="52">
        <f>IFERROR(__xludf.DUMMYFUNCTION("iFERROR((FILTER('Fund Data'!$Y:$Y, 'Fund Data'!$C:$C = $C1612, 'Fund Data'!$A:$A = $A1612 - 1, 'Fund Data'!$B:$B = 12) + FILTER('Fund Data'!$AA:$AA, 'Fund Data'!$C:$C = $C1612, 'Fund Data'!$A:$A = $A1612 - 1, 'Fund Data'!$B:$B = 12)) * (1 + AVERAGE(FILTER"&amp;"('Inflation Data'!$C:$C,'Inflation Data'!$A:$A = ($A1612 - 2)))) * 'Parameters and Distribution Sum'!$A$4,0)"),0.0)</f>
        <v>0</v>
      </c>
      <c r="X1612" s="52">
        <f>IFERROR(__xludf.DUMMYFUNCTION("IFERROR((IFERROR(FILTER('Fund Data'!$P:$P,'Fund Data'!$C:$C = $C1612,'Fund Data'!$A:$A = ($A1612 - 2), 'Fund Data'!$B:$B = 12),0) - SUM(FILTER('Fund Data'!$V:$V, 'Fund Data'!$C:$C = $C1612, 'Fund Data'!$A:$A = ($A1612 - 2), 'Fund Data'!$B:$B &gt; 3)))  * 'Pa"&amp;"rameters and Distribution Sum'!$B$4 * (1 - 'Parameters and Distribution Sum'!$A$4),0)"),0.0)</f>
        <v>0</v>
      </c>
      <c r="Y1612" s="52">
        <f t="shared" si="140"/>
        <v>0</v>
      </c>
      <c r="Z1612" s="52">
        <f>IFERROR(__xludf.DUMMYFUNCTION("((IFERROR((SUM(FILTER('Fund Data'!$V:$V, 'Fund Data'!$C:$C = $C1612, 'Fund Data'!$A:$A = $A1612 - 1, 'Fund Data'!$B:$B &gt;= 4, 'Fund Data'!$B:$B &lt;= ($B1612 + 5))) / 12) * ($B1612 - 3) * 'Parameters and Distribution Sum'!$B$4, 0) + IF($B1612 &gt;= 9, IFERROR(SU"&amp;"M(FILTER('Fund Data'!$V:$V, 'Fund Data'!$C:$C = $C1612, 'Fund Data'!$A:$A = $A1612, 'Fund Data'!$B:$B &lt;= 3)) * 'Parameters and Distribution Sum'!$B$4, 0),0)))"),0.0)</f>
        <v>0</v>
      </c>
      <c r="AA1612" s="44">
        <f>IFERROR(__xludf.DUMMYFUNCTION("IFERROR(((IFERROR(SUM(FILTER('Fund Data'!$V:$V, 'Fund Data'!$C:$C = $C1612, 'Fund Data'!$A:$A = $A1612 - 2, 'Fund Data'!$B:$B &gt;= 4)) * 'Parameters and Distribution Sum'!$B$4,0) + IFERROR(SUM(FILTER('Fund Data'!$V:$V, 'Fund Data'!$C:$C = $C1612, 'Fund Data"&amp;"'!$A:$A = $A1612 - 1, 'Fund Data'!$B:$B &lt;= 3)) * 'Parameters and Distribution Sum'!$B$4,0))),0)"),0.0)</f>
        <v>0</v>
      </c>
      <c r="AB1612" s="44">
        <f t="shared" si="141"/>
        <v>0</v>
      </c>
      <c r="AC1612" s="44">
        <f t="shared" si="142"/>
        <v>0</v>
      </c>
      <c r="AD1612" s="44">
        <f t="shared" si="7"/>
        <v>0</v>
      </c>
      <c r="AE1612" s="44"/>
    </row>
    <row r="1613">
      <c r="A1613" s="178"/>
      <c r="B1613" s="179"/>
      <c r="C1613" s="147"/>
      <c r="D1613" s="44"/>
      <c r="E1613" s="44"/>
      <c r="F1613" s="44"/>
      <c r="G1613" s="44"/>
      <c r="H1613" s="44"/>
      <c r="I1613" s="44"/>
      <c r="J1613" s="44"/>
      <c r="K1613" s="44"/>
      <c r="L1613" s="44"/>
      <c r="M1613" s="44"/>
      <c r="N1613" s="44"/>
      <c r="O1613" s="44"/>
      <c r="P1613" s="52">
        <f t="shared" si="23"/>
        <v>0</v>
      </c>
      <c r="Q1613" s="124">
        <f t="shared" si="2"/>
        <v>0</v>
      </c>
      <c r="R1613" s="52">
        <f t="array" ref="R1613">IFERROR(INDEX('Fund YTD Target Values'!$1:$1000, MATCH($C1613,'Fund YTD Target Values'!$A:$A,0), MATCH($A1613,'Fund YTD Target Values'!$1:$1,0)),0)</f>
        <v>0</v>
      </c>
      <c r="S1613" s="52">
        <f>IFERROR(__xludf.DUMMYFUNCTION("IFERROR(sum(FILTER('Fund Data'!$V:$V, 'Fund Data'!$C:$C = $C1613, 'Fund Data'!$A:$A &lt; $A1613)),0) + IFERROR(sum(FILTER('Fund Data'!$V:$V, 'Fund Data'!$C:$C = $C1613, 'Fund Data'!$A:$A = $A1613, 'Fund Data'!$B:$B &lt;= $B1613)),0)"),0.0)</f>
        <v>0</v>
      </c>
      <c r="T1613" s="44"/>
      <c r="U1613" s="44"/>
      <c r="V1613" s="44">
        <f t="shared" si="3"/>
        <v>0</v>
      </c>
      <c r="W1613" s="52">
        <f>IFERROR(__xludf.DUMMYFUNCTION("iFERROR((FILTER('Fund Data'!$Y:$Y, 'Fund Data'!$C:$C = $C1613, 'Fund Data'!$A:$A = $A1613 - 1, 'Fund Data'!$B:$B = 12) + FILTER('Fund Data'!$AA:$AA, 'Fund Data'!$C:$C = $C1613, 'Fund Data'!$A:$A = $A1613 - 1, 'Fund Data'!$B:$B = 12)) * (1 + AVERAGE(FILTER"&amp;"('Inflation Data'!$C:$C,'Inflation Data'!$A:$A = ($A1613 - 2)))) * 'Parameters and Distribution Sum'!$A$4,0)"),0.0)</f>
        <v>0</v>
      </c>
      <c r="X1613" s="52">
        <f>IFERROR(__xludf.DUMMYFUNCTION("IFERROR((IFERROR(FILTER('Fund Data'!$P:$P,'Fund Data'!$C:$C = $C1613,'Fund Data'!$A:$A = ($A1613 - 2), 'Fund Data'!$B:$B = 12),0) - SUM(FILTER('Fund Data'!$V:$V, 'Fund Data'!$C:$C = $C1613, 'Fund Data'!$A:$A = ($A1613 - 2), 'Fund Data'!$B:$B &gt; 3)))  * 'Pa"&amp;"rameters and Distribution Sum'!$B$4 * (1 - 'Parameters and Distribution Sum'!$A$4),0)"),0.0)</f>
        <v>0</v>
      </c>
      <c r="Y1613" s="52">
        <f t="shared" si="140"/>
        <v>0</v>
      </c>
      <c r="Z1613" s="52">
        <f>IFERROR(__xludf.DUMMYFUNCTION("((IFERROR((SUM(FILTER('Fund Data'!$V:$V, 'Fund Data'!$C:$C = $C1613, 'Fund Data'!$A:$A = $A1613 - 1, 'Fund Data'!$B:$B &gt;= 4, 'Fund Data'!$B:$B &lt;= ($B1613 + 5))) / 12) * ($B1613 - 3) * 'Parameters and Distribution Sum'!$B$4, 0) + IF($B1613 &gt;= 9, IFERROR(SU"&amp;"M(FILTER('Fund Data'!$V:$V, 'Fund Data'!$C:$C = $C1613, 'Fund Data'!$A:$A = $A1613, 'Fund Data'!$B:$B &lt;= 3)) * 'Parameters and Distribution Sum'!$B$4, 0),0)))"),0.0)</f>
        <v>0</v>
      </c>
      <c r="AA1613" s="44">
        <f>IFERROR(__xludf.DUMMYFUNCTION("IFERROR(((IFERROR(SUM(FILTER('Fund Data'!$V:$V, 'Fund Data'!$C:$C = $C1613, 'Fund Data'!$A:$A = $A1613 - 2, 'Fund Data'!$B:$B &gt;= 4)) * 'Parameters and Distribution Sum'!$B$4,0) + IFERROR(SUM(FILTER('Fund Data'!$V:$V, 'Fund Data'!$C:$C = $C1613, 'Fund Data"&amp;"'!$A:$A = $A1613 - 1, 'Fund Data'!$B:$B &lt;= 3)) * 'Parameters and Distribution Sum'!$B$4,0))),0)"),0.0)</f>
        <v>0</v>
      </c>
      <c r="AB1613" s="44">
        <f t="shared" si="141"/>
        <v>0</v>
      </c>
      <c r="AC1613" s="44">
        <f t="shared" si="142"/>
        <v>0</v>
      </c>
      <c r="AD1613" s="44">
        <f t="shared" si="7"/>
        <v>0</v>
      </c>
      <c r="AE1613" s="44"/>
    </row>
    <row r="1614">
      <c r="A1614" s="178"/>
      <c r="B1614" s="179"/>
      <c r="C1614" s="147"/>
      <c r="D1614" s="44"/>
      <c r="E1614" s="44"/>
      <c r="F1614" s="44"/>
      <c r="G1614" s="44"/>
      <c r="H1614" s="44"/>
      <c r="I1614" s="44"/>
      <c r="J1614" s="44"/>
      <c r="K1614" s="44"/>
      <c r="L1614" s="44"/>
      <c r="M1614" s="44"/>
      <c r="N1614" s="44"/>
      <c r="O1614" s="44"/>
      <c r="P1614" s="52">
        <f t="shared" si="23"/>
        <v>0</v>
      </c>
      <c r="Q1614" s="124">
        <f t="shared" si="2"/>
        <v>0</v>
      </c>
      <c r="R1614" s="52">
        <f t="array" ref="R1614">IFERROR(INDEX('Fund YTD Target Values'!$1:$1000, MATCH($C1614,'Fund YTD Target Values'!$A:$A,0), MATCH($A1614,'Fund YTD Target Values'!$1:$1,0)),0)</f>
        <v>0</v>
      </c>
      <c r="S1614" s="52">
        <f>IFERROR(__xludf.DUMMYFUNCTION("IFERROR(sum(FILTER('Fund Data'!$V:$V, 'Fund Data'!$C:$C = $C1614, 'Fund Data'!$A:$A &lt; $A1614)),0) + IFERROR(sum(FILTER('Fund Data'!$V:$V, 'Fund Data'!$C:$C = $C1614, 'Fund Data'!$A:$A = $A1614, 'Fund Data'!$B:$B &lt;= $B1614)),0)"),0.0)</f>
        <v>0</v>
      </c>
      <c r="T1614" s="44"/>
      <c r="U1614" s="44"/>
      <c r="V1614" s="44">
        <f t="shared" si="3"/>
        <v>0</v>
      </c>
      <c r="W1614" s="52">
        <f>IFERROR(__xludf.DUMMYFUNCTION("iFERROR((FILTER('Fund Data'!$Y:$Y, 'Fund Data'!$C:$C = $C1614, 'Fund Data'!$A:$A = $A1614 - 1, 'Fund Data'!$B:$B = 12) + FILTER('Fund Data'!$AA:$AA, 'Fund Data'!$C:$C = $C1614, 'Fund Data'!$A:$A = $A1614 - 1, 'Fund Data'!$B:$B = 12)) * (1 + AVERAGE(FILTER"&amp;"('Inflation Data'!$C:$C,'Inflation Data'!$A:$A = ($A1614 - 2)))) * 'Parameters and Distribution Sum'!$A$4,0)"),0.0)</f>
        <v>0</v>
      </c>
      <c r="X1614" s="52">
        <f>IFERROR(__xludf.DUMMYFUNCTION("IFERROR((IFERROR(FILTER('Fund Data'!$P:$P,'Fund Data'!$C:$C = $C1614,'Fund Data'!$A:$A = ($A1614 - 2), 'Fund Data'!$B:$B = 12),0) - SUM(FILTER('Fund Data'!$V:$V, 'Fund Data'!$C:$C = $C1614, 'Fund Data'!$A:$A = ($A1614 - 2), 'Fund Data'!$B:$B &gt; 3)))  * 'Pa"&amp;"rameters and Distribution Sum'!$B$4 * (1 - 'Parameters and Distribution Sum'!$A$4),0)"),0.0)</f>
        <v>0</v>
      </c>
      <c r="Y1614" s="52">
        <f t="shared" si="140"/>
        <v>0</v>
      </c>
      <c r="Z1614" s="52">
        <f>IFERROR(__xludf.DUMMYFUNCTION("((IFERROR((SUM(FILTER('Fund Data'!$V:$V, 'Fund Data'!$C:$C = $C1614, 'Fund Data'!$A:$A = $A1614 - 1, 'Fund Data'!$B:$B &gt;= 4, 'Fund Data'!$B:$B &lt;= ($B1614 + 5))) / 12) * ($B1614 - 3) * 'Parameters and Distribution Sum'!$B$4, 0) + IF($B1614 &gt;= 9, IFERROR(SU"&amp;"M(FILTER('Fund Data'!$V:$V, 'Fund Data'!$C:$C = $C1614, 'Fund Data'!$A:$A = $A1614, 'Fund Data'!$B:$B &lt;= 3)) * 'Parameters and Distribution Sum'!$B$4, 0),0)))"),0.0)</f>
        <v>0</v>
      </c>
      <c r="AA1614" s="44">
        <f>IFERROR(__xludf.DUMMYFUNCTION("IFERROR(((IFERROR(SUM(FILTER('Fund Data'!$V:$V, 'Fund Data'!$C:$C = $C1614, 'Fund Data'!$A:$A = $A1614 - 2, 'Fund Data'!$B:$B &gt;= 4)) * 'Parameters and Distribution Sum'!$B$4,0) + IFERROR(SUM(FILTER('Fund Data'!$V:$V, 'Fund Data'!$C:$C = $C1614, 'Fund Data"&amp;"'!$A:$A = $A1614 - 1, 'Fund Data'!$B:$B &lt;= 3)) * 'Parameters and Distribution Sum'!$B$4,0))),0)"),0.0)</f>
        <v>0</v>
      </c>
      <c r="AB1614" s="44">
        <f t="shared" si="141"/>
        <v>0</v>
      </c>
      <c r="AC1614" s="44">
        <f t="shared" si="142"/>
        <v>0</v>
      </c>
      <c r="AD1614" s="44">
        <f t="shared" si="7"/>
        <v>0</v>
      </c>
      <c r="AE1614" s="44"/>
    </row>
    <row r="1615">
      <c r="A1615" s="178"/>
      <c r="B1615" s="179"/>
      <c r="C1615" s="147"/>
      <c r="D1615" s="44"/>
      <c r="E1615" s="44"/>
      <c r="F1615" s="44"/>
      <c r="G1615" s="44"/>
      <c r="H1615" s="44"/>
      <c r="I1615" s="44"/>
      <c r="J1615" s="44"/>
      <c r="K1615" s="44"/>
      <c r="L1615" s="44"/>
      <c r="M1615" s="44"/>
      <c r="N1615" s="44"/>
      <c r="O1615" s="44"/>
      <c r="P1615" s="52">
        <f t="shared" si="23"/>
        <v>0</v>
      </c>
      <c r="Q1615" s="124">
        <f t="shared" si="2"/>
        <v>0</v>
      </c>
      <c r="R1615" s="52">
        <f t="array" ref="R1615">IFERROR(INDEX('Fund YTD Target Values'!$1:$1000, MATCH($C1615,'Fund YTD Target Values'!$A:$A,0), MATCH($A1615,'Fund YTD Target Values'!$1:$1,0)),0)</f>
        <v>0</v>
      </c>
      <c r="S1615" s="52">
        <f>IFERROR(__xludf.DUMMYFUNCTION("IFERROR(sum(FILTER('Fund Data'!$V:$V, 'Fund Data'!$C:$C = $C1615, 'Fund Data'!$A:$A &lt; $A1615)),0) + IFERROR(sum(FILTER('Fund Data'!$V:$V, 'Fund Data'!$C:$C = $C1615, 'Fund Data'!$A:$A = $A1615, 'Fund Data'!$B:$B &lt;= $B1615)),0)"),0.0)</f>
        <v>0</v>
      </c>
      <c r="T1615" s="44"/>
      <c r="U1615" s="44"/>
      <c r="V1615" s="44">
        <f t="shared" si="3"/>
        <v>0</v>
      </c>
      <c r="W1615" s="52">
        <f>IFERROR(__xludf.DUMMYFUNCTION("iFERROR((FILTER('Fund Data'!$Y:$Y, 'Fund Data'!$C:$C = $C1615, 'Fund Data'!$A:$A = $A1615 - 1, 'Fund Data'!$B:$B = 12) + FILTER('Fund Data'!$AA:$AA, 'Fund Data'!$C:$C = $C1615, 'Fund Data'!$A:$A = $A1615 - 1, 'Fund Data'!$B:$B = 12)) * (1 + AVERAGE(FILTER"&amp;"('Inflation Data'!$C:$C,'Inflation Data'!$A:$A = ($A1615 - 2)))) * 'Parameters and Distribution Sum'!$A$4,0)"),0.0)</f>
        <v>0</v>
      </c>
      <c r="X1615" s="52">
        <f>IFERROR(__xludf.DUMMYFUNCTION("IFERROR((IFERROR(FILTER('Fund Data'!$P:$P,'Fund Data'!$C:$C = $C1615,'Fund Data'!$A:$A = ($A1615 - 2), 'Fund Data'!$B:$B = 12),0) - SUM(FILTER('Fund Data'!$V:$V, 'Fund Data'!$C:$C = $C1615, 'Fund Data'!$A:$A = ($A1615 - 2), 'Fund Data'!$B:$B &gt; 3)))  * 'Pa"&amp;"rameters and Distribution Sum'!$B$4 * (1 - 'Parameters and Distribution Sum'!$A$4),0)"),0.0)</f>
        <v>0</v>
      </c>
      <c r="Y1615" s="52">
        <f t="shared" si="140"/>
        <v>0</v>
      </c>
      <c r="Z1615" s="52">
        <f>IFERROR(__xludf.DUMMYFUNCTION("((IFERROR((SUM(FILTER('Fund Data'!$V:$V, 'Fund Data'!$C:$C = $C1615, 'Fund Data'!$A:$A = $A1615 - 1, 'Fund Data'!$B:$B &gt;= 4, 'Fund Data'!$B:$B &lt;= ($B1615 + 5))) / 12) * ($B1615 - 3) * 'Parameters and Distribution Sum'!$B$4, 0) + IF($B1615 &gt;= 9, IFERROR(SU"&amp;"M(FILTER('Fund Data'!$V:$V, 'Fund Data'!$C:$C = $C1615, 'Fund Data'!$A:$A = $A1615, 'Fund Data'!$B:$B &lt;= 3)) * 'Parameters and Distribution Sum'!$B$4, 0),0)))"),0.0)</f>
        <v>0</v>
      </c>
      <c r="AA1615" s="44">
        <f>IFERROR(__xludf.DUMMYFUNCTION("IFERROR(((IFERROR(SUM(FILTER('Fund Data'!$V:$V, 'Fund Data'!$C:$C = $C1615, 'Fund Data'!$A:$A = $A1615 - 2, 'Fund Data'!$B:$B &gt;= 4)) * 'Parameters and Distribution Sum'!$B$4,0) + IFERROR(SUM(FILTER('Fund Data'!$V:$V, 'Fund Data'!$C:$C = $C1615, 'Fund Data"&amp;"'!$A:$A = $A1615 - 1, 'Fund Data'!$B:$B &lt;= 3)) * 'Parameters and Distribution Sum'!$B$4,0))),0)"),0.0)</f>
        <v>0</v>
      </c>
      <c r="AB1615" s="44">
        <f t="shared" si="141"/>
        <v>0</v>
      </c>
      <c r="AC1615" s="44">
        <f t="shared" si="142"/>
        <v>0</v>
      </c>
      <c r="AD1615" s="44">
        <f t="shared" si="7"/>
        <v>0</v>
      </c>
      <c r="AE1615" s="44"/>
    </row>
    <row r="1616">
      <c r="A1616" s="178"/>
      <c r="B1616" s="179"/>
      <c r="C1616" s="147"/>
      <c r="D1616" s="44"/>
      <c r="E1616" s="44"/>
      <c r="F1616" s="44"/>
      <c r="G1616" s="44"/>
      <c r="H1616" s="44"/>
      <c r="I1616" s="44"/>
      <c r="J1616" s="44"/>
      <c r="K1616" s="44"/>
      <c r="L1616" s="44"/>
      <c r="M1616" s="44"/>
      <c r="N1616" s="44"/>
      <c r="O1616" s="44"/>
      <c r="P1616" s="52">
        <f t="shared" si="23"/>
        <v>0</v>
      </c>
      <c r="Q1616" s="124">
        <f t="shared" si="2"/>
        <v>0</v>
      </c>
      <c r="R1616" s="52">
        <f t="array" ref="R1616">IFERROR(INDEX('Fund YTD Target Values'!$1:$1000, MATCH($C1616,'Fund YTD Target Values'!$A:$A,0), MATCH($A1616,'Fund YTD Target Values'!$1:$1,0)),0)</f>
        <v>0</v>
      </c>
      <c r="S1616" s="52">
        <f>IFERROR(__xludf.DUMMYFUNCTION("IFERROR(sum(FILTER('Fund Data'!$V:$V, 'Fund Data'!$C:$C = $C1616, 'Fund Data'!$A:$A &lt; $A1616)),0) + IFERROR(sum(FILTER('Fund Data'!$V:$V, 'Fund Data'!$C:$C = $C1616, 'Fund Data'!$A:$A = $A1616, 'Fund Data'!$B:$B &lt;= $B1616)),0)"),0.0)</f>
        <v>0</v>
      </c>
      <c r="T1616" s="44"/>
      <c r="U1616" s="44"/>
      <c r="V1616" s="44">
        <f t="shared" si="3"/>
        <v>0</v>
      </c>
      <c r="W1616" s="52">
        <f>IFERROR(__xludf.DUMMYFUNCTION("iFERROR((FILTER('Fund Data'!$Y:$Y, 'Fund Data'!$C:$C = $C1616, 'Fund Data'!$A:$A = $A1616 - 1, 'Fund Data'!$B:$B = 12) + FILTER('Fund Data'!$AA:$AA, 'Fund Data'!$C:$C = $C1616, 'Fund Data'!$A:$A = $A1616 - 1, 'Fund Data'!$B:$B = 12)) * (1 + AVERAGE(FILTER"&amp;"('Inflation Data'!$C:$C,'Inflation Data'!$A:$A = ($A1616 - 2)))) * 'Parameters and Distribution Sum'!$A$4,0)"),0.0)</f>
        <v>0</v>
      </c>
      <c r="X1616" s="52">
        <f>IFERROR(__xludf.DUMMYFUNCTION("IFERROR((IFERROR(FILTER('Fund Data'!$P:$P,'Fund Data'!$C:$C = $C1616,'Fund Data'!$A:$A = ($A1616 - 2), 'Fund Data'!$B:$B = 12),0) - SUM(FILTER('Fund Data'!$V:$V, 'Fund Data'!$C:$C = $C1616, 'Fund Data'!$A:$A = ($A1616 - 2), 'Fund Data'!$B:$B &gt; 3)))  * 'Pa"&amp;"rameters and Distribution Sum'!$B$4 * (1 - 'Parameters and Distribution Sum'!$A$4),0)"),0.0)</f>
        <v>0</v>
      </c>
      <c r="Y1616" s="52">
        <f t="shared" si="140"/>
        <v>0</v>
      </c>
      <c r="Z1616" s="52">
        <f>IFERROR(__xludf.DUMMYFUNCTION("((IFERROR((SUM(FILTER('Fund Data'!$V:$V, 'Fund Data'!$C:$C = $C1616, 'Fund Data'!$A:$A = $A1616 - 1, 'Fund Data'!$B:$B &gt;= 4, 'Fund Data'!$B:$B &lt;= ($B1616 + 5))) / 12) * ($B1616 - 3) * 'Parameters and Distribution Sum'!$B$4, 0) + IF($B1616 &gt;= 9, IFERROR(SU"&amp;"M(FILTER('Fund Data'!$V:$V, 'Fund Data'!$C:$C = $C1616, 'Fund Data'!$A:$A = $A1616, 'Fund Data'!$B:$B &lt;= 3)) * 'Parameters and Distribution Sum'!$B$4, 0),0)))"),0.0)</f>
        <v>0</v>
      </c>
      <c r="AA1616" s="44">
        <f>IFERROR(__xludf.DUMMYFUNCTION("IFERROR(((IFERROR(SUM(FILTER('Fund Data'!$V:$V, 'Fund Data'!$C:$C = $C1616, 'Fund Data'!$A:$A = $A1616 - 2, 'Fund Data'!$B:$B &gt;= 4)) * 'Parameters and Distribution Sum'!$B$4,0) + IFERROR(SUM(FILTER('Fund Data'!$V:$V, 'Fund Data'!$C:$C = $C1616, 'Fund Data"&amp;"'!$A:$A = $A1616 - 1, 'Fund Data'!$B:$B &lt;= 3)) * 'Parameters and Distribution Sum'!$B$4,0))),0)"),0.0)</f>
        <v>0</v>
      </c>
      <c r="AB1616" s="44">
        <f t="shared" si="141"/>
        <v>0</v>
      </c>
      <c r="AC1616" s="44">
        <f t="shared" si="142"/>
        <v>0</v>
      </c>
      <c r="AD1616" s="44">
        <f t="shared" si="7"/>
        <v>0</v>
      </c>
      <c r="AE1616" s="44"/>
    </row>
    <row r="1617">
      <c r="A1617" s="178"/>
      <c r="B1617" s="179"/>
      <c r="C1617" s="147"/>
      <c r="D1617" s="44"/>
      <c r="E1617" s="44"/>
      <c r="F1617" s="44"/>
      <c r="G1617" s="44"/>
      <c r="H1617" s="44"/>
      <c r="I1617" s="44"/>
      <c r="J1617" s="44"/>
      <c r="K1617" s="44"/>
      <c r="L1617" s="44"/>
      <c r="M1617" s="44"/>
      <c r="N1617" s="44"/>
      <c r="O1617" s="44"/>
      <c r="P1617" s="52">
        <f t="shared" si="23"/>
        <v>0</v>
      </c>
      <c r="Q1617" s="124">
        <f t="shared" si="2"/>
        <v>0</v>
      </c>
      <c r="R1617" s="52">
        <f t="array" ref="R1617">IFERROR(INDEX('Fund YTD Target Values'!$1:$1000, MATCH($C1617,'Fund YTD Target Values'!$A:$A,0), MATCH($A1617,'Fund YTD Target Values'!$1:$1,0)),0)</f>
        <v>0</v>
      </c>
      <c r="S1617" s="52">
        <f>IFERROR(__xludf.DUMMYFUNCTION("IFERROR(sum(FILTER('Fund Data'!$V:$V, 'Fund Data'!$C:$C = $C1617, 'Fund Data'!$A:$A &lt; $A1617)),0) + IFERROR(sum(FILTER('Fund Data'!$V:$V, 'Fund Data'!$C:$C = $C1617, 'Fund Data'!$A:$A = $A1617, 'Fund Data'!$B:$B &lt;= $B1617)),0)"),0.0)</f>
        <v>0</v>
      </c>
      <c r="T1617" s="44"/>
      <c r="U1617" s="44"/>
      <c r="V1617" s="44">
        <f t="shared" si="3"/>
        <v>0</v>
      </c>
      <c r="W1617" s="52">
        <f>IFERROR(__xludf.DUMMYFUNCTION("iFERROR((FILTER('Fund Data'!$Y:$Y, 'Fund Data'!$C:$C = $C1617, 'Fund Data'!$A:$A = $A1617 - 1, 'Fund Data'!$B:$B = 12) + FILTER('Fund Data'!$AA:$AA, 'Fund Data'!$C:$C = $C1617, 'Fund Data'!$A:$A = $A1617 - 1, 'Fund Data'!$B:$B = 12)) * (1 + AVERAGE(FILTER"&amp;"('Inflation Data'!$C:$C,'Inflation Data'!$A:$A = ($A1617 - 2)))) * 'Parameters and Distribution Sum'!$A$4,0)"),0.0)</f>
        <v>0</v>
      </c>
      <c r="X1617" s="52">
        <f>IFERROR(__xludf.DUMMYFUNCTION("IFERROR((IFERROR(FILTER('Fund Data'!$P:$P,'Fund Data'!$C:$C = $C1617,'Fund Data'!$A:$A = ($A1617 - 2), 'Fund Data'!$B:$B = 12),0) - SUM(FILTER('Fund Data'!$V:$V, 'Fund Data'!$C:$C = $C1617, 'Fund Data'!$A:$A = ($A1617 - 2), 'Fund Data'!$B:$B &gt; 3)))  * 'Pa"&amp;"rameters and Distribution Sum'!$B$4 * (1 - 'Parameters and Distribution Sum'!$A$4),0)"),0.0)</f>
        <v>0</v>
      </c>
      <c r="Y1617" s="52">
        <f t="shared" si="140"/>
        <v>0</v>
      </c>
      <c r="Z1617" s="52">
        <f>IFERROR(__xludf.DUMMYFUNCTION("((IFERROR((SUM(FILTER('Fund Data'!$V:$V, 'Fund Data'!$C:$C = $C1617, 'Fund Data'!$A:$A = $A1617 - 1, 'Fund Data'!$B:$B &gt;= 4, 'Fund Data'!$B:$B &lt;= ($B1617 + 5))) / 12) * ($B1617 - 3) * 'Parameters and Distribution Sum'!$B$4, 0) + IF($B1617 &gt;= 9, IFERROR(SU"&amp;"M(FILTER('Fund Data'!$V:$V, 'Fund Data'!$C:$C = $C1617, 'Fund Data'!$A:$A = $A1617, 'Fund Data'!$B:$B &lt;= 3)) * 'Parameters and Distribution Sum'!$B$4, 0),0)))"),0.0)</f>
        <v>0</v>
      </c>
      <c r="AA1617" s="44">
        <f>IFERROR(__xludf.DUMMYFUNCTION("IFERROR(((IFERROR(SUM(FILTER('Fund Data'!$V:$V, 'Fund Data'!$C:$C = $C1617, 'Fund Data'!$A:$A = $A1617 - 2, 'Fund Data'!$B:$B &gt;= 4)) * 'Parameters and Distribution Sum'!$B$4,0) + IFERROR(SUM(FILTER('Fund Data'!$V:$V, 'Fund Data'!$C:$C = $C1617, 'Fund Data"&amp;"'!$A:$A = $A1617 - 1, 'Fund Data'!$B:$B &lt;= 3)) * 'Parameters and Distribution Sum'!$B$4,0))),0)"),0.0)</f>
        <v>0</v>
      </c>
      <c r="AB1617" s="44">
        <f t="shared" si="141"/>
        <v>0</v>
      </c>
      <c r="AC1617" s="44">
        <f t="shared" si="142"/>
        <v>0</v>
      </c>
      <c r="AD1617" s="44">
        <f t="shared" si="7"/>
        <v>0</v>
      </c>
      <c r="AE1617" s="44"/>
    </row>
    <row r="1618">
      <c r="A1618" s="178"/>
      <c r="B1618" s="179"/>
      <c r="C1618" s="147"/>
      <c r="D1618" s="44"/>
      <c r="E1618" s="44"/>
      <c r="F1618" s="44"/>
      <c r="G1618" s="44"/>
      <c r="H1618" s="44"/>
      <c r="I1618" s="44"/>
      <c r="J1618" s="44"/>
      <c r="K1618" s="44"/>
      <c r="L1618" s="44"/>
      <c r="M1618" s="44"/>
      <c r="N1618" s="44"/>
      <c r="O1618" s="44"/>
      <c r="P1618" s="52">
        <f t="shared" si="23"/>
        <v>0</v>
      </c>
      <c r="Q1618" s="124">
        <f t="shared" si="2"/>
        <v>0</v>
      </c>
      <c r="R1618" s="52">
        <f t="array" ref="R1618">IFERROR(INDEX('Fund YTD Target Values'!$1:$1000, MATCH($C1618,'Fund YTD Target Values'!$A:$A,0), MATCH($A1618,'Fund YTD Target Values'!$1:$1,0)),0)</f>
        <v>0</v>
      </c>
      <c r="S1618" s="52">
        <f>IFERROR(__xludf.DUMMYFUNCTION("IFERROR(sum(FILTER('Fund Data'!$V:$V, 'Fund Data'!$C:$C = $C1618, 'Fund Data'!$A:$A &lt; $A1618)),0) + IFERROR(sum(FILTER('Fund Data'!$V:$V, 'Fund Data'!$C:$C = $C1618, 'Fund Data'!$A:$A = $A1618, 'Fund Data'!$B:$B &lt;= $B1618)),0)"),0.0)</f>
        <v>0</v>
      </c>
      <c r="T1618" s="44"/>
      <c r="U1618" s="44"/>
      <c r="V1618" s="44">
        <f t="shared" si="3"/>
        <v>0</v>
      </c>
      <c r="W1618" s="52">
        <f>IFERROR(__xludf.DUMMYFUNCTION("iFERROR((FILTER('Fund Data'!$Y:$Y, 'Fund Data'!$C:$C = $C1618, 'Fund Data'!$A:$A = $A1618 - 1, 'Fund Data'!$B:$B = 12) + FILTER('Fund Data'!$AA:$AA, 'Fund Data'!$C:$C = $C1618, 'Fund Data'!$A:$A = $A1618 - 1, 'Fund Data'!$B:$B = 12)) * (1 + AVERAGE(FILTER"&amp;"('Inflation Data'!$C:$C,'Inflation Data'!$A:$A = ($A1618 - 2)))) * 'Parameters and Distribution Sum'!$A$4,0)"),0.0)</f>
        <v>0</v>
      </c>
      <c r="X1618" s="52">
        <f>IFERROR(__xludf.DUMMYFUNCTION("IFERROR((IFERROR(FILTER('Fund Data'!$P:$P,'Fund Data'!$C:$C = $C1618,'Fund Data'!$A:$A = ($A1618 - 2), 'Fund Data'!$B:$B = 12),0) - SUM(FILTER('Fund Data'!$V:$V, 'Fund Data'!$C:$C = $C1618, 'Fund Data'!$A:$A = ($A1618 - 2), 'Fund Data'!$B:$B &gt; 3)))  * 'Pa"&amp;"rameters and Distribution Sum'!$B$4 * (1 - 'Parameters and Distribution Sum'!$A$4),0)"),0.0)</f>
        <v>0</v>
      </c>
      <c r="Y1618" s="52">
        <f t="shared" si="140"/>
        <v>0</v>
      </c>
      <c r="Z1618" s="52">
        <f>IFERROR(__xludf.DUMMYFUNCTION("((IFERROR((SUM(FILTER('Fund Data'!$V:$V, 'Fund Data'!$C:$C = $C1618, 'Fund Data'!$A:$A = $A1618 - 1, 'Fund Data'!$B:$B &gt;= 4, 'Fund Data'!$B:$B &lt;= ($B1618 + 5))) / 12) * ($B1618 - 3) * 'Parameters and Distribution Sum'!$B$4, 0) + IF($B1618 &gt;= 9, IFERROR(SU"&amp;"M(FILTER('Fund Data'!$V:$V, 'Fund Data'!$C:$C = $C1618, 'Fund Data'!$A:$A = $A1618, 'Fund Data'!$B:$B &lt;= 3)) * 'Parameters and Distribution Sum'!$B$4, 0),0)))"),0.0)</f>
        <v>0</v>
      </c>
      <c r="AA1618" s="44">
        <f>IFERROR(__xludf.DUMMYFUNCTION("IFERROR(((IFERROR(SUM(FILTER('Fund Data'!$V:$V, 'Fund Data'!$C:$C = $C1618, 'Fund Data'!$A:$A = $A1618 - 2, 'Fund Data'!$B:$B &gt;= 4)) * 'Parameters and Distribution Sum'!$B$4,0) + IFERROR(SUM(FILTER('Fund Data'!$V:$V, 'Fund Data'!$C:$C = $C1618, 'Fund Data"&amp;"'!$A:$A = $A1618 - 1, 'Fund Data'!$B:$B &lt;= 3)) * 'Parameters and Distribution Sum'!$B$4,0))),0)"),0.0)</f>
        <v>0</v>
      </c>
      <c r="AB1618" s="44">
        <f t="shared" si="141"/>
        <v>0</v>
      </c>
      <c r="AC1618" s="44">
        <f t="shared" si="142"/>
        <v>0</v>
      </c>
      <c r="AD1618" s="44">
        <f t="shared" si="7"/>
        <v>0</v>
      </c>
      <c r="AE1618" s="44"/>
    </row>
    <row r="1619">
      <c r="A1619" s="178"/>
      <c r="B1619" s="179"/>
      <c r="C1619" s="147"/>
      <c r="D1619" s="44"/>
      <c r="E1619" s="44"/>
      <c r="F1619" s="44"/>
      <c r="G1619" s="44"/>
      <c r="H1619" s="44"/>
      <c r="I1619" s="44"/>
      <c r="J1619" s="44"/>
      <c r="K1619" s="44"/>
      <c r="L1619" s="44"/>
      <c r="M1619" s="44"/>
      <c r="N1619" s="44"/>
      <c r="O1619" s="44"/>
      <c r="P1619" s="52">
        <f t="shared" si="23"/>
        <v>0</v>
      </c>
      <c r="Q1619" s="124">
        <f t="shared" si="2"/>
        <v>0</v>
      </c>
      <c r="R1619" s="52">
        <f t="array" ref="R1619">IFERROR(INDEX('Fund YTD Target Values'!$1:$1000, MATCH($C1619,'Fund YTD Target Values'!$A:$A,0), MATCH($A1619,'Fund YTD Target Values'!$1:$1,0)),0)</f>
        <v>0</v>
      </c>
      <c r="S1619" s="52">
        <f>IFERROR(__xludf.DUMMYFUNCTION("IFERROR(sum(FILTER('Fund Data'!$V:$V, 'Fund Data'!$C:$C = $C1619, 'Fund Data'!$A:$A &lt; $A1619)),0) + IFERROR(sum(FILTER('Fund Data'!$V:$V, 'Fund Data'!$C:$C = $C1619, 'Fund Data'!$A:$A = $A1619, 'Fund Data'!$B:$B &lt;= $B1619)),0)"),0.0)</f>
        <v>0</v>
      </c>
      <c r="T1619" s="44"/>
      <c r="U1619" s="44"/>
      <c r="V1619" s="44">
        <f t="shared" si="3"/>
        <v>0</v>
      </c>
      <c r="W1619" s="52">
        <f>IFERROR(__xludf.DUMMYFUNCTION("iFERROR((FILTER('Fund Data'!$Y:$Y, 'Fund Data'!$C:$C = $C1619, 'Fund Data'!$A:$A = $A1619 - 1, 'Fund Data'!$B:$B = 12) + FILTER('Fund Data'!$AA:$AA, 'Fund Data'!$C:$C = $C1619, 'Fund Data'!$A:$A = $A1619 - 1, 'Fund Data'!$B:$B = 12)) * (1 + AVERAGE(FILTER"&amp;"('Inflation Data'!$C:$C,'Inflation Data'!$A:$A = ($A1619 - 2)))) * 'Parameters and Distribution Sum'!$A$4,0)"),0.0)</f>
        <v>0</v>
      </c>
      <c r="X1619" s="52">
        <f>IFERROR(__xludf.DUMMYFUNCTION("IFERROR((IFERROR(FILTER('Fund Data'!$P:$P,'Fund Data'!$C:$C = $C1619,'Fund Data'!$A:$A = ($A1619 - 2), 'Fund Data'!$B:$B = 12),0) - SUM(FILTER('Fund Data'!$V:$V, 'Fund Data'!$C:$C = $C1619, 'Fund Data'!$A:$A = ($A1619 - 2), 'Fund Data'!$B:$B &gt; 3)))  * 'Pa"&amp;"rameters and Distribution Sum'!$B$4 * (1 - 'Parameters and Distribution Sum'!$A$4),0)"),0.0)</f>
        <v>0</v>
      </c>
      <c r="Y1619" s="52">
        <f t="shared" si="140"/>
        <v>0</v>
      </c>
      <c r="Z1619" s="52">
        <f>IFERROR(__xludf.DUMMYFUNCTION("((IFERROR((SUM(FILTER('Fund Data'!$V:$V, 'Fund Data'!$C:$C = $C1619, 'Fund Data'!$A:$A = $A1619 - 1, 'Fund Data'!$B:$B &gt;= 4, 'Fund Data'!$B:$B &lt;= ($B1619 + 5))) / 12) * ($B1619 - 3) * 'Parameters and Distribution Sum'!$B$4, 0) + IF($B1619 &gt;= 9, IFERROR(SU"&amp;"M(FILTER('Fund Data'!$V:$V, 'Fund Data'!$C:$C = $C1619, 'Fund Data'!$A:$A = $A1619, 'Fund Data'!$B:$B &lt;= 3)) * 'Parameters and Distribution Sum'!$B$4, 0),0)))"),0.0)</f>
        <v>0</v>
      </c>
      <c r="AA1619" s="44">
        <f>IFERROR(__xludf.DUMMYFUNCTION("IFERROR(((IFERROR(SUM(FILTER('Fund Data'!$V:$V, 'Fund Data'!$C:$C = $C1619, 'Fund Data'!$A:$A = $A1619 - 2, 'Fund Data'!$B:$B &gt;= 4)) * 'Parameters and Distribution Sum'!$B$4,0) + IFERROR(SUM(FILTER('Fund Data'!$V:$V, 'Fund Data'!$C:$C = $C1619, 'Fund Data"&amp;"'!$A:$A = $A1619 - 1, 'Fund Data'!$B:$B &lt;= 3)) * 'Parameters and Distribution Sum'!$B$4,0))),0)"),0.0)</f>
        <v>0</v>
      </c>
      <c r="AB1619" s="44">
        <f t="shared" si="141"/>
        <v>0</v>
      </c>
      <c r="AC1619" s="44">
        <f t="shared" si="142"/>
        <v>0</v>
      </c>
      <c r="AD1619" s="44">
        <f t="shared" si="7"/>
        <v>0</v>
      </c>
      <c r="AE1619" s="44"/>
    </row>
    <row r="1620">
      <c r="A1620" s="178"/>
      <c r="B1620" s="179"/>
      <c r="C1620" s="147"/>
      <c r="D1620" s="44"/>
      <c r="E1620" s="44"/>
      <c r="F1620" s="44"/>
      <c r="G1620" s="44"/>
      <c r="H1620" s="44"/>
      <c r="I1620" s="44"/>
      <c r="J1620" s="44"/>
      <c r="K1620" s="44"/>
      <c r="L1620" s="44"/>
      <c r="M1620" s="44"/>
      <c r="N1620" s="44"/>
      <c r="O1620" s="44"/>
      <c r="P1620" s="52">
        <f t="shared" si="23"/>
        <v>0</v>
      </c>
      <c r="Q1620" s="124">
        <f t="shared" si="2"/>
        <v>0</v>
      </c>
      <c r="R1620" s="52">
        <f t="array" ref="R1620">IFERROR(INDEX('Fund YTD Target Values'!$1:$1000, MATCH($C1620,'Fund YTD Target Values'!$A:$A,0), MATCH($A1620,'Fund YTD Target Values'!$1:$1,0)),0)</f>
        <v>0</v>
      </c>
      <c r="S1620" s="52">
        <f>IFERROR(__xludf.DUMMYFUNCTION("IFERROR(sum(FILTER('Fund Data'!$V:$V, 'Fund Data'!$C:$C = $C1620, 'Fund Data'!$A:$A &lt; $A1620)),0) + IFERROR(sum(FILTER('Fund Data'!$V:$V, 'Fund Data'!$C:$C = $C1620, 'Fund Data'!$A:$A = $A1620, 'Fund Data'!$B:$B &lt;= $B1620)),0)"),0.0)</f>
        <v>0</v>
      </c>
      <c r="T1620" s="44"/>
      <c r="U1620" s="44"/>
      <c r="V1620" s="44">
        <f t="shared" si="3"/>
        <v>0</v>
      </c>
      <c r="W1620" s="52">
        <f>IFERROR(__xludf.DUMMYFUNCTION("iFERROR((FILTER('Fund Data'!$Y:$Y, 'Fund Data'!$C:$C = $C1620, 'Fund Data'!$A:$A = $A1620 - 1, 'Fund Data'!$B:$B = 12) + FILTER('Fund Data'!$AA:$AA, 'Fund Data'!$C:$C = $C1620, 'Fund Data'!$A:$A = $A1620 - 1, 'Fund Data'!$B:$B = 12)) * (1 + AVERAGE(FILTER"&amp;"('Inflation Data'!$C:$C,'Inflation Data'!$A:$A = ($A1620 - 2)))) * 'Parameters and Distribution Sum'!$A$4,0)"),0.0)</f>
        <v>0</v>
      </c>
      <c r="X1620" s="52">
        <f>IFERROR(__xludf.DUMMYFUNCTION("IFERROR((IFERROR(FILTER('Fund Data'!$P:$P,'Fund Data'!$C:$C = $C1620,'Fund Data'!$A:$A = ($A1620 - 2), 'Fund Data'!$B:$B = 12),0) - SUM(FILTER('Fund Data'!$V:$V, 'Fund Data'!$C:$C = $C1620, 'Fund Data'!$A:$A = ($A1620 - 2), 'Fund Data'!$B:$B &gt; 3)))  * 'Pa"&amp;"rameters and Distribution Sum'!$B$4 * (1 - 'Parameters and Distribution Sum'!$A$4),0)"),0.0)</f>
        <v>0</v>
      </c>
      <c r="Y1620" s="52">
        <f t="shared" si="140"/>
        <v>0</v>
      </c>
      <c r="Z1620" s="52">
        <f>IFERROR(__xludf.DUMMYFUNCTION("((IFERROR((SUM(FILTER('Fund Data'!$V:$V, 'Fund Data'!$C:$C = $C1620, 'Fund Data'!$A:$A = $A1620 - 1, 'Fund Data'!$B:$B &gt;= 4, 'Fund Data'!$B:$B &lt;= ($B1620 + 5))) / 12) * ($B1620 - 3) * 'Parameters and Distribution Sum'!$B$4, 0) + IF($B1620 &gt;= 9, IFERROR(SU"&amp;"M(FILTER('Fund Data'!$V:$V, 'Fund Data'!$C:$C = $C1620, 'Fund Data'!$A:$A = $A1620, 'Fund Data'!$B:$B &lt;= 3)) * 'Parameters and Distribution Sum'!$B$4, 0),0)))"),0.0)</f>
        <v>0</v>
      </c>
      <c r="AA1620" s="44">
        <f>IFERROR(__xludf.DUMMYFUNCTION("IFERROR(((IFERROR(SUM(FILTER('Fund Data'!$V:$V, 'Fund Data'!$C:$C = $C1620, 'Fund Data'!$A:$A = $A1620 - 2, 'Fund Data'!$B:$B &gt;= 4)) * 'Parameters and Distribution Sum'!$B$4,0) + IFERROR(SUM(FILTER('Fund Data'!$V:$V, 'Fund Data'!$C:$C = $C1620, 'Fund Data"&amp;"'!$A:$A = $A1620 - 1, 'Fund Data'!$B:$B &lt;= 3)) * 'Parameters and Distribution Sum'!$B$4,0))),0)"),0.0)</f>
        <v>0</v>
      </c>
      <c r="AB1620" s="44">
        <f t="shared" si="141"/>
        <v>0</v>
      </c>
      <c r="AC1620" s="44">
        <f t="shared" si="142"/>
        <v>0</v>
      </c>
      <c r="AD1620" s="44">
        <f t="shared" si="7"/>
        <v>0</v>
      </c>
      <c r="AE1620" s="44"/>
    </row>
    <row r="1621">
      <c r="A1621" s="178"/>
      <c r="B1621" s="179"/>
      <c r="C1621" s="147"/>
      <c r="D1621" s="44"/>
      <c r="E1621" s="44"/>
      <c r="F1621" s="44"/>
      <c r="G1621" s="44"/>
      <c r="H1621" s="44"/>
      <c r="I1621" s="44"/>
      <c r="J1621" s="44"/>
      <c r="K1621" s="44"/>
      <c r="L1621" s="44"/>
      <c r="M1621" s="44"/>
      <c r="N1621" s="44"/>
      <c r="O1621" s="44"/>
      <c r="P1621" s="52">
        <f t="shared" si="23"/>
        <v>0</v>
      </c>
      <c r="Q1621" s="124">
        <f t="shared" si="2"/>
        <v>0</v>
      </c>
      <c r="R1621" s="52">
        <f t="array" ref="R1621">IFERROR(INDEX('Fund YTD Target Values'!$1:$1000, MATCH($C1621,'Fund YTD Target Values'!$A:$A,0), MATCH($A1621,'Fund YTD Target Values'!$1:$1,0)),0)</f>
        <v>0</v>
      </c>
      <c r="S1621" s="52">
        <f>IFERROR(__xludf.DUMMYFUNCTION("IFERROR(sum(FILTER('Fund Data'!$V:$V, 'Fund Data'!$C:$C = $C1621, 'Fund Data'!$A:$A &lt; $A1621)),0) + IFERROR(sum(FILTER('Fund Data'!$V:$V, 'Fund Data'!$C:$C = $C1621, 'Fund Data'!$A:$A = $A1621, 'Fund Data'!$B:$B &lt;= $B1621)),0)"),0.0)</f>
        <v>0</v>
      </c>
      <c r="T1621" s="44"/>
      <c r="U1621" s="44"/>
      <c r="V1621" s="44">
        <f t="shared" si="3"/>
        <v>0</v>
      </c>
      <c r="W1621" s="52">
        <f>IFERROR(__xludf.DUMMYFUNCTION("iFERROR((FILTER('Fund Data'!$Y:$Y, 'Fund Data'!$C:$C = $C1621, 'Fund Data'!$A:$A = $A1621 - 1, 'Fund Data'!$B:$B = 12) + FILTER('Fund Data'!$AA:$AA, 'Fund Data'!$C:$C = $C1621, 'Fund Data'!$A:$A = $A1621 - 1, 'Fund Data'!$B:$B = 12)) * (1 + AVERAGE(FILTER"&amp;"('Inflation Data'!$C:$C,'Inflation Data'!$A:$A = ($A1621 - 2)))) * 'Parameters and Distribution Sum'!$A$4,0)"),0.0)</f>
        <v>0</v>
      </c>
      <c r="X1621" s="52">
        <f>IFERROR(__xludf.DUMMYFUNCTION("IFERROR((IFERROR(FILTER('Fund Data'!$P:$P,'Fund Data'!$C:$C = $C1621,'Fund Data'!$A:$A = ($A1621 - 2), 'Fund Data'!$B:$B = 12),0) - SUM(FILTER('Fund Data'!$V:$V, 'Fund Data'!$C:$C = $C1621, 'Fund Data'!$A:$A = ($A1621 - 2), 'Fund Data'!$B:$B &gt; 3)))  * 'Pa"&amp;"rameters and Distribution Sum'!$B$4 * (1 - 'Parameters and Distribution Sum'!$A$4),0)"),0.0)</f>
        <v>0</v>
      </c>
      <c r="Y1621" s="52">
        <f t="shared" si="140"/>
        <v>0</v>
      </c>
      <c r="Z1621" s="52">
        <f>IFERROR(__xludf.DUMMYFUNCTION("((IFERROR((SUM(FILTER('Fund Data'!$V:$V, 'Fund Data'!$C:$C = $C1621, 'Fund Data'!$A:$A = $A1621 - 1, 'Fund Data'!$B:$B &gt;= 4, 'Fund Data'!$B:$B &lt;= ($B1621 + 5))) / 12) * ($B1621 - 3) * 'Parameters and Distribution Sum'!$B$4, 0) + IF($B1621 &gt;= 9, IFERROR(SU"&amp;"M(FILTER('Fund Data'!$V:$V, 'Fund Data'!$C:$C = $C1621, 'Fund Data'!$A:$A = $A1621, 'Fund Data'!$B:$B &lt;= 3)) * 'Parameters and Distribution Sum'!$B$4, 0),0)))"),0.0)</f>
        <v>0</v>
      </c>
      <c r="AA1621" s="44">
        <f>IFERROR(__xludf.DUMMYFUNCTION("IFERROR(((IFERROR(SUM(FILTER('Fund Data'!$V:$V, 'Fund Data'!$C:$C = $C1621, 'Fund Data'!$A:$A = $A1621 - 2, 'Fund Data'!$B:$B &gt;= 4)) * 'Parameters and Distribution Sum'!$B$4,0) + IFERROR(SUM(FILTER('Fund Data'!$V:$V, 'Fund Data'!$C:$C = $C1621, 'Fund Data"&amp;"'!$A:$A = $A1621 - 1, 'Fund Data'!$B:$B &lt;= 3)) * 'Parameters and Distribution Sum'!$B$4,0))),0)"),0.0)</f>
        <v>0</v>
      </c>
      <c r="AB1621" s="44">
        <f t="shared" si="141"/>
        <v>0</v>
      </c>
      <c r="AC1621" s="44">
        <f t="shared" si="142"/>
        <v>0</v>
      </c>
      <c r="AD1621" s="44">
        <f t="shared" si="7"/>
        <v>0</v>
      </c>
      <c r="AE1621" s="44"/>
    </row>
    <row r="1622">
      <c r="A1622" s="178"/>
      <c r="B1622" s="179"/>
      <c r="C1622" s="147"/>
      <c r="D1622" s="44"/>
      <c r="E1622" s="44"/>
      <c r="F1622" s="44"/>
      <c r="G1622" s="44"/>
      <c r="H1622" s="44"/>
      <c r="I1622" s="44"/>
      <c r="J1622" s="44"/>
      <c r="K1622" s="44"/>
      <c r="L1622" s="44"/>
      <c r="M1622" s="44"/>
      <c r="N1622" s="44"/>
      <c r="O1622" s="44"/>
      <c r="P1622" s="52">
        <f t="shared" si="23"/>
        <v>0</v>
      </c>
      <c r="Q1622" s="124">
        <f t="shared" si="2"/>
        <v>0</v>
      </c>
      <c r="R1622" s="52">
        <f t="array" ref="R1622">IFERROR(INDEX('Fund YTD Target Values'!$1:$1000, MATCH($C1622,'Fund YTD Target Values'!$A:$A,0), MATCH($A1622,'Fund YTD Target Values'!$1:$1,0)),0)</f>
        <v>0</v>
      </c>
      <c r="S1622" s="52">
        <f>IFERROR(__xludf.DUMMYFUNCTION("IFERROR(sum(FILTER('Fund Data'!$V:$V, 'Fund Data'!$C:$C = $C1622, 'Fund Data'!$A:$A &lt; $A1622)),0) + IFERROR(sum(FILTER('Fund Data'!$V:$V, 'Fund Data'!$C:$C = $C1622, 'Fund Data'!$A:$A = $A1622, 'Fund Data'!$B:$B &lt;= $B1622)),0)"),0.0)</f>
        <v>0</v>
      </c>
      <c r="T1622" s="44"/>
      <c r="U1622" s="44"/>
      <c r="V1622" s="44">
        <f t="shared" si="3"/>
        <v>0</v>
      </c>
      <c r="W1622" s="52">
        <f>IFERROR(__xludf.DUMMYFUNCTION("iFERROR((FILTER('Fund Data'!$Y:$Y, 'Fund Data'!$C:$C = $C1622, 'Fund Data'!$A:$A = $A1622 - 1, 'Fund Data'!$B:$B = 12) + FILTER('Fund Data'!$AA:$AA, 'Fund Data'!$C:$C = $C1622, 'Fund Data'!$A:$A = $A1622 - 1, 'Fund Data'!$B:$B = 12)) * (1 + AVERAGE(FILTER"&amp;"('Inflation Data'!$C:$C,'Inflation Data'!$A:$A = ($A1622 - 2)))) * 'Parameters and Distribution Sum'!$A$4,0)"),0.0)</f>
        <v>0</v>
      </c>
      <c r="X1622" s="52">
        <f>IFERROR(__xludf.DUMMYFUNCTION("IFERROR((IFERROR(FILTER('Fund Data'!$P:$P,'Fund Data'!$C:$C = $C1622,'Fund Data'!$A:$A = ($A1622 - 2), 'Fund Data'!$B:$B = 12),0) - SUM(FILTER('Fund Data'!$V:$V, 'Fund Data'!$C:$C = $C1622, 'Fund Data'!$A:$A = ($A1622 - 2), 'Fund Data'!$B:$B &gt; 3)))  * 'Pa"&amp;"rameters and Distribution Sum'!$B$4 * (1 - 'Parameters and Distribution Sum'!$A$4),0)"),0.0)</f>
        <v>0</v>
      </c>
      <c r="Y1622" s="52">
        <f t="shared" si="140"/>
        <v>0</v>
      </c>
      <c r="Z1622" s="52">
        <f>IFERROR(__xludf.DUMMYFUNCTION("((IFERROR((SUM(FILTER('Fund Data'!$V:$V, 'Fund Data'!$C:$C = $C1622, 'Fund Data'!$A:$A = $A1622 - 1, 'Fund Data'!$B:$B &gt;= 4, 'Fund Data'!$B:$B &lt;= ($B1622 + 5))) / 12) * ($B1622 - 3) * 'Parameters and Distribution Sum'!$B$4, 0) + IF($B1622 &gt;= 9, IFERROR(SU"&amp;"M(FILTER('Fund Data'!$V:$V, 'Fund Data'!$C:$C = $C1622, 'Fund Data'!$A:$A = $A1622, 'Fund Data'!$B:$B &lt;= 3)) * 'Parameters and Distribution Sum'!$B$4, 0),0)))"),0.0)</f>
        <v>0</v>
      </c>
      <c r="AA1622" s="44">
        <f>IFERROR(__xludf.DUMMYFUNCTION("IFERROR(((IFERROR(SUM(FILTER('Fund Data'!$V:$V, 'Fund Data'!$C:$C = $C1622, 'Fund Data'!$A:$A = $A1622 - 2, 'Fund Data'!$B:$B &gt;= 4)) * 'Parameters and Distribution Sum'!$B$4,0) + IFERROR(SUM(FILTER('Fund Data'!$V:$V, 'Fund Data'!$C:$C = $C1622, 'Fund Data"&amp;"'!$A:$A = $A1622 - 1, 'Fund Data'!$B:$B &lt;= 3)) * 'Parameters and Distribution Sum'!$B$4,0))),0)"),0.0)</f>
        <v>0</v>
      </c>
      <c r="AB1622" s="44">
        <f t="shared" si="141"/>
        <v>0</v>
      </c>
      <c r="AC1622" s="44">
        <f t="shared" si="142"/>
        <v>0</v>
      </c>
      <c r="AD1622" s="44">
        <f t="shared" si="7"/>
        <v>0</v>
      </c>
      <c r="AE1622" s="44"/>
    </row>
    <row r="1623">
      <c r="A1623" s="178"/>
      <c r="B1623" s="179"/>
      <c r="C1623" s="147"/>
      <c r="D1623" s="44"/>
      <c r="E1623" s="44"/>
      <c r="F1623" s="44"/>
      <c r="G1623" s="44"/>
      <c r="H1623" s="44"/>
      <c r="I1623" s="44"/>
      <c r="J1623" s="44"/>
      <c r="K1623" s="44"/>
      <c r="L1623" s="44"/>
      <c r="M1623" s="44"/>
      <c r="N1623" s="44"/>
      <c r="O1623" s="44"/>
      <c r="P1623" s="52">
        <f t="shared" si="23"/>
        <v>0</v>
      </c>
      <c r="Q1623" s="124">
        <f t="shared" si="2"/>
        <v>0</v>
      </c>
      <c r="R1623" s="52">
        <f t="array" ref="R1623">IFERROR(INDEX('Fund YTD Target Values'!$1:$1000, MATCH($C1623,'Fund YTD Target Values'!$A:$A,0), MATCH($A1623,'Fund YTD Target Values'!$1:$1,0)),0)</f>
        <v>0</v>
      </c>
      <c r="S1623" s="52">
        <f>IFERROR(__xludf.DUMMYFUNCTION("IFERROR(sum(FILTER('Fund Data'!$V:$V, 'Fund Data'!$C:$C = $C1623, 'Fund Data'!$A:$A &lt; $A1623)),0) + IFERROR(sum(FILTER('Fund Data'!$V:$V, 'Fund Data'!$C:$C = $C1623, 'Fund Data'!$A:$A = $A1623, 'Fund Data'!$B:$B &lt;= $B1623)),0)"),0.0)</f>
        <v>0</v>
      </c>
      <c r="T1623" s="44"/>
      <c r="U1623" s="44"/>
      <c r="V1623" s="44">
        <f t="shared" si="3"/>
        <v>0</v>
      </c>
      <c r="W1623" s="52">
        <f>IFERROR(__xludf.DUMMYFUNCTION("iFERROR((FILTER('Fund Data'!$Y:$Y, 'Fund Data'!$C:$C = $C1623, 'Fund Data'!$A:$A = $A1623 - 1, 'Fund Data'!$B:$B = 12) + FILTER('Fund Data'!$AA:$AA, 'Fund Data'!$C:$C = $C1623, 'Fund Data'!$A:$A = $A1623 - 1, 'Fund Data'!$B:$B = 12)) * (1 + AVERAGE(FILTER"&amp;"('Inflation Data'!$C:$C,'Inflation Data'!$A:$A = ($A1623 - 2)))) * 'Parameters and Distribution Sum'!$A$4,0)"),0.0)</f>
        <v>0</v>
      </c>
      <c r="X1623" s="52">
        <f>IFERROR(__xludf.DUMMYFUNCTION("IFERROR((IFERROR(FILTER('Fund Data'!$P:$P,'Fund Data'!$C:$C = $C1623,'Fund Data'!$A:$A = ($A1623 - 2), 'Fund Data'!$B:$B = 12),0) - SUM(FILTER('Fund Data'!$V:$V, 'Fund Data'!$C:$C = $C1623, 'Fund Data'!$A:$A = ($A1623 - 2), 'Fund Data'!$B:$B &gt; 3)))  * 'Pa"&amp;"rameters and Distribution Sum'!$B$4 * (1 - 'Parameters and Distribution Sum'!$A$4),0)"),0.0)</f>
        <v>0</v>
      </c>
      <c r="Y1623" s="52">
        <f t="shared" si="140"/>
        <v>0</v>
      </c>
      <c r="Z1623" s="52">
        <f>IFERROR(__xludf.DUMMYFUNCTION("((IFERROR((SUM(FILTER('Fund Data'!$V:$V, 'Fund Data'!$C:$C = $C1623, 'Fund Data'!$A:$A = $A1623 - 1, 'Fund Data'!$B:$B &gt;= 4, 'Fund Data'!$B:$B &lt;= ($B1623 + 5))) / 12) * ($B1623 - 3) * 'Parameters and Distribution Sum'!$B$4, 0) + IF($B1623 &gt;= 9, IFERROR(SU"&amp;"M(FILTER('Fund Data'!$V:$V, 'Fund Data'!$C:$C = $C1623, 'Fund Data'!$A:$A = $A1623, 'Fund Data'!$B:$B &lt;= 3)) * 'Parameters and Distribution Sum'!$B$4, 0),0)))"),0.0)</f>
        <v>0</v>
      </c>
      <c r="AA1623" s="44">
        <f>IFERROR(__xludf.DUMMYFUNCTION("IFERROR(((IFERROR(SUM(FILTER('Fund Data'!$V:$V, 'Fund Data'!$C:$C = $C1623, 'Fund Data'!$A:$A = $A1623 - 2, 'Fund Data'!$B:$B &gt;= 4)) * 'Parameters and Distribution Sum'!$B$4,0) + IFERROR(SUM(FILTER('Fund Data'!$V:$V, 'Fund Data'!$C:$C = $C1623, 'Fund Data"&amp;"'!$A:$A = $A1623 - 1, 'Fund Data'!$B:$B &lt;= 3)) * 'Parameters and Distribution Sum'!$B$4,0))),0)"),0.0)</f>
        <v>0</v>
      </c>
      <c r="AB1623" s="44">
        <f t="shared" si="141"/>
        <v>0</v>
      </c>
      <c r="AC1623" s="44">
        <f t="shared" si="142"/>
        <v>0</v>
      </c>
      <c r="AD1623" s="44">
        <f t="shared" si="7"/>
        <v>0</v>
      </c>
      <c r="AE1623" s="44"/>
    </row>
    <row r="1624">
      <c r="A1624" s="178"/>
      <c r="B1624" s="179"/>
      <c r="C1624" s="147"/>
      <c r="D1624" s="44"/>
      <c r="E1624" s="44"/>
      <c r="F1624" s="44"/>
      <c r="G1624" s="44"/>
      <c r="H1624" s="44"/>
      <c r="I1624" s="44"/>
      <c r="J1624" s="44"/>
      <c r="K1624" s="44"/>
      <c r="L1624" s="44"/>
      <c r="M1624" s="44"/>
      <c r="N1624" s="44"/>
      <c r="O1624" s="44"/>
      <c r="P1624" s="52">
        <f t="shared" si="23"/>
        <v>0</v>
      </c>
      <c r="Q1624" s="124">
        <f t="shared" si="2"/>
        <v>0</v>
      </c>
      <c r="R1624" s="52">
        <f t="array" ref="R1624">IFERROR(INDEX('Fund YTD Target Values'!$1:$1000, MATCH($C1624,'Fund YTD Target Values'!$A:$A,0), MATCH($A1624,'Fund YTD Target Values'!$1:$1,0)),0)</f>
        <v>0</v>
      </c>
      <c r="S1624" s="52">
        <f>IFERROR(__xludf.DUMMYFUNCTION("IFERROR(sum(FILTER('Fund Data'!$V:$V, 'Fund Data'!$C:$C = $C1624, 'Fund Data'!$A:$A &lt; $A1624)),0) + IFERROR(sum(FILTER('Fund Data'!$V:$V, 'Fund Data'!$C:$C = $C1624, 'Fund Data'!$A:$A = $A1624, 'Fund Data'!$B:$B &lt;= $B1624)),0)"),0.0)</f>
        <v>0</v>
      </c>
      <c r="T1624" s="44"/>
      <c r="U1624" s="44"/>
      <c r="V1624" s="44">
        <f t="shared" si="3"/>
        <v>0</v>
      </c>
      <c r="W1624" s="52">
        <f>IFERROR(__xludf.DUMMYFUNCTION("iFERROR((FILTER('Fund Data'!$Y:$Y, 'Fund Data'!$C:$C = $C1624, 'Fund Data'!$A:$A = $A1624 - 1, 'Fund Data'!$B:$B = 12) + FILTER('Fund Data'!$AA:$AA, 'Fund Data'!$C:$C = $C1624, 'Fund Data'!$A:$A = $A1624 - 1, 'Fund Data'!$B:$B = 12)) * (1 + AVERAGE(FILTER"&amp;"('Inflation Data'!$C:$C,'Inflation Data'!$A:$A = ($A1624 - 2)))) * 'Parameters and Distribution Sum'!$A$4,0)"),0.0)</f>
        <v>0</v>
      </c>
      <c r="X1624" s="52">
        <f>IFERROR(__xludf.DUMMYFUNCTION("IFERROR((IFERROR(FILTER('Fund Data'!$P:$P,'Fund Data'!$C:$C = $C1624,'Fund Data'!$A:$A = ($A1624 - 2), 'Fund Data'!$B:$B = 12),0) - SUM(FILTER('Fund Data'!$V:$V, 'Fund Data'!$C:$C = $C1624, 'Fund Data'!$A:$A = ($A1624 - 2), 'Fund Data'!$B:$B &gt; 3)))  * 'Pa"&amp;"rameters and Distribution Sum'!$B$4 * (1 - 'Parameters and Distribution Sum'!$A$4),0)"),0.0)</f>
        <v>0</v>
      </c>
      <c r="Y1624" s="52">
        <f t="shared" si="140"/>
        <v>0</v>
      </c>
      <c r="Z1624" s="52">
        <f>IFERROR(__xludf.DUMMYFUNCTION("((IFERROR((SUM(FILTER('Fund Data'!$V:$V, 'Fund Data'!$C:$C = $C1624, 'Fund Data'!$A:$A = $A1624 - 1, 'Fund Data'!$B:$B &gt;= 4, 'Fund Data'!$B:$B &lt;= ($B1624 + 5))) / 12) * ($B1624 - 3) * 'Parameters and Distribution Sum'!$B$4, 0) + IF($B1624 &gt;= 9, IFERROR(SU"&amp;"M(FILTER('Fund Data'!$V:$V, 'Fund Data'!$C:$C = $C1624, 'Fund Data'!$A:$A = $A1624, 'Fund Data'!$B:$B &lt;= 3)) * 'Parameters and Distribution Sum'!$B$4, 0),0)))"),0.0)</f>
        <v>0</v>
      </c>
      <c r="AA1624" s="44">
        <f>IFERROR(__xludf.DUMMYFUNCTION("IFERROR(((IFERROR(SUM(FILTER('Fund Data'!$V:$V, 'Fund Data'!$C:$C = $C1624, 'Fund Data'!$A:$A = $A1624 - 2, 'Fund Data'!$B:$B &gt;= 4)) * 'Parameters and Distribution Sum'!$B$4,0) + IFERROR(SUM(FILTER('Fund Data'!$V:$V, 'Fund Data'!$C:$C = $C1624, 'Fund Data"&amp;"'!$A:$A = $A1624 - 1, 'Fund Data'!$B:$B &lt;= 3)) * 'Parameters and Distribution Sum'!$B$4,0))),0)"),0.0)</f>
        <v>0</v>
      </c>
      <c r="AB1624" s="44">
        <f t="shared" si="141"/>
        <v>0</v>
      </c>
      <c r="AC1624" s="44">
        <f t="shared" si="142"/>
        <v>0</v>
      </c>
      <c r="AD1624" s="44">
        <f t="shared" si="7"/>
        <v>0</v>
      </c>
      <c r="AE1624" s="44"/>
    </row>
    <row r="1625">
      <c r="A1625" s="178"/>
      <c r="B1625" s="179"/>
      <c r="C1625" s="147"/>
      <c r="D1625" s="44"/>
      <c r="E1625" s="44"/>
      <c r="F1625" s="44"/>
      <c r="G1625" s="44"/>
      <c r="H1625" s="44"/>
      <c r="I1625" s="44"/>
      <c r="J1625" s="44"/>
      <c r="K1625" s="44"/>
      <c r="L1625" s="44"/>
      <c r="M1625" s="44"/>
      <c r="N1625" s="44"/>
      <c r="O1625" s="44"/>
      <c r="P1625" s="52">
        <f t="shared" si="23"/>
        <v>0</v>
      </c>
      <c r="Q1625" s="124">
        <f t="shared" si="2"/>
        <v>0</v>
      </c>
      <c r="R1625" s="52">
        <f t="array" ref="R1625">IFERROR(INDEX('Fund YTD Target Values'!$1:$1000, MATCH($C1625,'Fund YTD Target Values'!$A:$A,0), MATCH($A1625,'Fund YTD Target Values'!$1:$1,0)),0)</f>
        <v>0</v>
      </c>
      <c r="S1625" s="52">
        <f>IFERROR(__xludf.DUMMYFUNCTION("IFERROR(sum(FILTER('Fund Data'!$V:$V, 'Fund Data'!$C:$C = $C1625, 'Fund Data'!$A:$A &lt; $A1625)),0) + IFERROR(sum(FILTER('Fund Data'!$V:$V, 'Fund Data'!$C:$C = $C1625, 'Fund Data'!$A:$A = $A1625, 'Fund Data'!$B:$B &lt;= $B1625)),0)"),0.0)</f>
        <v>0</v>
      </c>
      <c r="T1625" s="44"/>
      <c r="U1625" s="44"/>
      <c r="V1625" s="44">
        <f t="shared" si="3"/>
        <v>0</v>
      </c>
      <c r="W1625" s="52">
        <f>IFERROR(__xludf.DUMMYFUNCTION("iFERROR((FILTER('Fund Data'!$Y:$Y, 'Fund Data'!$C:$C = $C1625, 'Fund Data'!$A:$A = $A1625 - 1, 'Fund Data'!$B:$B = 12) + FILTER('Fund Data'!$AA:$AA, 'Fund Data'!$C:$C = $C1625, 'Fund Data'!$A:$A = $A1625 - 1, 'Fund Data'!$B:$B = 12)) * (1 + AVERAGE(FILTER"&amp;"('Inflation Data'!$C:$C,'Inflation Data'!$A:$A = ($A1625 - 2)))) * 'Parameters and Distribution Sum'!$A$4,0)"),0.0)</f>
        <v>0</v>
      </c>
      <c r="X1625" s="52">
        <f>IFERROR(__xludf.DUMMYFUNCTION("IFERROR((IFERROR(FILTER('Fund Data'!$P:$P,'Fund Data'!$C:$C = $C1625,'Fund Data'!$A:$A = ($A1625 - 2), 'Fund Data'!$B:$B = 12),0) - SUM(FILTER('Fund Data'!$V:$V, 'Fund Data'!$C:$C = $C1625, 'Fund Data'!$A:$A = ($A1625 - 2), 'Fund Data'!$B:$B &gt; 3)))  * 'Pa"&amp;"rameters and Distribution Sum'!$B$4 * (1 - 'Parameters and Distribution Sum'!$A$4),0)"),0.0)</f>
        <v>0</v>
      </c>
      <c r="Y1625" s="52">
        <f t="shared" si="140"/>
        <v>0</v>
      </c>
      <c r="Z1625" s="52">
        <f>IFERROR(__xludf.DUMMYFUNCTION("((IFERROR((SUM(FILTER('Fund Data'!$V:$V, 'Fund Data'!$C:$C = $C1625, 'Fund Data'!$A:$A = $A1625 - 1, 'Fund Data'!$B:$B &gt;= 4, 'Fund Data'!$B:$B &lt;= ($B1625 + 5))) / 12) * ($B1625 - 3) * 'Parameters and Distribution Sum'!$B$4, 0) + IF($B1625 &gt;= 9, IFERROR(SU"&amp;"M(FILTER('Fund Data'!$V:$V, 'Fund Data'!$C:$C = $C1625, 'Fund Data'!$A:$A = $A1625, 'Fund Data'!$B:$B &lt;= 3)) * 'Parameters and Distribution Sum'!$B$4, 0),0)))"),0.0)</f>
        <v>0</v>
      </c>
      <c r="AA1625" s="44">
        <f>IFERROR(__xludf.DUMMYFUNCTION("IFERROR(((IFERROR(SUM(FILTER('Fund Data'!$V:$V, 'Fund Data'!$C:$C = $C1625, 'Fund Data'!$A:$A = $A1625 - 2, 'Fund Data'!$B:$B &gt;= 4)) * 'Parameters and Distribution Sum'!$B$4,0) + IFERROR(SUM(FILTER('Fund Data'!$V:$V, 'Fund Data'!$C:$C = $C1625, 'Fund Data"&amp;"'!$A:$A = $A1625 - 1, 'Fund Data'!$B:$B &lt;= 3)) * 'Parameters and Distribution Sum'!$B$4,0))),0)"),0.0)</f>
        <v>0</v>
      </c>
      <c r="AB1625" s="44">
        <f t="shared" si="141"/>
        <v>0</v>
      </c>
      <c r="AC1625" s="44">
        <f t="shared" si="142"/>
        <v>0</v>
      </c>
      <c r="AD1625" s="44">
        <f t="shared" si="7"/>
        <v>0</v>
      </c>
      <c r="AE1625" s="44"/>
    </row>
    <row r="1626">
      <c r="A1626" s="178"/>
      <c r="B1626" s="179"/>
      <c r="C1626" s="147"/>
      <c r="D1626" s="44"/>
      <c r="E1626" s="44"/>
      <c r="F1626" s="44"/>
      <c r="G1626" s="44"/>
      <c r="H1626" s="44"/>
      <c r="I1626" s="44"/>
      <c r="J1626" s="44"/>
      <c r="K1626" s="44"/>
      <c r="L1626" s="44"/>
      <c r="M1626" s="44"/>
      <c r="N1626" s="44"/>
      <c r="O1626" s="44"/>
      <c r="P1626" s="52">
        <f t="shared" si="23"/>
        <v>0</v>
      </c>
      <c r="Q1626" s="124">
        <f t="shared" si="2"/>
        <v>0</v>
      </c>
      <c r="R1626" s="52">
        <f t="array" ref="R1626">IFERROR(INDEX('Fund YTD Target Values'!$1:$1000, MATCH($C1626,'Fund YTD Target Values'!$A:$A,0), MATCH($A1626,'Fund YTD Target Values'!$1:$1,0)),0)</f>
        <v>0</v>
      </c>
      <c r="S1626" s="52">
        <f>IFERROR(__xludf.DUMMYFUNCTION("IFERROR(sum(FILTER('Fund Data'!$V:$V, 'Fund Data'!$C:$C = $C1626, 'Fund Data'!$A:$A &lt; $A1626)),0) + IFERROR(sum(FILTER('Fund Data'!$V:$V, 'Fund Data'!$C:$C = $C1626, 'Fund Data'!$A:$A = $A1626, 'Fund Data'!$B:$B &lt;= $B1626)),0)"),0.0)</f>
        <v>0</v>
      </c>
      <c r="T1626" s="44"/>
      <c r="U1626" s="44"/>
      <c r="V1626" s="44">
        <f t="shared" si="3"/>
        <v>0</v>
      </c>
      <c r="W1626" s="52">
        <f>IFERROR(__xludf.DUMMYFUNCTION("iFERROR((FILTER('Fund Data'!$Y:$Y, 'Fund Data'!$C:$C = $C1626, 'Fund Data'!$A:$A = $A1626 - 1, 'Fund Data'!$B:$B = 12) + FILTER('Fund Data'!$AA:$AA, 'Fund Data'!$C:$C = $C1626, 'Fund Data'!$A:$A = $A1626 - 1, 'Fund Data'!$B:$B = 12)) * (1 + AVERAGE(FILTER"&amp;"('Inflation Data'!$C:$C,'Inflation Data'!$A:$A = ($A1626 - 2)))) * 'Parameters and Distribution Sum'!$A$4,0)"),0.0)</f>
        <v>0</v>
      </c>
      <c r="X1626" s="52">
        <f>IFERROR(__xludf.DUMMYFUNCTION("IFERROR((IFERROR(FILTER('Fund Data'!$P:$P,'Fund Data'!$C:$C = $C1626,'Fund Data'!$A:$A = ($A1626 - 2), 'Fund Data'!$B:$B = 12),0) - SUM(FILTER('Fund Data'!$V:$V, 'Fund Data'!$C:$C = $C1626, 'Fund Data'!$A:$A = ($A1626 - 2), 'Fund Data'!$B:$B &gt; 3)))  * 'Pa"&amp;"rameters and Distribution Sum'!$B$4 * (1 - 'Parameters and Distribution Sum'!$A$4),0)"),0.0)</f>
        <v>0</v>
      </c>
      <c r="Y1626" s="52">
        <f t="shared" si="140"/>
        <v>0</v>
      </c>
      <c r="Z1626" s="52">
        <f>IFERROR(__xludf.DUMMYFUNCTION("((IFERROR((SUM(FILTER('Fund Data'!$V:$V, 'Fund Data'!$C:$C = $C1626, 'Fund Data'!$A:$A = $A1626 - 1, 'Fund Data'!$B:$B &gt;= 4, 'Fund Data'!$B:$B &lt;= ($B1626 + 5))) / 12) * ($B1626 - 3) * 'Parameters and Distribution Sum'!$B$4, 0) + IF($B1626 &gt;= 9, IFERROR(SU"&amp;"M(FILTER('Fund Data'!$V:$V, 'Fund Data'!$C:$C = $C1626, 'Fund Data'!$A:$A = $A1626, 'Fund Data'!$B:$B &lt;= 3)) * 'Parameters and Distribution Sum'!$B$4, 0),0)))"),0.0)</f>
        <v>0</v>
      </c>
      <c r="AA1626" s="44">
        <f>IFERROR(__xludf.DUMMYFUNCTION("IFERROR(((IFERROR(SUM(FILTER('Fund Data'!$V:$V, 'Fund Data'!$C:$C = $C1626, 'Fund Data'!$A:$A = $A1626 - 2, 'Fund Data'!$B:$B &gt;= 4)) * 'Parameters and Distribution Sum'!$B$4,0) + IFERROR(SUM(FILTER('Fund Data'!$V:$V, 'Fund Data'!$C:$C = $C1626, 'Fund Data"&amp;"'!$A:$A = $A1626 - 1, 'Fund Data'!$B:$B &lt;= 3)) * 'Parameters and Distribution Sum'!$B$4,0))),0)"),0.0)</f>
        <v>0</v>
      </c>
      <c r="AB1626" s="44">
        <f t="shared" si="141"/>
        <v>0</v>
      </c>
      <c r="AC1626" s="44">
        <f t="shared" si="142"/>
        <v>0</v>
      </c>
      <c r="AD1626" s="44">
        <f t="shared" si="7"/>
        <v>0</v>
      </c>
      <c r="AE1626" s="44"/>
    </row>
    <row r="1627">
      <c r="A1627" s="178"/>
      <c r="B1627" s="179"/>
      <c r="C1627" s="147"/>
      <c r="D1627" s="44"/>
      <c r="E1627" s="44"/>
      <c r="F1627" s="44"/>
      <c r="G1627" s="44"/>
      <c r="H1627" s="44"/>
      <c r="I1627" s="44"/>
      <c r="J1627" s="44"/>
      <c r="K1627" s="44"/>
      <c r="L1627" s="44"/>
      <c r="M1627" s="44"/>
      <c r="N1627" s="44"/>
      <c r="O1627" s="44"/>
      <c r="P1627" s="52">
        <f t="shared" si="23"/>
        <v>0</v>
      </c>
      <c r="Q1627" s="124">
        <f t="shared" si="2"/>
        <v>0</v>
      </c>
      <c r="R1627" s="52">
        <f t="array" ref="R1627">IFERROR(INDEX('Fund YTD Target Values'!$1:$1000, MATCH($C1627,'Fund YTD Target Values'!$A:$A,0), MATCH($A1627,'Fund YTD Target Values'!$1:$1,0)),0)</f>
        <v>0</v>
      </c>
      <c r="S1627" s="52">
        <f>IFERROR(__xludf.DUMMYFUNCTION("IFERROR(sum(FILTER('Fund Data'!$V:$V, 'Fund Data'!$C:$C = $C1627, 'Fund Data'!$A:$A &lt; $A1627)),0) + IFERROR(sum(FILTER('Fund Data'!$V:$V, 'Fund Data'!$C:$C = $C1627, 'Fund Data'!$A:$A = $A1627, 'Fund Data'!$B:$B &lt;= $B1627)),0)"),0.0)</f>
        <v>0</v>
      </c>
      <c r="T1627" s="44"/>
      <c r="U1627" s="44"/>
      <c r="V1627" s="44">
        <f t="shared" si="3"/>
        <v>0</v>
      </c>
      <c r="W1627" s="52">
        <f>IFERROR(__xludf.DUMMYFUNCTION("iFERROR((FILTER('Fund Data'!$Y:$Y, 'Fund Data'!$C:$C = $C1627, 'Fund Data'!$A:$A = $A1627 - 1, 'Fund Data'!$B:$B = 12) + FILTER('Fund Data'!$AA:$AA, 'Fund Data'!$C:$C = $C1627, 'Fund Data'!$A:$A = $A1627 - 1, 'Fund Data'!$B:$B = 12)) * (1 + AVERAGE(FILTER"&amp;"('Inflation Data'!$C:$C,'Inflation Data'!$A:$A = ($A1627 - 2)))) * 'Parameters and Distribution Sum'!$A$4,0)"),0.0)</f>
        <v>0</v>
      </c>
      <c r="X1627" s="52">
        <f>IFERROR(__xludf.DUMMYFUNCTION("IFERROR((IFERROR(FILTER('Fund Data'!$P:$P,'Fund Data'!$C:$C = $C1627,'Fund Data'!$A:$A = ($A1627 - 2), 'Fund Data'!$B:$B = 12),0) - SUM(FILTER('Fund Data'!$V:$V, 'Fund Data'!$C:$C = $C1627, 'Fund Data'!$A:$A = ($A1627 - 2), 'Fund Data'!$B:$B &gt; 3)))  * 'Pa"&amp;"rameters and Distribution Sum'!$B$4 * (1 - 'Parameters and Distribution Sum'!$A$4),0)"),0.0)</f>
        <v>0</v>
      </c>
      <c r="Y1627" s="52">
        <f t="shared" si="140"/>
        <v>0</v>
      </c>
      <c r="Z1627" s="52">
        <f>IFERROR(__xludf.DUMMYFUNCTION("((IFERROR((SUM(FILTER('Fund Data'!$V:$V, 'Fund Data'!$C:$C = $C1627, 'Fund Data'!$A:$A = $A1627 - 1, 'Fund Data'!$B:$B &gt;= 4, 'Fund Data'!$B:$B &lt;= ($B1627 + 5))) / 12) * ($B1627 - 3) * 'Parameters and Distribution Sum'!$B$4, 0) + IF($B1627 &gt;= 9, IFERROR(SU"&amp;"M(FILTER('Fund Data'!$V:$V, 'Fund Data'!$C:$C = $C1627, 'Fund Data'!$A:$A = $A1627, 'Fund Data'!$B:$B &lt;= 3)) * 'Parameters and Distribution Sum'!$B$4, 0),0)))"),0.0)</f>
        <v>0</v>
      </c>
      <c r="AA1627" s="44">
        <f>IFERROR(__xludf.DUMMYFUNCTION("IFERROR(((IFERROR(SUM(FILTER('Fund Data'!$V:$V, 'Fund Data'!$C:$C = $C1627, 'Fund Data'!$A:$A = $A1627 - 2, 'Fund Data'!$B:$B &gt;= 4)) * 'Parameters and Distribution Sum'!$B$4,0) + IFERROR(SUM(FILTER('Fund Data'!$V:$V, 'Fund Data'!$C:$C = $C1627, 'Fund Data"&amp;"'!$A:$A = $A1627 - 1, 'Fund Data'!$B:$B &lt;= 3)) * 'Parameters and Distribution Sum'!$B$4,0))),0)"),0.0)</f>
        <v>0</v>
      </c>
      <c r="AB1627" s="44">
        <f t="shared" si="141"/>
        <v>0</v>
      </c>
      <c r="AC1627" s="44">
        <f t="shared" si="142"/>
        <v>0</v>
      </c>
      <c r="AD1627" s="44">
        <f t="shared" si="7"/>
        <v>0</v>
      </c>
      <c r="AE1627" s="44"/>
    </row>
    <row r="1628">
      <c r="A1628" s="178"/>
      <c r="B1628" s="179"/>
      <c r="C1628" s="147"/>
      <c r="D1628" s="44"/>
      <c r="E1628" s="44"/>
      <c r="F1628" s="44"/>
      <c r="G1628" s="44"/>
      <c r="H1628" s="44"/>
      <c r="I1628" s="44"/>
      <c r="J1628" s="44"/>
      <c r="K1628" s="44"/>
      <c r="L1628" s="44"/>
      <c r="M1628" s="44"/>
      <c r="N1628" s="44"/>
      <c r="O1628" s="44"/>
      <c r="P1628" s="52">
        <f t="shared" si="23"/>
        <v>0</v>
      </c>
      <c r="Q1628" s="124">
        <f t="shared" si="2"/>
        <v>0</v>
      </c>
      <c r="R1628" s="52">
        <f t="array" ref="R1628">IFERROR(INDEX('Fund YTD Target Values'!$1:$1000, MATCH($C1628,'Fund YTD Target Values'!$A:$A,0), MATCH($A1628,'Fund YTD Target Values'!$1:$1,0)),0)</f>
        <v>0</v>
      </c>
      <c r="S1628" s="52">
        <f>IFERROR(__xludf.DUMMYFUNCTION("IFERROR(sum(FILTER('Fund Data'!$V:$V, 'Fund Data'!$C:$C = $C1628, 'Fund Data'!$A:$A &lt; $A1628)),0) + IFERROR(sum(FILTER('Fund Data'!$V:$V, 'Fund Data'!$C:$C = $C1628, 'Fund Data'!$A:$A = $A1628, 'Fund Data'!$B:$B &lt;= $B1628)),0)"),0.0)</f>
        <v>0</v>
      </c>
      <c r="T1628" s="44"/>
      <c r="U1628" s="44"/>
      <c r="V1628" s="44">
        <f t="shared" si="3"/>
        <v>0</v>
      </c>
      <c r="W1628" s="52">
        <f>IFERROR(__xludf.DUMMYFUNCTION("iFERROR((FILTER('Fund Data'!$Y:$Y, 'Fund Data'!$C:$C = $C1628, 'Fund Data'!$A:$A = $A1628 - 1, 'Fund Data'!$B:$B = 12) + FILTER('Fund Data'!$AA:$AA, 'Fund Data'!$C:$C = $C1628, 'Fund Data'!$A:$A = $A1628 - 1, 'Fund Data'!$B:$B = 12)) * (1 + AVERAGE(FILTER"&amp;"('Inflation Data'!$C:$C,'Inflation Data'!$A:$A = ($A1628 - 2)))) * 'Parameters and Distribution Sum'!$A$4,0)"),0.0)</f>
        <v>0</v>
      </c>
      <c r="X1628" s="52">
        <f>IFERROR(__xludf.DUMMYFUNCTION("IFERROR((IFERROR(FILTER('Fund Data'!$P:$P,'Fund Data'!$C:$C = $C1628,'Fund Data'!$A:$A = ($A1628 - 2), 'Fund Data'!$B:$B = 12),0) - SUM(FILTER('Fund Data'!$V:$V, 'Fund Data'!$C:$C = $C1628, 'Fund Data'!$A:$A = ($A1628 - 2), 'Fund Data'!$B:$B &gt; 3)))  * 'Pa"&amp;"rameters and Distribution Sum'!$B$4 * (1 - 'Parameters and Distribution Sum'!$A$4),0)"),0.0)</f>
        <v>0</v>
      </c>
      <c r="Y1628" s="52">
        <f t="shared" si="140"/>
        <v>0</v>
      </c>
      <c r="Z1628" s="52">
        <f>IFERROR(__xludf.DUMMYFUNCTION("((IFERROR((SUM(FILTER('Fund Data'!$V:$V, 'Fund Data'!$C:$C = $C1628, 'Fund Data'!$A:$A = $A1628 - 1, 'Fund Data'!$B:$B &gt;= 4, 'Fund Data'!$B:$B &lt;= ($B1628 + 5))) / 12) * ($B1628 - 3) * 'Parameters and Distribution Sum'!$B$4, 0) + IF($B1628 &gt;= 9, IFERROR(SU"&amp;"M(FILTER('Fund Data'!$V:$V, 'Fund Data'!$C:$C = $C1628, 'Fund Data'!$A:$A = $A1628, 'Fund Data'!$B:$B &lt;= 3)) * 'Parameters and Distribution Sum'!$B$4, 0),0)))"),0.0)</f>
        <v>0</v>
      </c>
      <c r="AA1628" s="44">
        <f>IFERROR(__xludf.DUMMYFUNCTION("IFERROR(((IFERROR(SUM(FILTER('Fund Data'!$V:$V, 'Fund Data'!$C:$C = $C1628, 'Fund Data'!$A:$A = $A1628 - 2, 'Fund Data'!$B:$B &gt;= 4)) * 'Parameters and Distribution Sum'!$B$4,0) + IFERROR(SUM(FILTER('Fund Data'!$V:$V, 'Fund Data'!$C:$C = $C1628, 'Fund Data"&amp;"'!$A:$A = $A1628 - 1, 'Fund Data'!$B:$B &lt;= 3)) * 'Parameters and Distribution Sum'!$B$4,0))),0)"),0.0)</f>
        <v>0</v>
      </c>
      <c r="AB1628" s="44">
        <f t="shared" si="141"/>
        <v>0</v>
      </c>
      <c r="AC1628" s="44">
        <f t="shared" si="142"/>
        <v>0</v>
      </c>
      <c r="AD1628" s="44">
        <f t="shared" si="7"/>
        <v>0</v>
      </c>
      <c r="AE1628" s="44"/>
    </row>
    <row r="1629">
      <c r="A1629" s="178"/>
      <c r="B1629" s="179"/>
      <c r="C1629" s="147"/>
      <c r="D1629" s="44"/>
      <c r="E1629" s="44"/>
      <c r="F1629" s="44"/>
      <c r="G1629" s="44"/>
      <c r="H1629" s="44"/>
      <c r="I1629" s="44"/>
      <c r="J1629" s="44"/>
      <c r="K1629" s="44"/>
      <c r="L1629" s="44"/>
      <c r="M1629" s="44"/>
      <c r="N1629" s="44"/>
      <c r="O1629" s="44"/>
      <c r="P1629" s="52">
        <f t="shared" si="23"/>
        <v>0</v>
      </c>
      <c r="Q1629" s="124">
        <f t="shared" si="2"/>
        <v>0</v>
      </c>
      <c r="R1629" s="52">
        <f t="array" ref="R1629">IFERROR(INDEX('Fund YTD Target Values'!$1:$1000, MATCH($C1629,'Fund YTD Target Values'!$A:$A,0), MATCH($A1629,'Fund YTD Target Values'!$1:$1,0)),0)</f>
        <v>0</v>
      </c>
      <c r="S1629" s="52">
        <f>IFERROR(__xludf.DUMMYFUNCTION("IFERROR(sum(FILTER('Fund Data'!$V:$V, 'Fund Data'!$C:$C = $C1629, 'Fund Data'!$A:$A &lt; $A1629)),0) + IFERROR(sum(FILTER('Fund Data'!$V:$V, 'Fund Data'!$C:$C = $C1629, 'Fund Data'!$A:$A = $A1629, 'Fund Data'!$B:$B &lt;= $B1629)),0)"),0.0)</f>
        <v>0</v>
      </c>
      <c r="T1629" s="44"/>
      <c r="U1629" s="44"/>
      <c r="V1629" s="44">
        <f t="shared" si="3"/>
        <v>0</v>
      </c>
      <c r="W1629" s="52">
        <f>IFERROR(__xludf.DUMMYFUNCTION("iFERROR((FILTER('Fund Data'!$Y:$Y, 'Fund Data'!$C:$C = $C1629, 'Fund Data'!$A:$A = $A1629 - 1, 'Fund Data'!$B:$B = 12) + FILTER('Fund Data'!$AA:$AA, 'Fund Data'!$C:$C = $C1629, 'Fund Data'!$A:$A = $A1629 - 1, 'Fund Data'!$B:$B = 12)) * (1 + AVERAGE(FILTER"&amp;"('Inflation Data'!$C:$C,'Inflation Data'!$A:$A = ($A1629 - 2)))) * 'Parameters and Distribution Sum'!$A$4,0)"),0.0)</f>
        <v>0</v>
      </c>
      <c r="X1629" s="52">
        <f>IFERROR(__xludf.DUMMYFUNCTION("IFERROR((IFERROR(FILTER('Fund Data'!$P:$P,'Fund Data'!$C:$C = $C1629,'Fund Data'!$A:$A = ($A1629 - 2), 'Fund Data'!$B:$B = 12),0) - SUM(FILTER('Fund Data'!$V:$V, 'Fund Data'!$C:$C = $C1629, 'Fund Data'!$A:$A = ($A1629 - 2), 'Fund Data'!$B:$B &gt; 3)))  * 'Pa"&amp;"rameters and Distribution Sum'!$B$4 * (1 - 'Parameters and Distribution Sum'!$A$4),0)"),0.0)</f>
        <v>0</v>
      </c>
      <c r="Y1629" s="52">
        <f t="shared" si="140"/>
        <v>0</v>
      </c>
      <c r="Z1629" s="52">
        <f>IFERROR(__xludf.DUMMYFUNCTION("((IFERROR((SUM(FILTER('Fund Data'!$V:$V, 'Fund Data'!$C:$C = $C1629, 'Fund Data'!$A:$A = $A1629 - 1, 'Fund Data'!$B:$B &gt;= 4, 'Fund Data'!$B:$B &lt;= ($B1629 + 5))) / 12) * ($B1629 - 3) * 'Parameters and Distribution Sum'!$B$4, 0) + IF($B1629 &gt;= 9, IFERROR(SU"&amp;"M(FILTER('Fund Data'!$V:$V, 'Fund Data'!$C:$C = $C1629, 'Fund Data'!$A:$A = $A1629, 'Fund Data'!$B:$B &lt;= 3)) * 'Parameters and Distribution Sum'!$B$4, 0),0)))"),0.0)</f>
        <v>0</v>
      </c>
      <c r="AA1629" s="44">
        <f>IFERROR(__xludf.DUMMYFUNCTION("IFERROR(((IFERROR(SUM(FILTER('Fund Data'!$V:$V, 'Fund Data'!$C:$C = $C1629, 'Fund Data'!$A:$A = $A1629 - 2, 'Fund Data'!$B:$B &gt;= 4)) * 'Parameters and Distribution Sum'!$B$4,0) + IFERROR(SUM(FILTER('Fund Data'!$V:$V, 'Fund Data'!$C:$C = $C1629, 'Fund Data"&amp;"'!$A:$A = $A1629 - 1, 'Fund Data'!$B:$B &lt;= 3)) * 'Parameters and Distribution Sum'!$B$4,0))),0)"),0.0)</f>
        <v>0</v>
      </c>
      <c r="AB1629" s="44">
        <f t="shared" si="141"/>
        <v>0</v>
      </c>
      <c r="AC1629" s="44">
        <f t="shared" si="142"/>
        <v>0</v>
      </c>
      <c r="AD1629" s="44">
        <f t="shared" si="7"/>
        <v>0</v>
      </c>
      <c r="AE1629" s="44"/>
    </row>
    <row r="1630">
      <c r="A1630" s="178"/>
      <c r="B1630" s="179"/>
      <c r="C1630" s="147"/>
      <c r="D1630" s="44"/>
      <c r="E1630" s="44"/>
      <c r="F1630" s="44"/>
      <c r="G1630" s="44"/>
      <c r="H1630" s="44"/>
      <c r="I1630" s="44"/>
      <c r="J1630" s="44"/>
      <c r="K1630" s="44"/>
      <c r="L1630" s="44"/>
      <c r="M1630" s="44"/>
      <c r="N1630" s="44"/>
      <c r="O1630" s="44"/>
      <c r="P1630" s="52">
        <f t="shared" si="23"/>
        <v>0</v>
      </c>
      <c r="Q1630" s="124">
        <f t="shared" si="2"/>
        <v>0</v>
      </c>
      <c r="R1630" s="52">
        <f t="array" ref="R1630">IFERROR(INDEX('Fund YTD Target Values'!$1:$1000, MATCH($C1630,'Fund YTD Target Values'!$A:$A,0), MATCH($A1630,'Fund YTD Target Values'!$1:$1,0)),0)</f>
        <v>0</v>
      </c>
      <c r="S1630" s="52">
        <f>IFERROR(__xludf.DUMMYFUNCTION("IFERROR(sum(FILTER('Fund Data'!$V:$V, 'Fund Data'!$C:$C = $C1630, 'Fund Data'!$A:$A &lt; $A1630)),0) + IFERROR(sum(FILTER('Fund Data'!$V:$V, 'Fund Data'!$C:$C = $C1630, 'Fund Data'!$A:$A = $A1630, 'Fund Data'!$B:$B &lt;= $B1630)),0)"),0.0)</f>
        <v>0</v>
      </c>
      <c r="T1630" s="44"/>
      <c r="U1630" s="44"/>
      <c r="V1630" s="44">
        <f t="shared" si="3"/>
        <v>0</v>
      </c>
      <c r="W1630" s="52">
        <f>IFERROR(__xludf.DUMMYFUNCTION("iFERROR((FILTER('Fund Data'!$Y:$Y, 'Fund Data'!$C:$C = $C1630, 'Fund Data'!$A:$A = $A1630 - 1, 'Fund Data'!$B:$B = 12) + FILTER('Fund Data'!$AA:$AA, 'Fund Data'!$C:$C = $C1630, 'Fund Data'!$A:$A = $A1630 - 1, 'Fund Data'!$B:$B = 12)) * (1 + AVERAGE(FILTER"&amp;"('Inflation Data'!$C:$C,'Inflation Data'!$A:$A = ($A1630 - 2)))) * 'Parameters and Distribution Sum'!$A$4,0)"),0.0)</f>
        <v>0</v>
      </c>
      <c r="X1630" s="52">
        <f>IFERROR(__xludf.DUMMYFUNCTION("IFERROR((IFERROR(FILTER('Fund Data'!$P:$P,'Fund Data'!$C:$C = $C1630,'Fund Data'!$A:$A = ($A1630 - 2), 'Fund Data'!$B:$B = 12),0) - SUM(FILTER('Fund Data'!$V:$V, 'Fund Data'!$C:$C = $C1630, 'Fund Data'!$A:$A = ($A1630 - 2), 'Fund Data'!$B:$B &gt; 3)))  * 'Pa"&amp;"rameters and Distribution Sum'!$B$4 * (1 - 'Parameters and Distribution Sum'!$A$4),0)"),0.0)</f>
        <v>0</v>
      </c>
      <c r="Y1630" s="52">
        <f t="shared" si="140"/>
        <v>0</v>
      </c>
      <c r="Z1630" s="52">
        <f>IFERROR(__xludf.DUMMYFUNCTION("((IFERROR((SUM(FILTER('Fund Data'!$V:$V, 'Fund Data'!$C:$C = $C1630, 'Fund Data'!$A:$A = $A1630 - 1, 'Fund Data'!$B:$B &gt;= 4, 'Fund Data'!$B:$B &lt;= ($B1630 + 5))) / 12) * ($B1630 - 3) * 'Parameters and Distribution Sum'!$B$4, 0) + IF($B1630 &gt;= 9, IFERROR(SU"&amp;"M(FILTER('Fund Data'!$V:$V, 'Fund Data'!$C:$C = $C1630, 'Fund Data'!$A:$A = $A1630, 'Fund Data'!$B:$B &lt;= 3)) * 'Parameters and Distribution Sum'!$B$4, 0),0)))"),0.0)</f>
        <v>0</v>
      </c>
      <c r="AA1630" s="44">
        <f>IFERROR(__xludf.DUMMYFUNCTION("IFERROR(((IFERROR(SUM(FILTER('Fund Data'!$V:$V, 'Fund Data'!$C:$C = $C1630, 'Fund Data'!$A:$A = $A1630 - 2, 'Fund Data'!$B:$B &gt;= 4)) * 'Parameters and Distribution Sum'!$B$4,0) + IFERROR(SUM(FILTER('Fund Data'!$V:$V, 'Fund Data'!$C:$C = $C1630, 'Fund Data"&amp;"'!$A:$A = $A1630 - 1, 'Fund Data'!$B:$B &lt;= 3)) * 'Parameters and Distribution Sum'!$B$4,0))),0)"),0.0)</f>
        <v>0</v>
      </c>
      <c r="AB1630" s="44">
        <f t="shared" si="141"/>
        <v>0</v>
      </c>
      <c r="AC1630" s="44">
        <f t="shared" si="142"/>
        <v>0</v>
      </c>
      <c r="AD1630" s="44">
        <f t="shared" si="7"/>
        <v>0</v>
      </c>
      <c r="AE1630" s="44"/>
    </row>
    <row r="1631">
      <c r="A1631" s="178"/>
      <c r="B1631" s="179"/>
      <c r="C1631" s="147"/>
      <c r="D1631" s="44"/>
      <c r="E1631" s="44"/>
      <c r="F1631" s="44"/>
      <c r="G1631" s="44"/>
      <c r="H1631" s="44"/>
      <c r="I1631" s="44"/>
      <c r="J1631" s="44"/>
      <c r="K1631" s="44"/>
      <c r="L1631" s="44"/>
      <c r="M1631" s="44"/>
      <c r="N1631" s="44"/>
      <c r="O1631" s="44"/>
      <c r="P1631" s="52">
        <f t="shared" si="23"/>
        <v>0</v>
      </c>
      <c r="Q1631" s="124">
        <f t="shared" si="2"/>
        <v>0</v>
      </c>
      <c r="R1631" s="52">
        <f t="array" ref="R1631">IFERROR(INDEX('Fund YTD Target Values'!$1:$1000, MATCH($C1631,'Fund YTD Target Values'!$A:$A,0), MATCH($A1631,'Fund YTD Target Values'!$1:$1,0)),0)</f>
        <v>0</v>
      </c>
      <c r="S1631" s="52">
        <f>IFERROR(__xludf.DUMMYFUNCTION("IFERROR(sum(FILTER('Fund Data'!$V:$V, 'Fund Data'!$C:$C = $C1631, 'Fund Data'!$A:$A &lt; $A1631)),0) + IFERROR(sum(FILTER('Fund Data'!$V:$V, 'Fund Data'!$C:$C = $C1631, 'Fund Data'!$A:$A = $A1631, 'Fund Data'!$B:$B &lt;= $B1631)),0)"),0.0)</f>
        <v>0</v>
      </c>
      <c r="T1631" s="44"/>
      <c r="U1631" s="44"/>
      <c r="V1631" s="44">
        <f t="shared" si="3"/>
        <v>0</v>
      </c>
      <c r="W1631" s="52">
        <f>IFERROR(__xludf.DUMMYFUNCTION("iFERROR((FILTER('Fund Data'!$Y:$Y, 'Fund Data'!$C:$C = $C1631, 'Fund Data'!$A:$A = $A1631 - 1, 'Fund Data'!$B:$B = 12) + FILTER('Fund Data'!$AA:$AA, 'Fund Data'!$C:$C = $C1631, 'Fund Data'!$A:$A = $A1631 - 1, 'Fund Data'!$B:$B = 12)) * (1 + AVERAGE(FILTER"&amp;"('Inflation Data'!$C:$C,'Inflation Data'!$A:$A = ($A1631 - 2)))) * 'Parameters and Distribution Sum'!$A$4,0)"),0.0)</f>
        <v>0</v>
      </c>
      <c r="X1631" s="52">
        <f>IFERROR(__xludf.DUMMYFUNCTION("IFERROR((IFERROR(FILTER('Fund Data'!$P:$P,'Fund Data'!$C:$C = $C1631,'Fund Data'!$A:$A = ($A1631 - 2), 'Fund Data'!$B:$B = 12),0) - SUM(FILTER('Fund Data'!$V:$V, 'Fund Data'!$C:$C = $C1631, 'Fund Data'!$A:$A = ($A1631 - 2), 'Fund Data'!$B:$B &gt; 3)))  * 'Pa"&amp;"rameters and Distribution Sum'!$B$4 * (1 - 'Parameters and Distribution Sum'!$A$4),0)"),0.0)</f>
        <v>0</v>
      </c>
      <c r="Y1631" s="52">
        <f t="shared" si="140"/>
        <v>0</v>
      </c>
      <c r="Z1631" s="52">
        <f>IFERROR(__xludf.DUMMYFUNCTION("((IFERROR((SUM(FILTER('Fund Data'!$V:$V, 'Fund Data'!$C:$C = $C1631, 'Fund Data'!$A:$A = $A1631 - 1, 'Fund Data'!$B:$B &gt;= 4, 'Fund Data'!$B:$B &lt;= ($B1631 + 5))) / 12) * ($B1631 - 3) * 'Parameters and Distribution Sum'!$B$4, 0) + IF($B1631 &gt;= 9, IFERROR(SU"&amp;"M(FILTER('Fund Data'!$V:$V, 'Fund Data'!$C:$C = $C1631, 'Fund Data'!$A:$A = $A1631, 'Fund Data'!$B:$B &lt;= 3)) * 'Parameters and Distribution Sum'!$B$4, 0),0)))"),0.0)</f>
        <v>0</v>
      </c>
      <c r="AA1631" s="44">
        <f>IFERROR(__xludf.DUMMYFUNCTION("IFERROR(((IFERROR(SUM(FILTER('Fund Data'!$V:$V, 'Fund Data'!$C:$C = $C1631, 'Fund Data'!$A:$A = $A1631 - 2, 'Fund Data'!$B:$B &gt;= 4)) * 'Parameters and Distribution Sum'!$B$4,0) + IFERROR(SUM(FILTER('Fund Data'!$V:$V, 'Fund Data'!$C:$C = $C1631, 'Fund Data"&amp;"'!$A:$A = $A1631 - 1, 'Fund Data'!$B:$B &lt;= 3)) * 'Parameters and Distribution Sum'!$B$4,0))),0)"),0.0)</f>
        <v>0</v>
      </c>
      <c r="AB1631" s="44">
        <f t="shared" si="141"/>
        <v>0</v>
      </c>
      <c r="AC1631" s="44">
        <f t="shared" si="142"/>
        <v>0</v>
      </c>
      <c r="AD1631" s="44">
        <f t="shared" si="7"/>
        <v>0</v>
      </c>
      <c r="AE1631" s="44"/>
    </row>
    <row r="1632">
      <c r="A1632" s="178"/>
      <c r="B1632" s="179"/>
      <c r="C1632" s="147"/>
      <c r="D1632" s="44"/>
      <c r="E1632" s="44"/>
      <c r="F1632" s="44"/>
      <c r="G1632" s="44"/>
      <c r="H1632" s="44"/>
      <c r="I1632" s="44"/>
      <c r="J1632" s="44"/>
      <c r="K1632" s="44"/>
      <c r="L1632" s="44"/>
      <c r="M1632" s="44"/>
      <c r="N1632" s="44"/>
      <c r="O1632" s="44"/>
      <c r="P1632" s="52">
        <f t="shared" si="23"/>
        <v>0</v>
      </c>
      <c r="Q1632" s="124">
        <f t="shared" si="2"/>
        <v>0</v>
      </c>
      <c r="R1632" s="52">
        <f t="array" ref="R1632">IFERROR(INDEX('Fund YTD Target Values'!$1:$1000, MATCH($C1632,'Fund YTD Target Values'!$A:$A,0), MATCH($A1632,'Fund YTD Target Values'!$1:$1,0)),0)</f>
        <v>0</v>
      </c>
      <c r="S1632" s="52">
        <f>IFERROR(__xludf.DUMMYFUNCTION("IFERROR(sum(FILTER('Fund Data'!$V:$V, 'Fund Data'!$C:$C = $C1632, 'Fund Data'!$A:$A &lt; $A1632)),0) + IFERROR(sum(FILTER('Fund Data'!$V:$V, 'Fund Data'!$C:$C = $C1632, 'Fund Data'!$A:$A = $A1632, 'Fund Data'!$B:$B &lt;= $B1632)),0)"),0.0)</f>
        <v>0</v>
      </c>
      <c r="T1632" s="44"/>
      <c r="U1632" s="44"/>
      <c r="V1632" s="44">
        <f t="shared" si="3"/>
        <v>0</v>
      </c>
      <c r="W1632" s="52">
        <f>IFERROR(__xludf.DUMMYFUNCTION("iFERROR((FILTER('Fund Data'!$Y:$Y, 'Fund Data'!$C:$C = $C1632, 'Fund Data'!$A:$A = $A1632 - 1, 'Fund Data'!$B:$B = 12) + FILTER('Fund Data'!$AA:$AA, 'Fund Data'!$C:$C = $C1632, 'Fund Data'!$A:$A = $A1632 - 1, 'Fund Data'!$B:$B = 12)) * (1 + AVERAGE(FILTER"&amp;"('Inflation Data'!$C:$C,'Inflation Data'!$A:$A = ($A1632 - 2)))) * 'Parameters and Distribution Sum'!$A$4,0)"),0.0)</f>
        <v>0</v>
      </c>
      <c r="X1632" s="52">
        <f>IFERROR(__xludf.DUMMYFUNCTION("IFERROR((IFERROR(FILTER('Fund Data'!$P:$P,'Fund Data'!$C:$C = $C1632,'Fund Data'!$A:$A = ($A1632 - 2), 'Fund Data'!$B:$B = 12),0) - SUM(FILTER('Fund Data'!$V:$V, 'Fund Data'!$C:$C = $C1632, 'Fund Data'!$A:$A = ($A1632 - 2), 'Fund Data'!$B:$B &gt; 3)))  * 'Pa"&amp;"rameters and Distribution Sum'!$B$4 * (1 - 'Parameters and Distribution Sum'!$A$4),0)"),0.0)</f>
        <v>0</v>
      </c>
      <c r="Y1632" s="52">
        <f t="shared" si="140"/>
        <v>0</v>
      </c>
      <c r="Z1632" s="52">
        <f>IFERROR(__xludf.DUMMYFUNCTION("((IFERROR((SUM(FILTER('Fund Data'!$V:$V, 'Fund Data'!$C:$C = $C1632, 'Fund Data'!$A:$A = $A1632 - 1, 'Fund Data'!$B:$B &gt;= 4, 'Fund Data'!$B:$B &lt;= ($B1632 + 5))) / 12) * ($B1632 - 3) * 'Parameters and Distribution Sum'!$B$4, 0) + IF($B1632 &gt;= 9, IFERROR(SU"&amp;"M(FILTER('Fund Data'!$V:$V, 'Fund Data'!$C:$C = $C1632, 'Fund Data'!$A:$A = $A1632, 'Fund Data'!$B:$B &lt;= 3)) * 'Parameters and Distribution Sum'!$B$4, 0),0)))"),0.0)</f>
        <v>0</v>
      </c>
      <c r="AA1632" s="44">
        <f>IFERROR(__xludf.DUMMYFUNCTION("IFERROR(((IFERROR(SUM(FILTER('Fund Data'!$V:$V, 'Fund Data'!$C:$C = $C1632, 'Fund Data'!$A:$A = $A1632 - 2, 'Fund Data'!$B:$B &gt;= 4)) * 'Parameters and Distribution Sum'!$B$4,0) + IFERROR(SUM(FILTER('Fund Data'!$V:$V, 'Fund Data'!$C:$C = $C1632, 'Fund Data"&amp;"'!$A:$A = $A1632 - 1, 'Fund Data'!$B:$B &lt;= 3)) * 'Parameters and Distribution Sum'!$B$4,0))),0)"),0.0)</f>
        <v>0</v>
      </c>
      <c r="AB1632" s="44">
        <f t="shared" si="141"/>
        <v>0</v>
      </c>
      <c r="AC1632" s="44">
        <f t="shared" si="142"/>
        <v>0</v>
      </c>
      <c r="AD1632" s="44">
        <f t="shared" si="7"/>
        <v>0</v>
      </c>
      <c r="AE1632" s="44"/>
    </row>
    <row r="1633">
      <c r="A1633" s="178"/>
      <c r="B1633" s="179"/>
      <c r="C1633" s="147"/>
      <c r="D1633" s="44"/>
      <c r="E1633" s="44"/>
      <c r="F1633" s="44"/>
      <c r="G1633" s="44"/>
      <c r="H1633" s="44"/>
      <c r="I1633" s="44"/>
      <c r="J1633" s="44"/>
      <c r="K1633" s="44"/>
      <c r="L1633" s="44"/>
      <c r="M1633" s="44"/>
      <c r="N1633" s="44"/>
      <c r="O1633" s="44"/>
      <c r="P1633" s="52">
        <f t="shared" si="23"/>
        <v>0</v>
      </c>
      <c r="Q1633" s="124">
        <f t="shared" si="2"/>
        <v>0</v>
      </c>
      <c r="R1633" s="52">
        <f t="array" ref="R1633">IFERROR(INDEX('Fund YTD Target Values'!$1:$1000, MATCH($C1633,'Fund YTD Target Values'!$A:$A,0), MATCH($A1633,'Fund YTD Target Values'!$1:$1,0)),0)</f>
        <v>0</v>
      </c>
      <c r="S1633" s="52">
        <f>IFERROR(__xludf.DUMMYFUNCTION("IFERROR(sum(FILTER('Fund Data'!$V:$V, 'Fund Data'!$C:$C = $C1633, 'Fund Data'!$A:$A &lt; $A1633)),0) + IFERROR(sum(FILTER('Fund Data'!$V:$V, 'Fund Data'!$C:$C = $C1633, 'Fund Data'!$A:$A = $A1633, 'Fund Data'!$B:$B &lt;= $B1633)),0)"),0.0)</f>
        <v>0</v>
      </c>
      <c r="T1633" s="44"/>
      <c r="U1633" s="44"/>
      <c r="V1633" s="44">
        <f t="shared" si="3"/>
        <v>0</v>
      </c>
      <c r="W1633" s="52">
        <f>IFERROR(__xludf.DUMMYFUNCTION("iFERROR((FILTER('Fund Data'!$Y:$Y, 'Fund Data'!$C:$C = $C1633, 'Fund Data'!$A:$A = $A1633 - 1, 'Fund Data'!$B:$B = 12) + FILTER('Fund Data'!$AA:$AA, 'Fund Data'!$C:$C = $C1633, 'Fund Data'!$A:$A = $A1633 - 1, 'Fund Data'!$B:$B = 12)) * (1 + AVERAGE(FILTER"&amp;"('Inflation Data'!$C:$C,'Inflation Data'!$A:$A = ($A1633 - 2)))) * 'Parameters and Distribution Sum'!$A$4,0)"),0.0)</f>
        <v>0</v>
      </c>
      <c r="X1633" s="52">
        <f>IFERROR(__xludf.DUMMYFUNCTION("IFERROR((IFERROR(FILTER('Fund Data'!$P:$P,'Fund Data'!$C:$C = $C1633,'Fund Data'!$A:$A = ($A1633 - 2), 'Fund Data'!$B:$B = 12),0) - SUM(FILTER('Fund Data'!$V:$V, 'Fund Data'!$C:$C = $C1633, 'Fund Data'!$A:$A = ($A1633 - 2), 'Fund Data'!$B:$B &gt; 3)))  * 'Pa"&amp;"rameters and Distribution Sum'!$B$4 * (1 - 'Parameters and Distribution Sum'!$A$4),0)"),0.0)</f>
        <v>0</v>
      </c>
      <c r="Y1633" s="52">
        <f t="shared" si="140"/>
        <v>0</v>
      </c>
      <c r="Z1633" s="52">
        <f>IFERROR(__xludf.DUMMYFUNCTION("((IFERROR((SUM(FILTER('Fund Data'!$V:$V, 'Fund Data'!$C:$C = $C1633, 'Fund Data'!$A:$A = $A1633 - 1, 'Fund Data'!$B:$B &gt;= 4, 'Fund Data'!$B:$B &lt;= ($B1633 + 5))) / 12) * ($B1633 - 3) * 'Parameters and Distribution Sum'!$B$4, 0) + IF($B1633 &gt;= 9, IFERROR(SU"&amp;"M(FILTER('Fund Data'!$V:$V, 'Fund Data'!$C:$C = $C1633, 'Fund Data'!$A:$A = $A1633, 'Fund Data'!$B:$B &lt;= 3)) * 'Parameters and Distribution Sum'!$B$4, 0),0)))"),0.0)</f>
        <v>0</v>
      </c>
      <c r="AA1633" s="44">
        <f>IFERROR(__xludf.DUMMYFUNCTION("IFERROR(((IFERROR(SUM(FILTER('Fund Data'!$V:$V, 'Fund Data'!$C:$C = $C1633, 'Fund Data'!$A:$A = $A1633 - 2, 'Fund Data'!$B:$B &gt;= 4)) * 'Parameters and Distribution Sum'!$B$4,0) + IFERROR(SUM(FILTER('Fund Data'!$V:$V, 'Fund Data'!$C:$C = $C1633, 'Fund Data"&amp;"'!$A:$A = $A1633 - 1, 'Fund Data'!$B:$B &lt;= 3)) * 'Parameters and Distribution Sum'!$B$4,0))),0)"),0.0)</f>
        <v>0</v>
      </c>
      <c r="AB1633" s="44">
        <f t="shared" si="141"/>
        <v>0</v>
      </c>
      <c r="AC1633" s="44">
        <f t="shared" si="142"/>
        <v>0</v>
      </c>
      <c r="AD1633" s="44">
        <f t="shared" si="7"/>
        <v>0</v>
      </c>
      <c r="AE1633" s="44"/>
    </row>
    <row r="1634">
      <c r="A1634" s="178"/>
      <c r="B1634" s="179"/>
      <c r="C1634" s="147"/>
      <c r="D1634" s="44"/>
      <c r="E1634" s="44"/>
      <c r="F1634" s="44"/>
      <c r="G1634" s="44"/>
      <c r="H1634" s="44"/>
      <c r="I1634" s="44"/>
      <c r="J1634" s="44"/>
      <c r="K1634" s="44"/>
      <c r="L1634" s="44"/>
      <c r="M1634" s="44"/>
      <c r="N1634" s="44"/>
      <c r="O1634" s="44"/>
      <c r="P1634" s="52">
        <f t="shared" si="23"/>
        <v>0</v>
      </c>
      <c r="Q1634" s="124">
        <f t="shared" si="2"/>
        <v>0</v>
      </c>
      <c r="R1634" s="52">
        <f t="array" ref="R1634">IFERROR(INDEX('Fund YTD Target Values'!$1:$1000, MATCH($C1634,'Fund YTD Target Values'!$A:$A,0), MATCH($A1634,'Fund YTD Target Values'!$1:$1,0)),0)</f>
        <v>0</v>
      </c>
      <c r="S1634" s="52">
        <f>IFERROR(__xludf.DUMMYFUNCTION("IFERROR(sum(FILTER('Fund Data'!$V:$V, 'Fund Data'!$C:$C = $C1634, 'Fund Data'!$A:$A &lt; $A1634)),0) + IFERROR(sum(FILTER('Fund Data'!$V:$V, 'Fund Data'!$C:$C = $C1634, 'Fund Data'!$A:$A = $A1634, 'Fund Data'!$B:$B &lt;= $B1634)),0)"),0.0)</f>
        <v>0</v>
      </c>
      <c r="T1634" s="44"/>
      <c r="U1634" s="44"/>
      <c r="V1634" s="44">
        <f t="shared" si="3"/>
        <v>0</v>
      </c>
      <c r="W1634" s="52">
        <f>IFERROR(__xludf.DUMMYFUNCTION("iFERROR((FILTER('Fund Data'!$Y:$Y, 'Fund Data'!$C:$C = $C1634, 'Fund Data'!$A:$A = $A1634 - 1, 'Fund Data'!$B:$B = 12) + FILTER('Fund Data'!$AA:$AA, 'Fund Data'!$C:$C = $C1634, 'Fund Data'!$A:$A = $A1634 - 1, 'Fund Data'!$B:$B = 12)) * (1 + AVERAGE(FILTER"&amp;"('Inflation Data'!$C:$C,'Inflation Data'!$A:$A = ($A1634 - 2)))) * 'Parameters and Distribution Sum'!$A$4,0)"),0.0)</f>
        <v>0</v>
      </c>
      <c r="X1634" s="52">
        <f>IFERROR(__xludf.DUMMYFUNCTION("IFERROR((IFERROR(FILTER('Fund Data'!$P:$P,'Fund Data'!$C:$C = $C1634,'Fund Data'!$A:$A = ($A1634 - 2), 'Fund Data'!$B:$B = 12),0) - SUM(FILTER('Fund Data'!$V:$V, 'Fund Data'!$C:$C = $C1634, 'Fund Data'!$A:$A = ($A1634 - 2), 'Fund Data'!$B:$B &gt; 3)))  * 'Pa"&amp;"rameters and Distribution Sum'!$B$4 * (1 - 'Parameters and Distribution Sum'!$A$4),0)"),0.0)</f>
        <v>0</v>
      </c>
      <c r="Y1634" s="52">
        <f t="shared" si="140"/>
        <v>0</v>
      </c>
      <c r="Z1634" s="52">
        <f>IFERROR(__xludf.DUMMYFUNCTION("((IFERROR((SUM(FILTER('Fund Data'!$V:$V, 'Fund Data'!$C:$C = $C1634, 'Fund Data'!$A:$A = $A1634 - 1, 'Fund Data'!$B:$B &gt;= 4, 'Fund Data'!$B:$B &lt;= ($B1634 + 5))) / 12) * ($B1634 - 3) * 'Parameters and Distribution Sum'!$B$4, 0) + IF($B1634 &gt;= 9, IFERROR(SU"&amp;"M(FILTER('Fund Data'!$V:$V, 'Fund Data'!$C:$C = $C1634, 'Fund Data'!$A:$A = $A1634, 'Fund Data'!$B:$B &lt;= 3)) * 'Parameters and Distribution Sum'!$B$4, 0),0)))"),0.0)</f>
        <v>0</v>
      </c>
      <c r="AA1634" s="44">
        <f>IFERROR(__xludf.DUMMYFUNCTION("IFERROR(((IFERROR(SUM(FILTER('Fund Data'!$V:$V, 'Fund Data'!$C:$C = $C1634, 'Fund Data'!$A:$A = $A1634 - 2, 'Fund Data'!$B:$B &gt;= 4)) * 'Parameters and Distribution Sum'!$B$4,0) + IFERROR(SUM(FILTER('Fund Data'!$V:$V, 'Fund Data'!$C:$C = $C1634, 'Fund Data"&amp;"'!$A:$A = $A1634 - 1, 'Fund Data'!$B:$B &lt;= 3)) * 'Parameters and Distribution Sum'!$B$4,0))),0)"),0.0)</f>
        <v>0</v>
      </c>
      <c r="AB1634" s="44">
        <f t="shared" si="141"/>
        <v>0</v>
      </c>
      <c r="AC1634" s="44">
        <f t="shared" si="142"/>
        <v>0</v>
      </c>
      <c r="AD1634" s="44">
        <f t="shared" si="7"/>
        <v>0</v>
      </c>
      <c r="AE1634" s="44"/>
    </row>
    <row r="1635">
      <c r="A1635" s="178"/>
      <c r="B1635" s="179"/>
      <c r="C1635" s="147"/>
      <c r="D1635" s="44"/>
      <c r="E1635" s="44"/>
      <c r="F1635" s="44"/>
      <c r="G1635" s="44"/>
      <c r="H1635" s="44"/>
      <c r="I1635" s="44"/>
      <c r="J1635" s="44"/>
      <c r="K1635" s="44"/>
      <c r="L1635" s="44"/>
      <c r="M1635" s="44"/>
      <c r="N1635" s="44"/>
      <c r="O1635" s="44"/>
      <c r="P1635" s="52">
        <f t="shared" si="23"/>
        <v>0</v>
      </c>
      <c r="Q1635" s="124">
        <f t="shared" si="2"/>
        <v>0</v>
      </c>
      <c r="R1635" s="52">
        <f t="array" ref="R1635">IFERROR(INDEX('Fund YTD Target Values'!$1:$1000, MATCH($C1635,'Fund YTD Target Values'!$A:$A,0), MATCH($A1635,'Fund YTD Target Values'!$1:$1,0)),0)</f>
        <v>0</v>
      </c>
      <c r="S1635" s="52">
        <f>IFERROR(__xludf.DUMMYFUNCTION("IFERROR(sum(FILTER('Fund Data'!$V:$V, 'Fund Data'!$C:$C = $C1635, 'Fund Data'!$A:$A &lt; $A1635)),0) + IFERROR(sum(FILTER('Fund Data'!$V:$V, 'Fund Data'!$C:$C = $C1635, 'Fund Data'!$A:$A = $A1635, 'Fund Data'!$B:$B &lt;= $B1635)),0)"),0.0)</f>
        <v>0</v>
      </c>
      <c r="T1635" s="44"/>
      <c r="U1635" s="44"/>
      <c r="V1635" s="44">
        <f t="shared" si="3"/>
        <v>0</v>
      </c>
      <c r="W1635" s="52">
        <f>IFERROR(__xludf.DUMMYFUNCTION("iFERROR((FILTER('Fund Data'!$Y:$Y, 'Fund Data'!$C:$C = $C1635, 'Fund Data'!$A:$A = $A1635 - 1, 'Fund Data'!$B:$B = 12) + FILTER('Fund Data'!$AA:$AA, 'Fund Data'!$C:$C = $C1635, 'Fund Data'!$A:$A = $A1635 - 1, 'Fund Data'!$B:$B = 12)) * (1 + AVERAGE(FILTER"&amp;"('Inflation Data'!$C:$C,'Inflation Data'!$A:$A = ($A1635 - 2)))) * 'Parameters and Distribution Sum'!$A$4,0)"),0.0)</f>
        <v>0</v>
      </c>
      <c r="X1635" s="52">
        <f>IFERROR(__xludf.DUMMYFUNCTION("IFERROR((IFERROR(FILTER('Fund Data'!$P:$P,'Fund Data'!$C:$C = $C1635,'Fund Data'!$A:$A = ($A1635 - 2), 'Fund Data'!$B:$B = 12),0) - SUM(FILTER('Fund Data'!$V:$V, 'Fund Data'!$C:$C = $C1635, 'Fund Data'!$A:$A = ($A1635 - 2), 'Fund Data'!$B:$B &gt; 3)))  * 'Pa"&amp;"rameters and Distribution Sum'!$B$4 * (1 - 'Parameters and Distribution Sum'!$A$4),0)"),0.0)</f>
        <v>0</v>
      </c>
      <c r="Y1635" s="52">
        <f t="shared" si="140"/>
        <v>0</v>
      </c>
      <c r="Z1635" s="52">
        <f>IFERROR(__xludf.DUMMYFUNCTION("((IFERROR((SUM(FILTER('Fund Data'!$V:$V, 'Fund Data'!$C:$C = $C1635, 'Fund Data'!$A:$A = $A1635 - 1, 'Fund Data'!$B:$B &gt;= 4, 'Fund Data'!$B:$B &lt;= ($B1635 + 5))) / 12) * ($B1635 - 3) * 'Parameters and Distribution Sum'!$B$4, 0) + IF($B1635 &gt;= 9, IFERROR(SU"&amp;"M(FILTER('Fund Data'!$V:$V, 'Fund Data'!$C:$C = $C1635, 'Fund Data'!$A:$A = $A1635, 'Fund Data'!$B:$B &lt;= 3)) * 'Parameters and Distribution Sum'!$B$4, 0),0)))"),0.0)</f>
        <v>0</v>
      </c>
      <c r="AA1635" s="44">
        <f>IFERROR(__xludf.DUMMYFUNCTION("IFERROR(((IFERROR(SUM(FILTER('Fund Data'!$V:$V, 'Fund Data'!$C:$C = $C1635, 'Fund Data'!$A:$A = $A1635 - 2, 'Fund Data'!$B:$B &gt;= 4)) * 'Parameters and Distribution Sum'!$B$4,0) + IFERROR(SUM(FILTER('Fund Data'!$V:$V, 'Fund Data'!$C:$C = $C1635, 'Fund Data"&amp;"'!$A:$A = $A1635 - 1, 'Fund Data'!$B:$B &lt;= 3)) * 'Parameters and Distribution Sum'!$B$4,0))),0)"),0.0)</f>
        <v>0</v>
      </c>
      <c r="AB1635" s="44">
        <f t="shared" si="141"/>
        <v>0</v>
      </c>
      <c r="AC1635" s="44">
        <f t="shared" si="142"/>
        <v>0</v>
      </c>
      <c r="AD1635" s="44">
        <f t="shared" si="7"/>
        <v>0</v>
      </c>
      <c r="AE1635" s="44"/>
    </row>
    <row r="1636">
      <c r="A1636" s="178"/>
      <c r="B1636" s="179"/>
      <c r="C1636" s="147"/>
      <c r="D1636" s="44"/>
      <c r="E1636" s="44"/>
      <c r="F1636" s="44"/>
      <c r="G1636" s="44"/>
      <c r="H1636" s="44"/>
      <c r="I1636" s="44"/>
      <c r="J1636" s="44"/>
      <c r="K1636" s="44"/>
      <c r="L1636" s="44"/>
      <c r="M1636" s="44"/>
      <c r="N1636" s="44"/>
      <c r="O1636" s="44"/>
      <c r="P1636" s="52">
        <f t="shared" si="23"/>
        <v>0</v>
      </c>
      <c r="Q1636" s="124">
        <f t="shared" si="2"/>
        <v>0</v>
      </c>
      <c r="R1636" s="52">
        <f t="array" ref="R1636">IFERROR(INDEX('Fund YTD Target Values'!$1:$1000, MATCH($C1636,'Fund YTD Target Values'!$A:$A,0), MATCH($A1636,'Fund YTD Target Values'!$1:$1,0)),0)</f>
        <v>0</v>
      </c>
      <c r="S1636" s="52">
        <f>IFERROR(__xludf.DUMMYFUNCTION("IFERROR(sum(FILTER('Fund Data'!$V:$V, 'Fund Data'!$C:$C = $C1636, 'Fund Data'!$A:$A &lt; $A1636)),0) + IFERROR(sum(FILTER('Fund Data'!$V:$V, 'Fund Data'!$C:$C = $C1636, 'Fund Data'!$A:$A = $A1636, 'Fund Data'!$B:$B &lt;= $B1636)),0)"),0.0)</f>
        <v>0</v>
      </c>
      <c r="T1636" s="44"/>
      <c r="U1636" s="44"/>
      <c r="V1636" s="44">
        <f t="shared" si="3"/>
        <v>0</v>
      </c>
      <c r="W1636" s="52">
        <f>IFERROR(__xludf.DUMMYFUNCTION("iFERROR((FILTER('Fund Data'!$Y:$Y, 'Fund Data'!$C:$C = $C1636, 'Fund Data'!$A:$A = $A1636 - 1, 'Fund Data'!$B:$B = 12) + FILTER('Fund Data'!$AA:$AA, 'Fund Data'!$C:$C = $C1636, 'Fund Data'!$A:$A = $A1636 - 1, 'Fund Data'!$B:$B = 12)) * (1 + AVERAGE(FILTER"&amp;"('Inflation Data'!$C:$C,'Inflation Data'!$A:$A = ($A1636 - 2)))) * 'Parameters and Distribution Sum'!$A$4,0)"),0.0)</f>
        <v>0</v>
      </c>
      <c r="X1636" s="52">
        <f>IFERROR(__xludf.DUMMYFUNCTION("IFERROR((IFERROR(FILTER('Fund Data'!$P:$P,'Fund Data'!$C:$C = $C1636,'Fund Data'!$A:$A = ($A1636 - 2), 'Fund Data'!$B:$B = 12),0) - SUM(FILTER('Fund Data'!$V:$V, 'Fund Data'!$C:$C = $C1636, 'Fund Data'!$A:$A = ($A1636 - 2), 'Fund Data'!$B:$B &gt; 3)))  * 'Pa"&amp;"rameters and Distribution Sum'!$B$4 * (1 - 'Parameters and Distribution Sum'!$A$4),0)"),0.0)</f>
        <v>0</v>
      </c>
      <c r="Y1636" s="52">
        <f t="shared" si="140"/>
        <v>0</v>
      </c>
      <c r="Z1636" s="52">
        <f>IFERROR(__xludf.DUMMYFUNCTION("((IFERROR((SUM(FILTER('Fund Data'!$V:$V, 'Fund Data'!$C:$C = $C1636, 'Fund Data'!$A:$A = $A1636 - 1, 'Fund Data'!$B:$B &gt;= 4, 'Fund Data'!$B:$B &lt;= ($B1636 + 5))) / 12) * ($B1636 - 3) * 'Parameters and Distribution Sum'!$B$4, 0) + IF($B1636 &gt;= 9, IFERROR(SU"&amp;"M(FILTER('Fund Data'!$V:$V, 'Fund Data'!$C:$C = $C1636, 'Fund Data'!$A:$A = $A1636, 'Fund Data'!$B:$B &lt;= 3)) * 'Parameters and Distribution Sum'!$B$4, 0),0)))"),0.0)</f>
        <v>0</v>
      </c>
      <c r="AA1636" s="44">
        <f>IFERROR(__xludf.DUMMYFUNCTION("IFERROR(((IFERROR(SUM(FILTER('Fund Data'!$V:$V, 'Fund Data'!$C:$C = $C1636, 'Fund Data'!$A:$A = $A1636 - 2, 'Fund Data'!$B:$B &gt;= 4)) * 'Parameters and Distribution Sum'!$B$4,0) + IFERROR(SUM(FILTER('Fund Data'!$V:$V, 'Fund Data'!$C:$C = $C1636, 'Fund Data"&amp;"'!$A:$A = $A1636 - 1, 'Fund Data'!$B:$B &lt;= 3)) * 'Parameters and Distribution Sum'!$B$4,0))),0)"),0.0)</f>
        <v>0</v>
      </c>
      <c r="AB1636" s="44">
        <f t="shared" si="141"/>
        <v>0</v>
      </c>
      <c r="AC1636" s="44">
        <f t="shared" si="142"/>
        <v>0</v>
      </c>
      <c r="AD1636" s="44">
        <f t="shared" si="7"/>
        <v>0</v>
      </c>
      <c r="AE1636" s="44"/>
    </row>
    <row r="1637">
      <c r="A1637" s="178"/>
      <c r="B1637" s="179"/>
      <c r="C1637" s="147"/>
      <c r="D1637" s="44"/>
      <c r="E1637" s="44"/>
      <c r="F1637" s="44"/>
      <c r="G1637" s="44"/>
      <c r="H1637" s="44"/>
      <c r="I1637" s="44"/>
      <c r="J1637" s="44"/>
      <c r="K1637" s="44"/>
      <c r="L1637" s="44"/>
      <c r="M1637" s="44"/>
      <c r="N1637" s="44"/>
      <c r="O1637" s="44"/>
      <c r="P1637" s="52">
        <f t="shared" si="23"/>
        <v>0</v>
      </c>
      <c r="Q1637" s="124">
        <f t="shared" si="2"/>
        <v>0</v>
      </c>
      <c r="R1637" s="52">
        <f t="array" ref="R1637">IFERROR(INDEX('Fund YTD Target Values'!$1:$1000, MATCH($C1637,'Fund YTD Target Values'!$A:$A,0), MATCH($A1637,'Fund YTD Target Values'!$1:$1,0)),0)</f>
        <v>0</v>
      </c>
      <c r="S1637" s="52">
        <f>IFERROR(__xludf.DUMMYFUNCTION("IFERROR(sum(FILTER('Fund Data'!$V:$V, 'Fund Data'!$C:$C = $C1637, 'Fund Data'!$A:$A &lt; $A1637)),0) + IFERROR(sum(FILTER('Fund Data'!$V:$V, 'Fund Data'!$C:$C = $C1637, 'Fund Data'!$A:$A = $A1637, 'Fund Data'!$B:$B &lt;= $B1637)),0)"),0.0)</f>
        <v>0</v>
      </c>
      <c r="T1637" s="44"/>
      <c r="U1637" s="44"/>
      <c r="V1637" s="44">
        <f t="shared" si="3"/>
        <v>0</v>
      </c>
      <c r="W1637" s="52">
        <f>IFERROR(__xludf.DUMMYFUNCTION("iFERROR((FILTER('Fund Data'!$Y:$Y, 'Fund Data'!$C:$C = $C1637, 'Fund Data'!$A:$A = $A1637 - 1, 'Fund Data'!$B:$B = 12) + FILTER('Fund Data'!$AA:$AA, 'Fund Data'!$C:$C = $C1637, 'Fund Data'!$A:$A = $A1637 - 1, 'Fund Data'!$B:$B = 12)) * (1 + AVERAGE(FILTER"&amp;"('Inflation Data'!$C:$C,'Inflation Data'!$A:$A = ($A1637 - 2)))) * 'Parameters and Distribution Sum'!$A$4,0)"),0.0)</f>
        <v>0</v>
      </c>
      <c r="X1637" s="52">
        <f>IFERROR(__xludf.DUMMYFUNCTION("IFERROR((IFERROR(FILTER('Fund Data'!$P:$P,'Fund Data'!$C:$C = $C1637,'Fund Data'!$A:$A = ($A1637 - 2), 'Fund Data'!$B:$B = 12),0) - SUM(FILTER('Fund Data'!$V:$V, 'Fund Data'!$C:$C = $C1637, 'Fund Data'!$A:$A = ($A1637 - 2), 'Fund Data'!$B:$B &gt; 3)))  * 'Pa"&amp;"rameters and Distribution Sum'!$B$4 * (1 - 'Parameters and Distribution Sum'!$A$4),0)"),0.0)</f>
        <v>0</v>
      </c>
      <c r="Y1637" s="52">
        <f t="shared" si="140"/>
        <v>0</v>
      </c>
      <c r="Z1637" s="52">
        <f>IFERROR(__xludf.DUMMYFUNCTION("((IFERROR((SUM(FILTER('Fund Data'!$V:$V, 'Fund Data'!$C:$C = $C1637, 'Fund Data'!$A:$A = $A1637 - 1, 'Fund Data'!$B:$B &gt;= 4, 'Fund Data'!$B:$B &lt;= ($B1637 + 5))) / 12) * ($B1637 - 3) * 'Parameters and Distribution Sum'!$B$4, 0) + IF($B1637 &gt;= 9, IFERROR(SU"&amp;"M(FILTER('Fund Data'!$V:$V, 'Fund Data'!$C:$C = $C1637, 'Fund Data'!$A:$A = $A1637, 'Fund Data'!$B:$B &lt;= 3)) * 'Parameters and Distribution Sum'!$B$4, 0),0)))"),0.0)</f>
        <v>0</v>
      </c>
      <c r="AA1637" s="44">
        <f>IFERROR(__xludf.DUMMYFUNCTION("IFERROR(((IFERROR(SUM(FILTER('Fund Data'!$V:$V, 'Fund Data'!$C:$C = $C1637, 'Fund Data'!$A:$A = $A1637 - 2, 'Fund Data'!$B:$B &gt;= 4)) * 'Parameters and Distribution Sum'!$B$4,0) + IFERROR(SUM(FILTER('Fund Data'!$V:$V, 'Fund Data'!$C:$C = $C1637, 'Fund Data"&amp;"'!$A:$A = $A1637 - 1, 'Fund Data'!$B:$B &lt;= 3)) * 'Parameters and Distribution Sum'!$B$4,0))),0)"),0.0)</f>
        <v>0</v>
      </c>
      <c r="AB1637" s="44">
        <f t="shared" si="141"/>
        <v>0</v>
      </c>
      <c r="AC1637" s="44">
        <f t="shared" si="142"/>
        <v>0</v>
      </c>
      <c r="AD1637" s="44">
        <f t="shared" si="7"/>
        <v>0</v>
      </c>
      <c r="AE1637" s="44"/>
    </row>
    <row r="1638">
      <c r="A1638" s="178"/>
      <c r="B1638" s="179"/>
      <c r="C1638" s="147"/>
      <c r="D1638" s="44"/>
      <c r="E1638" s="44"/>
      <c r="F1638" s="44"/>
      <c r="G1638" s="44"/>
      <c r="H1638" s="44"/>
      <c r="I1638" s="44"/>
      <c r="J1638" s="44"/>
      <c r="K1638" s="44"/>
      <c r="L1638" s="44"/>
      <c r="M1638" s="44"/>
      <c r="N1638" s="44"/>
      <c r="O1638" s="44"/>
      <c r="P1638" s="52">
        <f t="shared" si="23"/>
        <v>0</v>
      </c>
      <c r="Q1638" s="124">
        <f t="shared" si="2"/>
        <v>0</v>
      </c>
      <c r="R1638" s="52">
        <f t="array" ref="R1638">IFERROR(INDEX('Fund YTD Target Values'!$1:$1000, MATCH($C1638,'Fund YTD Target Values'!$A:$A,0), MATCH($A1638,'Fund YTD Target Values'!$1:$1,0)),0)</f>
        <v>0</v>
      </c>
      <c r="S1638" s="52">
        <f>IFERROR(__xludf.DUMMYFUNCTION("IFERROR(sum(FILTER('Fund Data'!$V:$V, 'Fund Data'!$C:$C = $C1638, 'Fund Data'!$A:$A &lt; $A1638)),0) + IFERROR(sum(FILTER('Fund Data'!$V:$V, 'Fund Data'!$C:$C = $C1638, 'Fund Data'!$A:$A = $A1638, 'Fund Data'!$B:$B &lt;= $B1638)),0)"),0.0)</f>
        <v>0</v>
      </c>
      <c r="T1638" s="44"/>
      <c r="U1638" s="44"/>
      <c r="V1638" s="44">
        <f t="shared" si="3"/>
        <v>0</v>
      </c>
      <c r="W1638" s="52">
        <f>IFERROR(__xludf.DUMMYFUNCTION("iFERROR((FILTER('Fund Data'!$Y:$Y, 'Fund Data'!$C:$C = $C1638, 'Fund Data'!$A:$A = $A1638 - 1, 'Fund Data'!$B:$B = 12) + FILTER('Fund Data'!$AA:$AA, 'Fund Data'!$C:$C = $C1638, 'Fund Data'!$A:$A = $A1638 - 1, 'Fund Data'!$B:$B = 12)) * (1 + AVERAGE(FILTER"&amp;"('Inflation Data'!$C:$C,'Inflation Data'!$A:$A = ($A1638 - 2)))) * 'Parameters and Distribution Sum'!$A$4,0)"),0.0)</f>
        <v>0</v>
      </c>
      <c r="X1638" s="52">
        <f>IFERROR(__xludf.DUMMYFUNCTION("IFERROR((IFERROR(FILTER('Fund Data'!$P:$P,'Fund Data'!$C:$C = $C1638,'Fund Data'!$A:$A = ($A1638 - 2), 'Fund Data'!$B:$B = 12),0) - SUM(FILTER('Fund Data'!$V:$V, 'Fund Data'!$C:$C = $C1638, 'Fund Data'!$A:$A = ($A1638 - 2), 'Fund Data'!$B:$B &gt; 3)))  * 'Pa"&amp;"rameters and Distribution Sum'!$B$4 * (1 - 'Parameters and Distribution Sum'!$A$4),0)"),0.0)</f>
        <v>0</v>
      </c>
      <c r="Y1638" s="52">
        <f t="shared" si="140"/>
        <v>0</v>
      </c>
      <c r="Z1638" s="52">
        <f>IFERROR(__xludf.DUMMYFUNCTION("((IFERROR((SUM(FILTER('Fund Data'!$V:$V, 'Fund Data'!$C:$C = $C1638, 'Fund Data'!$A:$A = $A1638 - 1, 'Fund Data'!$B:$B &gt;= 4, 'Fund Data'!$B:$B &lt;= ($B1638 + 5))) / 12) * ($B1638 - 3) * 'Parameters and Distribution Sum'!$B$4, 0) + IF($B1638 &gt;= 9, IFERROR(SU"&amp;"M(FILTER('Fund Data'!$V:$V, 'Fund Data'!$C:$C = $C1638, 'Fund Data'!$A:$A = $A1638, 'Fund Data'!$B:$B &lt;= 3)) * 'Parameters and Distribution Sum'!$B$4, 0),0)))"),0.0)</f>
        <v>0</v>
      </c>
      <c r="AA1638" s="44">
        <f>IFERROR(__xludf.DUMMYFUNCTION("IFERROR(((IFERROR(SUM(FILTER('Fund Data'!$V:$V, 'Fund Data'!$C:$C = $C1638, 'Fund Data'!$A:$A = $A1638 - 2, 'Fund Data'!$B:$B &gt;= 4)) * 'Parameters and Distribution Sum'!$B$4,0) + IFERROR(SUM(FILTER('Fund Data'!$V:$V, 'Fund Data'!$C:$C = $C1638, 'Fund Data"&amp;"'!$A:$A = $A1638 - 1, 'Fund Data'!$B:$B &lt;= 3)) * 'Parameters and Distribution Sum'!$B$4,0))),0)"),0.0)</f>
        <v>0</v>
      </c>
      <c r="AB1638" s="44">
        <f t="shared" si="141"/>
        <v>0</v>
      </c>
      <c r="AC1638" s="44">
        <f t="shared" si="142"/>
        <v>0</v>
      </c>
      <c r="AD1638" s="44">
        <f t="shared" si="7"/>
        <v>0</v>
      </c>
      <c r="AE1638" s="44"/>
    </row>
    <row r="1639">
      <c r="A1639" s="178"/>
      <c r="B1639" s="179"/>
      <c r="C1639" s="147"/>
      <c r="D1639" s="44"/>
      <c r="E1639" s="44"/>
      <c r="F1639" s="44"/>
      <c r="G1639" s="44"/>
      <c r="H1639" s="44"/>
      <c r="I1639" s="44"/>
      <c r="J1639" s="44"/>
      <c r="K1639" s="44"/>
      <c r="L1639" s="44"/>
      <c r="M1639" s="44"/>
      <c r="N1639" s="44"/>
      <c r="O1639" s="44"/>
      <c r="P1639" s="52">
        <f t="shared" si="23"/>
        <v>0</v>
      </c>
      <c r="Q1639" s="124">
        <f t="shared" si="2"/>
        <v>0</v>
      </c>
      <c r="R1639" s="52">
        <f t="array" ref="R1639">IFERROR(INDEX('Fund YTD Target Values'!$1:$1000, MATCH($C1639,'Fund YTD Target Values'!$A:$A,0), MATCH($A1639,'Fund YTD Target Values'!$1:$1,0)),0)</f>
        <v>0</v>
      </c>
      <c r="S1639" s="52">
        <f>IFERROR(__xludf.DUMMYFUNCTION("IFERROR(sum(FILTER('Fund Data'!$V:$V, 'Fund Data'!$C:$C = $C1639, 'Fund Data'!$A:$A &lt; $A1639)),0) + IFERROR(sum(FILTER('Fund Data'!$V:$V, 'Fund Data'!$C:$C = $C1639, 'Fund Data'!$A:$A = $A1639, 'Fund Data'!$B:$B &lt;= $B1639)),0)"),0.0)</f>
        <v>0</v>
      </c>
      <c r="T1639" s="44"/>
      <c r="U1639" s="44"/>
      <c r="V1639" s="44">
        <f t="shared" si="3"/>
        <v>0</v>
      </c>
      <c r="W1639" s="52">
        <f>IFERROR(__xludf.DUMMYFUNCTION("iFERROR((FILTER('Fund Data'!$Y:$Y, 'Fund Data'!$C:$C = $C1639, 'Fund Data'!$A:$A = $A1639 - 1, 'Fund Data'!$B:$B = 12) + FILTER('Fund Data'!$AA:$AA, 'Fund Data'!$C:$C = $C1639, 'Fund Data'!$A:$A = $A1639 - 1, 'Fund Data'!$B:$B = 12)) * (1 + AVERAGE(FILTER"&amp;"('Inflation Data'!$C:$C,'Inflation Data'!$A:$A = ($A1639 - 2)))) * 'Parameters and Distribution Sum'!$A$4,0)"),0.0)</f>
        <v>0</v>
      </c>
      <c r="X1639" s="52">
        <f>IFERROR(__xludf.DUMMYFUNCTION("IFERROR((IFERROR(FILTER('Fund Data'!$P:$P,'Fund Data'!$C:$C = $C1639,'Fund Data'!$A:$A = ($A1639 - 2), 'Fund Data'!$B:$B = 12),0) - SUM(FILTER('Fund Data'!$V:$V, 'Fund Data'!$C:$C = $C1639, 'Fund Data'!$A:$A = ($A1639 - 2), 'Fund Data'!$B:$B &gt; 3)))  * 'Pa"&amp;"rameters and Distribution Sum'!$B$4 * (1 - 'Parameters and Distribution Sum'!$A$4),0)"),0.0)</f>
        <v>0</v>
      </c>
      <c r="Y1639" s="52">
        <f t="shared" si="140"/>
        <v>0</v>
      </c>
      <c r="Z1639" s="52">
        <f>IFERROR(__xludf.DUMMYFUNCTION("((IFERROR((SUM(FILTER('Fund Data'!$V:$V, 'Fund Data'!$C:$C = $C1639, 'Fund Data'!$A:$A = $A1639 - 1, 'Fund Data'!$B:$B &gt;= 4, 'Fund Data'!$B:$B &lt;= ($B1639 + 5))) / 12) * ($B1639 - 3) * 'Parameters and Distribution Sum'!$B$4, 0) + IF($B1639 &gt;= 9, IFERROR(SU"&amp;"M(FILTER('Fund Data'!$V:$V, 'Fund Data'!$C:$C = $C1639, 'Fund Data'!$A:$A = $A1639, 'Fund Data'!$B:$B &lt;= 3)) * 'Parameters and Distribution Sum'!$B$4, 0),0)))"),0.0)</f>
        <v>0</v>
      </c>
      <c r="AA1639" s="44">
        <f>IFERROR(__xludf.DUMMYFUNCTION("IFERROR(((IFERROR(SUM(FILTER('Fund Data'!$V:$V, 'Fund Data'!$C:$C = $C1639, 'Fund Data'!$A:$A = $A1639 - 2, 'Fund Data'!$B:$B &gt;= 4)) * 'Parameters and Distribution Sum'!$B$4,0) + IFERROR(SUM(FILTER('Fund Data'!$V:$V, 'Fund Data'!$C:$C = $C1639, 'Fund Data"&amp;"'!$A:$A = $A1639 - 1, 'Fund Data'!$B:$B &lt;= 3)) * 'Parameters and Distribution Sum'!$B$4,0))),0)"),0.0)</f>
        <v>0</v>
      </c>
      <c r="AB1639" s="44">
        <f t="shared" si="141"/>
        <v>0</v>
      </c>
      <c r="AC1639" s="44">
        <f t="shared" si="142"/>
        <v>0</v>
      </c>
      <c r="AD1639" s="44">
        <f t="shared" si="7"/>
        <v>0</v>
      </c>
      <c r="AE1639" s="44"/>
    </row>
    <row r="1640">
      <c r="A1640" s="178"/>
      <c r="B1640" s="179"/>
      <c r="C1640" s="147"/>
      <c r="D1640" s="44"/>
      <c r="E1640" s="44"/>
      <c r="F1640" s="44"/>
      <c r="G1640" s="44"/>
      <c r="H1640" s="44"/>
      <c r="I1640" s="44"/>
      <c r="J1640" s="44"/>
      <c r="K1640" s="44"/>
      <c r="L1640" s="44"/>
      <c r="M1640" s="44"/>
      <c r="N1640" s="44"/>
      <c r="O1640" s="44"/>
      <c r="P1640" s="52">
        <f t="shared" si="23"/>
        <v>0</v>
      </c>
      <c r="Q1640" s="124">
        <f t="shared" si="2"/>
        <v>0</v>
      </c>
      <c r="R1640" s="52">
        <f t="array" ref="R1640">IFERROR(INDEX('Fund YTD Target Values'!$1:$1000, MATCH($C1640,'Fund YTD Target Values'!$A:$A,0), MATCH($A1640,'Fund YTD Target Values'!$1:$1,0)),0)</f>
        <v>0</v>
      </c>
      <c r="S1640" s="52">
        <f>IFERROR(__xludf.DUMMYFUNCTION("IFERROR(sum(FILTER('Fund Data'!$V:$V, 'Fund Data'!$C:$C = $C1640, 'Fund Data'!$A:$A &lt; $A1640)),0) + IFERROR(sum(FILTER('Fund Data'!$V:$V, 'Fund Data'!$C:$C = $C1640, 'Fund Data'!$A:$A = $A1640, 'Fund Data'!$B:$B &lt;= $B1640)),0)"),0.0)</f>
        <v>0</v>
      </c>
      <c r="T1640" s="44"/>
      <c r="U1640" s="44"/>
      <c r="V1640" s="44">
        <f t="shared" si="3"/>
        <v>0</v>
      </c>
      <c r="W1640" s="52">
        <f>IFERROR(__xludf.DUMMYFUNCTION("iFERROR((FILTER('Fund Data'!$Y:$Y, 'Fund Data'!$C:$C = $C1640, 'Fund Data'!$A:$A = $A1640 - 1, 'Fund Data'!$B:$B = 12) + FILTER('Fund Data'!$AA:$AA, 'Fund Data'!$C:$C = $C1640, 'Fund Data'!$A:$A = $A1640 - 1, 'Fund Data'!$B:$B = 12)) * (1 + AVERAGE(FILTER"&amp;"('Inflation Data'!$C:$C,'Inflation Data'!$A:$A = ($A1640 - 2)))) * 'Parameters and Distribution Sum'!$A$4,0)"),0.0)</f>
        <v>0</v>
      </c>
      <c r="X1640" s="52">
        <f>IFERROR(__xludf.DUMMYFUNCTION("IFERROR((IFERROR(FILTER('Fund Data'!$P:$P,'Fund Data'!$C:$C = $C1640,'Fund Data'!$A:$A = ($A1640 - 2), 'Fund Data'!$B:$B = 12),0) - SUM(FILTER('Fund Data'!$V:$V, 'Fund Data'!$C:$C = $C1640, 'Fund Data'!$A:$A = ($A1640 - 2), 'Fund Data'!$B:$B &gt; 3)))  * 'Pa"&amp;"rameters and Distribution Sum'!$B$4 * (1 - 'Parameters and Distribution Sum'!$A$4),0)"),0.0)</f>
        <v>0</v>
      </c>
      <c r="Y1640" s="52">
        <f t="shared" si="140"/>
        <v>0</v>
      </c>
      <c r="Z1640" s="52">
        <f>IFERROR(__xludf.DUMMYFUNCTION("((IFERROR((SUM(FILTER('Fund Data'!$V:$V, 'Fund Data'!$C:$C = $C1640, 'Fund Data'!$A:$A = $A1640 - 1, 'Fund Data'!$B:$B &gt;= 4, 'Fund Data'!$B:$B &lt;= ($B1640 + 5))) / 12) * ($B1640 - 3) * 'Parameters and Distribution Sum'!$B$4, 0) + IF($B1640 &gt;= 9, IFERROR(SU"&amp;"M(FILTER('Fund Data'!$V:$V, 'Fund Data'!$C:$C = $C1640, 'Fund Data'!$A:$A = $A1640, 'Fund Data'!$B:$B &lt;= 3)) * 'Parameters and Distribution Sum'!$B$4, 0),0)))"),0.0)</f>
        <v>0</v>
      </c>
      <c r="AA1640" s="44">
        <f>IFERROR(__xludf.DUMMYFUNCTION("IFERROR(((IFERROR(SUM(FILTER('Fund Data'!$V:$V, 'Fund Data'!$C:$C = $C1640, 'Fund Data'!$A:$A = $A1640 - 2, 'Fund Data'!$B:$B &gt;= 4)) * 'Parameters and Distribution Sum'!$B$4,0) + IFERROR(SUM(FILTER('Fund Data'!$V:$V, 'Fund Data'!$C:$C = $C1640, 'Fund Data"&amp;"'!$A:$A = $A1640 - 1, 'Fund Data'!$B:$B &lt;= 3)) * 'Parameters and Distribution Sum'!$B$4,0))),0)"),0.0)</f>
        <v>0</v>
      </c>
      <c r="AB1640" s="44">
        <f t="shared" si="141"/>
        <v>0</v>
      </c>
      <c r="AC1640" s="44">
        <f t="shared" si="142"/>
        <v>0</v>
      </c>
      <c r="AD1640" s="44">
        <f t="shared" si="7"/>
        <v>0</v>
      </c>
      <c r="AE1640" s="44"/>
    </row>
    <row r="1641">
      <c r="A1641" s="178"/>
      <c r="B1641" s="179"/>
      <c r="C1641" s="147"/>
      <c r="D1641" s="44"/>
      <c r="E1641" s="44"/>
      <c r="F1641" s="44"/>
      <c r="G1641" s="44"/>
      <c r="H1641" s="44"/>
      <c r="I1641" s="44"/>
      <c r="J1641" s="44"/>
      <c r="K1641" s="44"/>
      <c r="L1641" s="44"/>
      <c r="M1641" s="44"/>
      <c r="N1641" s="44"/>
      <c r="O1641" s="44"/>
      <c r="P1641" s="52">
        <f t="shared" si="23"/>
        <v>0</v>
      </c>
      <c r="Q1641" s="124">
        <f t="shared" si="2"/>
        <v>0</v>
      </c>
      <c r="R1641" s="52">
        <f t="array" ref="R1641">IFERROR(INDEX('Fund YTD Target Values'!$1:$1000, MATCH($C1641,'Fund YTD Target Values'!$A:$A,0), MATCH($A1641,'Fund YTD Target Values'!$1:$1,0)),0)</f>
        <v>0</v>
      </c>
      <c r="S1641" s="52">
        <f>IFERROR(__xludf.DUMMYFUNCTION("IFERROR(sum(FILTER('Fund Data'!$V:$V, 'Fund Data'!$C:$C = $C1641, 'Fund Data'!$A:$A &lt; $A1641)),0) + IFERROR(sum(FILTER('Fund Data'!$V:$V, 'Fund Data'!$C:$C = $C1641, 'Fund Data'!$A:$A = $A1641, 'Fund Data'!$B:$B &lt;= $B1641)),0)"),0.0)</f>
        <v>0</v>
      </c>
      <c r="T1641" s="44"/>
      <c r="U1641" s="44"/>
      <c r="V1641" s="44">
        <f t="shared" si="3"/>
        <v>0</v>
      </c>
      <c r="W1641" s="52">
        <f>IFERROR(__xludf.DUMMYFUNCTION("iFERROR((FILTER('Fund Data'!$Y:$Y, 'Fund Data'!$C:$C = $C1641, 'Fund Data'!$A:$A = $A1641 - 1, 'Fund Data'!$B:$B = 12) + FILTER('Fund Data'!$AA:$AA, 'Fund Data'!$C:$C = $C1641, 'Fund Data'!$A:$A = $A1641 - 1, 'Fund Data'!$B:$B = 12)) * (1 + AVERAGE(FILTER"&amp;"('Inflation Data'!$C:$C,'Inflation Data'!$A:$A = ($A1641 - 2)))) * 'Parameters and Distribution Sum'!$A$4,0)"),0.0)</f>
        <v>0</v>
      </c>
      <c r="X1641" s="52">
        <f>IFERROR(__xludf.DUMMYFUNCTION("IFERROR((IFERROR(FILTER('Fund Data'!$P:$P,'Fund Data'!$C:$C = $C1641,'Fund Data'!$A:$A = ($A1641 - 2), 'Fund Data'!$B:$B = 12),0) - SUM(FILTER('Fund Data'!$V:$V, 'Fund Data'!$C:$C = $C1641, 'Fund Data'!$A:$A = ($A1641 - 2), 'Fund Data'!$B:$B &gt; 3)))  * 'Pa"&amp;"rameters and Distribution Sum'!$B$4 * (1 - 'Parameters and Distribution Sum'!$A$4),0)"),0.0)</f>
        <v>0</v>
      </c>
      <c r="Y1641" s="52">
        <f t="shared" si="140"/>
        <v>0</v>
      </c>
      <c r="Z1641" s="52">
        <f>IFERROR(__xludf.DUMMYFUNCTION("((IFERROR((SUM(FILTER('Fund Data'!$V:$V, 'Fund Data'!$C:$C = $C1641, 'Fund Data'!$A:$A = $A1641 - 1, 'Fund Data'!$B:$B &gt;= 4, 'Fund Data'!$B:$B &lt;= ($B1641 + 5))) / 12) * ($B1641 - 3) * 'Parameters and Distribution Sum'!$B$4, 0) + IF($B1641 &gt;= 9, IFERROR(SU"&amp;"M(FILTER('Fund Data'!$V:$V, 'Fund Data'!$C:$C = $C1641, 'Fund Data'!$A:$A = $A1641, 'Fund Data'!$B:$B &lt;= 3)) * 'Parameters and Distribution Sum'!$B$4, 0),0)))"),0.0)</f>
        <v>0</v>
      </c>
      <c r="AA1641" s="44">
        <f>IFERROR(__xludf.DUMMYFUNCTION("IFERROR(((IFERROR(SUM(FILTER('Fund Data'!$V:$V, 'Fund Data'!$C:$C = $C1641, 'Fund Data'!$A:$A = $A1641 - 2, 'Fund Data'!$B:$B &gt;= 4)) * 'Parameters and Distribution Sum'!$B$4,0) + IFERROR(SUM(FILTER('Fund Data'!$V:$V, 'Fund Data'!$C:$C = $C1641, 'Fund Data"&amp;"'!$A:$A = $A1641 - 1, 'Fund Data'!$B:$B &lt;= 3)) * 'Parameters and Distribution Sum'!$B$4,0))),0)"),0.0)</f>
        <v>0</v>
      </c>
      <c r="AB1641" s="44">
        <f t="shared" si="141"/>
        <v>0</v>
      </c>
      <c r="AC1641" s="44">
        <f t="shared" si="142"/>
        <v>0</v>
      </c>
      <c r="AD1641" s="44">
        <f t="shared" si="7"/>
        <v>0</v>
      </c>
      <c r="AE1641" s="44"/>
    </row>
    <row r="1642">
      <c r="A1642" s="178"/>
      <c r="B1642" s="179"/>
      <c r="C1642" s="147"/>
      <c r="D1642" s="44"/>
      <c r="E1642" s="44"/>
      <c r="F1642" s="44"/>
      <c r="G1642" s="44"/>
      <c r="H1642" s="44"/>
      <c r="I1642" s="44"/>
      <c r="J1642" s="44"/>
      <c r="K1642" s="44"/>
      <c r="L1642" s="44"/>
      <c r="M1642" s="44"/>
      <c r="N1642" s="44"/>
      <c r="O1642" s="44"/>
      <c r="P1642" s="52">
        <f t="shared" si="23"/>
        <v>0</v>
      </c>
      <c r="Q1642" s="124">
        <f t="shared" si="2"/>
        <v>0</v>
      </c>
      <c r="R1642" s="52">
        <f t="array" ref="R1642">IFERROR(INDEX('Fund YTD Target Values'!$1:$1000, MATCH($C1642,'Fund YTD Target Values'!$A:$A,0), MATCH($A1642,'Fund YTD Target Values'!$1:$1,0)),0)</f>
        <v>0</v>
      </c>
      <c r="S1642" s="52">
        <f>IFERROR(__xludf.DUMMYFUNCTION("IFERROR(sum(FILTER('Fund Data'!$V:$V, 'Fund Data'!$C:$C = $C1642, 'Fund Data'!$A:$A &lt; $A1642)),0) + IFERROR(sum(FILTER('Fund Data'!$V:$V, 'Fund Data'!$C:$C = $C1642, 'Fund Data'!$A:$A = $A1642, 'Fund Data'!$B:$B &lt;= $B1642)),0)"),0.0)</f>
        <v>0</v>
      </c>
      <c r="T1642" s="44"/>
      <c r="U1642" s="44"/>
      <c r="V1642" s="44">
        <f t="shared" si="3"/>
        <v>0</v>
      </c>
      <c r="W1642" s="52">
        <f>IFERROR(__xludf.DUMMYFUNCTION("iFERROR((FILTER('Fund Data'!$Y:$Y, 'Fund Data'!$C:$C = $C1642, 'Fund Data'!$A:$A = $A1642 - 1, 'Fund Data'!$B:$B = 12) + FILTER('Fund Data'!$AA:$AA, 'Fund Data'!$C:$C = $C1642, 'Fund Data'!$A:$A = $A1642 - 1, 'Fund Data'!$B:$B = 12)) * (1 + AVERAGE(FILTER"&amp;"('Inflation Data'!$C:$C,'Inflation Data'!$A:$A = ($A1642 - 2)))) * 'Parameters and Distribution Sum'!$A$4,0)"),0.0)</f>
        <v>0</v>
      </c>
      <c r="X1642" s="52">
        <f>IFERROR(__xludf.DUMMYFUNCTION("IFERROR((IFERROR(FILTER('Fund Data'!$P:$P,'Fund Data'!$C:$C = $C1642,'Fund Data'!$A:$A = ($A1642 - 2), 'Fund Data'!$B:$B = 12),0) - SUM(FILTER('Fund Data'!$V:$V, 'Fund Data'!$C:$C = $C1642, 'Fund Data'!$A:$A = ($A1642 - 2), 'Fund Data'!$B:$B &gt; 3)))  * 'Pa"&amp;"rameters and Distribution Sum'!$B$4 * (1 - 'Parameters and Distribution Sum'!$A$4),0)"),0.0)</f>
        <v>0</v>
      </c>
      <c r="Y1642" s="52">
        <f t="shared" si="140"/>
        <v>0</v>
      </c>
      <c r="Z1642" s="52">
        <f>IFERROR(__xludf.DUMMYFUNCTION("((IFERROR((SUM(FILTER('Fund Data'!$V:$V, 'Fund Data'!$C:$C = $C1642, 'Fund Data'!$A:$A = $A1642 - 1, 'Fund Data'!$B:$B &gt;= 4, 'Fund Data'!$B:$B &lt;= ($B1642 + 5))) / 12) * ($B1642 - 3) * 'Parameters and Distribution Sum'!$B$4, 0) + IF($B1642 &gt;= 9, IFERROR(SU"&amp;"M(FILTER('Fund Data'!$V:$V, 'Fund Data'!$C:$C = $C1642, 'Fund Data'!$A:$A = $A1642, 'Fund Data'!$B:$B &lt;= 3)) * 'Parameters and Distribution Sum'!$B$4, 0),0)))"),0.0)</f>
        <v>0</v>
      </c>
      <c r="AA1642" s="44">
        <f>IFERROR(__xludf.DUMMYFUNCTION("IFERROR(((IFERROR(SUM(FILTER('Fund Data'!$V:$V, 'Fund Data'!$C:$C = $C1642, 'Fund Data'!$A:$A = $A1642 - 2, 'Fund Data'!$B:$B &gt;= 4)) * 'Parameters and Distribution Sum'!$B$4,0) + IFERROR(SUM(FILTER('Fund Data'!$V:$V, 'Fund Data'!$C:$C = $C1642, 'Fund Data"&amp;"'!$A:$A = $A1642 - 1, 'Fund Data'!$B:$B &lt;= 3)) * 'Parameters and Distribution Sum'!$B$4,0))),0)"),0.0)</f>
        <v>0</v>
      </c>
      <c r="AB1642" s="44">
        <f t="shared" si="141"/>
        <v>0</v>
      </c>
      <c r="AC1642" s="44">
        <f t="shared" si="142"/>
        <v>0</v>
      </c>
      <c r="AD1642" s="44">
        <f t="shared" si="7"/>
        <v>0</v>
      </c>
      <c r="AE1642" s="44"/>
    </row>
    <row r="1643">
      <c r="A1643" s="178"/>
      <c r="B1643" s="179"/>
      <c r="C1643" s="147"/>
      <c r="D1643" s="44"/>
      <c r="E1643" s="44"/>
      <c r="F1643" s="44"/>
      <c r="G1643" s="44"/>
      <c r="H1643" s="44"/>
      <c r="I1643" s="44"/>
      <c r="J1643" s="44"/>
      <c r="K1643" s="44"/>
      <c r="L1643" s="44"/>
      <c r="M1643" s="44"/>
      <c r="N1643" s="44"/>
      <c r="O1643" s="44"/>
      <c r="P1643" s="52">
        <f t="shared" si="23"/>
        <v>0</v>
      </c>
      <c r="Q1643" s="124">
        <f t="shared" si="2"/>
        <v>0</v>
      </c>
      <c r="R1643" s="52">
        <f t="array" ref="R1643">IFERROR(INDEX('Fund YTD Target Values'!$1:$1000, MATCH($C1643,'Fund YTD Target Values'!$A:$A,0), MATCH($A1643,'Fund YTD Target Values'!$1:$1,0)),0)</f>
        <v>0</v>
      </c>
      <c r="S1643" s="52">
        <f>IFERROR(__xludf.DUMMYFUNCTION("IFERROR(sum(FILTER('Fund Data'!$V:$V, 'Fund Data'!$C:$C = $C1643, 'Fund Data'!$A:$A &lt; $A1643)),0) + IFERROR(sum(FILTER('Fund Data'!$V:$V, 'Fund Data'!$C:$C = $C1643, 'Fund Data'!$A:$A = $A1643, 'Fund Data'!$B:$B &lt;= $B1643)),0)"),0.0)</f>
        <v>0</v>
      </c>
      <c r="T1643" s="44"/>
      <c r="U1643" s="44"/>
      <c r="V1643" s="44">
        <f t="shared" si="3"/>
        <v>0</v>
      </c>
      <c r="W1643" s="52">
        <f>IFERROR(__xludf.DUMMYFUNCTION("iFERROR((FILTER('Fund Data'!$Y:$Y, 'Fund Data'!$C:$C = $C1643, 'Fund Data'!$A:$A = $A1643 - 1, 'Fund Data'!$B:$B = 12) + FILTER('Fund Data'!$AA:$AA, 'Fund Data'!$C:$C = $C1643, 'Fund Data'!$A:$A = $A1643 - 1, 'Fund Data'!$B:$B = 12)) * (1 + AVERAGE(FILTER"&amp;"('Inflation Data'!$C:$C,'Inflation Data'!$A:$A = ($A1643 - 2)))) * 'Parameters and Distribution Sum'!$A$4,0)"),0.0)</f>
        <v>0</v>
      </c>
      <c r="X1643" s="52">
        <f>IFERROR(__xludf.DUMMYFUNCTION("IFERROR((IFERROR(FILTER('Fund Data'!$P:$P,'Fund Data'!$C:$C = $C1643,'Fund Data'!$A:$A = ($A1643 - 2), 'Fund Data'!$B:$B = 12),0) - SUM(FILTER('Fund Data'!$V:$V, 'Fund Data'!$C:$C = $C1643, 'Fund Data'!$A:$A = ($A1643 - 2), 'Fund Data'!$B:$B &gt; 3)))  * 'Pa"&amp;"rameters and Distribution Sum'!$B$4 * (1 - 'Parameters and Distribution Sum'!$A$4),0)"),0.0)</f>
        <v>0</v>
      </c>
      <c r="Y1643" s="52">
        <f t="shared" si="140"/>
        <v>0</v>
      </c>
      <c r="Z1643" s="52">
        <f>IFERROR(__xludf.DUMMYFUNCTION("((IFERROR((SUM(FILTER('Fund Data'!$V:$V, 'Fund Data'!$C:$C = $C1643, 'Fund Data'!$A:$A = $A1643 - 1, 'Fund Data'!$B:$B &gt;= 4, 'Fund Data'!$B:$B &lt;= ($B1643 + 5))) / 12) * ($B1643 - 3) * 'Parameters and Distribution Sum'!$B$4, 0) + IF($B1643 &gt;= 9, IFERROR(SU"&amp;"M(FILTER('Fund Data'!$V:$V, 'Fund Data'!$C:$C = $C1643, 'Fund Data'!$A:$A = $A1643, 'Fund Data'!$B:$B &lt;= 3)) * 'Parameters and Distribution Sum'!$B$4, 0),0)))"),0.0)</f>
        <v>0</v>
      </c>
      <c r="AA1643" s="44">
        <f>IFERROR(__xludf.DUMMYFUNCTION("IFERROR(((IFERROR(SUM(FILTER('Fund Data'!$V:$V, 'Fund Data'!$C:$C = $C1643, 'Fund Data'!$A:$A = $A1643 - 2, 'Fund Data'!$B:$B &gt;= 4)) * 'Parameters and Distribution Sum'!$B$4,0) + IFERROR(SUM(FILTER('Fund Data'!$V:$V, 'Fund Data'!$C:$C = $C1643, 'Fund Data"&amp;"'!$A:$A = $A1643 - 1, 'Fund Data'!$B:$B &lt;= 3)) * 'Parameters and Distribution Sum'!$B$4,0))),0)"),0.0)</f>
        <v>0</v>
      </c>
      <c r="AB1643" s="44">
        <f t="shared" si="141"/>
        <v>0</v>
      </c>
      <c r="AC1643" s="44">
        <f t="shared" si="142"/>
        <v>0</v>
      </c>
      <c r="AD1643" s="44">
        <f t="shared" si="7"/>
        <v>0</v>
      </c>
      <c r="AE1643" s="44"/>
    </row>
    <row r="1644">
      <c r="A1644" s="178"/>
      <c r="B1644" s="179"/>
      <c r="C1644" s="147"/>
      <c r="D1644" s="44"/>
      <c r="E1644" s="44"/>
      <c r="F1644" s="44"/>
      <c r="G1644" s="44"/>
      <c r="H1644" s="44"/>
      <c r="I1644" s="44"/>
      <c r="J1644" s="44"/>
      <c r="K1644" s="44"/>
      <c r="L1644" s="44"/>
      <c r="M1644" s="44"/>
      <c r="N1644" s="44"/>
      <c r="O1644" s="44"/>
      <c r="P1644" s="52">
        <f t="shared" si="23"/>
        <v>0</v>
      </c>
      <c r="Q1644" s="124">
        <f t="shared" si="2"/>
        <v>0</v>
      </c>
      <c r="R1644" s="52">
        <f t="array" ref="R1644">IFERROR(INDEX('Fund YTD Target Values'!$1:$1000, MATCH($C1644,'Fund YTD Target Values'!$A:$A,0), MATCH($A1644,'Fund YTD Target Values'!$1:$1,0)),0)</f>
        <v>0</v>
      </c>
      <c r="S1644" s="52">
        <f>IFERROR(__xludf.DUMMYFUNCTION("IFERROR(sum(FILTER('Fund Data'!$V:$V, 'Fund Data'!$C:$C = $C1644, 'Fund Data'!$A:$A &lt; $A1644)),0) + IFERROR(sum(FILTER('Fund Data'!$V:$V, 'Fund Data'!$C:$C = $C1644, 'Fund Data'!$A:$A = $A1644, 'Fund Data'!$B:$B &lt;= $B1644)),0)"),0.0)</f>
        <v>0</v>
      </c>
      <c r="T1644" s="44"/>
      <c r="U1644" s="44"/>
      <c r="V1644" s="44">
        <f t="shared" si="3"/>
        <v>0</v>
      </c>
      <c r="W1644" s="52">
        <f>IFERROR(__xludf.DUMMYFUNCTION("iFERROR((FILTER('Fund Data'!$Y:$Y, 'Fund Data'!$C:$C = $C1644, 'Fund Data'!$A:$A = $A1644 - 1, 'Fund Data'!$B:$B = 12) + FILTER('Fund Data'!$AA:$AA, 'Fund Data'!$C:$C = $C1644, 'Fund Data'!$A:$A = $A1644 - 1, 'Fund Data'!$B:$B = 12)) * (1 + AVERAGE(FILTER"&amp;"('Inflation Data'!$C:$C,'Inflation Data'!$A:$A = ($A1644 - 2)))) * 'Parameters and Distribution Sum'!$A$4,0)"),0.0)</f>
        <v>0</v>
      </c>
      <c r="X1644" s="52">
        <f>IFERROR(__xludf.DUMMYFUNCTION("IFERROR((IFERROR(FILTER('Fund Data'!$P:$P,'Fund Data'!$C:$C = $C1644,'Fund Data'!$A:$A = ($A1644 - 2), 'Fund Data'!$B:$B = 12),0) - SUM(FILTER('Fund Data'!$V:$V, 'Fund Data'!$C:$C = $C1644, 'Fund Data'!$A:$A = ($A1644 - 2), 'Fund Data'!$B:$B &gt; 3)))  * 'Pa"&amp;"rameters and Distribution Sum'!$B$4 * (1 - 'Parameters and Distribution Sum'!$A$4),0)"),0.0)</f>
        <v>0</v>
      </c>
      <c r="Y1644" s="52">
        <f t="shared" si="140"/>
        <v>0</v>
      </c>
      <c r="Z1644" s="52">
        <f>IFERROR(__xludf.DUMMYFUNCTION("((IFERROR((SUM(FILTER('Fund Data'!$V:$V, 'Fund Data'!$C:$C = $C1644, 'Fund Data'!$A:$A = $A1644 - 1, 'Fund Data'!$B:$B &gt;= 4, 'Fund Data'!$B:$B &lt;= ($B1644 + 5))) / 12) * ($B1644 - 3) * 'Parameters and Distribution Sum'!$B$4, 0) + IF($B1644 &gt;= 9, IFERROR(SU"&amp;"M(FILTER('Fund Data'!$V:$V, 'Fund Data'!$C:$C = $C1644, 'Fund Data'!$A:$A = $A1644, 'Fund Data'!$B:$B &lt;= 3)) * 'Parameters and Distribution Sum'!$B$4, 0),0)))"),0.0)</f>
        <v>0</v>
      </c>
      <c r="AA1644" s="44">
        <f>IFERROR(__xludf.DUMMYFUNCTION("IFERROR(((IFERROR(SUM(FILTER('Fund Data'!$V:$V, 'Fund Data'!$C:$C = $C1644, 'Fund Data'!$A:$A = $A1644 - 2, 'Fund Data'!$B:$B &gt;= 4)) * 'Parameters and Distribution Sum'!$B$4,0) + IFERROR(SUM(FILTER('Fund Data'!$V:$V, 'Fund Data'!$C:$C = $C1644, 'Fund Data"&amp;"'!$A:$A = $A1644 - 1, 'Fund Data'!$B:$B &lt;= 3)) * 'Parameters and Distribution Sum'!$B$4,0))),0)"),0.0)</f>
        <v>0</v>
      </c>
      <c r="AB1644" s="44">
        <f t="shared" si="141"/>
        <v>0</v>
      </c>
      <c r="AC1644" s="44">
        <f t="shared" si="142"/>
        <v>0</v>
      </c>
      <c r="AD1644" s="44">
        <f t="shared" si="7"/>
        <v>0</v>
      </c>
      <c r="AE1644" s="44"/>
    </row>
    <row r="1645">
      <c r="A1645" s="178"/>
      <c r="B1645" s="179"/>
      <c r="C1645" s="147"/>
      <c r="D1645" s="44"/>
      <c r="E1645" s="44"/>
      <c r="F1645" s="44"/>
      <c r="G1645" s="44"/>
      <c r="H1645" s="44"/>
      <c r="I1645" s="44"/>
      <c r="J1645" s="44"/>
      <c r="K1645" s="44"/>
      <c r="L1645" s="44"/>
      <c r="M1645" s="44"/>
      <c r="N1645" s="44"/>
      <c r="O1645" s="44"/>
      <c r="P1645" s="52">
        <f t="shared" si="23"/>
        <v>0</v>
      </c>
      <c r="Q1645" s="124">
        <f t="shared" si="2"/>
        <v>0</v>
      </c>
      <c r="R1645" s="52">
        <f t="array" ref="R1645">IFERROR(INDEX('Fund YTD Target Values'!$1:$1000, MATCH($C1645,'Fund YTD Target Values'!$A:$A,0), MATCH($A1645,'Fund YTD Target Values'!$1:$1,0)),0)</f>
        <v>0</v>
      </c>
      <c r="S1645" s="52">
        <f>IFERROR(__xludf.DUMMYFUNCTION("IFERROR(sum(FILTER('Fund Data'!$V:$V, 'Fund Data'!$C:$C = $C1645, 'Fund Data'!$A:$A &lt; $A1645)),0) + IFERROR(sum(FILTER('Fund Data'!$V:$V, 'Fund Data'!$C:$C = $C1645, 'Fund Data'!$A:$A = $A1645, 'Fund Data'!$B:$B &lt;= $B1645)),0)"),0.0)</f>
        <v>0</v>
      </c>
      <c r="T1645" s="44"/>
      <c r="U1645" s="44"/>
      <c r="V1645" s="44">
        <f t="shared" si="3"/>
        <v>0</v>
      </c>
      <c r="W1645" s="52">
        <f>IFERROR(__xludf.DUMMYFUNCTION("iFERROR((FILTER('Fund Data'!$Y:$Y, 'Fund Data'!$C:$C = $C1645, 'Fund Data'!$A:$A = $A1645 - 1, 'Fund Data'!$B:$B = 12) + FILTER('Fund Data'!$AA:$AA, 'Fund Data'!$C:$C = $C1645, 'Fund Data'!$A:$A = $A1645 - 1, 'Fund Data'!$B:$B = 12)) * (1 + AVERAGE(FILTER"&amp;"('Inflation Data'!$C:$C,'Inflation Data'!$A:$A = ($A1645 - 2)))) * 'Parameters and Distribution Sum'!$A$4,0)"),0.0)</f>
        <v>0</v>
      </c>
      <c r="X1645" s="52">
        <f>IFERROR(__xludf.DUMMYFUNCTION("IFERROR((IFERROR(FILTER('Fund Data'!$P:$P,'Fund Data'!$C:$C = $C1645,'Fund Data'!$A:$A = ($A1645 - 2), 'Fund Data'!$B:$B = 12),0) - SUM(FILTER('Fund Data'!$V:$V, 'Fund Data'!$C:$C = $C1645, 'Fund Data'!$A:$A = ($A1645 - 2), 'Fund Data'!$B:$B &gt; 3)))  * 'Pa"&amp;"rameters and Distribution Sum'!$B$4 * (1 - 'Parameters and Distribution Sum'!$A$4),0)"),0.0)</f>
        <v>0</v>
      </c>
      <c r="Y1645" s="52">
        <f t="shared" si="140"/>
        <v>0</v>
      </c>
      <c r="Z1645" s="52">
        <f>IFERROR(__xludf.DUMMYFUNCTION("((IFERROR((SUM(FILTER('Fund Data'!$V:$V, 'Fund Data'!$C:$C = $C1645, 'Fund Data'!$A:$A = $A1645 - 1, 'Fund Data'!$B:$B &gt;= 4, 'Fund Data'!$B:$B &lt;= ($B1645 + 5))) / 12) * ($B1645 - 3) * 'Parameters and Distribution Sum'!$B$4, 0) + IF($B1645 &gt;= 9, IFERROR(SU"&amp;"M(FILTER('Fund Data'!$V:$V, 'Fund Data'!$C:$C = $C1645, 'Fund Data'!$A:$A = $A1645, 'Fund Data'!$B:$B &lt;= 3)) * 'Parameters and Distribution Sum'!$B$4, 0),0)))"),0.0)</f>
        <v>0</v>
      </c>
      <c r="AA1645" s="44">
        <f>IFERROR(__xludf.DUMMYFUNCTION("IFERROR(((IFERROR(SUM(FILTER('Fund Data'!$V:$V, 'Fund Data'!$C:$C = $C1645, 'Fund Data'!$A:$A = $A1645 - 2, 'Fund Data'!$B:$B &gt;= 4)) * 'Parameters and Distribution Sum'!$B$4,0) + IFERROR(SUM(FILTER('Fund Data'!$V:$V, 'Fund Data'!$C:$C = $C1645, 'Fund Data"&amp;"'!$A:$A = $A1645 - 1, 'Fund Data'!$B:$B &lt;= 3)) * 'Parameters and Distribution Sum'!$B$4,0))),0)"),0.0)</f>
        <v>0</v>
      </c>
      <c r="AB1645" s="44">
        <f t="shared" si="141"/>
        <v>0</v>
      </c>
      <c r="AC1645" s="44">
        <f t="shared" si="142"/>
        <v>0</v>
      </c>
      <c r="AD1645" s="44">
        <f t="shared" si="7"/>
        <v>0</v>
      </c>
      <c r="AE1645" s="44"/>
    </row>
    <row r="1646">
      <c r="A1646" s="178"/>
      <c r="B1646" s="179"/>
      <c r="C1646" s="147"/>
      <c r="D1646" s="44"/>
      <c r="E1646" s="44"/>
      <c r="F1646" s="44"/>
      <c r="G1646" s="44"/>
      <c r="H1646" s="44"/>
      <c r="I1646" s="44"/>
      <c r="J1646" s="44"/>
      <c r="K1646" s="44"/>
      <c r="L1646" s="44"/>
      <c r="M1646" s="44"/>
      <c r="N1646" s="44"/>
      <c r="O1646" s="44"/>
      <c r="P1646" s="52">
        <f t="shared" si="23"/>
        <v>0</v>
      </c>
      <c r="Q1646" s="124">
        <f t="shared" si="2"/>
        <v>0</v>
      </c>
      <c r="R1646" s="52">
        <f t="array" ref="R1646">IFERROR(INDEX('Fund YTD Target Values'!$1:$1000, MATCH($C1646,'Fund YTD Target Values'!$A:$A,0), MATCH($A1646,'Fund YTD Target Values'!$1:$1,0)),0)</f>
        <v>0</v>
      </c>
      <c r="S1646" s="52">
        <f>IFERROR(__xludf.DUMMYFUNCTION("IFERROR(sum(FILTER('Fund Data'!$V:$V, 'Fund Data'!$C:$C = $C1646, 'Fund Data'!$A:$A &lt; $A1646)),0) + IFERROR(sum(FILTER('Fund Data'!$V:$V, 'Fund Data'!$C:$C = $C1646, 'Fund Data'!$A:$A = $A1646, 'Fund Data'!$B:$B &lt;= $B1646)),0)"),0.0)</f>
        <v>0</v>
      </c>
      <c r="T1646" s="44"/>
      <c r="U1646" s="44"/>
      <c r="V1646" s="44">
        <f t="shared" si="3"/>
        <v>0</v>
      </c>
      <c r="W1646" s="52">
        <f>IFERROR(__xludf.DUMMYFUNCTION("iFERROR((FILTER('Fund Data'!$Y:$Y, 'Fund Data'!$C:$C = $C1646, 'Fund Data'!$A:$A = $A1646 - 1, 'Fund Data'!$B:$B = 12) + FILTER('Fund Data'!$AA:$AA, 'Fund Data'!$C:$C = $C1646, 'Fund Data'!$A:$A = $A1646 - 1, 'Fund Data'!$B:$B = 12)) * (1 + AVERAGE(FILTER"&amp;"('Inflation Data'!$C:$C,'Inflation Data'!$A:$A = ($A1646 - 2)))) * 'Parameters and Distribution Sum'!$A$4,0)"),0.0)</f>
        <v>0</v>
      </c>
      <c r="X1646" s="52">
        <f>IFERROR(__xludf.DUMMYFUNCTION("IFERROR((IFERROR(FILTER('Fund Data'!$P:$P,'Fund Data'!$C:$C = $C1646,'Fund Data'!$A:$A = ($A1646 - 2), 'Fund Data'!$B:$B = 12),0) - SUM(FILTER('Fund Data'!$V:$V, 'Fund Data'!$C:$C = $C1646, 'Fund Data'!$A:$A = ($A1646 - 2), 'Fund Data'!$B:$B &gt; 3)))  * 'Pa"&amp;"rameters and Distribution Sum'!$B$4 * (1 - 'Parameters and Distribution Sum'!$A$4),0)"),0.0)</f>
        <v>0</v>
      </c>
      <c r="Y1646" s="52">
        <f t="shared" si="140"/>
        <v>0</v>
      </c>
      <c r="Z1646" s="52">
        <f>IFERROR(__xludf.DUMMYFUNCTION("((IFERROR((SUM(FILTER('Fund Data'!$V:$V, 'Fund Data'!$C:$C = $C1646, 'Fund Data'!$A:$A = $A1646 - 1, 'Fund Data'!$B:$B &gt;= 4, 'Fund Data'!$B:$B &lt;= ($B1646 + 5))) / 12) * ($B1646 - 3) * 'Parameters and Distribution Sum'!$B$4, 0) + IF($B1646 &gt;= 9, IFERROR(SU"&amp;"M(FILTER('Fund Data'!$V:$V, 'Fund Data'!$C:$C = $C1646, 'Fund Data'!$A:$A = $A1646, 'Fund Data'!$B:$B &lt;= 3)) * 'Parameters and Distribution Sum'!$B$4, 0),0)))"),0.0)</f>
        <v>0</v>
      </c>
      <c r="AA1646" s="44">
        <f>IFERROR(__xludf.DUMMYFUNCTION("IFERROR(((IFERROR(SUM(FILTER('Fund Data'!$V:$V, 'Fund Data'!$C:$C = $C1646, 'Fund Data'!$A:$A = $A1646 - 2, 'Fund Data'!$B:$B &gt;= 4)) * 'Parameters and Distribution Sum'!$B$4,0) + IFERROR(SUM(FILTER('Fund Data'!$V:$V, 'Fund Data'!$C:$C = $C1646, 'Fund Data"&amp;"'!$A:$A = $A1646 - 1, 'Fund Data'!$B:$B &lt;= 3)) * 'Parameters and Distribution Sum'!$B$4,0))),0)"),0.0)</f>
        <v>0</v>
      </c>
      <c r="AB1646" s="44">
        <f t="shared" si="141"/>
        <v>0</v>
      </c>
      <c r="AC1646" s="44">
        <f t="shared" si="142"/>
        <v>0</v>
      </c>
      <c r="AD1646" s="44">
        <f t="shared" si="7"/>
        <v>0</v>
      </c>
      <c r="AE1646" s="44"/>
    </row>
    <row r="1647">
      <c r="A1647" s="178"/>
      <c r="B1647" s="179"/>
      <c r="C1647" s="147"/>
      <c r="D1647" s="44"/>
      <c r="E1647" s="44"/>
      <c r="F1647" s="44"/>
      <c r="G1647" s="44"/>
      <c r="H1647" s="44"/>
      <c r="I1647" s="44"/>
      <c r="J1647" s="44"/>
      <c r="K1647" s="44"/>
      <c r="L1647" s="44"/>
      <c r="M1647" s="44"/>
      <c r="N1647" s="44"/>
      <c r="O1647" s="44"/>
      <c r="P1647" s="52">
        <f t="shared" si="23"/>
        <v>0</v>
      </c>
      <c r="Q1647" s="124">
        <f t="shared" si="2"/>
        <v>0</v>
      </c>
      <c r="R1647" s="52">
        <f t="array" ref="R1647">IFERROR(INDEX('Fund YTD Target Values'!$1:$1000, MATCH($C1647,'Fund YTD Target Values'!$A:$A,0), MATCH($A1647,'Fund YTD Target Values'!$1:$1,0)),0)</f>
        <v>0</v>
      </c>
      <c r="S1647" s="52">
        <f>IFERROR(__xludf.DUMMYFUNCTION("IFERROR(sum(FILTER('Fund Data'!$V:$V, 'Fund Data'!$C:$C = $C1647, 'Fund Data'!$A:$A &lt; $A1647)),0) + IFERROR(sum(FILTER('Fund Data'!$V:$V, 'Fund Data'!$C:$C = $C1647, 'Fund Data'!$A:$A = $A1647, 'Fund Data'!$B:$B &lt;= $B1647)),0)"),0.0)</f>
        <v>0</v>
      </c>
      <c r="T1647" s="44"/>
      <c r="U1647" s="44"/>
      <c r="V1647" s="44">
        <f t="shared" si="3"/>
        <v>0</v>
      </c>
      <c r="W1647" s="52">
        <f>IFERROR(__xludf.DUMMYFUNCTION("iFERROR((FILTER('Fund Data'!$Y:$Y, 'Fund Data'!$C:$C = $C1647, 'Fund Data'!$A:$A = $A1647 - 1, 'Fund Data'!$B:$B = 12) + FILTER('Fund Data'!$AA:$AA, 'Fund Data'!$C:$C = $C1647, 'Fund Data'!$A:$A = $A1647 - 1, 'Fund Data'!$B:$B = 12)) * (1 + AVERAGE(FILTER"&amp;"('Inflation Data'!$C:$C,'Inflation Data'!$A:$A = ($A1647 - 2)))) * 'Parameters and Distribution Sum'!$A$4,0)"),0.0)</f>
        <v>0</v>
      </c>
      <c r="X1647" s="52">
        <f>IFERROR(__xludf.DUMMYFUNCTION("IFERROR((IFERROR(FILTER('Fund Data'!$P:$P,'Fund Data'!$C:$C = $C1647,'Fund Data'!$A:$A = ($A1647 - 2), 'Fund Data'!$B:$B = 12),0) - SUM(FILTER('Fund Data'!$V:$V, 'Fund Data'!$C:$C = $C1647, 'Fund Data'!$A:$A = ($A1647 - 2), 'Fund Data'!$B:$B &gt; 3)))  * 'Pa"&amp;"rameters and Distribution Sum'!$B$4 * (1 - 'Parameters and Distribution Sum'!$A$4),0)"),0.0)</f>
        <v>0</v>
      </c>
      <c r="Y1647" s="52">
        <f t="shared" si="140"/>
        <v>0</v>
      </c>
      <c r="Z1647" s="52">
        <f>IFERROR(__xludf.DUMMYFUNCTION("((IFERROR((SUM(FILTER('Fund Data'!$V:$V, 'Fund Data'!$C:$C = $C1647, 'Fund Data'!$A:$A = $A1647 - 1, 'Fund Data'!$B:$B &gt;= 4, 'Fund Data'!$B:$B &lt;= ($B1647 + 5))) / 12) * ($B1647 - 3) * 'Parameters and Distribution Sum'!$B$4, 0) + IF($B1647 &gt;= 9, IFERROR(SU"&amp;"M(FILTER('Fund Data'!$V:$V, 'Fund Data'!$C:$C = $C1647, 'Fund Data'!$A:$A = $A1647, 'Fund Data'!$B:$B &lt;= 3)) * 'Parameters and Distribution Sum'!$B$4, 0),0)))"),0.0)</f>
        <v>0</v>
      </c>
      <c r="AA1647" s="44">
        <f>IFERROR(__xludf.DUMMYFUNCTION("IFERROR(((IFERROR(SUM(FILTER('Fund Data'!$V:$V, 'Fund Data'!$C:$C = $C1647, 'Fund Data'!$A:$A = $A1647 - 2, 'Fund Data'!$B:$B &gt;= 4)) * 'Parameters and Distribution Sum'!$B$4,0) + IFERROR(SUM(FILTER('Fund Data'!$V:$V, 'Fund Data'!$C:$C = $C1647, 'Fund Data"&amp;"'!$A:$A = $A1647 - 1, 'Fund Data'!$B:$B &lt;= 3)) * 'Parameters and Distribution Sum'!$B$4,0))),0)"),0.0)</f>
        <v>0</v>
      </c>
      <c r="AB1647" s="44">
        <f t="shared" si="141"/>
        <v>0</v>
      </c>
      <c r="AC1647" s="44">
        <f t="shared" si="142"/>
        <v>0</v>
      </c>
      <c r="AD1647" s="44">
        <f t="shared" si="7"/>
        <v>0</v>
      </c>
      <c r="AE1647" s="44"/>
    </row>
    <row r="1648">
      <c r="A1648" s="178"/>
      <c r="B1648" s="179"/>
      <c r="C1648" s="147"/>
      <c r="D1648" s="44"/>
      <c r="E1648" s="44"/>
      <c r="F1648" s="44"/>
      <c r="G1648" s="44"/>
      <c r="H1648" s="44"/>
      <c r="I1648" s="44"/>
      <c r="J1648" s="44"/>
      <c r="K1648" s="44"/>
      <c r="L1648" s="44"/>
      <c r="M1648" s="44"/>
      <c r="N1648" s="44"/>
      <c r="O1648" s="44"/>
      <c r="P1648" s="52">
        <f t="shared" si="23"/>
        <v>0</v>
      </c>
      <c r="Q1648" s="124">
        <f t="shared" si="2"/>
        <v>0</v>
      </c>
      <c r="R1648" s="52">
        <f t="array" ref="R1648">IFERROR(INDEX('Fund YTD Target Values'!$1:$1000, MATCH($C1648,'Fund YTD Target Values'!$A:$A,0), MATCH($A1648,'Fund YTD Target Values'!$1:$1,0)),0)</f>
        <v>0</v>
      </c>
      <c r="S1648" s="52">
        <f>IFERROR(__xludf.DUMMYFUNCTION("IFERROR(sum(FILTER('Fund Data'!$V:$V, 'Fund Data'!$C:$C = $C1648, 'Fund Data'!$A:$A &lt; $A1648)),0) + IFERROR(sum(FILTER('Fund Data'!$V:$V, 'Fund Data'!$C:$C = $C1648, 'Fund Data'!$A:$A = $A1648, 'Fund Data'!$B:$B &lt;= $B1648)),0)"),0.0)</f>
        <v>0</v>
      </c>
      <c r="T1648" s="44"/>
      <c r="U1648" s="44"/>
      <c r="V1648" s="44">
        <f t="shared" si="3"/>
        <v>0</v>
      </c>
      <c r="W1648" s="52">
        <f>IFERROR(__xludf.DUMMYFUNCTION("iFERROR((FILTER('Fund Data'!$Y:$Y, 'Fund Data'!$C:$C = $C1648, 'Fund Data'!$A:$A = $A1648 - 1, 'Fund Data'!$B:$B = 12) + FILTER('Fund Data'!$AA:$AA, 'Fund Data'!$C:$C = $C1648, 'Fund Data'!$A:$A = $A1648 - 1, 'Fund Data'!$B:$B = 12)) * (1 + AVERAGE(FILTER"&amp;"('Inflation Data'!$C:$C,'Inflation Data'!$A:$A = ($A1648 - 2)))) * 'Parameters and Distribution Sum'!$A$4,0)"),0.0)</f>
        <v>0</v>
      </c>
      <c r="X1648" s="52">
        <f>IFERROR(__xludf.DUMMYFUNCTION("IFERROR((IFERROR(FILTER('Fund Data'!$P:$P,'Fund Data'!$C:$C = $C1648,'Fund Data'!$A:$A = ($A1648 - 2), 'Fund Data'!$B:$B = 12),0) - SUM(FILTER('Fund Data'!$V:$V, 'Fund Data'!$C:$C = $C1648, 'Fund Data'!$A:$A = ($A1648 - 2), 'Fund Data'!$B:$B &gt; 3)))  * 'Pa"&amp;"rameters and Distribution Sum'!$B$4 * (1 - 'Parameters and Distribution Sum'!$A$4),0)"),0.0)</f>
        <v>0</v>
      </c>
      <c r="Y1648" s="52">
        <f t="shared" si="140"/>
        <v>0</v>
      </c>
      <c r="Z1648" s="52">
        <f>IFERROR(__xludf.DUMMYFUNCTION("((IFERROR((SUM(FILTER('Fund Data'!$V:$V, 'Fund Data'!$C:$C = $C1648, 'Fund Data'!$A:$A = $A1648 - 1, 'Fund Data'!$B:$B &gt;= 4, 'Fund Data'!$B:$B &lt;= ($B1648 + 5))) / 12) * ($B1648 - 3) * 'Parameters and Distribution Sum'!$B$4, 0) + IF($B1648 &gt;= 9, IFERROR(SU"&amp;"M(FILTER('Fund Data'!$V:$V, 'Fund Data'!$C:$C = $C1648, 'Fund Data'!$A:$A = $A1648, 'Fund Data'!$B:$B &lt;= 3)) * 'Parameters and Distribution Sum'!$B$4, 0),0)))"),0.0)</f>
        <v>0</v>
      </c>
      <c r="AA1648" s="44">
        <f>IFERROR(__xludf.DUMMYFUNCTION("IFERROR(((IFERROR(SUM(FILTER('Fund Data'!$V:$V, 'Fund Data'!$C:$C = $C1648, 'Fund Data'!$A:$A = $A1648 - 2, 'Fund Data'!$B:$B &gt;= 4)) * 'Parameters and Distribution Sum'!$B$4,0) + IFERROR(SUM(FILTER('Fund Data'!$V:$V, 'Fund Data'!$C:$C = $C1648, 'Fund Data"&amp;"'!$A:$A = $A1648 - 1, 'Fund Data'!$B:$B &lt;= 3)) * 'Parameters and Distribution Sum'!$B$4,0))),0)"),0.0)</f>
        <v>0</v>
      </c>
      <c r="AB1648" s="44">
        <f t="shared" si="141"/>
        <v>0</v>
      </c>
      <c r="AC1648" s="44">
        <f t="shared" si="142"/>
        <v>0</v>
      </c>
      <c r="AD1648" s="44">
        <f t="shared" si="7"/>
        <v>0</v>
      </c>
      <c r="AE1648" s="44"/>
    </row>
    <row r="1649">
      <c r="A1649" s="178"/>
      <c r="B1649" s="179"/>
      <c r="C1649" s="147"/>
      <c r="D1649" s="44"/>
      <c r="E1649" s="44"/>
      <c r="F1649" s="44"/>
      <c r="G1649" s="44"/>
      <c r="H1649" s="44"/>
      <c r="I1649" s="44"/>
      <c r="J1649" s="44"/>
      <c r="K1649" s="44"/>
      <c r="L1649" s="44"/>
      <c r="M1649" s="44"/>
      <c r="N1649" s="44"/>
      <c r="O1649" s="44"/>
      <c r="P1649" s="52">
        <f t="shared" si="23"/>
        <v>0</v>
      </c>
      <c r="Q1649" s="124">
        <f t="shared" si="2"/>
        <v>0</v>
      </c>
      <c r="R1649" s="52">
        <f t="array" ref="R1649">IFERROR(INDEX('Fund YTD Target Values'!$1:$1000, MATCH($C1649,'Fund YTD Target Values'!$A:$A,0), MATCH($A1649,'Fund YTD Target Values'!$1:$1,0)),0)</f>
        <v>0</v>
      </c>
      <c r="S1649" s="52">
        <f>IFERROR(__xludf.DUMMYFUNCTION("IFERROR(sum(FILTER('Fund Data'!$V:$V, 'Fund Data'!$C:$C = $C1649, 'Fund Data'!$A:$A &lt; $A1649)),0) + IFERROR(sum(FILTER('Fund Data'!$V:$V, 'Fund Data'!$C:$C = $C1649, 'Fund Data'!$A:$A = $A1649, 'Fund Data'!$B:$B &lt;= $B1649)),0)"),0.0)</f>
        <v>0</v>
      </c>
      <c r="T1649" s="44"/>
      <c r="U1649" s="44"/>
      <c r="V1649" s="44">
        <f t="shared" si="3"/>
        <v>0</v>
      </c>
      <c r="W1649" s="52">
        <f>IFERROR(__xludf.DUMMYFUNCTION("iFERROR((FILTER('Fund Data'!$Y:$Y, 'Fund Data'!$C:$C = $C1649, 'Fund Data'!$A:$A = $A1649 - 1, 'Fund Data'!$B:$B = 12) + FILTER('Fund Data'!$AA:$AA, 'Fund Data'!$C:$C = $C1649, 'Fund Data'!$A:$A = $A1649 - 1, 'Fund Data'!$B:$B = 12)) * (1 + AVERAGE(FILTER"&amp;"('Inflation Data'!$C:$C,'Inflation Data'!$A:$A = ($A1649 - 2)))) * 'Parameters and Distribution Sum'!$A$4,0)"),0.0)</f>
        <v>0</v>
      </c>
      <c r="X1649" s="52">
        <f>IFERROR(__xludf.DUMMYFUNCTION("IFERROR((IFERROR(FILTER('Fund Data'!$P:$P,'Fund Data'!$C:$C = $C1649,'Fund Data'!$A:$A = ($A1649 - 2), 'Fund Data'!$B:$B = 12),0) - SUM(FILTER('Fund Data'!$V:$V, 'Fund Data'!$C:$C = $C1649, 'Fund Data'!$A:$A = ($A1649 - 2), 'Fund Data'!$B:$B &gt; 3)))  * 'Pa"&amp;"rameters and Distribution Sum'!$B$4 * (1 - 'Parameters and Distribution Sum'!$A$4),0)"),0.0)</f>
        <v>0</v>
      </c>
      <c r="Y1649" s="52">
        <f t="shared" si="140"/>
        <v>0</v>
      </c>
      <c r="Z1649" s="52">
        <f>IFERROR(__xludf.DUMMYFUNCTION("((IFERROR((SUM(FILTER('Fund Data'!$V:$V, 'Fund Data'!$C:$C = $C1649, 'Fund Data'!$A:$A = $A1649 - 1, 'Fund Data'!$B:$B &gt;= 4, 'Fund Data'!$B:$B &lt;= ($B1649 + 5))) / 12) * ($B1649 - 3) * 'Parameters and Distribution Sum'!$B$4, 0) + IF($B1649 &gt;= 9, IFERROR(SU"&amp;"M(FILTER('Fund Data'!$V:$V, 'Fund Data'!$C:$C = $C1649, 'Fund Data'!$A:$A = $A1649, 'Fund Data'!$B:$B &lt;= 3)) * 'Parameters and Distribution Sum'!$B$4, 0),0)))"),0.0)</f>
        <v>0</v>
      </c>
      <c r="AA1649" s="44">
        <f>IFERROR(__xludf.DUMMYFUNCTION("IFERROR(((IFERROR(SUM(FILTER('Fund Data'!$V:$V, 'Fund Data'!$C:$C = $C1649, 'Fund Data'!$A:$A = $A1649 - 2, 'Fund Data'!$B:$B &gt;= 4)) * 'Parameters and Distribution Sum'!$B$4,0) + IFERROR(SUM(FILTER('Fund Data'!$V:$V, 'Fund Data'!$C:$C = $C1649, 'Fund Data"&amp;"'!$A:$A = $A1649 - 1, 'Fund Data'!$B:$B &lt;= 3)) * 'Parameters and Distribution Sum'!$B$4,0))),0)"),0.0)</f>
        <v>0</v>
      </c>
      <c r="AB1649" s="44">
        <f t="shared" si="141"/>
        <v>0</v>
      </c>
      <c r="AC1649" s="44">
        <f t="shared" si="142"/>
        <v>0</v>
      </c>
      <c r="AD1649" s="44">
        <f t="shared" si="7"/>
        <v>0</v>
      </c>
      <c r="AE1649" s="44"/>
    </row>
    <row r="1650">
      <c r="A1650" s="178"/>
      <c r="B1650" s="179"/>
      <c r="C1650" s="147"/>
      <c r="D1650" s="44"/>
      <c r="E1650" s="44"/>
      <c r="F1650" s="44"/>
      <c r="G1650" s="44"/>
      <c r="H1650" s="44"/>
      <c r="I1650" s="44"/>
      <c r="J1650" s="44"/>
      <c r="K1650" s="44"/>
      <c r="L1650" s="44"/>
      <c r="M1650" s="44"/>
      <c r="N1650" s="44"/>
      <c r="O1650" s="44"/>
      <c r="P1650" s="52">
        <f t="shared" si="23"/>
        <v>0</v>
      </c>
      <c r="Q1650" s="124">
        <f t="shared" si="2"/>
        <v>0</v>
      </c>
      <c r="R1650" s="52">
        <f t="array" ref="R1650">IFERROR(INDEX('Fund YTD Target Values'!$1:$1000, MATCH($C1650,'Fund YTD Target Values'!$A:$A,0), MATCH($A1650,'Fund YTD Target Values'!$1:$1,0)),0)</f>
        <v>0</v>
      </c>
      <c r="S1650" s="52">
        <f>IFERROR(__xludf.DUMMYFUNCTION("IFERROR(sum(FILTER('Fund Data'!$V:$V, 'Fund Data'!$C:$C = $C1650, 'Fund Data'!$A:$A &lt; $A1650)),0) + IFERROR(sum(FILTER('Fund Data'!$V:$V, 'Fund Data'!$C:$C = $C1650, 'Fund Data'!$A:$A = $A1650, 'Fund Data'!$B:$B &lt;= $B1650)),0)"),0.0)</f>
        <v>0</v>
      </c>
      <c r="T1650" s="44"/>
      <c r="U1650" s="44"/>
      <c r="V1650" s="44">
        <f t="shared" si="3"/>
        <v>0</v>
      </c>
      <c r="W1650" s="52">
        <f>IFERROR(__xludf.DUMMYFUNCTION("iFERROR((FILTER('Fund Data'!$Y:$Y, 'Fund Data'!$C:$C = $C1650, 'Fund Data'!$A:$A = $A1650 - 1, 'Fund Data'!$B:$B = 12) + FILTER('Fund Data'!$AA:$AA, 'Fund Data'!$C:$C = $C1650, 'Fund Data'!$A:$A = $A1650 - 1, 'Fund Data'!$B:$B = 12)) * (1 + AVERAGE(FILTER"&amp;"('Inflation Data'!$C:$C,'Inflation Data'!$A:$A = ($A1650 - 2)))) * 'Parameters and Distribution Sum'!$A$4,0)"),0.0)</f>
        <v>0</v>
      </c>
      <c r="X1650" s="52">
        <f>IFERROR(__xludf.DUMMYFUNCTION("IFERROR((IFERROR(FILTER('Fund Data'!$P:$P,'Fund Data'!$C:$C = $C1650,'Fund Data'!$A:$A = ($A1650 - 2), 'Fund Data'!$B:$B = 12),0) - SUM(FILTER('Fund Data'!$V:$V, 'Fund Data'!$C:$C = $C1650, 'Fund Data'!$A:$A = ($A1650 - 2), 'Fund Data'!$B:$B &gt; 3)))  * 'Pa"&amp;"rameters and Distribution Sum'!$B$4 * (1 - 'Parameters and Distribution Sum'!$A$4),0)"),0.0)</f>
        <v>0</v>
      </c>
      <c r="Y1650" s="52">
        <f t="shared" si="140"/>
        <v>0</v>
      </c>
      <c r="Z1650" s="52">
        <f>IFERROR(__xludf.DUMMYFUNCTION("((IFERROR((SUM(FILTER('Fund Data'!$V:$V, 'Fund Data'!$C:$C = $C1650, 'Fund Data'!$A:$A = $A1650 - 1, 'Fund Data'!$B:$B &gt;= 4, 'Fund Data'!$B:$B &lt;= ($B1650 + 5))) / 12) * ($B1650 - 3) * 'Parameters and Distribution Sum'!$B$4, 0) + IF($B1650 &gt;= 9, IFERROR(SU"&amp;"M(FILTER('Fund Data'!$V:$V, 'Fund Data'!$C:$C = $C1650, 'Fund Data'!$A:$A = $A1650, 'Fund Data'!$B:$B &lt;= 3)) * 'Parameters and Distribution Sum'!$B$4, 0),0)))"),0.0)</f>
        <v>0</v>
      </c>
      <c r="AA1650" s="44">
        <f>IFERROR(__xludf.DUMMYFUNCTION("IFERROR(((IFERROR(SUM(FILTER('Fund Data'!$V:$V, 'Fund Data'!$C:$C = $C1650, 'Fund Data'!$A:$A = $A1650 - 2, 'Fund Data'!$B:$B &gt;= 4)) * 'Parameters and Distribution Sum'!$B$4,0) + IFERROR(SUM(FILTER('Fund Data'!$V:$V, 'Fund Data'!$C:$C = $C1650, 'Fund Data"&amp;"'!$A:$A = $A1650 - 1, 'Fund Data'!$B:$B &lt;= 3)) * 'Parameters and Distribution Sum'!$B$4,0))),0)"),0.0)</f>
        <v>0</v>
      </c>
      <c r="AB1650" s="44">
        <f t="shared" si="141"/>
        <v>0</v>
      </c>
      <c r="AC1650" s="44">
        <f t="shared" si="142"/>
        <v>0</v>
      </c>
      <c r="AD1650" s="44">
        <f t="shared" si="7"/>
        <v>0</v>
      </c>
      <c r="AE1650" s="44"/>
    </row>
    <row r="1651">
      <c r="A1651" s="178"/>
      <c r="B1651" s="179"/>
      <c r="C1651" s="147"/>
      <c r="D1651" s="44"/>
      <c r="E1651" s="44"/>
      <c r="F1651" s="44"/>
      <c r="G1651" s="44"/>
      <c r="H1651" s="44"/>
      <c r="I1651" s="44"/>
      <c r="J1651" s="44"/>
      <c r="K1651" s="44"/>
      <c r="L1651" s="44"/>
      <c r="M1651" s="44"/>
      <c r="N1651" s="44"/>
      <c r="O1651" s="44"/>
      <c r="P1651" s="52">
        <f t="shared" si="23"/>
        <v>0</v>
      </c>
      <c r="Q1651" s="124">
        <f t="shared" si="2"/>
        <v>0</v>
      </c>
      <c r="R1651" s="52">
        <f t="array" ref="R1651">IFERROR(INDEX('Fund YTD Target Values'!$1:$1000, MATCH($C1651,'Fund YTD Target Values'!$A:$A,0), MATCH($A1651,'Fund YTD Target Values'!$1:$1,0)),0)</f>
        <v>0</v>
      </c>
      <c r="S1651" s="52">
        <f>IFERROR(__xludf.DUMMYFUNCTION("IFERROR(sum(FILTER('Fund Data'!$V:$V, 'Fund Data'!$C:$C = $C1651, 'Fund Data'!$A:$A &lt; $A1651)),0) + IFERROR(sum(FILTER('Fund Data'!$V:$V, 'Fund Data'!$C:$C = $C1651, 'Fund Data'!$A:$A = $A1651, 'Fund Data'!$B:$B &lt;= $B1651)),0)"),0.0)</f>
        <v>0</v>
      </c>
      <c r="T1651" s="44"/>
      <c r="U1651" s="44"/>
      <c r="V1651" s="44">
        <f t="shared" si="3"/>
        <v>0</v>
      </c>
      <c r="W1651" s="52">
        <f>IFERROR(__xludf.DUMMYFUNCTION("iFERROR((FILTER('Fund Data'!$Y:$Y, 'Fund Data'!$C:$C = $C1651, 'Fund Data'!$A:$A = $A1651 - 1, 'Fund Data'!$B:$B = 12) + FILTER('Fund Data'!$AA:$AA, 'Fund Data'!$C:$C = $C1651, 'Fund Data'!$A:$A = $A1651 - 1, 'Fund Data'!$B:$B = 12)) * (1 + AVERAGE(FILTER"&amp;"('Inflation Data'!$C:$C,'Inflation Data'!$A:$A = ($A1651 - 2)))) * 'Parameters and Distribution Sum'!$A$4,0)"),0.0)</f>
        <v>0</v>
      </c>
      <c r="X1651" s="52">
        <f>IFERROR(__xludf.DUMMYFUNCTION("IFERROR((IFERROR(FILTER('Fund Data'!$P:$P,'Fund Data'!$C:$C = $C1651,'Fund Data'!$A:$A = ($A1651 - 2), 'Fund Data'!$B:$B = 12),0) - SUM(FILTER('Fund Data'!$V:$V, 'Fund Data'!$C:$C = $C1651, 'Fund Data'!$A:$A = ($A1651 - 2), 'Fund Data'!$B:$B &gt; 3)))  * 'Pa"&amp;"rameters and Distribution Sum'!$B$4 * (1 - 'Parameters and Distribution Sum'!$A$4),0)"),0.0)</f>
        <v>0</v>
      </c>
      <c r="Y1651" s="52">
        <f t="shared" si="140"/>
        <v>0</v>
      </c>
      <c r="Z1651" s="52">
        <f>IFERROR(__xludf.DUMMYFUNCTION("((IFERROR((SUM(FILTER('Fund Data'!$V:$V, 'Fund Data'!$C:$C = $C1651, 'Fund Data'!$A:$A = $A1651 - 1, 'Fund Data'!$B:$B &gt;= 4, 'Fund Data'!$B:$B &lt;= ($B1651 + 5))) / 12) * ($B1651 - 3) * 'Parameters and Distribution Sum'!$B$4, 0) + IF($B1651 &gt;= 9, IFERROR(SU"&amp;"M(FILTER('Fund Data'!$V:$V, 'Fund Data'!$C:$C = $C1651, 'Fund Data'!$A:$A = $A1651, 'Fund Data'!$B:$B &lt;= 3)) * 'Parameters and Distribution Sum'!$B$4, 0),0)))"),0.0)</f>
        <v>0</v>
      </c>
      <c r="AA1651" s="44">
        <f>IFERROR(__xludf.DUMMYFUNCTION("IFERROR(((IFERROR(SUM(FILTER('Fund Data'!$V:$V, 'Fund Data'!$C:$C = $C1651, 'Fund Data'!$A:$A = $A1651 - 2, 'Fund Data'!$B:$B &gt;= 4)) * 'Parameters and Distribution Sum'!$B$4,0) + IFERROR(SUM(FILTER('Fund Data'!$V:$V, 'Fund Data'!$C:$C = $C1651, 'Fund Data"&amp;"'!$A:$A = $A1651 - 1, 'Fund Data'!$B:$B &lt;= 3)) * 'Parameters and Distribution Sum'!$B$4,0))),0)"),0.0)</f>
        <v>0</v>
      </c>
      <c r="AB1651" s="44">
        <f t="shared" si="141"/>
        <v>0</v>
      </c>
      <c r="AC1651" s="44">
        <f t="shared" si="142"/>
        <v>0</v>
      </c>
      <c r="AD1651" s="44">
        <f t="shared" si="7"/>
        <v>0</v>
      </c>
      <c r="AE1651" s="44"/>
    </row>
    <row r="1652">
      <c r="A1652" s="178"/>
      <c r="B1652" s="179"/>
      <c r="C1652" s="147"/>
      <c r="D1652" s="44"/>
      <c r="E1652" s="44"/>
      <c r="F1652" s="44"/>
      <c r="G1652" s="44"/>
      <c r="H1652" s="44"/>
      <c r="I1652" s="44"/>
      <c r="J1652" s="44"/>
      <c r="K1652" s="44"/>
      <c r="L1652" s="44"/>
      <c r="M1652" s="44"/>
      <c r="N1652" s="44"/>
      <c r="O1652" s="44"/>
      <c r="P1652" s="52">
        <f t="shared" si="23"/>
        <v>0</v>
      </c>
      <c r="Q1652" s="124">
        <f t="shared" si="2"/>
        <v>0</v>
      </c>
      <c r="R1652" s="52">
        <f t="array" ref="R1652">IFERROR(INDEX('Fund YTD Target Values'!$1:$1000, MATCH($C1652,'Fund YTD Target Values'!$A:$A,0), MATCH($A1652,'Fund YTD Target Values'!$1:$1,0)),0)</f>
        <v>0</v>
      </c>
      <c r="S1652" s="52">
        <f>IFERROR(__xludf.DUMMYFUNCTION("IFERROR(sum(FILTER('Fund Data'!$V:$V, 'Fund Data'!$C:$C = $C1652, 'Fund Data'!$A:$A &lt; $A1652)),0) + IFERROR(sum(FILTER('Fund Data'!$V:$V, 'Fund Data'!$C:$C = $C1652, 'Fund Data'!$A:$A = $A1652, 'Fund Data'!$B:$B &lt;= $B1652)),0)"),0.0)</f>
        <v>0</v>
      </c>
      <c r="T1652" s="44"/>
      <c r="U1652" s="44"/>
      <c r="V1652" s="44">
        <f t="shared" si="3"/>
        <v>0</v>
      </c>
      <c r="W1652" s="52">
        <f>IFERROR(__xludf.DUMMYFUNCTION("iFERROR((FILTER('Fund Data'!$Y:$Y, 'Fund Data'!$C:$C = $C1652, 'Fund Data'!$A:$A = $A1652 - 1, 'Fund Data'!$B:$B = 12) + FILTER('Fund Data'!$AA:$AA, 'Fund Data'!$C:$C = $C1652, 'Fund Data'!$A:$A = $A1652 - 1, 'Fund Data'!$B:$B = 12)) * (1 + AVERAGE(FILTER"&amp;"('Inflation Data'!$C:$C,'Inflation Data'!$A:$A = ($A1652 - 2)))) * 'Parameters and Distribution Sum'!$A$4,0)"),0.0)</f>
        <v>0</v>
      </c>
      <c r="X1652" s="52">
        <f>IFERROR(__xludf.DUMMYFUNCTION("IFERROR((IFERROR(FILTER('Fund Data'!$P:$P,'Fund Data'!$C:$C = $C1652,'Fund Data'!$A:$A = ($A1652 - 2), 'Fund Data'!$B:$B = 12),0) - SUM(FILTER('Fund Data'!$V:$V, 'Fund Data'!$C:$C = $C1652, 'Fund Data'!$A:$A = ($A1652 - 2), 'Fund Data'!$B:$B &gt; 3)))  * 'Pa"&amp;"rameters and Distribution Sum'!$B$4 * (1 - 'Parameters and Distribution Sum'!$A$4),0)"),0.0)</f>
        <v>0</v>
      </c>
      <c r="Y1652" s="52">
        <f t="shared" si="140"/>
        <v>0</v>
      </c>
      <c r="Z1652" s="52">
        <f>IFERROR(__xludf.DUMMYFUNCTION("((IFERROR((SUM(FILTER('Fund Data'!$V:$V, 'Fund Data'!$C:$C = $C1652, 'Fund Data'!$A:$A = $A1652 - 1, 'Fund Data'!$B:$B &gt;= 4, 'Fund Data'!$B:$B &lt;= ($B1652 + 5))) / 12) * ($B1652 - 3) * 'Parameters and Distribution Sum'!$B$4, 0) + IF($B1652 &gt;= 9, IFERROR(SU"&amp;"M(FILTER('Fund Data'!$V:$V, 'Fund Data'!$C:$C = $C1652, 'Fund Data'!$A:$A = $A1652, 'Fund Data'!$B:$B &lt;= 3)) * 'Parameters and Distribution Sum'!$B$4, 0),0)))"),0.0)</f>
        <v>0</v>
      </c>
      <c r="AA1652" s="44">
        <f>IFERROR(__xludf.DUMMYFUNCTION("IFERROR(((IFERROR(SUM(FILTER('Fund Data'!$V:$V, 'Fund Data'!$C:$C = $C1652, 'Fund Data'!$A:$A = $A1652 - 2, 'Fund Data'!$B:$B &gt;= 4)) * 'Parameters and Distribution Sum'!$B$4,0) + IFERROR(SUM(FILTER('Fund Data'!$V:$V, 'Fund Data'!$C:$C = $C1652, 'Fund Data"&amp;"'!$A:$A = $A1652 - 1, 'Fund Data'!$B:$B &lt;= 3)) * 'Parameters and Distribution Sum'!$B$4,0))),0)"),0.0)</f>
        <v>0</v>
      </c>
      <c r="AB1652" s="44">
        <f t="shared" si="141"/>
        <v>0</v>
      </c>
      <c r="AC1652" s="44">
        <f t="shared" si="142"/>
        <v>0</v>
      </c>
      <c r="AD1652" s="44">
        <f t="shared" si="7"/>
        <v>0</v>
      </c>
      <c r="AE1652" s="44"/>
    </row>
    <row r="1653">
      <c r="A1653" s="178"/>
      <c r="B1653" s="179"/>
      <c r="C1653" s="147"/>
      <c r="D1653" s="44"/>
      <c r="E1653" s="44"/>
      <c r="F1653" s="44"/>
      <c r="G1653" s="44"/>
      <c r="H1653" s="44"/>
      <c r="I1653" s="44"/>
      <c r="J1653" s="44"/>
      <c r="K1653" s="44"/>
      <c r="L1653" s="44"/>
      <c r="M1653" s="44"/>
      <c r="N1653" s="44"/>
      <c r="O1653" s="44"/>
      <c r="P1653" s="52">
        <f t="shared" si="23"/>
        <v>0</v>
      </c>
      <c r="Q1653" s="124">
        <f t="shared" si="2"/>
        <v>0</v>
      </c>
      <c r="R1653" s="52">
        <f t="array" ref="R1653">IFERROR(INDEX('Fund YTD Target Values'!$1:$1000, MATCH($C1653,'Fund YTD Target Values'!$A:$A,0), MATCH($A1653,'Fund YTD Target Values'!$1:$1,0)),0)</f>
        <v>0</v>
      </c>
      <c r="S1653" s="52">
        <f>IFERROR(__xludf.DUMMYFUNCTION("IFERROR(sum(FILTER('Fund Data'!$V:$V, 'Fund Data'!$C:$C = $C1653, 'Fund Data'!$A:$A &lt; $A1653)),0) + IFERROR(sum(FILTER('Fund Data'!$V:$V, 'Fund Data'!$C:$C = $C1653, 'Fund Data'!$A:$A = $A1653, 'Fund Data'!$B:$B &lt;= $B1653)),0)"),0.0)</f>
        <v>0</v>
      </c>
      <c r="T1653" s="44"/>
      <c r="U1653" s="44"/>
      <c r="V1653" s="44">
        <f t="shared" si="3"/>
        <v>0</v>
      </c>
      <c r="W1653" s="52">
        <f>IFERROR(__xludf.DUMMYFUNCTION("iFERROR((FILTER('Fund Data'!$Y:$Y, 'Fund Data'!$C:$C = $C1653, 'Fund Data'!$A:$A = $A1653 - 1, 'Fund Data'!$B:$B = 12) + FILTER('Fund Data'!$AA:$AA, 'Fund Data'!$C:$C = $C1653, 'Fund Data'!$A:$A = $A1653 - 1, 'Fund Data'!$B:$B = 12)) * (1 + AVERAGE(FILTER"&amp;"('Inflation Data'!$C:$C,'Inflation Data'!$A:$A = ($A1653 - 2)))) * 'Parameters and Distribution Sum'!$A$4,0)"),0.0)</f>
        <v>0</v>
      </c>
      <c r="X1653" s="52">
        <f>IFERROR(__xludf.DUMMYFUNCTION("IFERROR((IFERROR(FILTER('Fund Data'!$P:$P,'Fund Data'!$C:$C = $C1653,'Fund Data'!$A:$A = ($A1653 - 2), 'Fund Data'!$B:$B = 12),0) - SUM(FILTER('Fund Data'!$V:$V, 'Fund Data'!$C:$C = $C1653, 'Fund Data'!$A:$A = ($A1653 - 2), 'Fund Data'!$B:$B &gt; 3)))  * 'Pa"&amp;"rameters and Distribution Sum'!$B$4 * (1 - 'Parameters and Distribution Sum'!$A$4),0)"),0.0)</f>
        <v>0</v>
      </c>
      <c r="Y1653" s="52">
        <f t="shared" si="140"/>
        <v>0</v>
      </c>
      <c r="Z1653" s="52">
        <f>IFERROR(__xludf.DUMMYFUNCTION("((IFERROR((SUM(FILTER('Fund Data'!$V:$V, 'Fund Data'!$C:$C = $C1653, 'Fund Data'!$A:$A = $A1653 - 1, 'Fund Data'!$B:$B &gt;= 4, 'Fund Data'!$B:$B &lt;= ($B1653 + 5))) / 12) * ($B1653 - 3) * 'Parameters and Distribution Sum'!$B$4, 0) + IF($B1653 &gt;= 9, IFERROR(SU"&amp;"M(FILTER('Fund Data'!$V:$V, 'Fund Data'!$C:$C = $C1653, 'Fund Data'!$A:$A = $A1653, 'Fund Data'!$B:$B &lt;= 3)) * 'Parameters and Distribution Sum'!$B$4, 0),0)))"),0.0)</f>
        <v>0</v>
      </c>
      <c r="AA1653" s="44">
        <f>IFERROR(__xludf.DUMMYFUNCTION("IFERROR(((IFERROR(SUM(FILTER('Fund Data'!$V:$V, 'Fund Data'!$C:$C = $C1653, 'Fund Data'!$A:$A = $A1653 - 2, 'Fund Data'!$B:$B &gt;= 4)) * 'Parameters and Distribution Sum'!$B$4,0) + IFERROR(SUM(FILTER('Fund Data'!$V:$V, 'Fund Data'!$C:$C = $C1653, 'Fund Data"&amp;"'!$A:$A = $A1653 - 1, 'Fund Data'!$B:$B &lt;= 3)) * 'Parameters and Distribution Sum'!$B$4,0))),0)"),0.0)</f>
        <v>0</v>
      </c>
      <c r="AB1653" s="44">
        <f t="shared" si="141"/>
        <v>0</v>
      </c>
      <c r="AC1653" s="44">
        <f t="shared" si="142"/>
        <v>0</v>
      </c>
      <c r="AD1653" s="44">
        <f t="shared" si="7"/>
        <v>0</v>
      </c>
      <c r="AE1653" s="44"/>
    </row>
    <row r="1654">
      <c r="A1654" s="178"/>
      <c r="B1654" s="179"/>
      <c r="C1654" s="147"/>
      <c r="D1654" s="44"/>
      <c r="E1654" s="44"/>
      <c r="F1654" s="44"/>
      <c r="G1654" s="44"/>
      <c r="H1654" s="44"/>
      <c r="I1654" s="44"/>
      <c r="J1654" s="44"/>
      <c r="K1654" s="44"/>
      <c r="L1654" s="44"/>
      <c r="M1654" s="44"/>
      <c r="N1654" s="44"/>
      <c r="O1654" s="44"/>
      <c r="P1654" s="52">
        <f t="shared" si="23"/>
        <v>0</v>
      </c>
      <c r="Q1654" s="124">
        <f t="shared" si="2"/>
        <v>0</v>
      </c>
      <c r="R1654" s="52">
        <f t="array" ref="R1654">IFERROR(INDEX('Fund YTD Target Values'!$1:$1000, MATCH($C1654,'Fund YTD Target Values'!$A:$A,0), MATCH($A1654,'Fund YTD Target Values'!$1:$1,0)),0)</f>
        <v>0</v>
      </c>
      <c r="S1654" s="52">
        <f>IFERROR(__xludf.DUMMYFUNCTION("IFERROR(sum(FILTER('Fund Data'!$V:$V, 'Fund Data'!$C:$C = $C1654, 'Fund Data'!$A:$A &lt; $A1654)),0) + IFERROR(sum(FILTER('Fund Data'!$V:$V, 'Fund Data'!$C:$C = $C1654, 'Fund Data'!$A:$A = $A1654, 'Fund Data'!$B:$B &lt;= $B1654)),0)"),0.0)</f>
        <v>0</v>
      </c>
      <c r="T1654" s="44"/>
      <c r="U1654" s="44"/>
      <c r="V1654" s="44">
        <f t="shared" si="3"/>
        <v>0</v>
      </c>
      <c r="W1654" s="52">
        <f>IFERROR(__xludf.DUMMYFUNCTION("iFERROR((FILTER('Fund Data'!$Y:$Y, 'Fund Data'!$C:$C = $C1654, 'Fund Data'!$A:$A = $A1654 - 1, 'Fund Data'!$B:$B = 12) + FILTER('Fund Data'!$AA:$AA, 'Fund Data'!$C:$C = $C1654, 'Fund Data'!$A:$A = $A1654 - 1, 'Fund Data'!$B:$B = 12)) * (1 + AVERAGE(FILTER"&amp;"('Inflation Data'!$C:$C,'Inflation Data'!$A:$A = ($A1654 - 2)))) * 'Parameters and Distribution Sum'!$A$4,0)"),0.0)</f>
        <v>0</v>
      </c>
      <c r="X1654" s="52">
        <f>IFERROR(__xludf.DUMMYFUNCTION("IFERROR((IFERROR(FILTER('Fund Data'!$P:$P,'Fund Data'!$C:$C = $C1654,'Fund Data'!$A:$A = ($A1654 - 2), 'Fund Data'!$B:$B = 12),0) - SUM(FILTER('Fund Data'!$V:$V, 'Fund Data'!$C:$C = $C1654, 'Fund Data'!$A:$A = ($A1654 - 2), 'Fund Data'!$B:$B &gt; 3)))  * 'Pa"&amp;"rameters and Distribution Sum'!$B$4 * (1 - 'Parameters and Distribution Sum'!$A$4),0)"),0.0)</f>
        <v>0</v>
      </c>
      <c r="Y1654" s="52">
        <f t="shared" si="140"/>
        <v>0</v>
      </c>
      <c r="Z1654" s="52">
        <f>IFERROR(__xludf.DUMMYFUNCTION("((IFERROR((SUM(FILTER('Fund Data'!$V:$V, 'Fund Data'!$C:$C = $C1654, 'Fund Data'!$A:$A = $A1654 - 1, 'Fund Data'!$B:$B &gt;= 4, 'Fund Data'!$B:$B &lt;= ($B1654 + 5))) / 12) * ($B1654 - 3) * 'Parameters and Distribution Sum'!$B$4, 0) + IF($B1654 &gt;= 9, IFERROR(SU"&amp;"M(FILTER('Fund Data'!$V:$V, 'Fund Data'!$C:$C = $C1654, 'Fund Data'!$A:$A = $A1654, 'Fund Data'!$B:$B &lt;= 3)) * 'Parameters and Distribution Sum'!$B$4, 0),0)))"),0.0)</f>
        <v>0</v>
      </c>
      <c r="AA1654" s="44">
        <f>IFERROR(__xludf.DUMMYFUNCTION("IFERROR(((IFERROR(SUM(FILTER('Fund Data'!$V:$V, 'Fund Data'!$C:$C = $C1654, 'Fund Data'!$A:$A = $A1654 - 2, 'Fund Data'!$B:$B &gt;= 4)) * 'Parameters and Distribution Sum'!$B$4,0) + IFERROR(SUM(FILTER('Fund Data'!$V:$V, 'Fund Data'!$C:$C = $C1654, 'Fund Data"&amp;"'!$A:$A = $A1654 - 1, 'Fund Data'!$B:$B &lt;= 3)) * 'Parameters and Distribution Sum'!$B$4,0))),0)"),0.0)</f>
        <v>0</v>
      </c>
      <c r="AB1654" s="44">
        <f t="shared" si="141"/>
        <v>0</v>
      </c>
      <c r="AC1654" s="44">
        <f t="shared" si="142"/>
        <v>0</v>
      </c>
      <c r="AD1654" s="44">
        <f t="shared" si="7"/>
        <v>0</v>
      </c>
      <c r="AE1654" s="44"/>
    </row>
    <row r="1655">
      <c r="A1655" s="178"/>
      <c r="B1655" s="179"/>
      <c r="C1655" s="147"/>
      <c r="D1655" s="44"/>
      <c r="E1655" s="44"/>
      <c r="F1655" s="44"/>
      <c r="G1655" s="44"/>
      <c r="H1655" s="44"/>
      <c r="I1655" s="44"/>
      <c r="J1655" s="44"/>
      <c r="K1655" s="44"/>
      <c r="L1655" s="44"/>
      <c r="M1655" s="44"/>
      <c r="N1655" s="44"/>
      <c r="O1655" s="44"/>
      <c r="P1655" s="52">
        <f t="shared" si="23"/>
        <v>0</v>
      </c>
      <c r="Q1655" s="124">
        <f t="shared" si="2"/>
        <v>0</v>
      </c>
      <c r="R1655" s="52">
        <f t="array" ref="R1655">IFERROR(INDEX('Fund YTD Target Values'!$1:$1000, MATCH($C1655,'Fund YTD Target Values'!$A:$A,0), MATCH($A1655,'Fund YTD Target Values'!$1:$1,0)),0)</f>
        <v>0</v>
      </c>
      <c r="S1655" s="52">
        <f>IFERROR(__xludf.DUMMYFUNCTION("IFERROR(sum(FILTER('Fund Data'!$V:$V, 'Fund Data'!$C:$C = $C1655, 'Fund Data'!$A:$A &lt; $A1655)),0) + IFERROR(sum(FILTER('Fund Data'!$V:$V, 'Fund Data'!$C:$C = $C1655, 'Fund Data'!$A:$A = $A1655, 'Fund Data'!$B:$B &lt;= $B1655)),0)"),0.0)</f>
        <v>0</v>
      </c>
      <c r="T1655" s="44"/>
      <c r="U1655" s="44"/>
      <c r="V1655" s="44">
        <f t="shared" si="3"/>
        <v>0</v>
      </c>
      <c r="W1655" s="52">
        <f>IFERROR(__xludf.DUMMYFUNCTION("iFERROR((FILTER('Fund Data'!$Y:$Y, 'Fund Data'!$C:$C = $C1655, 'Fund Data'!$A:$A = $A1655 - 1, 'Fund Data'!$B:$B = 12) + FILTER('Fund Data'!$AA:$AA, 'Fund Data'!$C:$C = $C1655, 'Fund Data'!$A:$A = $A1655 - 1, 'Fund Data'!$B:$B = 12)) * (1 + AVERAGE(FILTER"&amp;"('Inflation Data'!$C:$C,'Inflation Data'!$A:$A = ($A1655 - 2)))) * 'Parameters and Distribution Sum'!$A$4,0)"),0.0)</f>
        <v>0</v>
      </c>
      <c r="X1655" s="52">
        <f>IFERROR(__xludf.DUMMYFUNCTION("IFERROR((IFERROR(FILTER('Fund Data'!$P:$P,'Fund Data'!$C:$C = $C1655,'Fund Data'!$A:$A = ($A1655 - 2), 'Fund Data'!$B:$B = 12),0) - SUM(FILTER('Fund Data'!$V:$V, 'Fund Data'!$C:$C = $C1655, 'Fund Data'!$A:$A = ($A1655 - 2), 'Fund Data'!$B:$B &gt; 3)))  * 'Pa"&amp;"rameters and Distribution Sum'!$B$4 * (1 - 'Parameters and Distribution Sum'!$A$4),0)"),0.0)</f>
        <v>0</v>
      </c>
      <c r="Y1655" s="52">
        <f t="shared" si="140"/>
        <v>0</v>
      </c>
      <c r="Z1655" s="52">
        <f>IFERROR(__xludf.DUMMYFUNCTION("((IFERROR((SUM(FILTER('Fund Data'!$V:$V, 'Fund Data'!$C:$C = $C1655, 'Fund Data'!$A:$A = $A1655 - 1, 'Fund Data'!$B:$B &gt;= 4, 'Fund Data'!$B:$B &lt;= ($B1655 + 5))) / 12) * ($B1655 - 3) * 'Parameters and Distribution Sum'!$B$4, 0) + IF($B1655 &gt;= 9, IFERROR(SU"&amp;"M(FILTER('Fund Data'!$V:$V, 'Fund Data'!$C:$C = $C1655, 'Fund Data'!$A:$A = $A1655, 'Fund Data'!$B:$B &lt;= 3)) * 'Parameters and Distribution Sum'!$B$4, 0),0)))"),0.0)</f>
        <v>0</v>
      </c>
      <c r="AA1655" s="44">
        <f>IFERROR(__xludf.DUMMYFUNCTION("IFERROR(((IFERROR(SUM(FILTER('Fund Data'!$V:$V, 'Fund Data'!$C:$C = $C1655, 'Fund Data'!$A:$A = $A1655 - 2, 'Fund Data'!$B:$B &gt;= 4)) * 'Parameters and Distribution Sum'!$B$4,0) + IFERROR(SUM(FILTER('Fund Data'!$V:$V, 'Fund Data'!$C:$C = $C1655, 'Fund Data"&amp;"'!$A:$A = $A1655 - 1, 'Fund Data'!$B:$B &lt;= 3)) * 'Parameters and Distribution Sum'!$B$4,0))),0)"),0.0)</f>
        <v>0</v>
      </c>
      <c r="AB1655" s="44">
        <f t="shared" si="141"/>
        <v>0</v>
      </c>
      <c r="AC1655" s="44">
        <f t="shared" si="142"/>
        <v>0</v>
      </c>
      <c r="AD1655" s="44">
        <f t="shared" si="7"/>
        <v>0</v>
      </c>
      <c r="AE1655" s="44"/>
    </row>
    <row r="1656">
      <c r="A1656" s="178"/>
      <c r="B1656" s="179"/>
      <c r="C1656" s="147"/>
      <c r="D1656" s="44"/>
      <c r="E1656" s="44"/>
      <c r="F1656" s="44"/>
      <c r="G1656" s="44"/>
      <c r="H1656" s="44"/>
      <c r="I1656" s="44"/>
      <c r="J1656" s="44"/>
      <c r="K1656" s="44"/>
      <c r="L1656" s="44"/>
      <c r="M1656" s="44"/>
      <c r="N1656" s="44"/>
      <c r="O1656" s="44"/>
      <c r="P1656" s="52">
        <f t="shared" si="23"/>
        <v>0</v>
      </c>
      <c r="Q1656" s="124">
        <f t="shared" si="2"/>
        <v>0</v>
      </c>
      <c r="R1656" s="52">
        <f t="array" ref="R1656">IFERROR(INDEX('Fund YTD Target Values'!$1:$1000, MATCH($C1656,'Fund YTD Target Values'!$A:$A,0), MATCH($A1656,'Fund YTD Target Values'!$1:$1,0)),0)</f>
        <v>0</v>
      </c>
      <c r="S1656" s="52">
        <f>IFERROR(__xludf.DUMMYFUNCTION("IFERROR(sum(FILTER('Fund Data'!$V:$V, 'Fund Data'!$C:$C = $C1656, 'Fund Data'!$A:$A &lt; $A1656)),0) + IFERROR(sum(FILTER('Fund Data'!$V:$V, 'Fund Data'!$C:$C = $C1656, 'Fund Data'!$A:$A = $A1656, 'Fund Data'!$B:$B &lt;= $B1656)),0)"),0.0)</f>
        <v>0</v>
      </c>
      <c r="T1656" s="44"/>
      <c r="U1656" s="44"/>
      <c r="V1656" s="44">
        <f t="shared" si="3"/>
        <v>0</v>
      </c>
      <c r="W1656" s="52">
        <f>IFERROR(__xludf.DUMMYFUNCTION("iFERROR((FILTER('Fund Data'!$Y:$Y, 'Fund Data'!$C:$C = $C1656, 'Fund Data'!$A:$A = $A1656 - 1, 'Fund Data'!$B:$B = 12) + FILTER('Fund Data'!$AA:$AA, 'Fund Data'!$C:$C = $C1656, 'Fund Data'!$A:$A = $A1656 - 1, 'Fund Data'!$B:$B = 12)) * (1 + AVERAGE(FILTER"&amp;"('Inflation Data'!$C:$C,'Inflation Data'!$A:$A = ($A1656 - 2)))) * 'Parameters and Distribution Sum'!$A$4,0)"),0.0)</f>
        <v>0</v>
      </c>
      <c r="X1656" s="52">
        <f>IFERROR(__xludf.DUMMYFUNCTION("IFERROR((IFERROR(FILTER('Fund Data'!$P:$P,'Fund Data'!$C:$C = $C1656,'Fund Data'!$A:$A = ($A1656 - 2), 'Fund Data'!$B:$B = 12),0) - SUM(FILTER('Fund Data'!$V:$V, 'Fund Data'!$C:$C = $C1656, 'Fund Data'!$A:$A = ($A1656 - 2), 'Fund Data'!$B:$B &gt; 3)))  * 'Pa"&amp;"rameters and Distribution Sum'!$B$4 * (1 - 'Parameters and Distribution Sum'!$A$4),0)"),0.0)</f>
        <v>0</v>
      </c>
      <c r="Y1656" s="52">
        <f t="shared" si="140"/>
        <v>0</v>
      </c>
      <c r="Z1656" s="52">
        <f>IFERROR(__xludf.DUMMYFUNCTION("((IFERROR((SUM(FILTER('Fund Data'!$V:$V, 'Fund Data'!$C:$C = $C1656, 'Fund Data'!$A:$A = $A1656 - 1, 'Fund Data'!$B:$B &gt;= 4, 'Fund Data'!$B:$B &lt;= ($B1656 + 5))) / 12) * ($B1656 - 3) * 'Parameters and Distribution Sum'!$B$4, 0) + IF($B1656 &gt;= 9, IFERROR(SU"&amp;"M(FILTER('Fund Data'!$V:$V, 'Fund Data'!$C:$C = $C1656, 'Fund Data'!$A:$A = $A1656, 'Fund Data'!$B:$B &lt;= 3)) * 'Parameters and Distribution Sum'!$B$4, 0),0)))"),0.0)</f>
        <v>0</v>
      </c>
      <c r="AA1656" s="44">
        <f>IFERROR(__xludf.DUMMYFUNCTION("IFERROR(((IFERROR(SUM(FILTER('Fund Data'!$V:$V, 'Fund Data'!$C:$C = $C1656, 'Fund Data'!$A:$A = $A1656 - 2, 'Fund Data'!$B:$B &gt;= 4)) * 'Parameters and Distribution Sum'!$B$4,0) + IFERROR(SUM(FILTER('Fund Data'!$V:$V, 'Fund Data'!$C:$C = $C1656, 'Fund Data"&amp;"'!$A:$A = $A1656 - 1, 'Fund Data'!$B:$B &lt;= 3)) * 'Parameters and Distribution Sum'!$B$4,0))),0)"),0.0)</f>
        <v>0</v>
      </c>
      <c r="AB1656" s="44">
        <f t="shared" si="141"/>
        <v>0</v>
      </c>
      <c r="AC1656" s="44">
        <f t="shared" si="142"/>
        <v>0</v>
      </c>
      <c r="AD1656" s="44">
        <f t="shared" si="7"/>
        <v>0</v>
      </c>
      <c r="AE1656" s="44"/>
    </row>
    <row r="1657">
      <c r="A1657" s="178"/>
      <c r="B1657" s="179"/>
      <c r="C1657" s="147"/>
      <c r="D1657" s="44"/>
      <c r="E1657" s="44"/>
      <c r="F1657" s="44"/>
      <c r="G1657" s="44"/>
      <c r="H1657" s="44"/>
      <c r="I1657" s="44"/>
      <c r="J1657" s="44"/>
      <c r="K1657" s="44"/>
      <c r="L1657" s="44"/>
      <c r="M1657" s="44"/>
      <c r="N1657" s="44"/>
      <c r="O1657" s="44"/>
      <c r="P1657" s="52">
        <f t="shared" si="23"/>
        <v>0</v>
      </c>
      <c r="Q1657" s="124">
        <f t="shared" si="2"/>
        <v>0</v>
      </c>
      <c r="R1657" s="52">
        <f t="array" ref="R1657">IFERROR(INDEX('Fund YTD Target Values'!$1:$1000, MATCH($C1657,'Fund YTD Target Values'!$A:$A,0), MATCH($A1657,'Fund YTD Target Values'!$1:$1,0)),0)</f>
        <v>0</v>
      </c>
      <c r="S1657" s="52">
        <f>IFERROR(__xludf.DUMMYFUNCTION("IFERROR(sum(FILTER('Fund Data'!$V:$V, 'Fund Data'!$C:$C = $C1657, 'Fund Data'!$A:$A &lt; $A1657)),0) + IFERROR(sum(FILTER('Fund Data'!$V:$V, 'Fund Data'!$C:$C = $C1657, 'Fund Data'!$A:$A = $A1657, 'Fund Data'!$B:$B &lt;= $B1657)),0)"),0.0)</f>
        <v>0</v>
      </c>
      <c r="T1657" s="44"/>
      <c r="U1657" s="44"/>
      <c r="V1657" s="44">
        <f t="shared" si="3"/>
        <v>0</v>
      </c>
      <c r="W1657" s="52">
        <f>IFERROR(__xludf.DUMMYFUNCTION("iFERROR((FILTER('Fund Data'!$Y:$Y, 'Fund Data'!$C:$C = $C1657, 'Fund Data'!$A:$A = $A1657 - 1, 'Fund Data'!$B:$B = 12) + FILTER('Fund Data'!$AA:$AA, 'Fund Data'!$C:$C = $C1657, 'Fund Data'!$A:$A = $A1657 - 1, 'Fund Data'!$B:$B = 12)) * (1 + AVERAGE(FILTER"&amp;"('Inflation Data'!$C:$C,'Inflation Data'!$A:$A = ($A1657 - 2)))) * 'Parameters and Distribution Sum'!$A$4,0)"),0.0)</f>
        <v>0</v>
      </c>
      <c r="X1657" s="52">
        <f>IFERROR(__xludf.DUMMYFUNCTION("IFERROR((IFERROR(FILTER('Fund Data'!$P:$P,'Fund Data'!$C:$C = $C1657,'Fund Data'!$A:$A = ($A1657 - 2), 'Fund Data'!$B:$B = 12),0) - SUM(FILTER('Fund Data'!$V:$V, 'Fund Data'!$C:$C = $C1657, 'Fund Data'!$A:$A = ($A1657 - 2), 'Fund Data'!$B:$B &gt; 3)))  * 'Pa"&amp;"rameters and Distribution Sum'!$B$4 * (1 - 'Parameters and Distribution Sum'!$A$4),0)"),0.0)</f>
        <v>0</v>
      </c>
      <c r="Y1657" s="52">
        <f t="shared" si="140"/>
        <v>0</v>
      </c>
      <c r="Z1657" s="52">
        <f>IFERROR(__xludf.DUMMYFUNCTION("((IFERROR((SUM(FILTER('Fund Data'!$V:$V, 'Fund Data'!$C:$C = $C1657, 'Fund Data'!$A:$A = $A1657 - 1, 'Fund Data'!$B:$B &gt;= 4, 'Fund Data'!$B:$B &lt;= ($B1657 + 5))) / 12) * ($B1657 - 3) * 'Parameters and Distribution Sum'!$B$4, 0) + IF($B1657 &gt;= 9, IFERROR(SU"&amp;"M(FILTER('Fund Data'!$V:$V, 'Fund Data'!$C:$C = $C1657, 'Fund Data'!$A:$A = $A1657, 'Fund Data'!$B:$B &lt;= 3)) * 'Parameters and Distribution Sum'!$B$4, 0),0)))"),0.0)</f>
        <v>0</v>
      </c>
      <c r="AA1657" s="44">
        <f>IFERROR(__xludf.DUMMYFUNCTION("IFERROR(((IFERROR(SUM(FILTER('Fund Data'!$V:$V, 'Fund Data'!$C:$C = $C1657, 'Fund Data'!$A:$A = $A1657 - 2, 'Fund Data'!$B:$B &gt;= 4)) * 'Parameters and Distribution Sum'!$B$4,0) + IFERROR(SUM(FILTER('Fund Data'!$V:$V, 'Fund Data'!$C:$C = $C1657, 'Fund Data"&amp;"'!$A:$A = $A1657 - 1, 'Fund Data'!$B:$B &lt;= 3)) * 'Parameters and Distribution Sum'!$B$4,0))),0)"),0.0)</f>
        <v>0</v>
      </c>
      <c r="AB1657" s="44">
        <f t="shared" si="141"/>
        <v>0</v>
      </c>
      <c r="AC1657" s="44">
        <f t="shared" si="142"/>
        <v>0</v>
      </c>
      <c r="AD1657" s="44">
        <f t="shared" si="7"/>
        <v>0</v>
      </c>
      <c r="AE1657" s="44"/>
    </row>
    <row r="1658">
      <c r="A1658" s="178"/>
      <c r="B1658" s="179"/>
      <c r="C1658" s="147"/>
      <c r="D1658" s="44"/>
      <c r="E1658" s="44"/>
      <c r="F1658" s="44"/>
      <c r="G1658" s="44"/>
      <c r="H1658" s="44"/>
      <c r="I1658" s="44"/>
      <c r="J1658" s="44"/>
      <c r="K1658" s="44"/>
      <c r="L1658" s="44"/>
      <c r="M1658" s="44"/>
      <c r="N1658" s="44"/>
      <c r="O1658" s="44"/>
      <c r="P1658" s="52">
        <f t="shared" si="23"/>
        <v>0</v>
      </c>
      <c r="Q1658" s="124">
        <f t="shared" si="2"/>
        <v>0</v>
      </c>
      <c r="R1658" s="52">
        <f t="array" ref="R1658">IFERROR(INDEX('Fund YTD Target Values'!$1:$1000, MATCH($C1658,'Fund YTD Target Values'!$A:$A,0), MATCH($A1658,'Fund YTD Target Values'!$1:$1,0)),0)</f>
        <v>0</v>
      </c>
      <c r="S1658" s="52">
        <f>IFERROR(__xludf.DUMMYFUNCTION("IFERROR(sum(FILTER('Fund Data'!$V:$V, 'Fund Data'!$C:$C = $C1658, 'Fund Data'!$A:$A &lt; $A1658)),0) + IFERROR(sum(FILTER('Fund Data'!$V:$V, 'Fund Data'!$C:$C = $C1658, 'Fund Data'!$A:$A = $A1658, 'Fund Data'!$B:$B &lt;= $B1658)),0)"),0.0)</f>
        <v>0</v>
      </c>
      <c r="T1658" s="44"/>
      <c r="U1658" s="44"/>
      <c r="V1658" s="44">
        <f t="shared" si="3"/>
        <v>0</v>
      </c>
      <c r="W1658" s="52">
        <f>IFERROR(__xludf.DUMMYFUNCTION("iFERROR((FILTER('Fund Data'!$Y:$Y, 'Fund Data'!$C:$C = $C1658, 'Fund Data'!$A:$A = $A1658 - 1, 'Fund Data'!$B:$B = 12) + FILTER('Fund Data'!$AA:$AA, 'Fund Data'!$C:$C = $C1658, 'Fund Data'!$A:$A = $A1658 - 1, 'Fund Data'!$B:$B = 12)) * (1 + AVERAGE(FILTER"&amp;"('Inflation Data'!$C:$C,'Inflation Data'!$A:$A = ($A1658 - 2)))) * 'Parameters and Distribution Sum'!$A$4,0)"),0.0)</f>
        <v>0</v>
      </c>
      <c r="X1658" s="52">
        <f>IFERROR(__xludf.DUMMYFUNCTION("IFERROR((IFERROR(FILTER('Fund Data'!$P:$P,'Fund Data'!$C:$C = $C1658,'Fund Data'!$A:$A = ($A1658 - 2), 'Fund Data'!$B:$B = 12),0) - SUM(FILTER('Fund Data'!$V:$V, 'Fund Data'!$C:$C = $C1658, 'Fund Data'!$A:$A = ($A1658 - 2), 'Fund Data'!$B:$B &gt; 3)))  * 'Pa"&amp;"rameters and Distribution Sum'!$B$4 * (1 - 'Parameters and Distribution Sum'!$A$4),0)"),0.0)</f>
        <v>0</v>
      </c>
      <c r="Y1658" s="52">
        <f t="shared" si="140"/>
        <v>0</v>
      </c>
      <c r="Z1658" s="52">
        <f>IFERROR(__xludf.DUMMYFUNCTION("((IFERROR((SUM(FILTER('Fund Data'!$V:$V, 'Fund Data'!$C:$C = $C1658, 'Fund Data'!$A:$A = $A1658 - 1, 'Fund Data'!$B:$B &gt;= 4, 'Fund Data'!$B:$B &lt;= ($B1658 + 5))) / 12) * ($B1658 - 3) * 'Parameters and Distribution Sum'!$B$4, 0) + IF($B1658 &gt;= 9, IFERROR(SU"&amp;"M(FILTER('Fund Data'!$V:$V, 'Fund Data'!$C:$C = $C1658, 'Fund Data'!$A:$A = $A1658, 'Fund Data'!$B:$B &lt;= 3)) * 'Parameters and Distribution Sum'!$B$4, 0),0)))"),0.0)</f>
        <v>0</v>
      </c>
      <c r="AA1658" s="44">
        <f>IFERROR(__xludf.DUMMYFUNCTION("IFERROR(((IFERROR(SUM(FILTER('Fund Data'!$V:$V, 'Fund Data'!$C:$C = $C1658, 'Fund Data'!$A:$A = $A1658 - 2, 'Fund Data'!$B:$B &gt;= 4)) * 'Parameters and Distribution Sum'!$B$4,0) + IFERROR(SUM(FILTER('Fund Data'!$V:$V, 'Fund Data'!$C:$C = $C1658, 'Fund Data"&amp;"'!$A:$A = $A1658 - 1, 'Fund Data'!$B:$B &lt;= 3)) * 'Parameters and Distribution Sum'!$B$4,0))),0)"),0.0)</f>
        <v>0</v>
      </c>
      <c r="AB1658" s="44">
        <f t="shared" si="141"/>
        <v>0</v>
      </c>
      <c r="AC1658" s="44">
        <f t="shared" si="142"/>
        <v>0</v>
      </c>
      <c r="AD1658" s="44">
        <f t="shared" si="7"/>
        <v>0</v>
      </c>
      <c r="AE1658" s="44"/>
    </row>
    <row r="1659">
      <c r="A1659" s="178"/>
      <c r="B1659" s="179"/>
      <c r="C1659" s="147"/>
      <c r="D1659" s="44"/>
      <c r="E1659" s="44"/>
      <c r="F1659" s="44"/>
      <c r="G1659" s="44"/>
      <c r="H1659" s="44"/>
      <c r="I1659" s="44"/>
      <c r="J1659" s="44"/>
      <c r="K1659" s="44"/>
      <c r="L1659" s="44"/>
      <c r="M1659" s="44"/>
      <c r="N1659" s="44"/>
      <c r="O1659" s="44"/>
      <c r="P1659" s="52">
        <f t="shared" si="23"/>
        <v>0</v>
      </c>
      <c r="Q1659" s="124">
        <f t="shared" si="2"/>
        <v>0</v>
      </c>
      <c r="R1659" s="52">
        <f t="array" ref="R1659">IFERROR(INDEX('Fund YTD Target Values'!$1:$1000, MATCH($C1659,'Fund YTD Target Values'!$A:$A,0), MATCH($A1659,'Fund YTD Target Values'!$1:$1,0)),0)</f>
        <v>0</v>
      </c>
      <c r="S1659" s="52">
        <f>IFERROR(__xludf.DUMMYFUNCTION("IFERROR(sum(FILTER('Fund Data'!$V:$V, 'Fund Data'!$C:$C = $C1659, 'Fund Data'!$A:$A &lt; $A1659)),0) + IFERROR(sum(FILTER('Fund Data'!$V:$V, 'Fund Data'!$C:$C = $C1659, 'Fund Data'!$A:$A = $A1659, 'Fund Data'!$B:$B &lt;= $B1659)),0)"),0.0)</f>
        <v>0</v>
      </c>
      <c r="T1659" s="44"/>
      <c r="U1659" s="44"/>
      <c r="V1659" s="44">
        <f t="shared" si="3"/>
        <v>0</v>
      </c>
      <c r="W1659" s="52">
        <f>IFERROR(__xludf.DUMMYFUNCTION("iFERROR((FILTER('Fund Data'!$Y:$Y, 'Fund Data'!$C:$C = $C1659, 'Fund Data'!$A:$A = $A1659 - 1, 'Fund Data'!$B:$B = 12) + FILTER('Fund Data'!$AA:$AA, 'Fund Data'!$C:$C = $C1659, 'Fund Data'!$A:$A = $A1659 - 1, 'Fund Data'!$B:$B = 12)) * (1 + AVERAGE(FILTER"&amp;"('Inflation Data'!$C:$C,'Inflation Data'!$A:$A = ($A1659 - 2)))) * 'Parameters and Distribution Sum'!$A$4,0)"),0.0)</f>
        <v>0</v>
      </c>
      <c r="X1659" s="52">
        <f>IFERROR(__xludf.DUMMYFUNCTION("IFERROR((IFERROR(FILTER('Fund Data'!$P:$P,'Fund Data'!$C:$C = $C1659,'Fund Data'!$A:$A = ($A1659 - 2), 'Fund Data'!$B:$B = 12),0) - SUM(FILTER('Fund Data'!$V:$V, 'Fund Data'!$C:$C = $C1659, 'Fund Data'!$A:$A = ($A1659 - 2), 'Fund Data'!$B:$B &gt; 3)))  * 'Pa"&amp;"rameters and Distribution Sum'!$B$4 * (1 - 'Parameters and Distribution Sum'!$A$4),0)"),0.0)</f>
        <v>0</v>
      </c>
      <c r="Y1659" s="52">
        <f t="shared" si="140"/>
        <v>0</v>
      </c>
      <c r="Z1659" s="52">
        <f>IFERROR(__xludf.DUMMYFUNCTION("((IFERROR((SUM(FILTER('Fund Data'!$V:$V, 'Fund Data'!$C:$C = $C1659, 'Fund Data'!$A:$A = $A1659 - 1, 'Fund Data'!$B:$B &gt;= 4, 'Fund Data'!$B:$B &lt;= ($B1659 + 5))) / 12) * ($B1659 - 3) * 'Parameters and Distribution Sum'!$B$4, 0) + IF($B1659 &gt;= 9, IFERROR(SU"&amp;"M(FILTER('Fund Data'!$V:$V, 'Fund Data'!$C:$C = $C1659, 'Fund Data'!$A:$A = $A1659, 'Fund Data'!$B:$B &lt;= 3)) * 'Parameters and Distribution Sum'!$B$4, 0),0)))"),0.0)</f>
        <v>0</v>
      </c>
      <c r="AA1659" s="44">
        <f>IFERROR(__xludf.DUMMYFUNCTION("IFERROR(((IFERROR(SUM(FILTER('Fund Data'!$V:$V, 'Fund Data'!$C:$C = $C1659, 'Fund Data'!$A:$A = $A1659 - 2, 'Fund Data'!$B:$B &gt;= 4)) * 'Parameters and Distribution Sum'!$B$4,0) + IFERROR(SUM(FILTER('Fund Data'!$V:$V, 'Fund Data'!$C:$C = $C1659, 'Fund Data"&amp;"'!$A:$A = $A1659 - 1, 'Fund Data'!$B:$B &lt;= 3)) * 'Parameters and Distribution Sum'!$B$4,0))),0)"),0.0)</f>
        <v>0</v>
      </c>
      <c r="AB1659" s="44">
        <f t="shared" si="141"/>
        <v>0</v>
      </c>
      <c r="AC1659" s="44">
        <f t="shared" si="142"/>
        <v>0</v>
      </c>
      <c r="AD1659" s="44">
        <f t="shared" si="7"/>
        <v>0</v>
      </c>
      <c r="AE1659" s="44"/>
    </row>
    <row r="1660">
      <c r="A1660" s="178"/>
      <c r="B1660" s="179"/>
      <c r="C1660" s="147"/>
      <c r="D1660" s="44"/>
      <c r="E1660" s="44"/>
      <c r="F1660" s="44"/>
      <c r="G1660" s="44"/>
      <c r="H1660" s="44"/>
      <c r="I1660" s="44"/>
      <c r="J1660" s="44"/>
      <c r="K1660" s="44"/>
      <c r="L1660" s="44"/>
      <c r="M1660" s="44"/>
      <c r="N1660" s="44"/>
      <c r="O1660" s="44"/>
      <c r="P1660" s="52">
        <f t="shared" si="23"/>
        <v>0</v>
      </c>
      <c r="Q1660" s="124">
        <f t="shared" si="2"/>
        <v>0</v>
      </c>
      <c r="R1660" s="52">
        <f t="array" ref="R1660">IFERROR(INDEX('Fund YTD Target Values'!$1:$1000, MATCH($C1660,'Fund YTD Target Values'!$A:$A,0), MATCH($A1660,'Fund YTD Target Values'!$1:$1,0)),0)</f>
        <v>0</v>
      </c>
      <c r="S1660" s="52">
        <f>IFERROR(__xludf.DUMMYFUNCTION("IFERROR(sum(FILTER('Fund Data'!$V:$V, 'Fund Data'!$C:$C = $C1660, 'Fund Data'!$A:$A &lt; $A1660)),0) + IFERROR(sum(FILTER('Fund Data'!$V:$V, 'Fund Data'!$C:$C = $C1660, 'Fund Data'!$A:$A = $A1660, 'Fund Data'!$B:$B &lt;= $B1660)),0)"),0.0)</f>
        <v>0</v>
      </c>
      <c r="T1660" s="44"/>
      <c r="U1660" s="44"/>
      <c r="V1660" s="44">
        <f t="shared" si="3"/>
        <v>0</v>
      </c>
      <c r="W1660" s="52">
        <f>IFERROR(__xludf.DUMMYFUNCTION("iFERROR((FILTER('Fund Data'!$Y:$Y, 'Fund Data'!$C:$C = $C1660, 'Fund Data'!$A:$A = $A1660 - 1, 'Fund Data'!$B:$B = 12) + FILTER('Fund Data'!$AA:$AA, 'Fund Data'!$C:$C = $C1660, 'Fund Data'!$A:$A = $A1660 - 1, 'Fund Data'!$B:$B = 12)) * (1 + AVERAGE(FILTER"&amp;"('Inflation Data'!$C:$C,'Inflation Data'!$A:$A = ($A1660 - 2)))) * 'Parameters and Distribution Sum'!$A$4,0)"),0.0)</f>
        <v>0</v>
      </c>
      <c r="X1660" s="52">
        <f>IFERROR(__xludf.DUMMYFUNCTION("IFERROR((IFERROR(FILTER('Fund Data'!$P:$P,'Fund Data'!$C:$C = $C1660,'Fund Data'!$A:$A = ($A1660 - 2), 'Fund Data'!$B:$B = 12),0) - SUM(FILTER('Fund Data'!$V:$V, 'Fund Data'!$C:$C = $C1660, 'Fund Data'!$A:$A = ($A1660 - 2), 'Fund Data'!$B:$B &gt; 3)))  * 'Pa"&amp;"rameters and Distribution Sum'!$B$4 * (1 - 'Parameters and Distribution Sum'!$A$4),0)"),0.0)</f>
        <v>0</v>
      </c>
      <c r="Y1660" s="52">
        <f t="shared" si="140"/>
        <v>0</v>
      </c>
      <c r="Z1660" s="52">
        <f>IFERROR(__xludf.DUMMYFUNCTION("((IFERROR((SUM(FILTER('Fund Data'!$V:$V, 'Fund Data'!$C:$C = $C1660, 'Fund Data'!$A:$A = $A1660 - 1, 'Fund Data'!$B:$B &gt;= 4, 'Fund Data'!$B:$B &lt;= ($B1660 + 5))) / 12) * ($B1660 - 3) * 'Parameters and Distribution Sum'!$B$4, 0) + IF($B1660 &gt;= 9, IFERROR(SU"&amp;"M(FILTER('Fund Data'!$V:$V, 'Fund Data'!$C:$C = $C1660, 'Fund Data'!$A:$A = $A1660, 'Fund Data'!$B:$B &lt;= 3)) * 'Parameters and Distribution Sum'!$B$4, 0),0)))"),0.0)</f>
        <v>0</v>
      </c>
      <c r="AA1660" s="44">
        <f>IFERROR(__xludf.DUMMYFUNCTION("IFERROR(((IFERROR(SUM(FILTER('Fund Data'!$V:$V, 'Fund Data'!$C:$C = $C1660, 'Fund Data'!$A:$A = $A1660 - 2, 'Fund Data'!$B:$B &gt;= 4)) * 'Parameters and Distribution Sum'!$B$4,0) + IFERROR(SUM(FILTER('Fund Data'!$V:$V, 'Fund Data'!$C:$C = $C1660, 'Fund Data"&amp;"'!$A:$A = $A1660 - 1, 'Fund Data'!$B:$B &lt;= 3)) * 'Parameters and Distribution Sum'!$B$4,0))),0)"),0.0)</f>
        <v>0</v>
      </c>
      <c r="AB1660" s="44">
        <f t="shared" si="141"/>
        <v>0</v>
      </c>
      <c r="AC1660" s="44">
        <f t="shared" si="142"/>
        <v>0</v>
      </c>
      <c r="AD1660" s="44">
        <f t="shared" si="7"/>
        <v>0</v>
      </c>
      <c r="AE1660" s="44"/>
    </row>
    <row r="1661">
      <c r="A1661" s="178"/>
      <c r="B1661" s="179"/>
      <c r="C1661" s="147"/>
      <c r="D1661" s="44"/>
      <c r="E1661" s="44"/>
      <c r="F1661" s="44"/>
      <c r="G1661" s="44"/>
      <c r="H1661" s="44"/>
      <c r="I1661" s="44"/>
      <c r="J1661" s="44"/>
      <c r="K1661" s="44"/>
      <c r="L1661" s="44"/>
      <c r="M1661" s="44"/>
      <c r="N1661" s="44"/>
      <c r="O1661" s="44"/>
      <c r="P1661" s="52">
        <f t="shared" si="23"/>
        <v>0</v>
      </c>
      <c r="Q1661" s="124">
        <f t="shared" si="2"/>
        <v>0</v>
      </c>
      <c r="R1661" s="52">
        <f t="array" ref="R1661">IFERROR(INDEX('Fund YTD Target Values'!$1:$1000, MATCH($C1661,'Fund YTD Target Values'!$A:$A,0), MATCH($A1661,'Fund YTD Target Values'!$1:$1,0)),0)</f>
        <v>0</v>
      </c>
      <c r="S1661" s="52">
        <f>IFERROR(__xludf.DUMMYFUNCTION("IFERROR(sum(FILTER('Fund Data'!$V:$V, 'Fund Data'!$C:$C = $C1661, 'Fund Data'!$A:$A &lt; $A1661)),0) + IFERROR(sum(FILTER('Fund Data'!$V:$V, 'Fund Data'!$C:$C = $C1661, 'Fund Data'!$A:$A = $A1661, 'Fund Data'!$B:$B &lt;= $B1661)),0)"),0.0)</f>
        <v>0</v>
      </c>
      <c r="T1661" s="44"/>
      <c r="U1661" s="44"/>
      <c r="V1661" s="44">
        <f t="shared" si="3"/>
        <v>0</v>
      </c>
      <c r="W1661" s="52">
        <f>IFERROR(__xludf.DUMMYFUNCTION("iFERROR((FILTER('Fund Data'!$Y:$Y, 'Fund Data'!$C:$C = $C1661, 'Fund Data'!$A:$A = $A1661 - 1, 'Fund Data'!$B:$B = 12) + FILTER('Fund Data'!$AA:$AA, 'Fund Data'!$C:$C = $C1661, 'Fund Data'!$A:$A = $A1661 - 1, 'Fund Data'!$B:$B = 12)) * (1 + AVERAGE(FILTER"&amp;"('Inflation Data'!$C:$C,'Inflation Data'!$A:$A = ($A1661 - 2)))) * 'Parameters and Distribution Sum'!$A$4,0)"),0.0)</f>
        <v>0</v>
      </c>
      <c r="X1661" s="52">
        <f>IFERROR(__xludf.DUMMYFUNCTION("IFERROR((IFERROR(FILTER('Fund Data'!$P:$P,'Fund Data'!$C:$C = $C1661,'Fund Data'!$A:$A = ($A1661 - 2), 'Fund Data'!$B:$B = 12),0) - SUM(FILTER('Fund Data'!$V:$V, 'Fund Data'!$C:$C = $C1661, 'Fund Data'!$A:$A = ($A1661 - 2), 'Fund Data'!$B:$B &gt; 3)))  * 'Pa"&amp;"rameters and Distribution Sum'!$B$4 * (1 - 'Parameters and Distribution Sum'!$A$4),0)"),0.0)</f>
        <v>0</v>
      </c>
      <c r="Y1661" s="52">
        <f t="shared" si="140"/>
        <v>0</v>
      </c>
      <c r="Z1661" s="52">
        <f>IFERROR(__xludf.DUMMYFUNCTION("((IFERROR((SUM(FILTER('Fund Data'!$V:$V, 'Fund Data'!$C:$C = $C1661, 'Fund Data'!$A:$A = $A1661 - 1, 'Fund Data'!$B:$B &gt;= 4, 'Fund Data'!$B:$B &lt;= ($B1661 + 5))) / 12) * ($B1661 - 3) * 'Parameters and Distribution Sum'!$B$4, 0) + IF($B1661 &gt;= 9, IFERROR(SU"&amp;"M(FILTER('Fund Data'!$V:$V, 'Fund Data'!$C:$C = $C1661, 'Fund Data'!$A:$A = $A1661, 'Fund Data'!$B:$B &lt;= 3)) * 'Parameters and Distribution Sum'!$B$4, 0),0)))"),0.0)</f>
        <v>0</v>
      </c>
      <c r="AA1661" s="44">
        <f>IFERROR(__xludf.DUMMYFUNCTION("IFERROR(((IFERROR(SUM(FILTER('Fund Data'!$V:$V, 'Fund Data'!$C:$C = $C1661, 'Fund Data'!$A:$A = $A1661 - 2, 'Fund Data'!$B:$B &gt;= 4)) * 'Parameters and Distribution Sum'!$B$4,0) + IFERROR(SUM(FILTER('Fund Data'!$V:$V, 'Fund Data'!$C:$C = $C1661, 'Fund Data"&amp;"'!$A:$A = $A1661 - 1, 'Fund Data'!$B:$B &lt;= 3)) * 'Parameters and Distribution Sum'!$B$4,0))),0)"),0.0)</f>
        <v>0</v>
      </c>
      <c r="AB1661" s="44">
        <f t="shared" si="141"/>
        <v>0</v>
      </c>
      <c r="AC1661" s="44">
        <f t="shared" si="142"/>
        <v>0</v>
      </c>
      <c r="AD1661" s="44">
        <f t="shared" si="7"/>
        <v>0</v>
      </c>
      <c r="AE1661" s="44"/>
    </row>
    <row r="1662">
      <c r="A1662" s="178"/>
      <c r="B1662" s="179"/>
      <c r="C1662" s="147"/>
      <c r="D1662" s="44"/>
      <c r="E1662" s="44"/>
      <c r="F1662" s="44"/>
      <c r="G1662" s="44"/>
      <c r="H1662" s="44"/>
      <c r="I1662" s="44"/>
      <c r="J1662" s="44"/>
      <c r="K1662" s="44"/>
      <c r="L1662" s="44"/>
      <c r="M1662" s="44"/>
      <c r="N1662" s="44"/>
      <c r="O1662" s="44"/>
      <c r="P1662" s="52">
        <f t="shared" si="23"/>
        <v>0</v>
      </c>
      <c r="Q1662" s="124">
        <f t="shared" si="2"/>
        <v>0</v>
      </c>
      <c r="R1662" s="52">
        <f t="array" ref="R1662">IFERROR(INDEX('Fund YTD Target Values'!$1:$1000, MATCH($C1662,'Fund YTD Target Values'!$A:$A,0), MATCH($A1662,'Fund YTD Target Values'!$1:$1,0)),0)</f>
        <v>0</v>
      </c>
      <c r="S1662" s="52">
        <f>IFERROR(__xludf.DUMMYFUNCTION("IFERROR(sum(FILTER('Fund Data'!$V:$V, 'Fund Data'!$C:$C = $C1662, 'Fund Data'!$A:$A &lt; $A1662)),0) + IFERROR(sum(FILTER('Fund Data'!$V:$V, 'Fund Data'!$C:$C = $C1662, 'Fund Data'!$A:$A = $A1662, 'Fund Data'!$B:$B &lt;= $B1662)),0)"),0.0)</f>
        <v>0</v>
      </c>
      <c r="T1662" s="44"/>
      <c r="U1662" s="44"/>
      <c r="V1662" s="44">
        <f t="shared" si="3"/>
        <v>0</v>
      </c>
      <c r="W1662" s="52">
        <f>IFERROR(__xludf.DUMMYFUNCTION("iFERROR((FILTER('Fund Data'!$Y:$Y, 'Fund Data'!$C:$C = $C1662, 'Fund Data'!$A:$A = $A1662 - 1, 'Fund Data'!$B:$B = 12) + FILTER('Fund Data'!$AA:$AA, 'Fund Data'!$C:$C = $C1662, 'Fund Data'!$A:$A = $A1662 - 1, 'Fund Data'!$B:$B = 12)) * (1 + AVERAGE(FILTER"&amp;"('Inflation Data'!$C:$C,'Inflation Data'!$A:$A = ($A1662 - 2)))) * 'Parameters and Distribution Sum'!$A$4,0)"),0.0)</f>
        <v>0</v>
      </c>
      <c r="X1662" s="52">
        <f>IFERROR(__xludf.DUMMYFUNCTION("IFERROR((IFERROR(FILTER('Fund Data'!$P:$P,'Fund Data'!$C:$C = $C1662,'Fund Data'!$A:$A = ($A1662 - 2), 'Fund Data'!$B:$B = 12),0) - SUM(FILTER('Fund Data'!$V:$V, 'Fund Data'!$C:$C = $C1662, 'Fund Data'!$A:$A = ($A1662 - 2), 'Fund Data'!$B:$B &gt; 3)))  * 'Pa"&amp;"rameters and Distribution Sum'!$B$4 * (1 - 'Parameters and Distribution Sum'!$A$4),0)"),0.0)</f>
        <v>0</v>
      </c>
      <c r="Y1662" s="52">
        <f t="shared" si="140"/>
        <v>0</v>
      </c>
      <c r="Z1662" s="52">
        <f>IFERROR(__xludf.DUMMYFUNCTION("((IFERROR((SUM(FILTER('Fund Data'!$V:$V, 'Fund Data'!$C:$C = $C1662, 'Fund Data'!$A:$A = $A1662 - 1, 'Fund Data'!$B:$B &gt;= 4, 'Fund Data'!$B:$B &lt;= ($B1662 + 5))) / 12) * ($B1662 - 3) * 'Parameters and Distribution Sum'!$B$4, 0) + IF($B1662 &gt;= 9, IFERROR(SU"&amp;"M(FILTER('Fund Data'!$V:$V, 'Fund Data'!$C:$C = $C1662, 'Fund Data'!$A:$A = $A1662, 'Fund Data'!$B:$B &lt;= 3)) * 'Parameters and Distribution Sum'!$B$4, 0),0)))"),0.0)</f>
        <v>0</v>
      </c>
      <c r="AA1662" s="44">
        <f>IFERROR(__xludf.DUMMYFUNCTION("IFERROR(((IFERROR(SUM(FILTER('Fund Data'!$V:$V, 'Fund Data'!$C:$C = $C1662, 'Fund Data'!$A:$A = $A1662 - 2, 'Fund Data'!$B:$B &gt;= 4)) * 'Parameters and Distribution Sum'!$B$4,0) + IFERROR(SUM(FILTER('Fund Data'!$V:$V, 'Fund Data'!$C:$C = $C1662, 'Fund Data"&amp;"'!$A:$A = $A1662 - 1, 'Fund Data'!$B:$B &lt;= 3)) * 'Parameters and Distribution Sum'!$B$4,0))),0)"),0.0)</f>
        <v>0</v>
      </c>
      <c r="AB1662" s="44">
        <f t="shared" si="141"/>
        <v>0</v>
      </c>
      <c r="AC1662" s="44">
        <f t="shared" si="142"/>
        <v>0</v>
      </c>
      <c r="AD1662" s="44">
        <f t="shared" si="7"/>
        <v>0</v>
      </c>
      <c r="AE1662" s="44"/>
    </row>
    <row r="1663">
      <c r="A1663" s="178"/>
      <c r="B1663" s="179"/>
      <c r="C1663" s="147"/>
      <c r="D1663" s="44"/>
      <c r="E1663" s="44"/>
      <c r="F1663" s="44"/>
      <c r="G1663" s="44"/>
      <c r="H1663" s="44"/>
      <c r="I1663" s="44"/>
      <c r="J1663" s="44"/>
      <c r="K1663" s="44"/>
      <c r="L1663" s="44"/>
      <c r="M1663" s="44"/>
      <c r="N1663" s="44"/>
      <c r="O1663" s="44"/>
      <c r="P1663" s="52">
        <f t="shared" si="23"/>
        <v>0</v>
      </c>
      <c r="Q1663" s="124">
        <f t="shared" si="2"/>
        <v>0</v>
      </c>
      <c r="R1663" s="52">
        <f t="array" ref="R1663">IFERROR(INDEX('Fund YTD Target Values'!$1:$1000, MATCH($C1663,'Fund YTD Target Values'!$A:$A,0), MATCH($A1663,'Fund YTD Target Values'!$1:$1,0)),0)</f>
        <v>0</v>
      </c>
      <c r="S1663" s="52">
        <f>IFERROR(__xludf.DUMMYFUNCTION("IFERROR(sum(FILTER('Fund Data'!$V:$V, 'Fund Data'!$C:$C = $C1663, 'Fund Data'!$A:$A &lt; $A1663)),0) + IFERROR(sum(FILTER('Fund Data'!$V:$V, 'Fund Data'!$C:$C = $C1663, 'Fund Data'!$A:$A = $A1663, 'Fund Data'!$B:$B &lt;= $B1663)),0)"),0.0)</f>
        <v>0</v>
      </c>
      <c r="T1663" s="44"/>
      <c r="U1663" s="44"/>
      <c r="V1663" s="44">
        <f t="shared" si="3"/>
        <v>0</v>
      </c>
      <c r="W1663" s="52">
        <f>IFERROR(__xludf.DUMMYFUNCTION("iFERROR((FILTER('Fund Data'!$Y:$Y, 'Fund Data'!$C:$C = $C1663, 'Fund Data'!$A:$A = $A1663 - 1, 'Fund Data'!$B:$B = 12) + FILTER('Fund Data'!$AA:$AA, 'Fund Data'!$C:$C = $C1663, 'Fund Data'!$A:$A = $A1663 - 1, 'Fund Data'!$B:$B = 12)) * (1 + AVERAGE(FILTER"&amp;"('Inflation Data'!$C:$C,'Inflation Data'!$A:$A = ($A1663 - 2)))) * 'Parameters and Distribution Sum'!$A$4,0)"),0.0)</f>
        <v>0</v>
      </c>
      <c r="X1663" s="52">
        <f>IFERROR(__xludf.DUMMYFUNCTION("IFERROR((IFERROR(FILTER('Fund Data'!$P:$P,'Fund Data'!$C:$C = $C1663,'Fund Data'!$A:$A = ($A1663 - 2), 'Fund Data'!$B:$B = 12),0) - SUM(FILTER('Fund Data'!$V:$V, 'Fund Data'!$C:$C = $C1663, 'Fund Data'!$A:$A = ($A1663 - 2), 'Fund Data'!$B:$B &gt; 3)))  * 'Pa"&amp;"rameters and Distribution Sum'!$B$4 * (1 - 'Parameters and Distribution Sum'!$A$4),0)"),0.0)</f>
        <v>0</v>
      </c>
      <c r="Y1663" s="52">
        <f t="shared" si="140"/>
        <v>0</v>
      </c>
      <c r="Z1663" s="52">
        <f>IFERROR(__xludf.DUMMYFUNCTION("((IFERROR((SUM(FILTER('Fund Data'!$V:$V, 'Fund Data'!$C:$C = $C1663, 'Fund Data'!$A:$A = $A1663 - 1, 'Fund Data'!$B:$B &gt;= 4, 'Fund Data'!$B:$B &lt;= ($B1663 + 5))) / 12) * ($B1663 - 3) * 'Parameters and Distribution Sum'!$B$4, 0) + IF($B1663 &gt;= 9, IFERROR(SU"&amp;"M(FILTER('Fund Data'!$V:$V, 'Fund Data'!$C:$C = $C1663, 'Fund Data'!$A:$A = $A1663, 'Fund Data'!$B:$B &lt;= 3)) * 'Parameters and Distribution Sum'!$B$4, 0),0)))"),0.0)</f>
        <v>0</v>
      </c>
      <c r="AA1663" s="44">
        <f>IFERROR(__xludf.DUMMYFUNCTION("IFERROR(((IFERROR(SUM(FILTER('Fund Data'!$V:$V, 'Fund Data'!$C:$C = $C1663, 'Fund Data'!$A:$A = $A1663 - 2, 'Fund Data'!$B:$B &gt;= 4)) * 'Parameters and Distribution Sum'!$B$4,0) + IFERROR(SUM(FILTER('Fund Data'!$V:$V, 'Fund Data'!$C:$C = $C1663, 'Fund Data"&amp;"'!$A:$A = $A1663 - 1, 'Fund Data'!$B:$B &lt;= 3)) * 'Parameters and Distribution Sum'!$B$4,0))),0)"),0.0)</f>
        <v>0</v>
      </c>
      <c r="AB1663" s="44">
        <f t="shared" si="141"/>
        <v>0</v>
      </c>
      <c r="AC1663" s="44">
        <f t="shared" si="142"/>
        <v>0</v>
      </c>
      <c r="AD1663" s="44">
        <f t="shared" si="7"/>
        <v>0</v>
      </c>
      <c r="AE1663" s="44"/>
    </row>
    <row r="1664">
      <c r="A1664" s="178"/>
      <c r="B1664" s="179"/>
      <c r="C1664" s="147"/>
      <c r="D1664" s="44"/>
      <c r="E1664" s="44"/>
      <c r="F1664" s="44"/>
      <c r="G1664" s="44"/>
      <c r="H1664" s="44"/>
      <c r="I1664" s="44"/>
      <c r="J1664" s="44"/>
      <c r="K1664" s="44"/>
      <c r="L1664" s="44"/>
      <c r="M1664" s="44"/>
      <c r="N1664" s="44"/>
      <c r="O1664" s="44"/>
      <c r="P1664" s="52">
        <f t="shared" si="23"/>
        <v>0</v>
      </c>
      <c r="Q1664" s="124">
        <f t="shared" si="2"/>
        <v>0</v>
      </c>
      <c r="R1664" s="52">
        <f t="array" ref="R1664">IFERROR(INDEX('Fund YTD Target Values'!$1:$1000, MATCH($C1664,'Fund YTD Target Values'!$A:$A,0), MATCH($A1664,'Fund YTD Target Values'!$1:$1,0)),0)</f>
        <v>0</v>
      </c>
      <c r="S1664" s="52">
        <f>IFERROR(__xludf.DUMMYFUNCTION("IFERROR(sum(FILTER('Fund Data'!$V:$V, 'Fund Data'!$C:$C = $C1664, 'Fund Data'!$A:$A &lt; $A1664)),0) + IFERROR(sum(FILTER('Fund Data'!$V:$V, 'Fund Data'!$C:$C = $C1664, 'Fund Data'!$A:$A = $A1664, 'Fund Data'!$B:$B &lt;= $B1664)),0)"),0.0)</f>
        <v>0</v>
      </c>
      <c r="T1664" s="44"/>
      <c r="U1664" s="44"/>
      <c r="V1664" s="44">
        <f t="shared" si="3"/>
        <v>0</v>
      </c>
      <c r="W1664" s="52">
        <f>IFERROR(__xludf.DUMMYFUNCTION("iFERROR((FILTER('Fund Data'!$Y:$Y, 'Fund Data'!$C:$C = $C1664, 'Fund Data'!$A:$A = $A1664 - 1, 'Fund Data'!$B:$B = 12) + FILTER('Fund Data'!$AA:$AA, 'Fund Data'!$C:$C = $C1664, 'Fund Data'!$A:$A = $A1664 - 1, 'Fund Data'!$B:$B = 12)) * (1 + AVERAGE(FILTER"&amp;"('Inflation Data'!$C:$C,'Inflation Data'!$A:$A = ($A1664 - 2)))) * 'Parameters and Distribution Sum'!$A$4,0)"),0.0)</f>
        <v>0</v>
      </c>
      <c r="X1664" s="52">
        <f>IFERROR(__xludf.DUMMYFUNCTION("IFERROR((IFERROR(FILTER('Fund Data'!$P:$P,'Fund Data'!$C:$C = $C1664,'Fund Data'!$A:$A = ($A1664 - 2), 'Fund Data'!$B:$B = 12),0) - SUM(FILTER('Fund Data'!$V:$V, 'Fund Data'!$C:$C = $C1664, 'Fund Data'!$A:$A = ($A1664 - 2), 'Fund Data'!$B:$B &gt; 3)))  * 'Pa"&amp;"rameters and Distribution Sum'!$B$4 * (1 - 'Parameters and Distribution Sum'!$A$4),0)"),0.0)</f>
        <v>0</v>
      </c>
      <c r="Y1664" s="52">
        <f t="shared" si="140"/>
        <v>0</v>
      </c>
      <c r="Z1664" s="52">
        <f>IFERROR(__xludf.DUMMYFUNCTION("((IFERROR((SUM(FILTER('Fund Data'!$V:$V, 'Fund Data'!$C:$C = $C1664, 'Fund Data'!$A:$A = $A1664 - 1, 'Fund Data'!$B:$B &gt;= 4, 'Fund Data'!$B:$B &lt;= ($B1664 + 5))) / 12) * ($B1664 - 3) * 'Parameters and Distribution Sum'!$B$4, 0) + IF($B1664 &gt;= 9, IFERROR(SU"&amp;"M(FILTER('Fund Data'!$V:$V, 'Fund Data'!$C:$C = $C1664, 'Fund Data'!$A:$A = $A1664, 'Fund Data'!$B:$B &lt;= 3)) * 'Parameters and Distribution Sum'!$B$4, 0),0)))"),0.0)</f>
        <v>0</v>
      </c>
      <c r="AA1664" s="44">
        <f>IFERROR(__xludf.DUMMYFUNCTION("IFERROR(((IFERROR(SUM(FILTER('Fund Data'!$V:$V, 'Fund Data'!$C:$C = $C1664, 'Fund Data'!$A:$A = $A1664 - 2, 'Fund Data'!$B:$B &gt;= 4)) * 'Parameters and Distribution Sum'!$B$4,0) + IFERROR(SUM(FILTER('Fund Data'!$V:$V, 'Fund Data'!$C:$C = $C1664, 'Fund Data"&amp;"'!$A:$A = $A1664 - 1, 'Fund Data'!$B:$B &lt;= 3)) * 'Parameters and Distribution Sum'!$B$4,0))),0)"),0.0)</f>
        <v>0</v>
      </c>
      <c r="AB1664" s="44">
        <f t="shared" si="141"/>
        <v>0</v>
      </c>
      <c r="AC1664" s="44">
        <f t="shared" si="142"/>
        <v>0</v>
      </c>
      <c r="AD1664" s="44">
        <f t="shared" si="7"/>
        <v>0</v>
      </c>
      <c r="AE1664" s="44"/>
    </row>
    <row r="1665">
      <c r="A1665" s="178"/>
      <c r="B1665" s="179"/>
      <c r="C1665" s="147"/>
      <c r="D1665" s="44"/>
      <c r="E1665" s="44"/>
      <c r="F1665" s="44"/>
      <c r="G1665" s="44"/>
      <c r="H1665" s="44"/>
      <c r="I1665" s="44"/>
      <c r="J1665" s="44"/>
      <c r="K1665" s="44"/>
      <c r="L1665" s="44"/>
      <c r="M1665" s="44"/>
      <c r="N1665" s="44"/>
      <c r="O1665" s="44"/>
      <c r="P1665" s="52">
        <f t="shared" si="23"/>
        <v>0</v>
      </c>
      <c r="Q1665" s="124">
        <f t="shared" si="2"/>
        <v>0</v>
      </c>
      <c r="R1665" s="52">
        <f t="array" ref="R1665">IFERROR(INDEX('Fund YTD Target Values'!$1:$1000, MATCH($C1665,'Fund YTD Target Values'!$A:$A,0), MATCH($A1665,'Fund YTD Target Values'!$1:$1,0)),0)</f>
        <v>0</v>
      </c>
      <c r="S1665" s="52">
        <f>IFERROR(__xludf.DUMMYFUNCTION("IFERROR(sum(FILTER('Fund Data'!$V:$V, 'Fund Data'!$C:$C = $C1665, 'Fund Data'!$A:$A &lt; $A1665)),0) + IFERROR(sum(FILTER('Fund Data'!$V:$V, 'Fund Data'!$C:$C = $C1665, 'Fund Data'!$A:$A = $A1665, 'Fund Data'!$B:$B &lt;= $B1665)),0)"),0.0)</f>
        <v>0</v>
      </c>
      <c r="T1665" s="44"/>
      <c r="U1665" s="44"/>
      <c r="V1665" s="44">
        <f t="shared" si="3"/>
        <v>0</v>
      </c>
      <c r="W1665" s="52">
        <f>IFERROR(__xludf.DUMMYFUNCTION("iFERROR((FILTER('Fund Data'!$Y:$Y, 'Fund Data'!$C:$C = $C1665, 'Fund Data'!$A:$A = $A1665 - 1, 'Fund Data'!$B:$B = 12) + FILTER('Fund Data'!$AA:$AA, 'Fund Data'!$C:$C = $C1665, 'Fund Data'!$A:$A = $A1665 - 1, 'Fund Data'!$B:$B = 12)) * (1 + AVERAGE(FILTER"&amp;"('Inflation Data'!$C:$C,'Inflation Data'!$A:$A = ($A1665 - 2)))) * 'Parameters and Distribution Sum'!$A$4,0)"),0.0)</f>
        <v>0</v>
      </c>
      <c r="X1665" s="52">
        <f>IFERROR(__xludf.DUMMYFUNCTION("IFERROR((IFERROR(FILTER('Fund Data'!$P:$P,'Fund Data'!$C:$C = $C1665,'Fund Data'!$A:$A = ($A1665 - 2), 'Fund Data'!$B:$B = 12),0) - SUM(FILTER('Fund Data'!$V:$V, 'Fund Data'!$C:$C = $C1665, 'Fund Data'!$A:$A = ($A1665 - 2), 'Fund Data'!$B:$B &gt; 3)))  * 'Pa"&amp;"rameters and Distribution Sum'!$B$4 * (1 - 'Parameters and Distribution Sum'!$A$4),0)"),0.0)</f>
        <v>0</v>
      </c>
      <c r="Y1665" s="52">
        <f t="shared" si="140"/>
        <v>0</v>
      </c>
      <c r="Z1665" s="52">
        <f>IFERROR(__xludf.DUMMYFUNCTION("((IFERROR((SUM(FILTER('Fund Data'!$V:$V, 'Fund Data'!$C:$C = $C1665, 'Fund Data'!$A:$A = $A1665 - 1, 'Fund Data'!$B:$B &gt;= 4, 'Fund Data'!$B:$B &lt;= ($B1665 + 5))) / 12) * ($B1665 - 3) * 'Parameters and Distribution Sum'!$B$4, 0) + IF($B1665 &gt;= 9, IFERROR(SU"&amp;"M(FILTER('Fund Data'!$V:$V, 'Fund Data'!$C:$C = $C1665, 'Fund Data'!$A:$A = $A1665, 'Fund Data'!$B:$B &lt;= 3)) * 'Parameters and Distribution Sum'!$B$4, 0),0)))"),0.0)</f>
        <v>0</v>
      </c>
      <c r="AA1665" s="44">
        <f>IFERROR(__xludf.DUMMYFUNCTION("IFERROR(((IFERROR(SUM(FILTER('Fund Data'!$V:$V, 'Fund Data'!$C:$C = $C1665, 'Fund Data'!$A:$A = $A1665 - 2, 'Fund Data'!$B:$B &gt;= 4)) * 'Parameters and Distribution Sum'!$B$4,0) + IFERROR(SUM(FILTER('Fund Data'!$V:$V, 'Fund Data'!$C:$C = $C1665, 'Fund Data"&amp;"'!$A:$A = $A1665 - 1, 'Fund Data'!$B:$B &lt;= 3)) * 'Parameters and Distribution Sum'!$B$4,0))),0)"),0.0)</f>
        <v>0</v>
      </c>
      <c r="AB1665" s="44">
        <f t="shared" si="141"/>
        <v>0</v>
      </c>
      <c r="AC1665" s="44">
        <f t="shared" si="142"/>
        <v>0</v>
      </c>
      <c r="AD1665" s="44">
        <f t="shared" si="7"/>
        <v>0</v>
      </c>
      <c r="AE1665" s="44"/>
    </row>
    <row r="1666">
      <c r="A1666" s="178"/>
      <c r="B1666" s="179"/>
      <c r="C1666" s="147"/>
      <c r="D1666" s="44"/>
      <c r="E1666" s="44"/>
      <c r="F1666" s="44"/>
      <c r="G1666" s="44"/>
      <c r="H1666" s="44"/>
      <c r="I1666" s="44"/>
      <c r="J1666" s="44"/>
      <c r="K1666" s="44"/>
      <c r="L1666" s="44"/>
      <c r="M1666" s="44"/>
      <c r="N1666" s="44"/>
      <c r="O1666" s="44"/>
      <c r="P1666" s="52">
        <f t="shared" si="23"/>
        <v>0</v>
      </c>
      <c r="Q1666" s="124">
        <f t="shared" si="2"/>
        <v>0</v>
      </c>
      <c r="R1666" s="52">
        <f t="array" ref="R1666">IFERROR(INDEX('Fund YTD Target Values'!$1:$1000, MATCH($C1666,'Fund YTD Target Values'!$A:$A,0), MATCH($A1666,'Fund YTD Target Values'!$1:$1,0)),0)</f>
        <v>0</v>
      </c>
      <c r="S1666" s="52">
        <f>IFERROR(__xludf.DUMMYFUNCTION("IFERROR(sum(FILTER('Fund Data'!$V:$V, 'Fund Data'!$C:$C = $C1666, 'Fund Data'!$A:$A &lt; $A1666)),0) + IFERROR(sum(FILTER('Fund Data'!$V:$V, 'Fund Data'!$C:$C = $C1666, 'Fund Data'!$A:$A = $A1666, 'Fund Data'!$B:$B &lt;= $B1666)),0)"),0.0)</f>
        <v>0</v>
      </c>
      <c r="T1666" s="44"/>
      <c r="U1666" s="44"/>
      <c r="V1666" s="44">
        <f t="shared" si="3"/>
        <v>0</v>
      </c>
      <c r="W1666" s="52">
        <f>IFERROR(__xludf.DUMMYFUNCTION("iFERROR((FILTER('Fund Data'!$Y:$Y, 'Fund Data'!$C:$C = $C1666, 'Fund Data'!$A:$A = $A1666 - 1, 'Fund Data'!$B:$B = 12) + FILTER('Fund Data'!$AA:$AA, 'Fund Data'!$C:$C = $C1666, 'Fund Data'!$A:$A = $A1666 - 1, 'Fund Data'!$B:$B = 12)) * (1 + AVERAGE(FILTER"&amp;"('Inflation Data'!$C:$C,'Inflation Data'!$A:$A = ($A1666 - 2)))) * 'Parameters and Distribution Sum'!$A$4,0)"),0.0)</f>
        <v>0</v>
      </c>
      <c r="X1666" s="52">
        <f>IFERROR(__xludf.DUMMYFUNCTION("IFERROR((IFERROR(FILTER('Fund Data'!$P:$P,'Fund Data'!$C:$C = $C1666,'Fund Data'!$A:$A = ($A1666 - 2), 'Fund Data'!$B:$B = 12),0) - SUM(FILTER('Fund Data'!$V:$V, 'Fund Data'!$C:$C = $C1666, 'Fund Data'!$A:$A = ($A1666 - 2), 'Fund Data'!$B:$B &gt; 3)))  * 'Pa"&amp;"rameters and Distribution Sum'!$B$4 * (1 - 'Parameters and Distribution Sum'!$A$4),0)"),0.0)</f>
        <v>0</v>
      </c>
      <c r="Y1666" s="52">
        <f t="shared" si="140"/>
        <v>0</v>
      </c>
      <c r="Z1666" s="52">
        <f>IFERROR(__xludf.DUMMYFUNCTION("((IFERROR((SUM(FILTER('Fund Data'!$V:$V, 'Fund Data'!$C:$C = $C1666, 'Fund Data'!$A:$A = $A1666 - 1, 'Fund Data'!$B:$B &gt;= 4, 'Fund Data'!$B:$B &lt;= ($B1666 + 5))) / 12) * ($B1666 - 3) * 'Parameters and Distribution Sum'!$B$4, 0) + IF($B1666 &gt;= 9, IFERROR(SU"&amp;"M(FILTER('Fund Data'!$V:$V, 'Fund Data'!$C:$C = $C1666, 'Fund Data'!$A:$A = $A1666, 'Fund Data'!$B:$B &lt;= 3)) * 'Parameters and Distribution Sum'!$B$4, 0),0)))"),0.0)</f>
        <v>0</v>
      </c>
      <c r="AA1666" s="44">
        <f>IFERROR(__xludf.DUMMYFUNCTION("IFERROR(((IFERROR(SUM(FILTER('Fund Data'!$V:$V, 'Fund Data'!$C:$C = $C1666, 'Fund Data'!$A:$A = $A1666 - 2, 'Fund Data'!$B:$B &gt;= 4)) * 'Parameters and Distribution Sum'!$B$4,0) + IFERROR(SUM(FILTER('Fund Data'!$V:$V, 'Fund Data'!$C:$C = $C1666, 'Fund Data"&amp;"'!$A:$A = $A1666 - 1, 'Fund Data'!$B:$B &lt;= 3)) * 'Parameters and Distribution Sum'!$B$4,0))),0)"),0.0)</f>
        <v>0</v>
      </c>
      <c r="AB1666" s="44">
        <f t="shared" si="141"/>
        <v>0</v>
      </c>
      <c r="AC1666" s="44">
        <f t="shared" si="142"/>
        <v>0</v>
      </c>
      <c r="AD1666" s="44">
        <f t="shared" si="7"/>
        <v>0</v>
      </c>
      <c r="AE1666" s="44"/>
    </row>
    <row r="1667">
      <c r="A1667" s="178"/>
      <c r="B1667" s="179"/>
      <c r="C1667" s="147"/>
      <c r="D1667" s="44"/>
      <c r="E1667" s="44"/>
      <c r="F1667" s="44"/>
      <c r="G1667" s="44"/>
      <c r="H1667" s="44"/>
      <c r="I1667" s="44"/>
      <c r="J1667" s="44"/>
      <c r="K1667" s="44"/>
      <c r="L1667" s="44"/>
      <c r="M1667" s="44"/>
      <c r="N1667" s="44"/>
      <c r="O1667" s="44"/>
      <c r="P1667" s="52">
        <f t="shared" si="23"/>
        <v>0</v>
      </c>
      <c r="Q1667" s="124">
        <f t="shared" si="2"/>
        <v>0</v>
      </c>
      <c r="R1667" s="52">
        <f t="array" ref="R1667">IFERROR(INDEX('Fund YTD Target Values'!$1:$1000, MATCH($C1667,'Fund YTD Target Values'!$A:$A,0), MATCH($A1667,'Fund YTD Target Values'!$1:$1,0)),0)</f>
        <v>0</v>
      </c>
      <c r="S1667" s="52">
        <f>IFERROR(__xludf.DUMMYFUNCTION("IFERROR(sum(FILTER('Fund Data'!$V:$V, 'Fund Data'!$C:$C = $C1667, 'Fund Data'!$A:$A &lt; $A1667)),0) + IFERROR(sum(FILTER('Fund Data'!$V:$V, 'Fund Data'!$C:$C = $C1667, 'Fund Data'!$A:$A = $A1667, 'Fund Data'!$B:$B &lt;= $B1667)),0)"),0.0)</f>
        <v>0</v>
      </c>
      <c r="T1667" s="44"/>
      <c r="U1667" s="44"/>
      <c r="V1667" s="44">
        <f t="shared" si="3"/>
        <v>0</v>
      </c>
      <c r="W1667" s="52">
        <f>IFERROR(__xludf.DUMMYFUNCTION("iFERROR((FILTER('Fund Data'!$Y:$Y, 'Fund Data'!$C:$C = $C1667, 'Fund Data'!$A:$A = $A1667 - 1, 'Fund Data'!$B:$B = 12) + FILTER('Fund Data'!$AA:$AA, 'Fund Data'!$C:$C = $C1667, 'Fund Data'!$A:$A = $A1667 - 1, 'Fund Data'!$B:$B = 12)) * (1 + AVERAGE(FILTER"&amp;"('Inflation Data'!$C:$C,'Inflation Data'!$A:$A = ($A1667 - 2)))) * 'Parameters and Distribution Sum'!$A$4,0)"),0.0)</f>
        <v>0</v>
      </c>
      <c r="X1667" s="52">
        <f>IFERROR(__xludf.DUMMYFUNCTION("IFERROR((IFERROR(FILTER('Fund Data'!$P:$P,'Fund Data'!$C:$C = $C1667,'Fund Data'!$A:$A = ($A1667 - 2), 'Fund Data'!$B:$B = 12),0) - SUM(FILTER('Fund Data'!$V:$V, 'Fund Data'!$C:$C = $C1667, 'Fund Data'!$A:$A = ($A1667 - 2), 'Fund Data'!$B:$B &gt; 3)))  * 'Pa"&amp;"rameters and Distribution Sum'!$B$4 * (1 - 'Parameters and Distribution Sum'!$A$4),0)"),0.0)</f>
        <v>0</v>
      </c>
      <c r="Y1667" s="52">
        <f t="shared" si="140"/>
        <v>0</v>
      </c>
      <c r="Z1667" s="52">
        <f>IFERROR(__xludf.DUMMYFUNCTION("((IFERROR((SUM(FILTER('Fund Data'!$V:$V, 'Fund Data'!$C:$C = $C1667, 'Fund Data'!$A:$A = $A1667 - 1, 'Fund Data'!$B:$B &gt;= 4, 'Fund Data'!$B:$B &lt;= ($B1667 + 5))) / 12) * ($B1667 - 3) * 'Parameters and Distribution Sum'!$B$4, 0) + IF($B1667 &gt;= 9, IFERROR(SU"&amp;"M(FILTER('Fund Data'!$V:$V, 'Fund Data'!$C:$C = $C1667, 'Fund Data'!$A:$A = $A1667, 'Fund Data'!$B:$B &lt;= 3)) * 'Parameters and Distribution Sum'!$B$4, 0),0)))"),0.0)</f>
        <v>0</v>
      </c>
      <c r="AA1667" s="44">
        <f>IFERROR(__xludf.DUMMYFUNCTION("IFERROR(((IFERROR(SUM(FILTER('Fund Data'!$V:$V, 'Fund Data'!$C:$C = $C1667, 'Fund Data'!$A:$A = $A1667 - 2, 'Fund Data'!$B:$B &gt;= 4)) * 'Parameters and Distribution Sum'!$B$4,0) + IFERROR(SUM(FILTER('Fund Data'!$V:$V, 'Fund Data'!$C:$C = $C1667, 'Fund Data"&amp;"'!$A:$A = $A1667 - 1, 'Fund Data'!$B:$B &lt;= 3)) * 'Parameters and Distribution Sum'!$B$4,0))),0)"),0.0)</f>
        <v>0</v>
      </c>
      <c r="AB1667" s="44">
        <f t="shared" si="141"/>
        <v>0</v>
      </c>
      <c r="AC1667" s="44">
        <f t="shared" si="142"/>
        <v>0</v>
      </c>
      <c r="AD1667" s="44">
        <f t="shared" si="7"/>
        <v>0</v>
      </c>
      <c r="AE1667" s="44"/>
    </row>
    <row r="1668">
      <c r="A1668" s="178"/>
      <c r="B1668" s="179"/>
      <c r="C1668" s="147"/>
      <c r="D1668" s="44"/>
      <c r="E1668" s="44"/>
      <c r="F1668" s="44"/>
      <c r="G1668" s="44"/>
      <c r="H1668" s="44"/>
      <c r="I1668" s="44"/>
      <c r="J1668" s="44"/>
      <c r="K1668" s="44"/>
      <c r="L1668" s="44"/>
      <c r="M1668" s="44"/>
      <c r="N1668" s="44"/>
      <c r="O1668" s="44"/>
      <c r="P1668" s="52">
        <f t="shared" si="23"/>
        <v>0</v>
      </c>
      <c r="Q1668" s="124">
        <f t="shared" si="2"/>
        <v>0</v>
      </c>
      <c r="R1668" s="52">
        <f t="array" ref="R1668">IFERROR(INDEX('Fund YTD Target Values'!$1:$1000, MATCH($C1668,'Fund YTD Target Values'!$A:$A,0), MATCH($A1668,'Fund YTD Target Values'!$1:$1,0)),0)</f>
        <v>0</v>
      </c>
      <c r="S1668" s="52">
        <f>IFERROR(__xludf.DUMMYFUNCTION("IFERROR(sum(FILTER('Fund Data'!$V:$V, 'Fund Data'!$C:$C = $C1668, 'Fund Data'!$A:$A &lt; $A1668)),0) + IFERROR(sum(FILTER('Fund Data'!$V:$V, 'Fund Data'!$C:$C = $C1668, 'Fund Data'!$A:$A = $A1668, 'Fund Data'!$B:$B &lt;= $B1668)),0)"),0.0)</f>
        <v>0</v>
      </c>
      <c r="T1668" s="44"/>
      <c r="U1668" s="44"/>
      <c r="V1668" s="44">
        <f t="shared" si="3"/>
        <v>0</v>
      </c>
      <c r="W1668" s="52">
        <f>IFERROR(__xludf.DUMMYFUNCTION("iFERROR((FILTER('Fund Data'!$Y:$Y, 'Fund Data'!$C:$C = $C1668, 'Fund Data'!$A:$A = $A1668 - 1, 'Fund Data'!$B:$B = 12) + FILTER('Fund Data'!$AA:$AA, 'Fund Data'!$C:$C = $C1668, 'Fund Data'!$A:$A = $A1668 - 1, 'Fund Data'!$B:$B = 12)) * (1 + AVERAGE(FILTER"&amp;"('Inflation Data'!$C:$C,'Inflation Data'!$A:$A = ($A1668 - 2)))) * 'Parameters and Distribution Sum'!$A$4,0)"),0.0)</f>
        <v>0</v>
      </c>
      <c r="X1668" s="52">
        <f>IFERROR(__xludf.DUMMYFUNCTION("IFERROR((IFERROR(FILTER('Fund Data'!$P:$P,'Fund Data'!$C:$C = $C1668,'Fund Data'!$A:$A = ($A1668 - 2), 'Fund Data'!$B:$B = 12),0) - SUM(FILTER('Fund Data'!$V:$V, 'Fund Data'!$C:$C = $C1668, 'Fund Data'!$A:$A = ($A1668 - 2), 'Fund Data'!$B:$B &gt; 3)))  * 'Pa"&amp;"rameters and Distribution Sum'!$B$4 * (1 - 'Parameters and Distribution Sum'!$A$4),0)"),0.0)</f>
        <v>0</v>
      </c>
      <c r="Y1668" s="52">
        <f t="shared" si="140"/>
        <v>0</v>
      </c>
      <c r="Z1668" s="52">
        <f>IFERROR(__xludf.DUMMYFUNCTION("((IFERROR((SUM(FILTER('Fund Data'!$V:$V, 'Fund Data'!$C:$C = $C1668, 'Fund Data'!$A:$A = $A1668 - 1, 'Fund Data'!$B:$B &gt;= 4, 'Fund Data'!$B:$B &lt;= ($B1668 + 5))) / 12) * ($B1668 - 3) * 'Parameters and Distribution Sum'!$B$4, 0) + IF($B1668 &gt;= 9, IFERROR(SU"&amp;"M(FILTER('Fund Data'!$V:$V, 'Fund Data'!$C:$C = $C1668, 'Fund Data'!$A:$A = $A1668, 'Fund Data'!$B:$B &lt;= 3)) * 'Parameters and Distribution Sum'!$B$4, 0),0)))"),0.0)</f>
        <v>0</v>
      </c>
      <c r="AA1668" s="44">
        <f>IFERROR(__xludf.DUMMYFUNCTION("IFERROR(((IFERROR(SUM(FILTER('Fund Data'!$V:$V, 'Fund Data'!$C:$C = $C1668, 'Fund Data'!$A:$A = $A1668 - 2, 'Fund Data'!$B:$B &gt;= 4)) * 'Parameters and Distribution Sum'!$B$4,0) + IFERROR(SUM(FILTER('Fund Data'!$V:$V, 'Fund Data'!$C:$C = $C1668, 'Fund Data"&amp;"'!$A:$A = $A1668 - 1, 'Fund Data'!$B:$B &lt;= 3)) * 'Parameters and Distribution Sum'!$B$4,0))),0)"),0.0)</f>
        <v>0</v>
      </c>
      <c r="AB1668" s="44">
        <f t="shared" si="141"/>
        <v>0</v>
      </c>
      <c r="AC1668" s="44">
        <f t="shared" si="142"/>
        <v>0</v>
      </c>
      <c r="AD1668" s="44">
        <f t="shared" si="7"/>
        <v>0</v>
      </c>
      <c r="AE1668" s="44"/>
    </row>
    <row r="1669">
      <c r="A1669" s="178"/>
      <c r="B1669" s="179"/>
      <c r="C1669" s="147"/>
      <c r="D1669" s="44"/>
      <c r="E1669" s="44"/>
      <c r="F1669" s="44"/>
      <c r="G1669" s="44"/>
      <c r="H1669" s="44"/>
      <c r="I1669" s="44"/>
      <c r="J1669" s="44"/>
      <c r="K1669" s="44"/>
      <c r="L1669" s="44"/>
      <c r="M1669" s="44"/>
      <c r="N1669" s="44"/>
      <c r="O1669" s="44"/>
      <c r="P1669" s="52">
        <f t="shared" si="23"/>
        <v>0</v>
      </c>
      <c r="Q1669" s="124">
        <f t="shared" si="2"/>
        <v>0</v>
      </c>
      <c r="R1669" s="52">
        <f t="array" ref="R1669">IFERROR(INDEX('Fund YTD Target Values'!$1:$1000, MATCH($C1669,'Fund YTD Target Values'!$A:$A,0), MATCH($A1669,'Fund YTD Target Values'!$1:$1,0)),0)</f>
        <v>0</v>
      </c>
      <c r="S1669" s="52">
        <f>IFERROR(__xludf.DUMMYFUNCTION("IFERROR(sum(FILTER('Fund Data'!$V:$V, 'Fund Data'!$C:$C = $C1669, 'Fund Data'!$A:$A &lt; $A1669)),0) + IFERROR(sum(FILTER('Fund Data'!$V:$V, 'Fund Data'!$C:$C = $C1669, 'Fund Data'!$A:$A = $A1669, 'Fund Data'!$B:$B &lt;= $B1669)),0)"),0.0)</f>
        <v>0</v>
      </c>
      <c r="T1669" s="44"/>
      <c r="U1669" s="44"/>
      <c r="V1669" s="44">
        <f t="shared" si="3"/>
        <v>0</v>
      </c>
      <c r="W1669" s="52">
        <f>IFERROR(__xludf.DUMMYFUNCTION("iFERROR((FILTER('Fund Data'!$Y:$Y, 'Fund Data'!$C:$C = $C1669, 'Fund Data'!$A:$A = $A1669 - 1, 'Fund Data'!$B:$B = 12) + FILTER('Fund Data'!$AA:$AA, 'Fund Data'!$C:$C = $C1669, 'Fund Data'!$A:$A = $A1669 - 1, 'Fund Data'!$B:$B = 12)) * (1 + AVERAGE(FILTER"&amp;"('Inflation Data'!$C:$C,'Inflation Data'!$A:$A = ($A1669 - 2)))) * 'Parameters and Distribution Sum'!$A$4,0)"),0.0)</f>
        <v>0</v>
      </c>
      <c r="X1669" s="52">
        <f>IFERROR(__xludf.DUMMYFUNCTION("IFERROR((IFERROR(FILTER('Fund Data'!$P:$P,'Fund Data'!$C:$C = $C1669,'Fund Data'!$A:$A = ($A1669 - 2), 'Fund Data'!$B:$B = 12),0) - SUM(FILTER('Fund Data'!$V:$V, 'Fund Data'!$C:$C = $C1669, 'Fund Data'!$A:$A = ($A1669 - 2), 'Fund Data'!$B:$B &gt; 3)))  * 'Pa"&amp;"rameters and Distribution Sum'!$B$4 * (1 - 'Parameters and Distribution Sum'!$A$4),0)"),0.0)</f>
        <v>0</v>
      </c>
      <c r="Y1669" s="52">
        <f t="shared" si="140"/>
        <v>0</v>
      </c>
      <c r="Z1669" s="52">
        <f>IFERROR(__xludf.DUMMYFUNCTION("((IFERROR((SUM(FILTER('Fund Data'!$V:$V, 'Fund Data'!$C:$C = $C1669, 'Fund Data'!$A:$A = $A1669 - 1, 'Fund Data'!$B:$B &gt;= 4, 'Fund Data'!$B:$B &lt;= ($B1669 + 5))) / 12) * ($B1669 - 3) * 'Parameters and Distribution Sum'!$B$4, 0) + IF($B1669 &gt;= 9, IFERROR(SU"&amp;"M(FILTER('Fund Data'!$V:$V, 'Fund Data'!$C:$C = $C1669, 'Fund Data'!$A:$A = $A1669, 'Fund Data'!$B:$B &lt;= 3)) * 'Parameters and Distribution Sum'!$B$4, 0),0)))"),0.0)</f>
        <v>0</v>
      </c>
      <c r="AA1669" s="44">
        <f>IFERROR(__xludf.DUMMYFUNCTION("IFERROR(((IFERROR(SUM(FILTER('Fund Data'!$V:$V, 'Fund Data'!$C:$C = $C1669, 'Fund Data'!$A:$A = $A1669 - 2, 'Fund Data'!$B:$B &gt;= 4)) * 'Parameters and Distribution Sum'!$B$4,0) + IFERROR(SUM(FILTER('Fund Data'!$V:$V, 'Fund Data'!$C:$C = $C1669, 'Fund Data"&amp;"'!$A:$A = $A1669 - 1, 'Fund Data'!$B:$B &lt;= 3)) * 'Parameters and Distribution Sum'!$B$4,0))),0)"),0.0)</f>
        <v>0</v>
      </c>
      <c r="AB1669" s="44">
        <f t="shared" si="141"/>
        <v>0</v>
      </c>
      <c r="AC1669" s="44">
        <f t="shared" si="142"/>
        <v>0</v>
      </c>
      <c r="AD1669" s="44">
        <f t="shared" si="7"/>
        <v>0</v>
      </c>
      <c r="AE1669" s="44"/>
    </row>
    <row r="1670">
      <c r="A1670" s="178"/>
      <c r="B1670" s="179"/>
      <c r="C1670" s="147"/>
      <c r="D1670" s="44"/>
      <c r="E1670" s="44"/>
      <c r="F1670" s="44"/>
      <c r="G1670" s="44"/>
      <c r="H1670" s="44"/>
      <c r="I1670" s="44"/>
      <c r="J1670" s="44"/>
      <c r="K1670" s="44"/>
      <c r="L1670" s="44"/>
      <c r="M1670" s="44"/>
      <c r="N1670" s="44"/>
      <c r="O1670" s="44"/>
      <c r="P1670" s="52">
        <f t="shared" si="23"/>
        <v>0</v>
      </c>
      <c r="Q1670" s="124">
        <f t="shared" si="2"/>
        <v>0</v>
      </c>
      <c r="R1670" s="52">
        <f t="array" ref="R1670">IFERROR(INDEX('Fund YTD Target Values'!$1:$1000, MATCH($C1670,'Fund YTD Target Values'!$A:$A,0), MATCH($A1670,'Fund YTD Target Values'!$1:$1,0)),0)</f>
        <v>0</v>
      </c>
      <c r="S1670" s="52">
        <f>IFERROR(__xludf.DUMMYFUNCTION("IFERROR(sum(FILTER('Fund Data'!$V:$V, 'Fund Data'!$C:$C = $C1670, 'Fund Data'!$A:$A &lt; $A1670)),0) + IFERROR(sum(FILTER('Fund Data'!$V:$V, 'Fund Data'!$C:$C = $C1670, 'Fund Data'!$A:$A = $A1670, 'Fund Data'!$B:$B &lt;= $B1670)),0)"),0.0)</f>
        <v>0</v>
      </c>
      <c r="T1670" s="44"/>
      <c r="U1670" s="44"/>
      <c r="V1670" s="44">
        <f t="shared" si="3"/>
        <v>0</v>
      </c>
      <c r="W1670" s="52">
        <f>IFERROR(__xludf.DUMMYFUNCTION("iFERROR((FILTER('Fund Data'!$Y:$Y, 'Fund Data'!$C:$C = $C1670, 'Fund Data'!$A:$A = $A1670 - 1, 'Fund Data'!$B:$B = 12) + FILTER('Fund Data'!$AA:$AA, 'Fund Data'!$C:$C = $C1670, 'Fund Data'!$A:$A = $A1670 - 1, 'Fund Data'!$B:$B = 12)) * (1 + AVERAGE(FILTER"&amp;"('Inflation Data'!$C:$C,'Inflation Data'!$A:$A = ($A1670 - 2)))) * 'Parameters and Distribution Sum'!$A$4,0)"),0.0)</f>
        <v>0</v>
      </c>
      <c r="X1670" s="52">
        <f>IFERROR(__xludf.DUMMYFUNCTION("IFERROR((IFERROR(FILTER('Fund Data'!$P:$P,'Fund Data'!$C:$C = $C1670,'Fund Data'!$A:$A = ($A1670 - 2), 'Fund Data'!$B:$B = 12),0) - SUM(FILTER('Fund Data'!$V:$V, 'Fund Data'!$C:$C = $C1670, 'Fund Data'!$A:$A = ($A1670 - 2), 'Fund Data'!$B:$B &gt; 3)))  * 'Pa"&amp;"rameters and Distribution Sum'!$B$4 * (1 - 'Parameters and Distribution Sum'!$A$4),0)"),0.0)</f>
        <v>0</v>
      </c>
      <c r="Y1670" s="52">
        <f t="shared" si="140"/>
        <v>0</v>
      </c>
      <c r="Z1670" s="52">
        <f>IFERROR(__xludf.DUMMYFUNCTION("((IFERROR((SUM(FILTER('Fund Data'!$V:$V, 'Fund Data'!$C:$C = $C1670, 'Fund Data'!$A:$A = $A1670 - 1, 'Fund Data'!$B:$B &gt;= 4, 'Fund Data'!$B:$B &lt;= ($B1670 + 5))) / 12) * ($B1670 - 3) * 'Parameters and Distribution Sum'!$B$4, 0) + IF($B1670 &gt;= 9, IFERROR(SU"&amp;"M(FILTER('Fund Data'!$V:$V, 'Fund Data'!$C:$C = $C1670, 'Fund Data'!$A:$A = $A1670, 'Fund Data'!$B:$B &lt;= 3)) * 'Parameters and Distribution Sum'!$B$4, 0),0)))"),0.0)</f>
        <v>0</v>
      </c>
      <c r="AA1670" s="44">
        <f>IFERROR(__xludf.DUMMYFUNCTION("IFERROR(((IFERROR(SUM(FILTER('Fund Data'!$V:$V, 'Fund Data'!$C:$C = $C1670, 'Fund Data'!$A:$A = $A1670 - 2, 'Fund Data'!$B:$B &gt;= 4)) * 'Parameters and Distribution Sum'!$B$4,0) + IFERROR(SUM(FILTER('Fund Data'!$V:$V, 'Fund Data'!$C:$C = $C1670, 'Fund Data"&amp;"'!$A:$A = $A1670 - 1, 'Fund Data'!$B:$B &lt;= 3)) * 'Parameters and Distribution Sum'!$B$4,0))),0)"),0.0)</f>
        <v>0</v>
      </c>
      <c r="AB1670" s="44">
        <f t="shared" si="141"/>
        <v>0</v>
      </c>
      <c r="AC1670" s="44">
        <f t="shared" si="142"/>
        <v>0</v>
      </c>
      <c r="AD1670" s="44">
        <f t="shared" si="7"/>
        <v>0</v>
      </c>
      <c r="AE1670" s="44"/>
    </row>
    <row r="1671">
      <c r="A1671" s="178"/>
      <c r="B1671" s="179"/>
      <c r="C1671" s="147"/>
      <c r="D1671" s="44"/>
      <c r="E1671" s="44"/>
      <c r="F1671" s="44"/>
      <c r="G1671" s="44"/>
      <c r="H1671" s="44"/>
      <c r="I1671" s="44"/>
      <c r="J1671" s="44"/>
      <c r="K1671" s="44"/>
      <c r="L1671" s="44"/>
      <c r="M1671" s="44"/>
      <c r="N1671" s="44"/>
      <c r="O1671" s="44"/>
      <c r="P1671" s="52">
        <f t="shared" si="23"/>
        <v>0</v>
      </c>
      <c r="Q1671" s="124">
        <f t="shared" si="2"/>
        <v>0</v>
      </c>
      <c r="R1671" s="52">
        <f t="array" ref="R1671">IFERROR(INDEX('Fund YTD Target Values'!$1:$1000, MATCH($C1671,'Fund YTD Target Values'!$A:$A,0), MATCH($A1671,'Fund YTD Target Values'!$1:$1,0)),0)</f>
        <v>0</v>
      </c>
      <c r="S1671" s="52">
        <f>IFERROR(__xludf.DUMMYFUNCTION("IFERROR(sum(FILTER('Fund Data'!$V:$V, 'Fund Data'!$C:$C = $C1671, 'Fund Data'!$A:$A &lt; $A1671)),0) + IFERROR(sum(FILTER('Fund Data'!$V:$V, 'Fund Data'!$C:$C = $C1671, 'Fund Data'!$A:$A = $A1671, 'Fund Data'!$B:$B &lt;= $B1671)),0)"),0.0)</f>
        <v>0</v>
      </c>
      <c r="T1671" s="44"/>
      <c r="U1671" s="44"/>
      <c r="V1671" s="44">
        <f t="shared" si="3"/>
        <v>0</v>
      </c>
      <c r="W1671" s="52">
        <f>IFERROR(__xludf.DUMMYFUNCTION("iFERROR((FILTER('Fund Data'!$Y:$Y, 'Fund Data'!$C:$C = $C1671, 'Fund Data'!$A:$A = $A1671 - 1, 'Fund Data'!$B:$B = 12) + FILTER('Fund Data'!$AA:$AA, 'Fund Data'!$C:$C = $C1671, 'Fund Data'!$A:$A = $A1671 - 1, 'Fund Data'!$B:$B = 12)) * (1 + AVERAGE(FILTER"&amp;"('Inflation Data'!$C:$C,'Inflation Data'!$A:$A = ($A1671 - 2)))) * 'Parameters and Distribution Sum'!$A$4,0)"),0.0)</f>
        <v>0</v>
      </c>
      <c r="X1671" s="52">
        <f>IFERROR(__xludf.DUMMYFUNCTION("IFERROR((IFERROR(FILTER('Fund Data'!$P:$P,'Fund Data'!$C:$C = $C1671,'Fund Data'!$A:$A = ($A1671 - 2), 'Fund Data'!$B:$B = 12),0) - SUM(FILTER('Fund Data'!$V:$V, 'Fund Data'!$C:$C = $C1671, 'Fund Data'!$A:$A = ($A1671 - 2), 'Fund Data'!$B:$B &gt; 3)))  * 'Pa"&amp;"rameters and Distribution Sum'!$B$4 * (1 - 'Parameters and Distribution Sum'!$A$4),0)"),0.0)</f>
        <v>0</v>
      </c>
      <c r="Y1671" s="52">
        <f t="shared" si="140"/>
        <v>0</v>
      </c>
      <c r="Z1671" s="52">
        <f>IFERROR(__xludf.DUMMYFUNCTION("((IFERROR((SUM(FILTER('Fund Data'!$V:$V, 'Fund Data'!$C:$C = $C1671, 'Fund Data'!$A:$A = $A1671 - 1, 'Fund Data'!$B:$B &gt;= 4, 'Fund Data'!$B:$B &lt;= ($B1671 + 5))) / 12) * ($B1671 - 3) * 'Parameters and Distribution Sum'!$B$4, 0) + IF($B1671 &gt;= 9, IFERROR(SU"&amp;"M(FILTER('Fund Data'!$V:$V, 'Fund Data'!$C:$C = $C1671, 'Fund Data'!$A:$A = $A1671, 'Fund Data'!$B:$B &lt;= 3)) * 'Parameters and Distribution Sum'!$B$4, 0),0)))"),0.0)</f>
        <v>0</v>
      </c>
      <c r="AA1671" s="44">
        <f>IFERROR(__xludf.DUMMYFUNCTION("IFERROR(((IFERROR(SUM(FILTER('Fund Data'!$V:$V, 'Fund Data'!$C:$C = $C1671, 'Fund Data'!$A:$A = $A1671 - 2, 'Fund Data'!$B:$B &gt;= 4)) * 'Parameters and Distribution Sum'!$B$4,0) + IFERROR(SUM(FILTER('Fund Data'!$V:$V, 'Fund Data'!$C:$C = $C1671, 'Fund Data"&amp;"'!$A:$A = $A1671 - 1, 'Fund Data'!$B:$B &lt;= 3)) * 'Parameters and Distribution Sum'!$B$4,0))),0)"),0.0)</f>
        <v>0</v>
      </c>
      <c r="AB1671" s="44">
        <f t="shared" si="141"/>
        <v>0</v>
      </c>
      <c r="AC1671" s="44">
        <f t="shared" si="142"/>
        <v>0</v>
      </c>
      <c r="AD1671" s="44">
        <f t="shared" si="7"/>
        <v>0</v>
      </c>
      <c r="AE1671" s="44"/>
    </row>
    <row r="1672">
      <c r="A1672" s="178"/>
      <c r="B1672" s="179"/>
      <c r="C1672" s="147"/>
      <c r="D1672" s="44"/>
      <c r="E1672" s="44"/>
      <c r="F1672" s="44"/>
      <c r="G1672" s="44"/>
      <c r="H1672" s="44"/>
      <c r="I1672" s="44"/>
      <c r="J1672" s="44"/>
      <c r="K1672" s="44"/>
      <c r="L1672" s="44"/>
      <c r="M1672" s="44"/>
      <c r="N1672" s="44"/>
      <c r="O1672" s="44"/>
      <c r="P1672" s="52">
        <f t="shared" si="23"/>
        <v>0</v>
      </c>
      <c r="Q1672" s="124">
        <f t="shared" si="2"/>
        <v>0</v>
      </c>
      <c r="R1672" s="52">
        <f t="array" ref="R1672">IFERROR(INDEX('Fund YTD Target Values'!$1:$1000, MATCH($C1672,'Fund YTD Target Values'!$A:$A,0), MATCH($A1672,'Fund YTD Target Values'!$1:$1,0)),0)</f>
        <v>0</v>
      </c>
      <c r="S1672" s="52">
        <f>IFERROR(__xludf.DUMMYFUNCTION("IFERROR(sum(FILTER('Fund Data'!$V:$V, 'Fund Data'!$C:$C = $C1672, 'Fund Data'!$A:$A &lt; $A1672)),0) + IFERROR(sum(FILTER('Fund Data'!$V:$V, 'Fund Data'!$C:$C = $C1672, 'Fund Data'!$A:$A = $A1672, 'Fund Data'!$B:$B &lt;= $B1672)),0)"),0.0)</f>
        <v>0</v>
      </c>
      <c r="T1672" s="44"/>
      <c r="U1672" s="44"/>
      <c r="V1672" s="44">
        <f t="shared" si="3"/>
        <v>0</v>
      </c>
      <c r="W1672" s="52">
        <f>IFERROR(__xludf.DUMMYFUNCTION("iFERROR((FILTER('Fund Data'!$Y:$Y, 'Fund Data'!$C:$C = $C1672, 'Fund Data'!$A:$A = $A1672 - 1, 'Fund Data'!$B:$B = 12) + FILTER('Fund Data'!$AA:$AA, 'Fund Data'!$C:$C = $C1672, 'Fund Data'!$A:$A = $A1672 - 1, 'Fund Data'!$B:$B = 12)) * (1 + AVERAGE(FILTER"&amp;"('Inflation Data'!$C:$C,'Inflation Data'!$A:$A = ($A1672 - 2)))) * 'Parameters and Distribution Sum'!$A$4,0)"),0.0)</f>
        <v>0</v>
      </c>
      <c r="X1672" s="52">
        <f>IFERROR(__xludf.DUMMYFUNCTION("IFERROR((IFERROR(FILTER('Fund Data'!$P:$P,'Fund Data'!$C:$C = $C1672,'Fund Data'!$A:$A = ($A1672 - 2), 'Fund Data'!$B:$B = 12),0) - SUM(FILTER('Fund Data'!$V:$V, 'Fund Data'!$C:$C = $C1672, 'Fund Data'!$A:$A = ($A1672 - 2), 'Fund Data'!$B:$B &gt; 3)))  * 'Pa"&amp;"rameters and Distribution Sum'!$B$4 * (1 - 'Parameters and Distribution Sum'!$A$4),0)"),0.0)</f>
        <v>0</v>
      </c>
      <c r="Y1672" s="52">
        <f t="shared" si="140"/>
        <v>0</v>
      </c>
      <c r="Z1672" s="52">
        <f>IFERROR(__xludf.DUMMYFUNCTION("((IFERROR((SUM(FILTER('Fund Data'!$V:$V, 'Fund Data'!$C:$C = $C1672, 'Fund Data'!$A:$A = $A1672 - 1, 'Fund Data'!$B:$B &gt;= 4, 'Fund Data'!$B:$B &lt;= ($B1672 + 5))) / 12) * ($B1672 - 3) * 'Parameters and Distribution Sum'!$B$4, 0) + IF($B1672 &gt;= 9, IFERROR(SU"&amp;"M(FILTER('Fund Data'!$V:$V, 'Fund Data'!$C:$C = $C1672, 'Fund Data'!$A:$A = $A1672, 'Fund Data'!$B:$B &lt;= 3)) * 'Parameters and Distribution Sum'!$B$4, 0),0)))"),0.0)</f>
        <v>0</v>
      </c>
      <c r="AA1672" s="44">
        <f>IFERROR(__xludf.DUMMYFUNCTION("IFERROR(((IFERROR(SUM(FILTER('Fund Data'!$V:$V, 'Fund Data'!$C:$C = $C1672, 'Fund Data'!$A:$A = $A1672 - 2, 'Fund Data'!$B:$B &gt;= 4)) * 'Parameters and Distribution Sum'!$B$4,0) + IFERROR(SUM(FILTER('Fund Data'!$V:$V, 'Fund Data'!$C:$C = $C1672, 'Fund Data"&amp;"'!$A:$A = $A1672 - 1, 'Fund Data'!$B:$B &lt;= 3)) * 'Parameters and Distribution Sum'!$B$4,0))),0)"),0.0)</f>
        <v>0</v>
      </c>
      <c r="AB1672" s="44">
        <f t="shared" si="141"/>
        <v>0</v>
      </c>
      <c r="AC1672" s="44">
        <f t="shared" si="142"/>
        <v>0</v>
      </c>
      <c r="AD1672" s="44">
        <f t="shared" si="7"/>
        <v>0</v>
      </c>
      <c r="AE1672" s="44"/>
    </row>
    <row r="1673">
      <c r="A1673" s="178"/>
      <c r="B1673" s="179"/>
      <c r="C1673" s="147"/>
      <c r="D1673" s="44"/>
      <c r="E1673" s="44"/>
      <c r="F1673" s="44"/>
      <c r="G1673" s="44"/>
      <c r="H1673" s="44"/>
      <c r="I1673" s="44"/>
      <c r="J1673" s="44"/>
      <c r="K1673" s="44"/>
      <c r="L1673" s="44"/>
      <c r="M1673" s="44"/>
      <c r="N1673" s="44"/>
      <c r="O1673" s="44"/>
      <c r="P1673" s="52">
        <f t="shared" si="23"/>
        <v>0</v>
      </c>
      <c r="Q1673" s="124">
        <f t="shared" si="2"/>
        <v>0</v>
      </c>
      <c r="R1673" s="52">
        <f t="array" ref="R1673">IFERROR(INDEX('Fund YTD Target Values'!$1:$1000, MATCH($C1673,'Fund YTD Target Values'!$A:$A,0), MATCH($A1673,'Fund YTD Target Values'!$1:$1,0)),0)</f>
        <v>0</v>
      </c>
      <c r="S1673" s="52">
        <f>IFERROR(__xludf.DUMMYFUNCTION("IFERROR(sum(FILTER('Fund Data'!$V:$V, 'Fund Data'!$C:$C = $C1673, 'Fund Data'!$A:$A &lt; $A1673)),0) + IFERROR(sum(FILTER('Fund Data'!$V:$V, 'Fund Data'!$C:$C = $C1673, 'Fund Data'!$A:$A = $A1673, 'Fund Data'!$B:$B &lt;= $B1673)),0)"),0.0)</f>
        <v>0</v>
      </c>
      <c r="T1673" s="44"/>
      <c r="U1673" s="44"/>
      <c r="V1673" s="44">
        <f t="shared" si="3"/>
        <v>0</v>
      </c>
      <c r="W1673" s="52">
        <f>IFERROR(__xludf.DUMMYFUNCTION("iFERROR((FILTER('Fund Data'!$Y:$Y, 'Fund Data'!$C:$C = $C1673, 'Fund Data'!$A:$A = $A1673 - 1, 'Fund Data'!$B:$B = 12) + FILTER('Fund Data'!$AA:$AA, 'Fund Data'!$C:$C = $C1673, 'Fund Data'!$A:$A = $A1673 - 1, 'Fund Data'!$B:$B = 12)) * (1 + AVERAGE(FILTER"&amp;"('Inflation Data'!$C:$C,'Inflation Data'!$A:$A = ($A1673 - 2)))) * 'Parameters and Distribution Sum'!$A$4,0)"),0.0)</f>
        <v>0</v>
      </c>
      <c r="X1673" s="52">
        <f>IFERROR(__xludf.DUMMYFUNCTION("IFERROR((IFERROR(FILTER('Fund Data'!$P:$P,'Fund Data'!$C:$C = $C1673,'Fund Data'!$A:$A = ($A1673 - 2), 'Fund Data'!$B:$B = 12),0) - SUM(FILTER('Fund Data'!$V:$V, 'Fund Data'!$C:$C = $C1673, 'Fund Data'!$A:$A = ($A1673 - 2), 'Fund Data'!$B:$B &gt; 3)))  * 'Pa"&amp;"rameters and Distribution Sum'!$B$4 * (1 - 'Parameters and Distribution Sum'!$A$4),0)"),0.0)</f>
        <v>0</v>
      </c>
      <c r="Y1673" s="52">
        <f t="shared" si="140"/>
        <v>0</v>
      </c>
      <c r="Z1673" s="52">
        <f>IFERROR(__xludf.DUMMYFUNCTION("((IFERROR((SUM(FILTER('Fund Data'!$V:$V, 'Fund Data'!$C:$C = $C1673, 'Fund Data'!$A:$A = $A1673 - 1, 'Fund Data'!$B:$B &gt;= 4, 'Fund Data'!$B:$B &lt;= ($B1673 + 5))) / 12) * ($B1673 - 3) * 'Parameters and Distribution Sum'!$B$4, 0) + IF($B1673 &gt;= 9, IFERROR(SU"&amp;"M(FILTER('Fund Data'!$V:$V, 'Fund Data'!$C:$C = $C1673, 'Fund Data'!$A:$A = $A1673, 'Fund Data'!$B:$B &lt;= 3)) * 'Parameters and Distribution Sum'!$B$4, 0),0)))"),0.0)</f>
        <v>0</v>
      </c>
      <c r="AA1673" s="44">
        <f>IFERROR(__xludf.DUMMYFUNCTION("IFERROR(((IFERROR(SUM(FILTER('Fund Data'!$V:$V, 'Fund Data'!$C:$C = $C1673, 'Fund Data'!$A:$A = $A1673 - 2, 'Fund Data'!$B:$B &gt;= 4)) * 'Parameters and Distribution Sum'!$B$4,0) + IFERROR(SUM(FILTER('Fund Data'!$V:$V, 'Fund Data'!$C:$C = $C1673, 'Fund Data"&amp;"'!$A:$A = $A1673 - 1, 'Fund Data'!$B:$B &lt;= 3)) * 'Parameters and Distribution Sum'!$B$4,0))),0)"),0.0)</f>
        <v>0</v>
      </c>
      <c r="AB1673" s="44">
        <f t="shared" si="141"/>
        <v>0</v>
      </c>
      <c r="AC1673" s="44">
        <f t="shared" si="142"/>
        <v>0</v>
      </c>
      <c r="AD1673" s="44">
        <f t="shared" si="7"/>
        <v>0</v>
      </c>
      <c r="AE1673" s="44"/>
    </row>
    <row r="1674">
      <c r="A1674" s="178"/>
      <c r="B1674" s="179"/>
      <c r="C1674" s="147"/>
      <c r="D1674" s="44"/>
      <c r="E1674" s="44"/>
      <c r="F1674" s="44"/>
      <c r="G1674" s="44"/>
      <c r="H1674" s="44"/>
      <c r="I1674" s="44"/>
      <c r="J1674" s="44"/>
      <c r="K1674" s="44"/>
      <c r="L1674" s="44"/>
      <c r="M1674" s="44"/>
      <c r="N1674" s="44"/>
      <c r="O1674" s="44"/>
      <c r="P1674" s="52">
        <f t="shared" si="23"/>
        <v>0</v>
      </c>
      <c r="Q1674" s="124">
        <f t="shared" si="2"/>
        <v>0</v>
      </c>
      <c r="R1674" s="52">
        <f t="array" ref="R1674">IFERROR(INDEX('Fund YTD Target Values'!$1:$1000, MATCH($C1674,'Fund YTD Target Values'!$A:$A,0), MATCH($A1674,'Fund YTD Target Values'!$1:$1,0)),0)</f>
        <v>0</v>
      </c>
      <c r="S1674" s="52">
        <f>IFERROR(__xludf.DUMMYFUNCTION("IFERROR(sum(FILTER('Fund Data'!$V:$V, 'Fund Data'!$C:$C = $C1674, 'Fund Data'!$A:$A &lt; $A1674)),0) + IFERROR(sum(FILTER('Fund Data'!$V:$V, 'Fund Data'!$C:$C = $C1674, 'Fund Data'!$A:$A = $A1674, 'Fund Data'!$B:$B &lt;= $B1674)),0)"),0.0)</f>
        <v>0</v>
      </c>
      <c r="T1674" s="44"/>
      <c r="U1674" s="44"/>
      <c r="V1674" s="44">
        <f t="shared" si="3"/>
        <v>0</v>
      </c>
      <c r="W1674" s="52">
        <f>IFERROR(__xludf.DUMMYFUNCTION("iFERROR((FILTER('Fund Data'!$Y:$Y, 'Fund Data'!$C:$C = $C1674, 'Fund Data'!$A:$A = $A1674 - 1, 'Fund Data'!$B:$B = 12) + FILTER('Fund Data'!$AA:$AA, 'Fund Data'!$C:$C = $C1674, 'Fund Data'!$A:$A = $A1674 - 1, 'Fund Data'!$B:$B = 12)) * (1 + AVERAGE(FILTER"&amp;"('Inflation Data'!$C:$C,'Inflation Data'!$A:$A = ($A1674 - 2)))) * 'Parameters and Distribution Sum'!$A$4,0)"),0.0)</f>
        <v>0</v>
      </c>
      <c r="X1674" s="52">
        <f>IFERROR(__xludf.DUMMYFUNCTION("IFERROR((IFERROR(FILTER('Fund Data'!$P:$P,'Fund Data'!$C:$C = $C1674,'Fund Data'!$A:$A = ($A1674 - 2), 'Fund Data'!$B:$B = 12),0) - SUM(FILTER('Fund Data'!$V:$V, 'Fund Data'!$C:$C = $C1674, 'Fund Data'!$A:$A = ($A1674 - 2), 'Fund Data'!$B:$B &gt; 3)))  * 'Pa"&amp;"rameters and Distribution Sum'!$B$4 * (1 - 'Parameters and Distribution Sum'!$A$4),0)"),0.0)</f>
        <v>0</v>
      </c>
      <c r="Y1674" s="52">
        <f t="shared" si="140"/>
        <v>0</v>
      </c>
      <c r="Z1674" s="52">
        <f>IFERROR(__xludf.DUMMYFUNCTION("((IFERROR((SUM(FILTER('Fund Data'!$V:$V, 'Fund Data'!$C:$C = $C1674, 'Fund Data'!$A:$A = $A1674 - 1, 'Fund Data'!$B:$B &gt;= 4, 'Fund Data'!$B:$B &lt;= ($B1674 + 5))) / 12) * ($B1674 - 3) * 'Parameters and Distribution Sum'!$B$4, 0) + IF($B1674 &gt;= 9, IFERROR(SU"&amp;"M(FILTER('Fund Data'!$V:$V, 'Fund Data'!$C:$C = $C1674, 'Fund Data'!$A:$A = $A1674, 'Fund Data'!$B:$B &lt;= 3)) * 'Parameters and Distribution Sum'!$B$4, 0),0)))"),0.0)</f>
        <v>0</v>
      </c>
      <c r="AA1674" s="44">
        <f>IFERROR(__xludf.DUMMYFUNCTION("IFERROR(((IFERROR(SUM(FILTER('Fund Data'!$V:$V, 'Fund Data'!$C:$C = $C1674, 'Fund Data'!$A:$A = $A1674 - 2, 'Fund Data'!$B:$B &gt;= 4)) * 'Parameters and Distribution Sum'!$B$4,0) + IFERROR(SUM(FILTER('Fund Data'!$V:$V, 'Fund Data'!$C:$C = $C1674, 'Fund Data"&amp;"'!$A:$A = $A1674 - 1, 'Fund Data'!$B:$B &lt;= 3)) * 'Parameters and Distribution Sum'!$B$4,0))),0)"),0.0)</f>
        <v>0</v>
      </c>
      <c r="AB1674" s="44">
        <f t="shared" si="141"/>
        <v>0</v>
      </c>
      <c r="AC1674" s="44">
        <f t="shared" si="142"/>
        <v>0</v>
      </c>
      <c r="AD1674" s="44">
        <f t="shared" si="7"/>
        <v>0</v>
      </c>
      <c r="AE1674" s="44"/>
    </row>
    <row r="1675">
      <c r="A1675" s="178"/>
      <c r="B1675" s="179"/>
      <c r="C1675" s="147"/>
      <c r="D1675" s="44"/>
      <c r="E1675" s="44"/>
      <c r="F1675" s="44"/>
      <c r="G1675" s="44"/>
      <c r="H1675" s="44"/>
      <c r="I1675" s="44"/>
      <c r="J1675" s="44"/>
      <c r="K1675" s="44"/>
      <c r="L1675" s="44"/>
      <c r="M1675" s="44"/>
      <c r="N1675" s="44"/>
      <c r="O1675" s="44"/>
      <c r="P1675" s="52">
        <f t="shared" si="23"/>
        <v>0</v>
      </c>
      <c r="Q1675" s="124">
        <f t="shared" si="2"/>
        <v>0</v>
      </c>
      <c r="R1675" s="52">
        <f t="array" ref="R1675">IFERROR(INDEX('Fund YTD Target Values'!$1:$1000, MATCH($C1675,'Fund YTD Target Values'!$A:$A,0), MATCH($A1675,'Fund YTD Target Values'!$1:$1,0)),0)</f>
        <v>0</v>
      </c>
      <c r="S1675" s="52">
        <f>IFERROR(__xludf.DUMMYFUNCTION("IFERROR(sum(FILTER('Fund Data'!$V:$V, 'Fund Data'!$C:$C = $C1675, 'Fund Data'!$A:$A &lt; $A1675)),0) + IFERROR(sum(FILTER('Fund Data'!$V:$V, 'Fund Data'!$C:$C = $C1675, 'Fund Data'!$A:$A = $A1675, 'Fund Data'!$B:$B &lt;= $B1675)),0)"),0.0)</f>
        <v>0</v>
      </c>
      <c r="T1675" s="44"/>
      <c r="U1675" s="44"/>
      <c r="V1675" s="44">
        <f t="shared" si="3"/>
        <v>0</v>
      </c>
      <c r="W1675" s="52">
        <f>IFERROR(__xludf.DUMMYFUNCTION("iFERROR((FILTER('Fund Data'!$Y:$Y, 'Fund Data'!$C:$C = $C1675, 'Fund Data'!$A:$A = $A1675 - 1, 'Fund Data'!$B:$B = 12) + FILTER('Fund Data'!$AA:$AA, 'Fund Data'!$C:$C = $C1675, 'Fund Data'!$A:$A = $A1675 - 1, 'Fund Data'!$B:$B = 12)) * (1 + AVERAGE(FILTER"&amp;"('Inflation Data'!$C:$C,'Inflation Data'!$A:$A = ($A1675 - 2)))) * 'Parameters and Distribution Sum'!$A$4,0)"),0.0)</f>
        <v>0</v>
      </c>
      <c r="X1675" s="52">
        <f>IFERROR(__xludf.DUMMYFUNCTION("IFERROR((IFERROR(FILTER('Fund Data'!$P:$P,'Fund Data'!$C:$C = $C1675,'Fund Data'!$A:$A = ($A1675 - 2), 'Fund Data'!$B:$B = 12),0) - SUM(FILTER('Fund Data'!$V:$V, 'Fund Data'!$C:$C = $C1675, 'Fund Data'!$A:$A = ($A1675 - 2), 'Fund Data'!$B:$B &gt; 3)))  * 'Pa"&amp;"rameters and Distribution Sum'!$B$4 * (1 - 'Parameters and Distribution Sum'!$A$4),0)"),0.0)</f>
        <v>0</v>
      </c>
      <c r="Y1675" s="52">
        <f t="shared" si="140"/>
        <v>0</v>
      </c>
      <c r="Z1675" s="52">
        <f>IFERROR(__xludf.DUMMYFUNCTION("((IFERROR((SUM(FILTER('Fund Data'!$V:$V, 'Fund Data'!$C:$C = $C1675, 'Fund Data'!$A:$A = $A1675 - 1, 'Fund Data'!$B:$B &gt;= 4, 'Fund Data'!$B:$B &lt;= ($B1675 + 5))) / 12) * ($B1675 - 3) * 'Parameters and Distribution Sum'!$B$4, 0) + IF($B1675 &gt;= 9, IFERROR(SU"&amp;"M(FILTER('Fund Data'!$V:$V, 'Fund Data'!$C:$C = $C1675, 'Fund Data'!$A:$A = $A1675, 'Fund Data'!$B:$B &lt;= 3)) * 'Parameters and Distribution Sum'!$B$4, 0),0)))"),0.0)</f>
        <v>0</v>
      </c>
      <c r="AA1675" s="44">
        <f>IFERROR(__xludf.DUMMYFUNCTION("IFERROR(((IFERROR(SUM(FILTER('Fund Data'!$V:$V, 'Fund Data'!$C:$C = $C1675, 'Fund Data'!$A:$A = $A1675 - 2, 'Fund Data'!$B:$B &gt;= 4)) * 'Parameters and Distribution Sum'!$B$4,0) + IFERROR(SUM(FILTER('Fund Data'!$V:$V, 'Fund Data'!$C:$C = $C1675, 'Fund Data"&amp;"'!$A:$A = $A1675 - 1, 'Fund Data'!$B:$B &lt;= 3)) * 'Parameters and Distribution Sum'!$B$4,0))),0)"),0.0)</f>
        <v>0</v>
      </c>
      <c r="AB1675" s="44">
        <f t="shared" si="141"/>
        <v>0</v>
      </c>
      <c r="AC1675" s="44">
        <f t="shared" si="142"/>
        <v>0</v>
      </c>
      <c r="AD1675" s="44">
        <f t="shared" si="7"/>
        <v>0</v>
      </c>
      <c r="AE1675" s="44"/>
    </row>
    <row r="1676">
      <c r="A1676" s="178"/>
      <c r="B1676" s="179"/>
      <c r="C1676" s="147"/>
      <c r="D1676" s="44"/>
      <c r="E1676" s="44"/>
      <c r="F1676" s="44"/>
      <c r="G1676" s="44"/>
      <c r="H1676" s="44"/>
      <c r="I1676" s="44"/>
      <c r="J1676" s="44"/>
      <c r="K1676" s="44"/>
      <c r="L1676" s="44"/>
      <c r="M1676" s="44"/>
      <c r="N1676" s="44"/>
      <c r="O1676" s="44"/>
      <c r="P1676" s="52">
        <f t="shared" si="23"/>
        <v>0</v>
      </c>
      <c r="Q1676" s="124">
        <f t="shared" si="2"/>
        <v>0</v>
      </c>
      <c r="R1676" s="52">
        <f t="array" ref="R1676">IFERROR(INDEX('Fund YTD Target Values'!$1:$1000, MATCH($C1676,'Fund YTD Target Values'!$A:$A,0), MATCH($A1676,'Fund YTD Target Values'!$1:$1,0)),0)</f>
        <v>0</v>
      </c>
      <c r="S1676" s="52">
        <f>IFERROR(__xludf.DUMMYFUNCTION("IFERROR(sum(FILTER('Fund Data'!$V:$V, 'Fund Data'!$C:$C = $C1676, 'Fund Data'!$A:$A &lt; $A1676)),0) + IFERROR(sum(FILTER('Fund Data'!$V:$V, 'Fund Data'!$C:$C = $C1676, 'Fund Data'!$A:$A = $A1676, 'Fund Data'!$B:$B &lt;= $B1676)),0)"),0.0)</f>
        <v>0</v>
      </c>
      <c r="T1676" s="44"/>
      <c r="U1676" s="44"/>
      <c r="V1676" s="44">
        <f t="shared" si="3"/>
        <v>0</v>
      </c>
      <c r="W1676" s="52">
        <f>IFERROR(__xludf.DUMMYFUNCTION("iFERROR((FILTER('Fund Data'!$Y:$Y, 'Fund Data'!$C:$C = $C1676, 'Fund Data'!$A:$A = $A1676 - 1, 'Fund Data'!$B:$B = 12) + FILTER('Fund Data'!$AA:$AA, 'Fund Data'!$C:$C = $C1676, 'Fund Data'!$A:$A = $A1676 - 1, 'Fund Data'!$B:$B = 12)) * (1 + AVERAGE(FILTER"&amp;"('Inflation Data'!$C:$C,'Inflation Data'!$A:$A = ($A1676 - 2)))) * 'Parameters and Distribution Sum'!$A$4,0)"),0.0)</f>
        <v>0</v>
      </c>
      <c r="X1676" s="52">
        <f>IFERROR(__xludf.DUMMYFUNCTION("IFERROR((IFERROR(FILTER('Fund Data'!$P:$P,'Fund Data'!$C:$C = $C1676,'Fund Data'!$A:$A = ($A1676 - 2), 'Fund Data'!$B:$B = 12),0) - SUM(FILTER('Fund Data'!$V:$V, 'Fund Data'!$C:$C = $C1676, 'Fund Data'!$A:$A = ($A1676 - 2), 'Fund Data'!$B:$B &gt; 3)))  * 'Pa"&amp;"rameters and Distribution Sum'!$B$4 * (1 - 'Parameters and Distribution Sum'!$A$4),0)"),0.0)</f>
        <v>0</v>
      </c>
      <c r="Y1676" s="52">
        <f t="shared" si="140"/>
        <v>0</v>
      </c>
      <c r="Z1676" s="52">
        <f>IFERROR(__xludf.DUMMYFUNCTION("((IFERROR((SUM(FILTER('Fund Data'!$V:$V, 'Fund Data'!$C:$C = $C1676, 'Fund Data'!$A:$A = $A1676 - 1, 'Fund Data'!$B:$B &gt;= 4, 'Fund Data'!$B:$B &lt;= ($B1676 + 5))) / 12) * ($B1676 - 3) * 'Parameters and Distribution Sum'!$B$4, 0) + IF($B1676 &gt;= 9, IFERROR(SU"&amp;"M(FILTER('Fund Data'!$V:$V, 'Fund Data'!$C:$C = $C1676, 'Fund Data'!$A:$A = $A1676, 'Fund Data'!$B:$B &lt;= 3)) * 'Parameters and Distribution Sum'!$B$4, 0),0)))"),0.0)</f>
        <v>0</v>
      </c>
      <c r="AA1676" s="44">
        <f>IFERROR(__xludf.DUMMYFUNCTION("IFERROR(((IFERROR(SUM(FILTER('Fund Data'!$V:$V, 'Fund Data'!$C:$C = $C1676, 'Fund Data'!$A:$A = $A1676 - 2, 'Fund Data'!$B:$B &gt;= 4)) * 'Parameters and Distribution Sum'!$B$4,0) + IFERROR(SUM(FILTER('Fund Data'!$V:$V, 'Fund Data'!$C:$C = $C1676, 'Fund Data"&amp;"'!$A:$A = $A1676 - 1, 'Fund Data'!$B:$B &lt;= 3)) * 'Parameters and Distribution Sum'!$B$4,0))),0)"),0.0)</f>
        <v>0</v>
      </c>
      <c r="AB1676" s="44">
        <f t="shared" si="141"/>
        <v>0</v>
      </c>
      <c r="AC1676" s="44">
        <f t="shared" si="142"/>
        <v>0</v>
      </c>
      <c r="AD1676" s="44">
        <f t="shared" si="7"/>
        <v>0</v>
      </c>
      <c r="AE1676" s="44"/>
    </row>
    <row r="1677">
      <c r="A1677" s="178"/>
      <c r="B1677" s="179"/>
      <c r="C1677" s="147"/>
      <c r="D1677" s="44"/>
      <c r="E1677" s="44"/>
      <c r="F1677" s="44"/>
      <c r="G1677" s="44"/>
      <c r="H1677" s="44"/>
      <c r="I1677" s="44"/>
      <c r="J1677" s="44"/>
      <c r="K1677" s="44"/>
      <c r="L1677" s="44"/>
      <c r="M1677" s="44"/>
      <c r="N1677" s="44"/>
      <c r="O1677" s="44"/>
      <c r="P1677" s="52">
        <f t="shared" si="23"/>
        <v>0</v>
      </c>
      <c r="Q1677" s="124">
        <f t="shared" si="2"/>
        <v>0</v>
      </c>
      <c r="R1677" s="52">
        <f t="array" ref="R1677">IFERROR(INDEX('Fund YTD Target Values'!$1:$1000, MATCH($C1677,'Fund YTD Target Values'!$A:$A,0), MATCH($A1677,'Fund YTD Target Values'!$1:$1,0)),0)</f>
        <v>0</v>
      </c>
      <c r="S1677" s="52">
        <f>IFERROR(__xludf.DUMMYFUNCTION("IFERROR(sum(FILTER('Fund Data'!$V:$V, 'Fund Data'!$C:$C = $C1677, 'Fund Data'!$A:$A &lt; $A1677)),0) + IFERROR(sum(FILTER('Fund Data'!$V:$V, 'Fund Data'!$C:$C = $C1677, 'Fund Data'!$A:$A = $A1677, 'Fund Data'!$B:$B &lt;= $B1677)),0)"),0.0)</f>
        <v>0</v>
      </c>
      <c r="T1677" s="44"/>
      <c r="U1677" s="44"/>
      <c r="V1677" s="44">
        <f t="shared" si="3"/>
        <v>0</v>
      </c>
      <c r="W1677" s="52">
        <f>IFERROR(__xludf.DUMMYFUNCTION("iFERROR((FILTER('Fund Data'!$Y:$Y, 'Fund Data'!$C:$C = $C1677, 'Fund Data'!$A:$A = $A1677 - 1, 'Fund Data'!$B:$B = 12) + FILTER('Fund Data'!$AA:$AA, 'Fund Data'!$C:$C = $C1677, 'Fund Data'!$A:$A = $A1677 - 1, 'Fund Data'!$B:$B = 12)) * (1 + AVERAGE(FILTER"&amp;"('Inflation Data'!$C:$C,'Inflation Data'!$A:$A = ($A1677 - 2)))) * 'Parameters and Distribution Sum'!$A$4,0)"),0.0)</f>
        <v>0</v>
      </c>
      <c r="X1677" s="52">
        <f>IFERROR(__xludf.DUMMYFUNCTION("IFERROR((IFERROR(FILTER('Fund Data'!$P:$P,'Fund Data'!$C:$C = $C1677,'Fund Data'!$A:$A = ($A1677 - 2), 'Fund Data'!$B:$B = 12),0) - SUM(FILTER('Fund Data'!$V:$V, 'Fund Data'!$C:$C = $C1677, 'Fund Data'!$A:$A = ($A1677 - 2), 'Fund Data'!$B:$B &gt; 3)))  * 'Pa"&amp;"rameters and Distribution Sum'!$B$4 * (1 - 'Parameters and Distribution Sum'!$A$4),0)"),0.0)</f>
        <v>0</v>
      </c>
      <c r="Y1677" s="52">
        <f t="shared" si="140"/>
        <v>0</v>
      </c>
      <c r="Z1677" s="52">
        <f>IFERROR(__xludf.DUMMYFUNCTION("((IFERROR((SUM(FILTER('Fund Data'!$V:$V, 'Fund Data'!$C:$C = $C1677, 'Fund Data'!$A:$A = $A1677 - 1, 'Fund Data'!$B:$B &gt;= 4, 'Fund Data'!$B:$B &lt;= ($B1677 + 5))) / 12) * ($B1677 - 3) * 'Parameters and Distribution Sum'!$B$4, 0) + IF($B1677 &gt;= 9, IFERROR(SU"&amp;"M(FILTER('Fund Data'!$V:$V, 'Fund Data'!$C:$C = $C1677, 'Fund Data'!$A:$A = $A1677, 'Fund Data'!$B:$B &lt;= 3)) * 'Parameters and Distribution Sum'!$B$4, 0),0)))"),0.0)</f>
        <v>0</v>
      </c>
      <c r="AA1677" s="44">
        <f>IFERROR(__xludf.DUMMYFUNCTION("IFERROR(((IFERROR(SUM(FILTER('Fund Data'!$V:$V, 'Fund Data'!$C:$C = $C1677, 'Fund Data'!$A:$A = $A1677 - 2, 'Fund Data'!$B:$B &gt;= 4)) * 'Parameters and Distribution Sum'!$B$4,0) + IFERROR(SUM(FILTER('Fund Data'!$V:$V, 'Fund Data'!$C:$C = $C1677, 'Fund Data"&amp;"'!$A:$A = $A1677 - 1, 'Fund Data'!$B:$B &lt;= 3)) * 'Parameters and Distribution Sum'!$B$4,0))),0)"),0.0)</f>
        <v>0</v>
      </c>
      <c r="AB1677" s="44">
        <f t="shared" si="141"/>
        <v>0</v>
      </c>
      <c r="AC1677" s="44">
        <f t="shared" si="142"/>
        <v>0</v>
      </c>
      <c r="AD1677" s="44">
        <f t="shared" si="7"/>
        <v>0</v>
      </c>
      <c r="AE1677" s="44"/>
    </row>
    <row r="1678">
      <c r="A1678" s="178"/>
      <c r="B1678" s="179"/>
      <c r="C1678" s="147"/>
      <c r="D1678" s="44"/>
      <c r="E1678" s="44"/>
      <c r="F1678" s="44"/>
      <c r="G1678" s="44"/>
      <c r="H1678" s="44"/>
      <c r="I1678" s="44"/>
      <c r="J1678" s="44"/>
      <c r="K1678" s="44"/>
      <c r="L1678" s="44"/>
      <c r="M1678" s="44"/>
      <c r="N1678" s="44"/>
      <c r="O1678" s="44"/>
      <c r="P1678" s="52">
        <f t="shared" si="23"/>
        <v>0</v>
      </c>
      <c r="Q1678" s="124">
        <f t="shared" si="2"/>
        <v>0</v>
      </c>
      <c r="R1678" s="52">
        <f t="array" ref="R1678">IFERROR(INDEX('Fund YTD Target Values'!$1:$1000, MATCH($C1678,'Fund YTD Target Values'!$A:$A,0), MATCH($A1678,'Fund YTD Target Values'!$1:$1,0)),0)</f>
        <v>0</v>
      </c>
      <c r="S1678" s="52">
        <f>IFERROR(__xludf.DUMMYFUNCTION("IFERROR(sum(FILTER('Fund Data'!$V:$V, 'Fund Data'!$C:$C = $C1678, 'Fund Data'!$A:$A &lt; $A1678)),0) + IFERROR(sum(FILTER('Fund Data'!$V:$V, 'Fund Data'!$C:$C = $C1678, 'Fund Data'!$A:$A = $A1678, 'Fund Data'!$B:$B &lt;= $B1678)),0)"),0.0)</f>
        <v>0</v>
      </c>
      <c r="T1678" s="44"/>
      <c r="U1678" s="44"/>
      <c r="V1678" s="44">
        <f t="shared" si="3"/>
        <v>0</v>
      </c>
      <c r="W1678" s="52">
        <f>IFERROR(__xludf.DUMMYFUNCTION("iFERROR((FILTER('Fund Data'!$Y:$Y, 'Fund Data'!$C:$C = $C1678, 'Fund Data'!$A:$A = $A1678 - 1, 'Fund Data'!$B:$B = 12) + FILTER('Fund Data'!$AA:$AA, 'Fund Data'!$C:$C = $C1678, 'Fund Data'!$A:$A = $A1678 - 1, 'Fund Data'!$B:$B = 12)) * (1 + AVERAGE(FILTER"&amp;"('Inflation Data'!$C:$C,'Inflation Data'!$A:$A = ($A1678 - 2)))) * 'Parameters and Distribution Sum'!$A$4,0)"),0.0)</f>
        <v>0</v>
      </c>
      <c r="X1678" s="52">
        <f>IFERROR(__xludf.DUMMYFUNCTION("IFERROR((IFERROR(FILTER('Fund Data'!$P:$P,'Fund Data'!$C:$C = $C1678,'Fund Data'!$A:$A = ($A1678 - 2), 'Fund Data'!$B:$B = 12),0) - SUM(FILTER('Fund Data'!$V:$V, 'Fund Data'!$C:$C = $C1678, 'Fund Data'!$A:$A = ($A1678 - 2), 'Fund Data'!$B:$B &gt; 3)))  * 'Pa"&amp;"rameters and Distribution Sum'!$B$4 * (1 - 'Parameters and Distribution Sum'!$A$4),0)"),0.0)</f>
        <v>0</v>
      </c>
      <c r="Y1678" s="52">
        <f t="shared" si="140"/>
        <v>0</v>
      </c>
      <c r="Z1678" s="52">
        <f>IFERROR(__xludf.DUMMYFUNCTION("((IFERROR((SUM(FILTER('Fund Data'!$V:$V, 'Fund Data'!$C:$C = $C1678, 'Fund Data'!$A:$A = $A1678 - 1, 'Fund Data'!$B:$B &gt;= 4, 'Fund Data'!$B:$B &lt;= ($B1678 + 5))) / 12) * ($B1678 - 3) * 'Parameters and Distribution Sum'!$B$4, 0) + IF($B1678 &gt;= 9, IFERROR(SU"&amp;"M(FILTER('Fund Data'!$V:$V, 'Fund Data'!$C:$C = $C1678, 'Fund Data'!$A:$A = $A1678, 'Fund Data'!$B:$B &lt;= 3)) * 'Parameters and Distribution Sum'!$B$4, 0),0)))"),0.0)</f>
        <v>0</v>
      </c>
      <c r="AA1678" s="44">
        <f>IFERROR(__xludf.DUMMYFUNCTION("IFERROR(((IFERROR(SUM(FILTER('Fund Data'!$V:$V, 'Fund Data'!$C:$C = $C1678, 'Fund Data'!$A:$A = $A1678 - 2, 'Fund Data'!$B:$B &gt;= 4)) * 'Parameters and Distribution Sum'!$B$4,0) + IFERROR(SUM(FILTER('Fund Data'!$V:$V, 'Fund Data'!$C:$C = $C1678, 'Fund Data"&amp;"'!$A:$A = $A1678 - 1, 'Fund Data'!$B:$B &lt;= 3)) * 'Parameters and Distribution Sum'!$B$4,0))),0)"),0.0)</f>
        <v>0</v>
      </c>
      <c r="AB1678" s="44">
        <f t="shared" si="141"/>
        <v>0</v>
      </c>
      <c r="AC1678" s="44">
        <f t="shared" si="142"/>
        <v>0</v>
      </c>
      <c r="AD1678" s="44">
        <f t="shared" si="7"/>
        <v>0</v>
      </c>
      <c r="AE1678" s="44"/>
    </row>
    <row r="1679">
      <c r="A1679" s="178"/>
      <c r="B1679" s="179"/>
      <c r="C1679" s="147"/>
      <c r="D1679" s="44"/>
      <c r="E1679" s="44"/>
      <c r="F1679" s="44"/>
      <c r="G1679" s="44"/>
      <c r="H1679" s="44"/>
      <c r="I1679" s="44"/>
      <c r="J1679" s="44"/>
      <c r="K1679" s="44"/>
      <c r="L1679" s="44"/>
      <c r="M1679" s="44"/>
      <c r="N1679" s="44"/>
      <c r="O1679" s="44"/>
      <c r="P1679" s="52">
        <f t="shared" si="23"/>
        <v>0</v>
      </c>
      <c r="Q1679" s="124">
        <f t="shared" si="2"/>
        <v>0</v>
      </c>
      <c r="R1679" s="52">
        <f t="array" ref="R1679">IFERROR(INDEX('Fund YTD Target Values'!$1:$1000, MATCH($C1679,'Fund YTD Target Values'!$A:$A,0), MATCH($A1679,'Fund YTD Target Values'!$1:$1,0)),0)</f>
        <v>0</v>
      </c>
      <c r="S1679" s="52">
        <f>IFERROR(__xludf.DUMMYFUNCTION("IFERROR(sum(FILTER('Fund Data'!$V:$V, 'Fund Data'!$C:$C = $C1679, 'Fund Data'!$A:$A &lt; $A1679)),0) + IFERROR(sum(FILTER('Fund Data'!$V:$V, 'Fund Data'!$C:$C = $C1679, 'Fund Data'!$A:$A = $A1679, 'Fund Data'!$B:$B &lt;= $B1679)),0)"),0.0)</f>
        <v>0</v>
      </c>
      <c r="T1679" s="44"/>
      <c r="U1679" s="44"/>
      <c r="V1679" s="44">
        <f t="shared" si="3"/>
        <v>0</v>
      </c>
      <c r="W1679" s="52">
        <f>IFERROR(__xludf.DUMMYFUNCTION("iFERROR((FILTER('Fund Data'!$Y:$Y, 'Fund Data'!$C:$C = $C1679, 'Fund Data'!$A:$A = $A1679 - 1, 'Fund Data'!$B:$B = 12) + FILTER('Fund Data'!$AA:$AA, 'Fund Data'!$C:$C = $C1679, 'Fund Data'!$A:$A = $A1679 - 1, 'Fund Data'!$B:$B = 12)) * (1 + AVERAGE(FILTER"&amp;"('Inflation Data'!$C:$C,'Inflation Data'!$A:$A = ($A1679 - 2)))) * 'Parameters and Distribution Sum'!$A$4,0)"),0.0)</f>
        <v>0</v>
      </c>
      <c r="X1679" s="52">
        <f>IFERROR(__xludf.DUMMYFUNCTION("IFERROR((IFERROR(FILTER('Fund Data'!$P:$P,'Fund Data'!$C:$C = $C1679,'Fund Data'!$A:$A = ($A1679 - 2), 'Fund Data'!$B:$B = 12),0) - SUM(FILTER('Fund Data'!$V:$V, 'Fund Data'!$C:$C = $C1679, 'Fund Data'!$A:$A = ($A1679 - 2), 'Fund Data'!$B:$B &gt; 3)))  * 'Pa"&amp;"rameters and Distribution Sum'!$B$4 * (1 - 'Parameters and Distribution Sum'!$A$4),0)"),0.0)</f>
        <v>0</v>
      </c>
      <c r="Y1679" s="52">
        <f t="shared" si="140"/>
        <v>0</v>
      </c>
      <c r="Z1679" s="52">
        <f>IFERROR(__xludf.DUMMYFUNCTION("((IFERROR((SUM(FILTER('Fund Data'!$V:$V, 'Fund Data'!$C:$C = $C1679, 'Fund Data'!$A:$A = $A1679 - 1, 'Fund Data'!$B:$B &gt;= 4, 'Fund Data'!$B:$B &lt;= ($B1679 + 5))) / 12) * ($B1679 - 3) * 'Parameters and Distribution Sum'!$B$4, 0) + IF($B1679 &gt;= 9, IFERROR(SU"&amp;"M(FILTER('Fund Data'!$V:$V, 'Fund Data'!$C:$C = $C1679, 'Fund Data'!$A:$A = $A1679, 'Fund Data'!$B:$B &lt;= 3)) * 'Parameters and Distribution Sum'!$B$4, 0),0)))"),0.0)</f>
        <v>0</v>
      </c>
      <c r="AA1679" s="44">
        <f>IFERROR(__xludf.DUMMYFUNCTION("IFERROR(((IFERROR(SUM(FILTER('Fund Data'!$V:$V, 'Fund Data'!$C:$C = $C1679, 'Fund Data'!$A:$A = $A1679 - 2, 'Fund Data'!$B:$B &gt;= 4)) * 'Parameters and Distribution Sum'!$B$4,0) + IFERROR(SUM(FILTER('Fund Data'!$V:$V, 'Fund Data'!$C:$C = $C1679, 'Fund Data"&amp;"'!$A:$A = $A1679 - 1, 'Fund Data'!$B:$B &lt;= 3)) * 'Parameters and Distribution Sum'!$B$4,0))),0)"),0.0)</f>
        <v>0</v>
      </c>
      <c r="AB1679" s="44">
        <f t="shared" si="141"/>
        <v>0</v>
      </c>
      <c r="AC1679" s="44">
        <f t="shared" si="142"/>
        <v>0</v>
      </c>
      <c r="AD1679" s="44">
        <f t="shared" si="7"/>
        <v>0</v>
      </c>
      <c r="AE1679" s="44"/>
    </row>
    <row r="1680">
      <c r="A1680" s="178"/>
      <c r="B1680" s="179"/>
      <c r="C1680" s="147"/>
      <c r="D1680" s="44"/>
      <c r="E1680" s="44"/>
      <c r="F1680" s="44"/>
      <c r="G1680" s="44"/>
      <c r="H1680" s="44"/>
      <c r="I1680" s="44"/>
      <c r="J1680" s="44"/>
      <c r="K1680" s="44"/>
      <c r="L1680" s="44"/>
      <c r="M1680" s="44"/>
      <c r="N1680" s="44"/>
      <c r="O1680" s="44"/>
      <c r="P1680" s="52">
        <f t="shared" si="23"/>
        <v>0</v>
      </c>
      <c r="Q1680" s="124">
        <f t="shared" si="2"/>
        <v>0</v>
      </c>
      <c r="R1680" s="52">
        <f t="array" ref="R1680">IFERROR(INDEX('Fund YTD Target Values'!$1:$1000, MATCH($C1680,'Fund YTD Target Values'!$A:$A,0), MATCH($A1680,'Fund YTD Target Values'!$1:$1,0)),0)</f>
        <v>0</v>
      </c>
      <c r="S1680" s="52">
        <f>IFERROR(__xludf.DUMMYFUNCTION("IFERROR(sum(FILTER('Fund Data'!$V:$V, 'Fund Data'!$C:$C = $C1680, 'Fund Data'!$A:$A &lt; $A1680)),0) + IFERROR(sum(FILTER('Fund Data'!$V:$V, 'Fund Data'!$C:$C = $C1680, 'Fund Data'!$A:$A = $A1680, 'Fund Data'!$B:$B &lt;= $B1680)),0)"),0.0)</f>
        <v>0</v>
      </c>
      <c r="T1680" s="44"/>
      <c r="U1680" s="44"/>
      <c r="V1680" s="44">
        <f t="shared" si="3"/>
        <v>0</v>
      </c>
      <c r="W1680" s="52">
        <f>IFERROR(__xludf.DUMMYFUNCTION("iFERROR((FILTER('Fund Data'!$Y:$Y, 'Fund Data'!$C:$C = $C1680, 'Fund Data'!$A:$A = $A1680 - 1, 'Fund Data'!$B:$B = 12) + FILTER('Fund Data'!$AA:$AA, 'Fund Data'!$C:$C = $C1680, 'Fund Data'!$A:$A = $A1680 - 1, 'Fund Data'!$B:$B = 12)) * (1 + AVERAGE(FILTER"&amp;"('Inflation Data'!$C:$C,'Inflation Data'!$A:$A = ($A1680 - 2)))) * 'Parameters and Distribution Sum'!$A$4,0)"),0.0)</f>
        <v>0</v>
      </c>
      <c r="X1680" s="52">
        <f>IFERROR(__xludf.DUMMYFUNCTION("IFERROR((IFERROR(FILTER('Fund Data'!$P:$P,'Fund Data'!$C:$C = $C1680,'Fund Data'!$A:$A = ($A1680 - 2), 'Fund Data'!$B:$B = 12),0) - SUM(FILTER('Fund Data'!$V:$V, 'Fund Data'!$C:$C = $C1680, 'Fund Data'!$A:$A = ($A1680 - 2), 'Fund Data'!$B:$B &gt; 3)))  * 'Pa"&amp;"rameters and Distribution Sum'!$B$4 * (1 - 'Parameters and Distribution Sum'!$A$4),0)"),0.0)</f>
        <v>0</v>
      </c>
      <c r="Y1680" s="52">
        <f t="shared" si="140"/>
        <v>0</v>
      </c>
      <c r="Z1680" s="52">
        <f>IFERROR(__xludf.DUMMYFUNCTION("((IFERROR((SUM(FILTER('Fund Data'!$V:$V, 'Fund Data'!$C:$C = $C1680, 'Fund Data'!$A:$A = $A1680 - 1, 'Fund Data'!$B:$B &gt;= 4, 'Fund Data'!$B:$B &lt;= ($B1680 + 5))) / 12) * ($B1680 - 3) * 'Parameters and Distribution Sum'!$B$4, 0) + IF($B1680 &gt;= 9, IFERROR(SU"&amp;"M(FILTER('Fund Data'!$V:$V, 'Fund Data'!$C:$C = $C1680, 'Fund Data'!$A:$A = $A1680, 'Fund Data'!$B:$B &lt;= 3)) * 'Parameters and Distribution Sum'!$B$4, 0),0)))"),0.0)</f>
        <v>0</v>
      </c>
      <c r="AA1680" s="44">
        <f>IFERROR(__xludf.DUMMYFUNCTION("IFERROR(((IFERROR(SUM(FILTER('Fund Data'!$V:$V, 'Fund Data'!$C:$C = $C1680, 'Fund Data'!$A:$A = $A1680 - 2, 'Fund Data'!$B:$B &gt;= 4)) * 'Parameters and Distribution Sum'!$B$4,0) + IFERROR(SUM(FILTER('Fund Data'!$V:$V, 'Fund Data'!$C:$C = $C1680, 'Fund Data"&amp;"'!$A:$A = $A1680 - 1, 'Fund Data'!$B:$B &lt;= 3)) * 'Parameters and Distribution Sum'!$B$4,0))),0)"),0.0)</f>
        <v>0</v>
      </c>
      <c r="AB1680" s="44">
        <f t="shared" si="141"/>
        <v>0</v>
      </c>
      <c r="AC1680" s="44">
        <f t="shared" si="142"/>
        <v>0</v>
      </c>
      <c r="AD1680" s="44">
        <f t="shared" si="7"/>
        <v>0</v>
      </c>
      <c r="AE1680" s="44"/>
    </row>
    <row r="1681">
      <c r="A1681" s="178"/>
      <c r="B1681" s="179"/>
      <c r="C1681" s="147"/>
      <c r="D1681" s="44"/>
      <c r="E1681" s="44"/>
      <c r="F1681" s="44"/>
      <c r="G1681" s="44"/>
      <c r="H1681" s="44"/>
      <c r="I1681" s="44"/>
      <c r="J1681" s="44"/>
      <c r="K1681" s="44"/>
      <c r="L1681" s="44"/>
      <c r="M1681" s="44"/>
      <c r="N1681" s="44"/>
      <c r="O1681" s="44"/>
      <c r="P1681" s="52">
        <f t="shared" si="23"/>
        <v>0</v>
      </c>
      <c r="Q1681" s="124">
        <f t="shared" si="2"/>
        <v>0</v>
      </c>
      <c r="R1681" s="52">
        <f t="array" ref="R1681">IFERROR(INDEX('Fund YTD Target Values'!$1:$1000, MATCH($C1681,'Fund YTD Target Values'!$A:$A,0), MATCH($A1681,'Fund YTD Target Values'!$1:$1,0)),0)</f>
        <v>0</v>
      </c>
      <c r="S1681" s="52">
        <f>IFERROR(__xludf.DUMMYFUNCTION("IFERROR(sum(FILTER('Fund Data'!$V:$V, 'Fund Data'!$C:$C = $C1681, 'Fund Data'!$A:$A &lt; $A1681)),0) + IFERROR(sum(FILTER('Fund Data'!$V:$V, 'Fund Data'!$C:$C = $C1681, 'Fund Data'!$A:$A = $A1681, 'Fund Data'!$B:$B &lt;= $B1681)),0)"),0.0)</f>
        <v>0</v>
      </c>
      <c r="T1681" s="44"/>
      <c r="U1681" s="44"/>
      <c r="V1681" s="44">
        <f t="shared" si="3"/>
        <v>0</v>
      </c>
      <c r="W1681" s="52">
        <f>IFERROR(__xludf.DUMMYFUNCTION("iFERROR((FILTER('Fund Data'!$Y:$Y, 'Fund Data'!$C:$C = $C1681, 'Fund Data'!$A:$A = $A1681 - 1, 'Fund Data'!$B:$B = 12) + FILTER('Fund Data'!$AA:$AA, 'Fund Data'!$C:$C = $C1681, 'Fund Data'!$A:$A = $A1681 - 1, 'Fund Data'!$B:$B = 12)) * (1 + AVERAGE(FILTER"&amp;"('Inflation Data'!$C:$C,'Inflation Data'!$A:$A = ($A1681 - 2)))) * 'Parameters and Distribution Sum'!$A$4,0)"),0.0)</f>
        <v>0</v>
      </c>
      <c r="X1681" s="52">
        <f>IFERROR(__xludf.DUMMYFUNCTION("IFERROR((IFERROR(FILTER('Fund Data'!$P:$P,'Fund Data'!$C:$C = $C1681,'Fund Data'!$A:$A = ($A1681 - 2), 'Fund Data'!$B:$B = 12),0) - SUM(FILTER('Fund Data'!$V:$V, 'Fund Data'!$C:$C = $C1681, 'Fund Data'!$A:$A = ($A1681 - 2), 'Fund Data'!$B:$B &gt; 3)))  * 'Pa"&amp;"rameters and Distribution Sum'!$B$4 * (1 - 'Parameters and Distribution Sum'!$A$4),0)"),0.0)</f>
        <v>0</v>
      </c>
      <c r="Y1681" s="52">
        <f t="shared" si="140"/>
        <v>0</v>
      </c>
      <c r="Z1681" s="52">
        <f>IFERROR(__xludf.DUMMYFUNCTION("((IFERROR((SUM(FILTER('Fund Data'!$V:$V, 'Fund Data'!$C:$C = $C1681, 'Fund Data'!$A:$A = $A1681 - 1, 'Fund Data'!$B:$B &gt;= 4, 'Fund Data'!$B:$B &lt;= ($B1681 + 5))) / 12) * ($B1681 - 3) * 'Parameters and Distribution Sum'!$B$4, 0) + IF($B1681 &gt;= 9, IFERROR(SU"&amp;"M(FILTER('Fund Data'!$V:$V, 'Fund Data'!$C:$C = $C1681, 'Fund Data'!$A:$A = $A1681, 'Fund Data'!$B:$B &lt;= 3)) * 'Parameters and Distribution Sum'!$B$4, 0),0)))"),0.0)</f>
        <v>0</v>
      </c>
      <c r="AA1681" s="44">
        <f>IFERROR(__xludf.DUMMYFUNCTION("IFERROR(((IFERROR(SUM(FILTER('Fund Data'!$V:$V, 'Fund Data'!$C:$C = $C1681, 'Fund Data'!$A:$A = $A1681 - 2, 'Fund Data'!$B:$B &gt;= 4)) * 'Parameters and Distribution Sum'!$B$4,0) + IFERROR(SUM(FILTER('Fund Data'!$V:$V, 'Fund Data'!$C:$C = $C1681, 'Fund Data"&amp;"'!$A:$A = $A1681 - 1, 'Fund Data'!$B:$B &lt;= 3)) * 'Parameters and Distribution Sum'!$B$4,0))),0)"),0.0)</f>
        <v>0</v>
      </c>
      <c r="AB1681" s="44">
        <f t="shared" si="141"/>
        <v>0</v>
      </c>
      <c r="AC1681" s="44">
        <f t="shared" si="142"/>
        <v>0</v>
      </c>
      <c r="AD1681" s="44">
        <f t="shared" si="7"/>
        <v>0</v>
      </c>
      <c r="AE1681" s="44"/>
    </row>
    <row r="1682">
      <c r="A1682" s="178"/>
      <c r="B1682" s="179"/>
      <c r="C1682" s="147"/>
      <c r="D1682" s="44"/>
      <c r="E1682" s="44"/>
      <c r="F1682" s="44"/>
      <c r="G1682" s="44"/>
      <c r="H1682" s="44"/>
      <c r="I1682" s="44"/>
      <c r="J1682" s="44"/>
      <c r="K1682" s="44"/>
      <c r="L1682" s="44"/>
      <c r="M1682" s="44"/>
      <c r="N1682" s="44"/>
      <c r="O1682" s="44"/>
      <c r="P1682" s="52">
        <f t="shared" si="23"/>
        <v>0</v>
      </c>
      <c r="Q1682" s="124">
        <f t="shared" si="2"/>
        <v>0</v>
      </c>
      <c r="R1682" s="52">
        <f t="array" ref="R1682">IFERROR(INDEX('Fund YTD Target Values'!$1:$1000, MATCH($C1682,'Fund YTD Target Values'!$A:$A,0), MATCH($A1682,'Fund YTD Target Values'!$1:$1,0)),0)</f>
        <v>0</v>
      </c>
      <c r="S1682" s="52">
        <f>IFERROR(__xludf.DUMMYFUNCTION("IFERROR(sum(FILTER('Fund Data'!$V:$V, 'Fund Data'!$C:$C = $C1682, 'Fund Data'!$A:$A &lt; $A1682)),0) + IFERROR(sum(FILTER('Fund Data'!$V:$V, 'Fund Data'!$C:$C = $C1682, 'Fund Data'!$A:$A = $A1682, 'Fund Data'!$B:$B &lt;= $B1682)),0)"),0.0)</f>
        <v>0</v>
      </c>
      <c r="T1682" s="44"/>
      <c r="U1682" s="44"/>
      <c r="V1682" s="44">
        <f t="shared" si="3"/>
        <v>0</v>
      </c>
      <c r="W1682" s="52">
        <f>IFERROR(__xludf.DUMMYFUNCTION("iFERROR((FILTER('Fund Data'!$Y:$Y, 'Fund Data'!$C:$C = $C1682, 'Fund Data'!$A:$A = $A1682 - 1, 'Fund Data'!$B:$B = 12) + FILTER('Fund Data'!$AA:$AA, 'Fund Data'!$C:$C = $C1682, 'Fund Data'!$A:$A = $A1682 - 1, 'Fund Data'!$B:$B = 12)) * (1 + AVERAGE(FILTER"&amp;"('Inflation Data'!$C:$C,'Inflation Data'!$A:$A = ($A1682 - 2)))) * 'Parameters and Distribution Sum'!$A$4,0)"),0.0)</f>
        <v>0</v>
      </c>
      <c r="X1682" s="52">
        <f>IFERROR(__xludf.DUMMYFUNCTION("IFERROR((IFERROR(FILTER('Fund Data'!$P:$P,'Fund Data'!$C:$C = $C1682,'Fund Data'!$A:$A = ($A1682 - 2), 'Fund Data'!$B:$B = 12),0) - SUM(FILTER('Fund Data'!$V:$V, 'Fund Data'!$C:$C = $C1682, 'Fund Data'!$A:$A = ($A1682 - 2), 'Fund Data'!$B:$B &gt; 3)))  * 'Pa"&amp;"rameters and Distribution Sum'!$B$4 * (1 - 'Parameters and Distribution Sum'!$A$4),0)"),0.0)</f>
        <v>0</v>
      </c>
      <c r="Y1682" s="52">
        <f t="shared" si="140"/>
        <v>0</v>
      </c>
      <c r="Z1682" s="52">
        <f>IFERROR(__xludf.DUMMYFUNCTION("((IFERROR((SUM(FILTER('Fund Data'!$V:$V, 'Fund Data'!$C:$C = $C1682, 'Fund Data'!$A:$A = $A1682 - 1, 'Fund Data'!$B:$B &gt;= 4, 'Fund Data'!$B:$B &lt;= ($B1682 + 5))) / 12) * ($B1682 - 3) * 'Parameters and Distribution Sum'!$B$4, 0) + IF($B1682 &gt;= 9, IFERROR(SU"&amp;"M(FILTER('Fund Data'!$V:$V, 'Fund Data'!$C:$C = $C1682, 'Fund Data'!$A:$A = $A1682, 'Fund Data'!$B:$B &lt;= 3)) * 'Parameters and Distribution Sum'!$B$4, 0),0)))"),0.0)</f>
        <v>0</v>
      </c>
      <c r="AA1682" s="44">
        <f>IFERROR(__xludf.DUMMYFUNCTION("IFERROR(((IFERROR(SUM(FILTER('Fund Data'!$V:$V, 'Fund Data'!$C:$C = $C1682, 'Fund Data'!$A:$A = $A1682 - 2, 'Fund Data'!$B:$B &gt;= 4)) * 'Parameters and Distribution Sum'!$B$4,0) + IFERROR(SUM(FILTER('Fund Data'!$V:$V, 'Fund Data'!$C:$C = $C1682, 'Fund Data"&amp;"'!$A:$A = $A1682 - 1, 'Fund Data'!$B:$B &lt;= 3)) * 'Parameters and Distribution Sum'!$B$4,0))),0)"),0.0)</f>
        <v>0</v>
      </c>
      <c r="AB1682" s="44">
        <f t="shared" si="141"/>
        <v>0</v>
      </c>
      <c r="AC1682" s="44">
        <f t="shared" si="142"/>
        <v>0</v>
      </c>
      <c r="AD1682" s="44">
        <f t="shared" si="7"/>
        <v>0</v>
      </c>
      <c r="AE1682" s="44"/>
    </row>
    <row r="1683">
      <c r="A1683" s="178"/>
      <c r="B1683" s="179"/>
      <c r="C1683" s="147"/>
      <c r="D1683" s="44"/>
      <c r="E1683" s="44"/>
      <c r="F1683" s="44"/>
      <c r="G1683" s="44"/>
      <c r="H1683" s="44"/>
      <c r="I1683" s="44"/>
      <c r="J1683" s="44"/>
      <c r="K1683" s="44"/>
      <c r="L1683" s="44"/>
      <c r="M1683" s="44"/>
      <c r="N1683" s="44"/>
      <c r="O1683" s="44"/>
      <c r="P1683" s="52">
        <f t="shared" si="23"/>
        <v>0</v>
      </c>
      <c r="Q1683" s="124">
        <f t="shared" si="2"/>
        <v>0</v>
      </c>
      <c r="R1683" s="52">
        <f t="array" ref="R1683">IFERROR(INDEX('Fund YTD Target Values'!$1:$1000, MATCH($C1683,'Fund YTD Target Values'!$A:$A,0), MATCH($A1683,'Fund YTD Target Values'!$1:$1,0)),0)</f>
        <v>0</v>
      </c>
      <c r="S1683" s="52">
        <f>IFERROR(__xludf.DUMMYFUNCTION("IFERROR(sum(FILTER('Fund Data'!$V:$V, 'Fund Data'!$C:$C = $C1683, 'Fund Data'!$A:$A &lt; $A1683)),0) + IFERROR(sum(FILTER('Fund Data'!$V:$V, 'Fund Data'!$C:$C = $C1683, 'Fund Data'!$A:$A = $A1683, 'Fund Data'!$B:$B &lt;= $B1683)),0)"),0.0)</f>
        <v>0</v>
      </c>
      <c r="T1683" s="44"/>
      <c r="U1683" s="44"/>
      <c r="V1683" s="44">
        <f t="shared" si="3"/>
        <v>0</v>
      </c>
      <c r="W1683" s="52">
        <f>IFERROR(__xludf.DUMMYFUNCTION("iFERROR((FILTER('Fund Data'!$Y:$Y, 'Fund Data'!$C:$C = $C1683, 'Fund Data'!$A:$A = $A1683 - 1, 'Fund Data'!$B:$B = 12) + FILTER('Fund Data'!$AA:$AA, 'Fund Data'!$C:$C = $C1683, 'Fund Data'!$A:$A = $A1683 - 1, 'Fund Data'!$B:$B = 12)) * (1 + AVERAGE(FILTER"&amp;"('Inflation Data'!$C:$C,'Inflation Data'!$A:$A = ($A1683 - 2)))) * 'Parameters and Distribution Sum'!$A$4,0)"),0.0)</f>
        <v>0</v>
      </c>
      <c r="X1683" s="52">
        <f>IFERROR(__xludf.DUMMYFUNCTION("IFERROR((IFERROR(FILTER('Fund Data'!$P:$P,'Fund Data'!$C:$C = $C1683,'Fund Data'!$A:$A = ($A1683 - 2), 'Fund Data'!$B:$B = 12),0) - SUM(FILTER('Fund Data'!$V:$V, 'Fund Data'!$C:$C = $C1683, 'Fund Data'!$A:$A = ($A1683 - 2), 'Fund Data'!$B:$B &gt; 3)))  * 'Pa"&amp;"rameters and Distribution Sum'!$B$4 * (1 - 'Parameters and Distribution Sum'!$A$4),0)"),0.0)</f>
        <v>0</v>
      </c>
      <c r="Y1683" s="52">
        <f t="shared" si="140"/>
        <v>0</v>
      </c>
      <c r="Z1683" s="52">
        <f>IFERROR(__xludf.DUMMYFUNCTION("((IFERROR((SUM(FILTER('Fund Data'!$V:$V, 'Fund Data'!$C:$C = $C1683, 'Fund Data'!$A:$A = $A1683 - 1, 'Fund Data'!$B:$B &gt;= 4, 'Fund Data'!$B:$B &lt;= ($B1683 + 5))) / 12) * ($B1683 - 3) * 'Parameters and Distribution Sum'!$B$4, 0) + IF($B1683 &gt;= 9, IFERROR(SU"&amp;"M(FILTER('Fund Data'!$V:$V, 'Fund Data'!$C:$C = $C1683, 'Fund Data'!$A:$A = $A1683, 'Fund Data'!$B:$B &lt;= 3)) * 'Parameters and Distribution Sum'!$B$4, 0),0)))"),0.0)</f>
        <v>0</v>
      </c>
      <c r="AA1683" s="44">
        <f>IFERROR(__xludf.DUMMYFUNCTION("IFERROR(((IFERROR(SUM(FILTER('Fund Data'!$V:$V, 'Fund Data'!$C:$C = $C1683, 'Fund Data'!$A:$A = $A1683 - 2, 'Fund Data'!$B:$B &gt;= 4)) * 'Parameters and Distribution Sum'!$B$4,0) + IFERROR(SUM(FILTER('Fund Data'!$V:$V, 'Fund Data'!$C:$C = $C1683, 'Fund Data"&amp;"'!$A:$A = $A1683 - 1, 'Fund Data'!$B:$B &lt;= 3)) * 'Parameters and Distribution Sum'!$B$4,0))),0)"),0.0)</f>
        <v>0</v>
      </c>
      <c r="AB1683" s="44">
        <f t="shared" si="141"/>
        <v>0</v>
      </c>
      <c r="AC1683" s="44">
        <f t="shared" si="142"/>
        <v>0</v>
      </c>
      <c r="AD1683" s="44">
        <f t="shared" si="7"/>
        <v>0</v>
      </c>
      <c r="AE1683" s="44"/>
    </row>
    <row r="1684">
      <c r="A1684" s="178"/>
      <c r="B1684" s="179"/>
      <c r="C1684" s="147"/>
      <c r="D1684" s="44"/>
      <c r="E1684" s="44"/>
      <c r="F1684" s="44"/>
      <c r="G1684" s="44"/>
      <c r="H1684" s="44"/>
      <c r="I1684" s="44"/>
      <c r="J1684" s="44"/>
      <c r="K1684" s="44"/>
      <c r="L1684" s="44"/>
      <c r="M1684" s="44"/>
      <c r="N1684" s="44"/>
      <c r="O1684" s="44"/>
      <c r="P1684" s="52">
        <f t="shared" si="23"/>
        <v>0</v>
      </c>
      <c r="Q1684" s="124">
        <f t="shared" si="2"/>
        <v>0</v>
      </c>
      <c r="R1684" s="52">
        <f t="array" ref="R1684">IFERROR(INDEX('Fund YTD Target Values'!$1:$1000, MATCH($C1684,'Fund YTD Target Values'!$A:$A,0), MATCH($A1684,'Fund YTD Target Values'!$1:$1,0)),0)</f>
        <v>0</v>
      </c>
      <c r="S1684" s="52">
        <f>IFERROR(__xludf.DUMMYFUNCTION("IFERROR(sum(FILTER('Fund Data'!$V:$V, 'Fund Data'!$C:$C = $C1684, 'Fund Data'!$A:$A &lt; $A1684)),0) + IFERROR(sum(FILTER('Fund Data'!$V:$V, 'Fund Data'!$C:$C = $C1684, 'Fund Data'!$A:$A = $A1684, 'Fund Data'!$B:$B &lt;= $B1684)),0)"),0.0)</f>
        <v>0</v>
      </c>
      <c r="T1684" s="44"/>
      <c r="U1684" s="44"/>
      <c r="V1684" s="44">
        <f t="shared" si="3"/>
        <v>0</v>
      </c>
      <c r="W1684" s="52">
        <f>IFERROR(__xludf.DUMMYFUNCTION("iFERROR((FILTER('Fund Data'!$Y:$Y, 'Fund Data'!$C:$C = $C1684, 'Fund Data'!$A:$A = $A1684 - 1, 'Fund Data'!$B:$B = 12) + FILTER('Fund Data'!$AA:$AA, 'Fund Data'!$C:$C = $C1684, 'Fund Data'!$A:$A = $A1684 - 1, 'Fund Data'!$B:$B = 12)) * (1 + AVERAGE(FILTER"&amp;"('Inflation Data'!$C:$C,'Inflation Data'!$A:$A = ($A1684 - 2)))) * 'Parameters and Distribution Sum'!$A$4,0)"),0.0)</f>
        <v>0</v>
      </c>
      <c r="X1684" s="52">
        <f>IFERROR(__xludf.DUMMYFUNCTION("IFERROR((IFERROR(FILTER('Fund Data'!$P:$P,'Fund Data'!$C:$C = $C1684,'Fund Data'!$A:$A = ($A1684 - 2), 'Fund Data'!$B:$B = 12),0) - SUM(FILTER('Fund Data'!$V:$V, 'Fund Data'!$C:$C = $C1684, 'Fund Data'!$A:$A = ($A1684 - 2), 'Fund Data'!$B:$B &gt; 3)))  * 'Pa"&amp;"rameters and Distribution Sum'!$B$4 * (1 - 'Parameters and Distribution Sum'!$A$4),0)"),0.0)</f>
        <v>0</v>
      </c>
      <c r="Y1684" s="52">
        <f t="shared" si="140"/>
        <v>0</v>
      </c>
      <c r="Z1684" s="52">
        <f>IFERROR(__xludf.DUMMYFUNCTION("((IFERROR((SUM(FILTER('Fund Data'!$V:$V, 'Fund Data'!$C:$C = $C1684, 'Fund Data'!$A:$A = $A1684 - 1, 'Fund Data'!$B:$B &gt;= 4, 'Fund Data'!$B:$B &lt;= ($B1684 + 5))) / 12) * ($B1684 - 3) * 'Parameters and Distribution Sum'!$B$4, 0) + IF($B1684 &gt;= 9, IFERROR(SU"&amp;"M(FILTER('Fund Data'!$V:$V, 'Fund Data'!$C:$C = $C1684, 'Fund Data'!$A:$A = $A1684, 'Fund Data'!$B:$B &lt;= 3)) * 'Parameters and Distribution Sum'!$B$4, 0),0)))"),0.0)</f>
        <v>0</v>
      </c>
      <c r="AA1684" s="44">
        <f>IFERROR(__xludf.DUMMYFUNCTION("IFERROR(((IFERROR(SUM(FILTER('Fund Data'!$V:$V, 'Fund Data'!$C:$C = $C1684, 'Fund Data'!$A:$A = $A1684 - 2, 'Fund Data'!$B:$B &gt;= 4)) * 'Parameters and Distribution Sum'!$B$4,0) + IFERROR(SUM(FILTER('Fund Data'!$V:$V, 'Fund Data'!$C:$C = $C1684, 'Fund Data"&amp;"'!$A:$A = $A1684 - 1, 'Fund Data'!$B:$B &lt;= 3)) * 'Parameters and Distribution Sum'!$B$4,0))),0)"),0.0)</f>
        <v>0</v>
      </c>
      <c r="AB1684" s="44">
        <f t="shared" si="141"/>
        <v>0</v>
      </c>
      <c r="AC1684" s="44">
        <f t="shared" si="142"/>
        <v>0</v>
      </c>
      <c r="AD1684" s="44">
        <f t="shared" si="7"/>
        <v>0</v>
      </c>
      <c r="AE1684" s="44"/>
    </row>
    <row r="1685">
      <c r="A1685" s="178"/>
      <c r="B1685" s="179"/>
      <c r="C1685" s="147"/>
      <c r="D1685" s="44"/>
      <c r="E1685" s="44"/>
      <c r="F1685" s="44"/>
      <c r="G1685" s="44"/>
      <c r="H1685" s="44"/>
      <c r="I1685" s="44"/>
      <c r="J1685" s="44"/>
      <c r="K1685" s="44"/>
      <c r="L1685" s="44"/>
      <c r="M1685" s="44"/>
      <c r="N1685" s="44"/>
      <c r="O1685" s="44"/>
      <c r="P1685" s="52">
        <f t="shared" si="23"/>
        <v>0</v>
      </c>
      <c r="Q1685" s="124">
        <f t="shared" si="2"/>
        <v>0</v>
      </c>
      <c r="R1685" s="52">
        <f t="array" ref="R1685">IFERROR(INDEX('Fund YTD Target Values'!$1:$1000, MATCH($C1685,'Fund YTD Target Values'!$A:$A,0), MATCH($A1685,'Fund YTD Target Values'!$1:$1,0)),0)</f>
        <v>0</v>
      </c>
      <c r="S1685" s="52">
        <f>IFERROR(__xludf.DUMMYFUNCTION("IFERROR(sum(FILTER('Fund Data'!$V:$V, 'Fund Data'!$C:$C = $C1685, 'Fund Data'!$A:$A &lt; $A1685)),0) + IFERROR(sum(FILTER('Fund Data'!$V:$V, 'Fund Data'!$C:$C = $C1685, 'Fund Data'!$A:$A = $A1685, 'Fund Data'!$B:$B &lt;= $B1685)),0)"),0.0)</f>
        <v>0</v>
      </c>
      <c r="T1685" s="44"/>
      <c r="U1685" s="44"/>
      <c r="V1685" s="44">
        <f t="shared" si="3"/>
        <v>0</v>
      </c>
      <c r="W1685" s="52">
        <f>IFERROR(__xludf.DUMMYFUNCTION("iFERROR((FILTER('Fund Data'!$Y:$Y, 'Fund Data'!$C:$C = $C1685, 'Fund Data'!$A:$A = $A1685 - 1, 'Fund Data'!$B:$B = 12) + FILTER('Fund Data'!$AA:$AA, 'Fund Data'!$C:$C = $C1685, 'Fund Data'!$A:$A = $A1685 - 1, 'Fund Data'!$B:$B = 12)) * (1 + AVERAGE(FILTER"&amp;"('Inflation Data'!$C:$C,'Inflation Data'!$A:$A = ($A1685 - 2)))) * 'Parameters and Distribution Sum'!$A$4,0)"),0.0)</f>
        <v>0</v>
      </c>
      <c r="X1685" s="52">
        <f>IFERROR(__xludf.DUMMYFUNCTION("IFERROR((IFERROR(FILTER('Fund Data'!$P:$P,'Fund Data'!$C:$C = $C1685,'Fund Data'!$A:$A = ($A1685 - 2), 'Fund Data'!$B:$B = 12),0) - SUM(FILTER('Fund Data'!$V:$V, 'Fund Data'!$C:$C = $C1685, 'Fund Data'!$A:$A = ($A1685 - 2), 'Fund Data'!$B:$B &gt; 3)))  * 'Pa"&amp;"rameters and Distribution Sum'!$B$4 * (1 - 'Parameters and Distribution Sum'!$A$4),0)"),0.0)</f>
        <v>0</v>
      </c>
      <c r="Y1685" s="52">
        <f t="shared" si="140"/>
        <v>0</v>
      </c>
      <c r="Z1685" s="52">
        <f>IFERROR(__xludf.DUMMYFUNCTION("((IFERROR((SUM(FILTER('Fund Data'!$V:$V, 'Fund Data'!$C:$C = $C1685, 'Fund Data'!$A:$A = $A1685 - 1, 'Fund Data'!$B:$B &gt;= 4, 'Fund Data'!$B:$B &lt;= ($B1685 + 5))) / 12) * ($B1685 - 3) * 'Parameters and Distribution Sum'!$B$4, 0) + IF($B1685 &gt;= 9, IFERROR(SU"&amp;"M(FILTER('Fund Data'!$V:$V, 'Fund Data'!$C:$C = $C1685, 'Fund Data'!$A:$A = $A1685, 'Fund Data'!$B:$B &lt;= 3)) * 'Parameters and Distribution Sum'!$B$4, 0),0)))"),0.0)</f>
        <v>0</v>
      </c>
      <c r="AA1685" s="44">
        <f>IFERROR(__xludf.DUMMYFUNCTION("IFERROR(((IFERROR(SUM(FILTER('Fund Data'!$V:$V, 'Fund Data'!$C:$C = $C1685, 'Fund Data'!$A:$A = $A1685 - 2, 'Fund Data'!$B:$B &gt;= 4)) * 'Parameters and Distribution Sum'!$B$4,0) + IFERROR(SUM(FILTER('Fund Data'!$V:$V, 'Fund Data'!$C:$C = $C1685, 'Fund Data"&amp;"'!$A:$A = $A1685 - 1, 'Fund Data'!$B:$B &lt;= 3)) * 'Parameters and Distribution Sum'!$B$4,0))),0)"),0.0)</f>
        <v>0</v>
      </c>
      <c r="AB1685" s="44">
        <f t="shared" si="141"/>
        <v>0</v>
      </c>
      <c r="AC1685" s="44">
        <f t="shared" si="142"/>
        <v>0</v>
      </c>
      <c r="AD1685" s="44">
        <f t="shared" si="7"/>
        <v>0</v>
      </c>
      <c r="AE1685" s="44"/>
    </row>
    <row r="1686">
      <c r="A1686" s="178"/>
      <c r="B1686" s="179"/>
      <c r="C1686" s="147"/>
      <c r="D1686" s="44"/>
      <c r="E1686" s="44"/>
      <c r="F1686" s="44"/>
      <c r="G1686" s="44"/>
      <c r="H1686" s="44"/>
      <c r="I1686" s="44"/>
      <c r="J1686" s="44"/>
      <c r="K1686" s="44"/>
      <c r="L1686" s="44"/>
      <c r="M1686" s="44"/>
      <c r="N1686" s="44"/>
      <c r="O1686" s="44"/>
      <c r="P1686" s="52">
        <f t="shared" si="23"/>
        <v>0</v>
      </c>
      <c r="Q1686" s="124">
        <f t="shared" si="2"/>
        <v>0</v>
      </c>
      <c r="R1686" s="52">
        <f t="array" ref="R1686">IFERROR(INDEX('Fund YTD Target Values'!$1:$1000, MATCH($C1686,'Fund YTD Target Values'!$A:$A,0), MATCH($A1686,'Fund YTD Target Values'!$1:$1,0)),0)</f>
        <v>0</v>
      </c>
      <c r="S1686" s="52">
        <f>IFERROR(__xludf.DUMMYFUNCTION("IFERROR(sum(FILTER('Fund Data'!$V:$V, 'Fund Data'!$C:$C = $C1686, 'Fund Data'!$A:$A &lt; $A1686)),0) + IFERROR(sum(FILTER('Fund Data'!$V:$V, 'Fund Data'!$C:$C = $C1686, 'Fund Data'!$A:$A = $A1686, 'Fund Data'!$B:$B &lt;= $B1686)),0)"),0.0)</f>
        <v>0</v>
      </c>
      <c r="T1686" s="44"/>
      <c r="U1686" s="44"/>
      <c r="V1686" s="44">
        <f t="shared" si="3"/>
        <v>0</v>
      </c>
      <c r="W1686" s="52">
        <f>IFERROR(__xludf.DUMMYFUNCTION("iFERROR((FILTER('Fund Data'!$Y:$Y, 'Fund Data'!$C:$C = $C1686, 'Fund Data'!$A:$A = $A1686 - 1, 'Fund Data'!$B:$B = 12) + FILTER('Fund Data'!$AA:$AA, 'Fund Data'!$C:$C = $C1686, 'Fund Data'!$A:$A = $A1686 - 1, 'Fund Data'!$B:$B = 12)) * (1 + AVERAGE(FILTER"&amp;"('Inflation Data'!$C:$C,'Inflation Data'!$A:$A = ($A1686 - 2)))) * 'Parameters and Distribution Sum'!$A$4,0)"),0.0)</f>
        <v>0</v>
      </c>
      <c r="X1686" s="52">
        <f>IFERROR(__xludf.DUMMYFUNCTION("IFERROR((IFERROR(FILTER('Fund Data'!$P:$P,'Fund Data'!$C:$C = $C1686,'Fund Data'!$A:$A = ($A1686 - 2), 'Fund Data'!$B:$B = 12),0) - SUM(FILTER('Fund Data'!$V:$V, 'Fund Data'!$C:$C = $C1686, 'Fund Data'!$A:$A = ($A1686 - 2), 'Fund Data'!$B:$B &gt; 3)))  * 'Pa"&amp;"rameters and Distribution Sum'!$B$4 * (1 - 'Parameters and Distribution Sum'!$A$4),0)"),0.0)</f>
        <v>0</v>
      </c>
      <c r="Y1686" s="52">
        <f t="shared" si="140"/>
        <v>0</v>
      </c>
      <c r="Z1686" s="52">
        <f>IFERROR(__xludf.DUMMYFUNCTION("((IFERROR((SUM(FILTER('Fund Data'!$V:$V, 'Fund Data'!$C:$C = $C1686, 'Fund Data'!$A:$A = $A1686 - 1, 'Fund Data'!$B:$B &gt;= 4, 'Fund Data'!$B:$B &lt;= ($B1686 + 5))) / 12) * ($B1686 - 3) * 'Parameters and Distribution Sum'!$B$4, 0) + IF($B1686 &gt;= 9, IFERROR(SU"&amp;"M(FILTER('Fund Data'!$V:$V, 'Fund Data'!$C:$C = $C1686, 'Fund Data'!$A:$A = $A1686, 'Fund Data'!$B:$B &lt;= 3)) * 'Parameters and Distribution Sum'!$B$4, 0),0)))"),0.0)</f>
        <v>0</v>
      </c>
      <c r="AA1686" s="44">
        <f>IFERROR(__xludf.DUMMYFUNCTION("IFERROR(((IFERROR(SUM(FILTER('Fund Data'!$V:$V, 'Fund Data'!$C:$C = $C1686, 'Fund Data'!$A:$A = $A1686 - 2, 'Fund Data'!$B:$B &gt;= 4)) * 'Parameters and Distribution Sum'!$B$4,0) + IFERROR(SUM(FILTER('Fund Data'!$V:$V, 'Fund Data'!$C:$C = $C1686, 'Fund Data"&amp;"'!$A:$A = $A1686 - 1, 'Fund Data'!$B:$B &lt;= 3)) * 'Parameters and Distribution Sum'!$B$4,0))),0)"),0.0)</f>
        <v>0</v>
      </c>
      <c r="AB1686" s="44">
        <f t="shared" si="141"/>
        <v>0</v>
      </c>
      <c r="AC1686" s="44">
        <f t="shared" si="142"/>
        <v>0</v>
      </c>
      <c r="AD1686" s="44">
        <f t="shared" si="7"/>
        <v>0</v>
      </c>
      <c r="AE1686" s="44"/>
    </row>
    <row r="1687">
      <c r="A1687" s="178"/>
      <c r="B1687" s="179"/>
      <c r="C1687" s="147"/>
      <c r="D1687" s="44"/>
      <c r="E1687" s="44"/>
      <c r="F1687" s="44"/>
      <c r="G1687" s="44"/>
      <c r="H1687" s="44"/>
      <c r="I1687" s="44"/>
      <c r="J1687" s="44"/>
      <c r="K1687" s="44"/>
      <c r="L1687" s="44"/>
      <c r="M1687" s="44"/>
      <c r="N1687" s="44"/>
      <c r="O1687" s="44"/>
      <c r="P1687" s="52">
        <f t="shared" si="23"/>
        <v>0</v>
      </c>
      <c r="Q1687" s="124">
        <f t="shared" si="2"/>
        <v>0</v>
      </c>
      <c r="R1687" s="52">
        <f t="array" ref="R1687">IFERROR(INDEX('Fund YTD Target Values'!$1:$1000, MATCH($C1687,'Fund YTD Target Values'!$A:$A,0), MATCH($A1687,'Fund YTD Target Values'!$1:$1,0)),0)</f>
        <v>0</v>
      </c>
      <c r="S1687" s="52">
        <f>IFERROR(__xludf.DUMMYFUNCTION("IFERROR(sum(FILTER('Fund Data'!$V:$V, 'Fund Data'!$C:$C = $C1687, 'Fund Data'!$A:$A &lt; $A1687)),0) + IFERROR(sum(FILTER('Fund Data'!$V:$V, 'Fund Data'!$C:$C = $C1687, 'Fund Data'!$A:$A = $A1687, 'Fund Data'!$B:$B &lt;= $B1687)),0)"),0.0)</f>
        <v>0</v>
      </c>
      <c r="T1687" s="44"/>
      <c r="U1687" s="44"/>
      <c r="V1687" s="44">
        <f t="shared" si="3"/>
        <v>0</v>
      </c>
      <c r="W1687" s="52">
        <f>IFERROR(__xludf.DUMMYFUNCTION("iFERROR((FILTER('Fund Data'!$Y:$Y, 'Fund Data'!$C:$C = $C1687, 'Fund Data'!$A:$A = $A1687 - 1, 'Fund Data'!$B:$B = 12) + FILTER('Fund Data'!$AA:$AA, 'Fund Data'!$C:$C = $C1687, 'Fund Data'!$A:$A = $A1687 - 1, 'Fund Data'!$B:$B = 12)) * (1 + AVERAGE(FILTER"&amp;"('Inflation Data'!$C:$C,'Inflation Data'!$A:$A = ($A1687 - 2)))) * 'Parameters and Distribution Sum'!$A$4,0)"),0.0)</f>
        <v>0</v>
      </c>
      <c r="X1687" s="52">
        <f>IFERROR(__xludf.DUMMYFUNCTION("IFERROR((IFERROR(FILTER('Fund Data'!$P:$P,'Fund Data'!$C:$C = $C1687,'Fund Data'!$A:$A = ($A1687 - 2), 'Fund Data'!$B:$B = 12),0) - SUM(FILTER('Fund Data'!$V:$V, 'Fund Data'!$C:$C = $C1687, 'Fund Data'!$A:$A = ($A1687 - 2), 'Fund Data'!$B:$B &gt; 3)))  * 'Pa"&amp;"rameters and Distribution Sum'!$B$4 * (1 - 'Parameters and Distribution Sum'!$A$4),0)"),0.0)</f>
        <v>0</v>
      </c>
      <c r="Y1687" s="52">
        <f t="shared" si="140"/>
        <v>0</v>
      </c>
      <c r="Z1687" s="52">
        <f>IFERROR(__xludf.DUMMYFUNCTION("((IFERROR((SUM(FILTER('Fund Data'!$V:$V, 'Fund Data'!$C:$C = $C1687, 'Fund Data'!$A:$A = $A1687 - 1, 'Fund Data'!$B:$B &gt;= 4, 'Fund Data'!$B:$B &lt;= ($B1687 + 5))) / 12) * ($B1687 - 3) * 'Parameters and Distribution Sum'!$B$4, 0) + IF($B1687 &gt;= 9, IFERROR(SU"&amp;"M(FILTER('Fund Data'!$V:$V, 'Fund Data'!$C:$C = $C1687, 'Fund Data'!$A:$A = $A1687, 'Fund Data'!$B:$B &lt;= 3)) * 'Parameters and Distribution Sum'!$B$4, 0),0)))"),0.0)</f>
        <v>0</v>
      </c>
      <c r="AA1687" s="44">
        <f>IFERROR(__xludf.DUMMYFUNCTION("IFERROR(((IFERROR(SUM(FILTER('Fund Data'!$V:$V, 'Fund Data'!$C:$C = $C1687, 'Fund Data'!$A:$A = $A1687 - 2, 'Fund Data'!$B:$B &gt;= 4)) * 'Parameters and Distribution Sum'!$B$4,0) + IFERROR(SUM(FILTER('Fund Data'!$V:$V, 'Fund Data'!$C:$C = $C1687, 'Fund Data"&amp;"'!$A:$A = $A1687 - 1, 'Fund Data'!$B:$B &lt;= 3)) * 'Parameters and Distribution Sum'!$B$4,0))),0)"),0.0)</f>
        <v>0</v>
      </c>
      <c r="AB1687" s="44">
        <f t="shared" si="141"/>
        <v>0</v>
      </c>
      <c r="AC1687" s="44">
        <f t="shared" si="142"/>
        <v>0</v>
      </c>
      <c r="AD1687" s="44">
        <f t="shared" si="7"/>
        <v>0</v>
      </c>
      <c r="AE1687" s="44"/>
    </row>
    <row r="1688">
      <c r="A1688" s="178"/>
      <c r="B1688" s="179"/>
      <c r="C1688" s="147"/>
      <c r="D1688" s="44"/>
      <c r="E1688" s="44"/>
      <c r="F1688" s="44"/>
      <c r="G1688" s="44"/>
      <c r="H1688" s="44"/>
      <c r="I1688" s="44"/>
      <c r="J1688" s="44"/>
      <c r="K1688" s="44"/>
      <c r="L1688" s="44"/>
      <c r="M1688" s="44"/>
      <c r="N1688" s="44"/>
      <c r="O1688" s="44"/>
      <c r="P1688" s="52">
        <f t="shared" si="23"/>
        <v>0</v>
      </c>
      <c r="Q1688" s="124">
        <f t="shared" si="2"/>
        <v>0</v>
      </c>
      <c r="R1688" s="52">
        <f t="array" ref="R1688">IFERROR(INDEX('Fund YTD Target Values'!$1:$1000, MATCH($C1688,'Fund YTD Target Values'!$A:$A,0), MATCH($A1688,'Fund YTD Target Values'!$1:$1,0)),0)</f>
        <v>0</v>
      </c>
      <c r="S1688" s="52">
        <f>IFERROR(__xludf.DUMMYFUNCTION("IFERROR(sum(FILTER('Fund Data'!$V:$V, 'Fund Data'!$C:$C = $C1688, 'Fund Data'!$A:$A &lt; $A1688)),0) + IFERROR(sum(FILTER('Fund Data'!$V:$V, 'Fund Data'!$C:$C = $C1688, 'Fund Data'!$A:$A = $A1688, 'Fund Data'!$B:$B &lt;= $B1688)),0)"),0.0)</f>
        <v>0</v>
      </c>
      <c r="T1688" s="44"/>
      <c r="U1688" s="44"/>
      <c r="V1688" s="44">
        <f t="shared" si="3"/>
        <v>0</v>
      </c>
      <c r="W1688" s="52">
        <f>IFERROR(__xludf.DUMMYFUNCTION("iFERROR((FILTER('Fund Data'!$Y:$Y, 'Fund Data'!$C:$C = $C1688, 'Fund Data'!$A:$A = $A1688 - 1, 'Fund Data'!$B:$B = 12) + FILTER('Fund Data'!$AA:$AA, 'Fund Data'!$C:$C = $C1688, 'Fund Data'!$A:$A = $A1688 - 1, 'Fund Data'!$B:$B = 12)) * (1 + AVERAGE(FILTER"&amp;"('Inflation Data'!$C:$C,'Inflation Data'!$A:$A = ($A1688 - 2)))) * 'Parameters and Distribution Sum'!$A$4,0)"),0.0)</f>
        <v>0</v>
      </c>
      <c r="X1688" s="52">
        <f>IFERROR(__xludf.DUMMYFUNCTION("IFERROR((IFERROR(FILTER('Fund Data'!$P:$P,'Fund Data'!$C:$C = $C1688,'Fund Data'!$A:$A = ($A1688 - 2), 'Fund Data'!$B:$B = 12),0) - SUM(FILTER('Fund Data'!$V:$V, 'Fund Data'!$C:$C = $C1688, 'Fund Data'!$A:$A = ($A1688 - 2), 'Fund Data'!$B:$B &gt; 3)))  * 'Pa"&amp;"rameters and Distribution Sum'!$B$4 * (1 - 'Parameters and Distribution Sum'!$A$4),0)"),0.0)</f>
        <v>0</v>
      </c>
      <c r="Y1688" s="52">
        <f t="shared" si="140"/>
        <v>0</v>
      </c>
      <c r="Z1688" s="52">
        <f>IFERROR(__xludf.DUMMYFUNCTION("((IFERROR((SUM(FILTER('Fund Data'!$V:$V, 'Fund Data'!$C:$C = $C1688, 'Fund Data'!$A:$A = $A1688 - 1, 'Fund Data'!$B:$B &gt;= 4, 'Fund Data'!$B:$B &lt;= ($B1688 + 5))) / 12) * ($B1688 - 3) * 'Parameters and Distribution Sum'!$B$4, 0) + IF($B1688 &gt;= 9, IFERROR(SU"&amp;"M(FILTER('Fund Data'!$V:$V, 'Fund Data'!$C:$C = $C1688, 'Fund Data'!$A:$A = $A1688, 'Fund Data'!$B:$B &lt;= 3)) * 'Parameters and Distribution Sum'!$B$4, 0),0)))"),0.0)</f>
        <v>0</v>
      </c>
      <c r="AA1688" s="44">
        <f>IFERROR(__xludf.DUMMYFUNCTION("IFERROR(((IFERROR(SUM(FILTER('Fund Data'!$V:$V, 'Fund Data'!$C:$C = $C1688, 'Fund Data'!$A:$A = $A1688 - 2, 'Fund Data'!$B:$B &gt;= 4)) * 'Parameters and Distribution Sum'!$B$4,0) + IFERROR(SUM(FILTER('Fund Data'!$V:$V, 'Fund Data'!$C:$C = $C1688, 'Fund Data"&amp;"'!$A:$A = $A1688 - 1, 'Fund Data'!$B:$B &lt;= 3)) * 'Parameters and Distribution Sum'!$B$4,0))),0)"),0.0)</f>
        <v>0</v>
      </c>
      <c r="AB1688" s="44">
        <f t="shared" si="141"/>
        <v>0</v>
      </c>
      <c r="AC1688" s="44">
        <f t="shared" si="142"/>
        <v>0</v>
      </c>
      <c r="AD1688" s="44">
        <f t="shared" si="7"/>
        <v>0</v>
      </c>
      <c r="AE1688" s="44"/>
    </row>
    <row r="1689">
      <c r="A1689" s="178"/>
      <c r="B1689" s="179"/>
      <c r="C1689" s="147"/>
      <c r="D1689" s="44"/>
      <c r="E1689" s="44"/>
      <c r="F1689" s="44"/>
      <c r="G1689" s="44"/>
      <c r="H1689" s="44"/>
      <c r="I1689" s="44"/>
      <c r="J1689" s="44"/>
      <c r="K1689" s="44"/>
      <c r="L1689" s="44"/>
      <c r="M1689" s="44"/>
      <c r="N1689" s="44"/>
      <c r="O1689" s="44"/>
      <c r="P1689" s="52">
        <f t="shared" si="23"/>
        <v>0</v>
      </c>
      <c r="Q1689" s="124">
        <f t="shared" si="2"/>
        <v>0</v>
      </c>
      <c r="R1689" s="52">
        <f t="array" ref="R1689">IFERROR(INDEX('Fund YTD Target Values'!$1:$1000, MATCH($C1689,'Fund YTD Target Values'!$A:$A,0), MATCH($A1689,'Fund YTD Target Values'!$1:$1,0)),0)</f>
        <v>0</v>
      </c>
      <c r="S1689" s="52">
        <f>IFERROR(__xludf.DUMMYFUNCTION("IFERROR(sum(FILTER('Fund Data'!$V:$V, 'Fund Data'!$C:$C = $C1689, 'Fund Data'!$A:$A &lt; $A1689)),0) + IFERROR(sum(FILTER('Fund Data'!$V:$V, 'Fund Data'!$C:$C = $C1689, 'Fund Data'!$A:$A = $A1689, 'Fund Data'!$B:$B &lt;= $B1689)),0)"),0.0)</f>
        <v>0</v>
      </c>
      <c r="T1689" s="44"/>
      <c r="U1689" s="44"/>
      <c r="V1689" s="44">
        <f t="shared" si="3"/>
        <v>0</v>
      </c>
      <c r="W1689" s="52">
        <f>IFERROR(__xludf.DUMMYFUNCTION("iFERROR((FILTER('Fund Data'!$Y:$Y, 'Fund Data'!$C:$C = $C1689, 'Fund Data'!$A:$A = $A1689 - 1, 'Fund Data'!$B:$B = 12) + FILTER('Fund Data'!$AA:$AA, 'Fund Data'!$C:$C = $C1689, 'Fund Data'!$A:$A = $A1689 - 1, 'Fund Data'!$B:$B = 12)) * (1 + AVERAGE(FILTER"&amp;"('Inflation Data'!$C:$C,'Inflation Data'!$A:$A = ($A1689 - 2)))) * 'Parameters and Distribution Sum'!$A$4,0)"),0.0)</f>
        <v>0</v>
      </c>
      <c r="X1689" s="52">
        <f>IFERROR(__xludf.DUMMYFUNCTION("IFERROR((IFERROR(FILTER('Fund Data'!$P:$P,'Fund Data'!$C:$C = $C1689,'Fund Data'!$A:$A = ($A1689 - 2), 'Fund Data'!$B:$B = 12),0) - SUM(FILTER('Fund Data'!$V:$V, 'Fund Data'!$C:$C = $C1689, 'Fund Data'!$A:$A = ($A1689 - 2), 'Fund Data'!$B:$B &gt; 3)))  * 'Pa"&amp;"rameters and Distribution Sum'!$B$4 * (1 - 'Parameters and Distribution Sum'!$A$4),0)"),0.0)</f>
        <v>0</v>
      </c>
      <c r="Y1689" s="52">
        <f t="shared" si="140"/>
        <v>0</v>
      </c>
      <c r="Z1689" s="52">
        <f>IFERROR(__xludf.DUMMYFUNCTION("((IFERROR((SUM(FILTER('Fund Data'!$V:$V, 'Fund Data'!$C:$C = $C1689, 'Fund Data'!$A:$A = $A1689 - 1, 'Fund Data'!$B:$B &gt;= 4, 'Fund Data'!$B:$B &lt;= ($B1689 + 5))) / 12) * ($B1689 - 3) * 'Parameters and Distribution Sum'!$B$4, 0) + IF($B1689 &gt;= 9, IFERROR(SU"&amp;"M(FILTER('Fund Data'!$V:$V, 'Fund Data'!$C:$C = $C1689, 'Fund Data'!$A:$A = $A1689, 'Fund Data'!$B:$B &lt;= 3)) * 'Parameters and Distribution Sum'!$B$4, 0),0)))"),0.0)</f>
        <v>0</v>
      </c>
      <c r="AA1689" s="44">
        <f>IFERROR(__xludf.DUMMYFUNCTION("IFERROR(((IFERROR(SUM(FILTER('Fund Data'!$V:$V, 'Fund Data'!$C:$C = $C1689, 'Fund Data'!$A:$A = $A1689 - 2, 'Fund Data'!$B:$B &gt;= 4)) * 'Parameters and Distribution Sum'!$B$4,0) + IFERROR(SUM(FILTER('Fund Data'!$V:$V, 'Fund Data'!$C:$C = $C1689, 'Fund Data"&amp;"'!$A:$A = $A1689 - 1, 'Fund Data'!$B:$B &lt;= 3)) * 'Parameters and Distribution Sum'!$B$4,0))),0)"),0.0)</f>
        <v>0</v>
      </c>
      <c r="AB1689" s="44">
        <f t="shared" si="141"/>
        <v>0</v>
      </c>
      <c r="AC1689" s="44">
        <f t="shared" si="142"/>
        <v>0</v>
      </c>
      <c r="AD1689" s="44">
        <f t="shared" si="7"/>
        <v>0</v>
      </c>
      <c r="AE1689" s="44"/>
    </row>
    <row r="1690">
      <c r="A1690" s="178"/>
      <c r="B1690" s="179"/>
      <c r="C1690" s="147"/>
      <c r="D1690" s="44"/>
      <c r="E1690" s="44"/>
      <c r="F1690" s="44"/>
      <c r="G1690" s="44"/>
      <c r="H1690" s="44"/>
      <c r="I1690" s="44"/>
      <c r="J1690" s="44"/>
      <c r="K1690" s="44"/>
      <c r="L1690" s="44"/>
      <c r="M1690" s="44"/>
      <c r="N1690" s="44"/>
      <c r="O1690" s="44"/>
      <c r="P1690" s="52">
        <f t="shared" si="23"/>
        <v>0</v>
      </c>
      <c r="Q1690" s="124">
        <f t="shared" si="2"/>
        <v>0</v>
      </c>
      <c r="R1690" s="52">
        <f t="array" ref="R1690">IFERROR(INDEX('Fund YTD Target Values'!$1:$1000, MATCH($C1690,'Fund YTD Target Values'!$A:$A,0), MATCH($A1690,'Fund YTD Target Values'!$1:$1,0)),0)</f>
        <v>0</v>
      </c>
      <c r="S1690" s="52">
        <f>IFERROR(__xludf.DUMMYFUNCTION("IFERROR(sum(FILTER('Fund Data'!$V:$V, 'Fund Data'!$C:$C = $C1690, 'Fund Data'!$A:$A &lt; $A1690)),0) + IFERROR(sum(FILTER('Fund Data'!$V:$V, 'Fund Data'!$C:$C = $C1690, 'Fund Data'!$A:$A = $A1690, 'Fund Data'!$B:$B &lt;= $B1690)),0)"),0.0)</f>
        <v>0</v>
      </c>
      <c r="T1690" s="44"/>
      <c r="U1690" s="44"/>
      <c r="V1690" s="44">
        <f t="shared" si="3"/>
        <v>0</v>
      </c>
      <c r="W1690" s="52">
        <f>IFERROR(__xludf.DUMMYFUNCTION("iFERROR((FILTER('Fund Data'!$Y:$Y, 'Fund Data'!$C:$C = $C1690, 'Fund Data'!$A:$A = $A1690 - 1, 'Fund Data'!$B:$B = 12) + FILTER('Fund Data'!$AA:$AA, 'Fund Data'!$C:$C = $C1690, 'Fund Data'!$A:$A = $A1690 - 1, 'Fund Data'!$B:$B = 12)) * (1 + AVERAGE(FILTER"&amp;"('Inflation Data'!$C:$C,'Inflation Data'!$A:$A = ($A1690 - 2)))) * 'Parameters and Distribution Sum'!$A$4,0)"),0.0)</f>
        <v>0</v>
      </c>
      <c r="X1690" s="52">
        <f>IFERROR(__xludf.DUMMYFUNCTION("IFERROR((IFERROR(FILTER('Fund Data'!$P:$P,'Fund Data'!$C:$C = $C1690,'Fund Data'!$A:$A = ($A1690 - 2), 'Fund Data'!$B:$B = 12),0) - SUM(FILTER('Fund Data'!$V:$V, 'Fund Data'!$C:$C = $C1690, 'Fund Data'!$A:$A = ($A1690 - 2), 'Fund Data'!$B:$B &gt; 3)))  * 'Pa"&amp;"rameters and Distribution Sum'!$B$4 * (1 - 'Parameters and Distribution Sum'!$A$4),0)"),0.0)</f>
        <v>0</v>
      </c>
      <c r="Y1690" s="52">
        <f t="shared" si="140"/>
        <v>0</v>
      </c>
      <c r="Z1690" s="52">
        <f>IFERROR(__xludf.DUMMYFUNCTION("((IFERROR((SUM(FILTER('Fund Data'!$V:$V, 'Fund Data'!$C:$C = $C1690, 'Fund Data'!$A:$A = $A1690 - 1, 'Fund Data'!$B:$B &gt;= 4, 'Fund Data'!$B:$B &lt;= ($B1690 + 5))) / 12) * ($B1690 - 3) * 'Parameters and Distribution Sum'!$B$4, 0) + IF($B1690 &gt;= 9, IFERROR(SU"&amp;"M(FILTER('Fund Data'!$V:$V, 'Fund Data'!$C:$C = $C1690, 'Fund Data'!$A:$A = $A1690, 'Fund Data'!$B:$B &lt;= 3)) * 'Parameters and Distribution Sum'!$B$4, 0),0)))"),0.0)</f>
        <v>0</v>
      </c>
      <c r="AA1690" s="44">
        <f>IFERROR(__xludf.DUMMYFUNCTION("IFERROR(((IFERROR(SUM(FILTER('Fund Data'!$V:$V, 'Fund Data'!$C:$C = $C1690, 'Fund Data'!$A:$A = $A1690 - 2, 'Fund Data'!$B:$B &gt;= 4)) * 'Parameters and Distribution Sum'!$B$4,0) + IFERROR(SUM(FILTER('Fund Data'!$V:$V, 'Fund Data'!$C:$C = $C1690, 'Fund Data"&amp;"'!$A:$A = $A1690 - 1, 'Fund Data'!$B:$B &lt;= 3)) * 'Parameters and Distribution Sum'!$B$4,0))),0)"),0.0)</f>
        <v>0</v>
      </c>
      <c r="AB1690" s="44">
        <f t="shared" si="141"/>
        <v>0</v>
      </c>
      <c r="AC1690" s="44">
        <f t="shared" si="142"/>
        <v>0</v>
      </c>
      <c r="AD1690" s="44">
        <f t="shared" si="7"/>
        <v>0</v>
      </c>
      <c r="AE1690" s="44"/>
    </row>
    <row r="1691">
      <c r="A1691" s="178"/>
      <c r="B1691" s="179"/>
      <c r="C1691" s="147"/>
      <c r="D1691" s="44"/>
      <c r="E1691" s="44"/>
      <c r="F1691" s="44"/>
      <c r="G1691" s="44"/>
      <c r="H1691" s="44"/>
      <c r="I1691" s="44"/>
      <c r="J1691" s="44"/>
      <c r="K1691" s="44"/>
      <c r="L1691" s="44"/>
      <c r="M1691" s="44"/>
      <c r="N1691" s="44"/>
      <c r="O1691" s="44"/>
      <c r="P1691" s="52">
        <f t="shared" si="23"/>
        <v>0</v>
      </c>
      <c r="Q1691" s="124">
        <f t="shared" si="2"/>
        <v>0</v>
      </c>
      <c r="R1691" s="52">
        <f t="array" ref="R1691">IFERROR(INDEX('Fund YTD Target Values'!$1:$1000, MATCH($C1691,'Fund YTD Target Values'!$A:$A,0), MATCH($A1691,'Fund YTD Target Values'!$1:$1,0)),0)</f>
        <v>0</v>
      </c>
      <c r="S1691" s="52">
        <f>IFERROR(__xludf.DUMMYFUNCTION("IFERROR(sum(FILTER('Fund Data'!$V:$V, 'Fund Data'!$C:$C = $C1691, 'Fund Data'!$A:$A &lt; $A1691)),0) + IFERROR(sum(FILTER('Fund Data'!$V:$V, 'Fund Data'!$C:$C = $C1691, 'Fund Data'!$A:$A = $A1691, 'Fund Data'!$B:$B &lt;= $B1691)),0)"),0.0)</f>
        <v>0</v>
      </c>
      <c r="T1691" s="44"/>
      <c r="U1691" s="44"/>
      <c r="V1691" s="44">
        <f t="shared" si="3"/>
        <v>0</v>
      </c>
      <c r="W1691" s="52">
        <f>IFERROR(__xludf.DUMMYFUNCTION("iFERROR((FILTER('Fund Data'!$Y:$Y, 'Fund Data'!$C:$C = $C1691, 'Fund Data'!$A:$A = $A1691 - 1, 'Fund Data'!$B:$B = 12) + FILTER('Fund Data'!$AA:$AA, 'Fund Data'!$C:$C = $C1691, 'Fund Data'!$A:$A = $A1691 - 1, 'Fund Data'!$B:$B = 12)) * (1 + AVERAGE(FILTER"&amp;"('Inflation Data'!$C:$C,'Inflation Data'!$A:$A = ($A1691 - 2)))) * 'Parameters and Distribution Sum'!$A$4,0)"),0.0)</f>
        <v>0</v>
      </c>
      <c r="X1691" s="52">
        <f>IFERROR(__xludf.DUMMYFUNCTION("IFERROR((IFERROR(FILTER('Fund Data'!$P:$P,'Fund Data'!$C:$C = $C1691,'Fund Data'!$A:$A = ($A1691 - 2), 'Fund Data'!$B:$B = 12),0) - SUM(FILTER('Fund Data'!$V:$V, 'Fund Data'!$C:$C = $C1691, 'Fund Data'!$A:$A = ($A1691 - 2), 'Fund Data'!$B:$B &gt; 3)))  * 'Pa"&amp;"rameters and Distribution Sum'!$B$4 * (1 - 'Parameters and Distribution Sum'!$A$4),0)"),0.0)</f>
        <v>0</v>
      </c>
      <c r="Y1691" s="52">
        <f t="shared" si="140"/>
        <v>0</v>
      </c>
      <c r="Z1691" s="52">
        <f>IFERROR(__xludf.DUMMYFUNCTION("((IFERROR((SUM(FILTER('Fund Data'!$V:$V, 'Fund Data'!$C:$C = $C1691, 'Fund Data'!$A:$A = $A1691 - 1, 'Fund Data'!$B:$B &gt;= 4, 'Fund Data'!$B:$B &lt;= ($B1691 + 5))) / 12) * ($B1691 - 3) * 'Parameters and Distribution Sum'!$B$4, 0) + IF($B1691 &gt;= 9, IFERROR(SU"&amp;"M(FILTER('Fund Data'!$V:$V, 'Fund Data'!$C:$C = $C1691, 'Fund Data'!$A:$A = $A1691, 'Fund Data'!$B:$B &lt;= 3)) * 'Parameters and Distribution Sum'!$B$4, 0),0)))"),0.0)</f>
        <v>0</v>
      </c>
      <c r="AA1691" s="44">
        <f>IFERROR(__xludf.DUMMYFUNCTION("IFERROR(((IFERROR(SUM(FILTER('Fund Data'!$V:$V, 'Fund Data'!$C:$C = $C1691, 'Fund Data'!$A:$A = $A1691 - 2, 'Fund Data'!$B:$B &gt;= 4)) * 'Parameters and Distribution Sum'!$B$4,0) + IFERROR(SUM(FILTER('Fund Data'!$V:$V, 'Fund Data'!$C:$C = $C1691, 'Fund Data"&amp;"'!$A:$A = $A1691 - 1, 'Fund Data'!$B:$B &lt;= 3)) * 'Parameters and Distribution Sum'!$B$4,0))),0)"),0.0)</f>
        <v>0</v>
      </c>
      <c r="AB1691" s="44">
        <f t="shared" si="141"/>
        <v>0</v>
      </c>
      <c r="AC1691" s="44">
        <f t="shared" si="142"/>
        <v>0</v>
      </c>
      <c r="AD1691" s="44">
        <f t="shared" si="7"/>
        <v>0</v>
      </c>
      <c r="AE1691" s="44"/>
    </row>
    <row r="1692">
      <c r="A1692" s="178"/>
      <c r="B1692" s="179"/>
      <c r="C1692" s="147"/>
      <c r="D1692" s="44"/>
      <c r="E1692" s="44"/>
      <c r="F1692" s="44"/>
      <c r="G1692" s="44"/>
      <c r="H1692" s="44"/>
      <c r="I1692" s="44"/>
      <c r="J1692" s="44"/>
      <c r="K1692" s="44"/>
      <c r="L1692" s="44"/>
      <c r="M1692" s="44"/>
      <c r="N1692" s="44"/>
      <c r="O1692" s="44"/>
      <c r="P1692" s="52">
        <f t="shared" si="23"/>
        <v>0</v>
      </c>
      <c r="Q1692" s="124">
        <f t="shared" si="2"/>
        <v>0</v>
      </c>
      <c r="R1692" s="52">
        <f t="array" ref="R1692">IFERROR(INDEX('Fund YTD Target Values'!$1:$1000, MATCH($C1692,'Fund YTD Target Values'!$A:$A,0), MATCH($A1692,'Fund YTD Target Values'!$1:$1,0)),0)</f>
        <v>0</v>
      </c>
      <c r="S1692" s="52">
        <f>IFERROR(__xludf.DUMMYFUNCTION("IFERROR(sum(FILTER('Fund Data'!$V:$V, 'Fund Data'!$C:$C = $C1692, 'Fund Data'!$A:$A &lt; $A1692)),0) + IFERROR(sum(FILTER('Fund Data'!$V:$V, 'Fund Data'!$C:$C = $C1692, 'Fund Data'!$A:$A = $A1692, 'Fund Data'!$B:$B &lt;= $B1692)),0)"),0.0)</f>
        <v>0</v>
      </c>
      <c r="T1692" s="44"/>
      <c r="U1692" s="44"/>
      <c r="V1692" s="44">
        <f t="shared" si="3"/>
        <v>0</v>
      </c>
      <c r="W1692" s="52">
        <f>IFERROR(__xludf.DUMMYFUNCTION("iFERROR((FILTER('Fund Data'!$Y:$Y, 'Fund Data'!$C:$C = $C1692, 'Fund Data'!$A:$A = $A1692 - 1, 'Fund Data'!$B:$B = 12) + FILTER('Fund Data'!$AA:$AA, 'Fund Data'!$C:$C = $C1692, 'Fund Data'!$A:$A = $A1692 - 1, 'Fund Data'!$B:$B = 12)) * (1 + AVERAGE(FILTER"&amp;"('Inflation Data'!$C:$C,'Inflation Data'!$A:$A = ($A1692 - 2)))) * 'Parameters and Distribution Sum'!$A$4,0)"),0.0)</f>
        <v>0</v>
      </c>
      <c r="X1692" s="52">
        <f>IFERROR(__xludf.DUMMYFUNCTION("IFERROR((IFERROR(FILTER('Fund Data'!$P:$P,'Fund Data'!$C:$C = $C1692,'Fund Data'!$A:$A = ($A1692 - 2), 'Fund Data'!$B:$B = 12),0) - SUM(FILTER('Fund Data'!$V:$V, 'Fund Data'!$C:$C = $C1692, 'Fund Data'!$A:$A = ($A1692 - 2), 'Fund Data'!$B:$B &gt; 3)))  * 'Pa"&amp;"rameters and Distribution Sum'!$B$4 * (1 - 'Parameters and Distribution Sum'!$A$4),0)"),0.0)</f>
        <v>0</v>
      </c>
      <c r="Y1692" s="52">
        <f t="shared" si="140"/>
        <v>0</v>
      </c>
      <c r="Z1692" s="52">
        <f>IFERROR(__xludf.DUMMYFUNCTION("((IFERROR((SUM(FILTER('Fund Data'!$V:$V, 'Fund Data'!$C:$C = $C1692, 'Fund Data'!$A:$A = $A1692 - 1, 'Fund Data'!$B:$B &gt;= 4, 'Fund Data'!$B:$B &lt;= ($B1692 + 5))) / 12) * ($B1692 - 3) * 'Parameters and Distribution Sum'!$B$4, 0) + IF($B1692 &gt;= 9, IFERROR(SU"&amp;"M(FILTER('Fund Data'!$V:$V, 'Fund Data'!$C:$C = $C1692, 'Fund Data'!$A:$A = $A1692, 'Fund Data'!$B:$B &lt;= 3)) * 'Parameters and Distribution Sum'!$B$4, 0),0)))"),0.0)</f>
        <v>0</v>
      </c>
      <c r="AA1692" s="44">
        <f>IFERROR(__xludf.DUMMYFUNCTION("IFERROR(((IFERROR(SUM(FILTER('Fund Data'!$V:$V, 'Fund Data'!$C:$C = $C1692, 'Fund Data'!$A:$A = $A1692 - 2, 'Fund Data'!$B:$B &gt;= 4)) * 'Parameters and Distribution Sum'!$B$4,0) + IFERROR(SUM(FILTER('Fund Data'!$V:$V, 'Fund Data'!$C:$C = $C1692, 'Fund Data"&amp;"'!$A:$A = $A1692 - 1, 'Fund Data'!$B:$B &lt;= 3)) * 'Parameters and Distribution Sum'!$B$4,0))),0)"),0.0)</f>
        <v>0</v>
      </c>
      <c r="AB1692" s="44">
        <f t="shared" si="141"/>
        <v>0</v>
      </c>
      <c r="AC1692" s="44">
        <f t="shared" si="142"/>
        <v>0</v>
      </c>
      <c r="AD1692" s="44">
        <f t="shared" si="7"/>
        <v>0</v>
      </c>
      <c r="AE1692" s="44"/>
    </row>
    <row r="1693">
      <c r="A1693" s="178"/>
      <c r="B1693" s="179"/>
      <c r="C1693" s="147"/>
      <c r="D1693" s="44"/>
      <c r="E1693" s="44"/>
      <c r="F1693" s="44"/>
      <c r="G1693" s="44"/>
      <c r="H1693" s="44"/>
      <c r="I1693" s="44"/>
      <c r="J1693" s="44"/>
      <c r="K1693" s="44"/>
      <c r="L1693" s="44"/>
      <c r="M1693" s="44"/>
      <c r="N1693" s="44"/>
      <c r="O1693" s="44"/>
      <c r="P1693" s="52">
        <f t="shared" si="23"/>
        <v>0</v>
      </c>
      <c r="Q1693" s="124">
        <f t="shared" si="2"/>
        <v>0</v>
      </c>
      <c r="R1693" s="52">
        <f t="array" ref="R1693">IFERROR(INDEX('Fund YTD Target Values'!$1:$1000, MATCH($C1693,'Fund YTD Target Values'!$A:$A,0), MATCH($A1693,'Fund YTD Target Values'!$1:$1,0)),0)</f>
        <v>0</v>
      </c>
      <c r="S1693" s="52">
        <f>IFERROR(__xludf.DUMMYFUNCTION("IFERROR(sum(FILTER('Fund Data'!$V:$V, 'Fund Data'!$C:$C = $C1693, 'Fund Data'!$A:$A &lt; $A1693)),0) + IFERROR(sum(FILTER('Fund Data'!$V:$V, 'Fund Data'!$C:$C = $C1693, 'Fund Data'!$A:$A = $A1693, 'Fund Data'!$B:$B &lt;= $B1693)),0)"),0.0)</f>
        <v>0</v>
      </c>
      <c r="T1693" s="44"/>
      <c r="U1693" s="44"/>
      <c r="V1693" s="44">
        <f t="shared" si="3"/>
        <v>0</v>
      </c>
      <c r="W1693" s="52">
        <f>IFERROR(__xludf.DUMMYFUNCTION("iFERROR((FILTER('Fund Data'!$Y:$Y, 'Fund Data'!$C:$C = $C1693, 'Fund Data'!$A:$A = $A1693 - 1, 'Fund Data'!$B:$B = 12) + FILTER('Fund Data'!$AA:$AA, 'Fund Data'!$C:$C = $C1693, 'Fund Data'!$A:$A = $A1693 - 1, 'Fund Data'!$B:$B = 12)) * (1 + AVERAGE(FILTER"&amp;"('Inflation Data'!$C:$C,'Inflation Data'!$A:$A = ($A1693 - 2)))) * 'Parameters and Distribution Sum'!$A$4,0)"),0.0)</f>
        <v>0</v>
      </c>
      <c r="X1693" s="52">
        <f>IFERROR(__xludf.DUMMYFUNCTION("IFERROR((IFERROR(FILTER('Fund Data'!$P:$P,'Fund Data'!$C:$C = $C1693,'Fund Data'!$A:$A = ($A1693 - 2), 'Fund Data'!$B:$B = 12),0) - SUM(FILTER('Fund Data'!$V:$V, 'Fund Data'!$C:$C = $C1693, 'Fund Data'!$A:$A = ($A1693 - 2), 'Fund Data'!$B:$B &gt; 3)))  * 'Pa"&amp;"rameters and Distribution Sum'!$B$4 * (1 - 'Parameters and Distribution Sum'!$A$4),0)"),0.0)</f>
        <v>0</v>
      </c>
      <c r="Y1693" s="52">
        <f t="shared" si="140"/>
        <v>0</v>
      </c>
      <c r="Z1693" s="52">
        <f>IFERROR(__xludf.DUMMYFUNCTION("((IFERROR((SUM(FILTER('Fund Data'!$V:$V, 'Fund Data'!$C:$C = $C1693, 'Fund Data'!$A:$A = $A1693 - 1, 'Fund Data'!$B:$B &gt;= 4, 'Fund Data'!$B:$B &lt;= ($B1693 + 5))) / 12) * ($B1693 - 3) * 'Parameters and Distribution Sum'!$B$4, 0) + IF($B1693 &gt;= 9, IFERROR(SU"&amp;"M(FILTER('Fund Data'!$V:$V, 'Fund Data'!$C:$C = $C1693, 'Fund Data'!$A:$A = $A1693, 'Fund Data'!$B:$B &lt;= 3)) * 'Parameters and Distribution Sum'!$B$4, 0),0)))"),0.0)</f>
        <v>0</v>
      </c>
      <c r="AA1693" s="44">
        <f>IFERROR(__xludf.DUMMYFUNCTION("IFERROR(((IFERROR(SUM(FILTER('Fund Data'!$V:$V, 'Fund Data'!$C:$C = $C1693, 'Fund Data'!$A:$A = $A1693 - 2, 'Fund Data'!$B:$B &gt;= 4)) * 'Parameters and Distribution Sum'!$B$4,0) + IFERROR(SUM(FILTER('Fund Data'!$V:$V, 'Fund Data'!$C:$C = $C1693, 'Fund Data"&amp;"'!$A:$A = $A1693 - 1, 'Fund Data'!$B:$B &lt;= 3)) * 'Parameters and Distribution Sum'!$B$4,0))),0)"),0.0)</f>
        <v>0</v>
      </c>
      <c r="AB1693" s="44">
        <f t="shared" si="141"/>
        <v>0</v>
      </c>
      <c r="AC1693" s="44">
        <f t="shared" si="142"/>
        <v>0</v>
      </c>
      <c r="AD1693" s="44">
        <f t="shared" si="7"/>
        <v>0</v>
      </c>
      <c r="AE1693" s="44"/>
    </row>
    <row r="1694">
      <c r="A1694" s="178"/>
      <c r="B1694" s="179"/>
      <c r="C1694" s="147"/>
      <c r="D1694" s="44"/>
      <c r="E1694" s="44"/>
      <c r="F1694" s="44"/>
      <c r="G1694" s="44"/>
      <c r="H1694" s="44"/>
      <c r="I1694" s="44"/>
      <c r="J1694" s="44"/>
      <c r="K1694" s="44"/>
      <c r="L1694" s="44"/>
      <c r="M1694" s="44"/>
      <c r="N1694" s="44"/>
      <c r="O1694" s="44"/>
      <c r="P1694" s="52">
        <f t="shared" si="23"/>
        <v>0</v>
      </c>
      <c r="Q1694" s="124">
        <f t="shared" si="2"/>
        <v>0</v>
      </c>
      <c r="R1694" s="52">
        <f t="array" ref="R1694">IFERROR(INDEX('Fund YTD Target Values'!$1:$1000, MATCH($C1694,'Fund YTD Target Values'!$A:$A,0), MATCH($A1694,'Fund YTD Target Values'!$1:$1,0)),0)</f>
        <v>0</v>
      </c>
      <c r="S1694" s="52">
        <f>IFERROR(__xludf.DUMMYFUNCTION("IFERROR(sum(FILTER('Fund Data'!$V:$V, 'Fund Data'!$C:$C = $C1694, 'Fund Data'!$A:$A &lt; $A1694)),0) + IFERROR(sum(FILTER('Fund Data'!$V:$V, 'Fund Data'!$C:$C = $C1694, 'Fund Data'!$A:$A = $A1694, 'Fund Data'!$B:$B &lt;= $B1694)),0)"),0.0)</f>
        <v>0</v>
      </c>
      <c r="T1694" s="44"/>
      <c r="U1694" s="44"/>
      <c r="V1694" s="44">
        <f t="shared" si="3"/>
        <v>0</v>
      </c>
      <c r="W1694" s="52">
        <f>IFERROR(__xludf.DUMMYFUNCTION("iFERROR((FILTER('Fund Data'!$Y:$Y, 'Fund Data'!$C:$C = $C1694, 'Fund Data'!$A:$A = $A1694 - 1, 'Fund Data'!$B:$B = 12) + FILTER('Fund Data'!$AA:$AA, 'Fund Data'!$C:$C = $C1694, 'Fund Data'!$A:$A = $A1694 - 1, 'Fund Data'!$B:$B = 12)) * (1 + AVERAGE(FILTER"&amp;"('Inflation Data'!$C:$C,'Inflation Data'!$A:$A = ($A1694 - 2)))) * 'Parameters and Distribution Sum'!$A$4,0)"),0.0)</f>
        <v>0</v>
      </c>
      <c r="X1694" s="52">
        <f>IFERROR(__xludf.DUMMYFUNCTION("IFERROR((IFERROR(FILTER('Fund Data'!$P:$P,'Fund Data'!$C:$C = $C1694,'Fund Data'!$A:$A = ($A1694 - 2), 'Fund Data'!$B:$B = 12),0) - SUM(FILTER('Fund Data'!$V:$V, 'Fund Data'!$C:$C = $C1694, 'Fund Data'!$A:$A = ($A1694 - 2), 'Fund Data'!$B:$B &gt; 3)))  * 'Pa"&amp;"rameters and Distribution Sum'!$B$4 * (1 - 'Parameters and Distribution Sum'!$A$4),0)"),0.0)</f>
        <v>0</v>
      </c>
      <c r="Y1694" s="52">
        <f t="shared" si="140"/>
        <v>0</v>
      </c>
      <c r="Z1694" s="52">
        <f>IFERROR(__xludf.DUMMYFUNCTION("((IFERROR((SUM(FILTER('Fund Data'!$V:$V, 'Fund Data'!$C:$C = $C1694, 'Fund Data'!$A:$A = $A1694 - 1, 'Fund Data'!$B:$B &gt;= 4, 'Fund Data'!$B:$B &lt;= ($B1694 + 5))) / 12) * ($B1694 - 3) * 'Parameters and Distribution Sum'!$B$4, 0) + IF($B1694 &gt;= 9, IFERROR(SU"&amp;"M(FILTER('Fund Data'!$V:$V, 'Fund Data'!$C:$C = $C1694, 'Fund Data'!$A:$A = $A1694, 'Fund Data'!$B:$B &lt;= 3)) * 'Parameters and Distribution Sum'!$B$4, 0),0)))"),0.0)</f>
        <v>0</v>
      </c>
      <c r="AA1694" s="44">
        <f>IFERROR(__xludf.DUMMYFUNCTION("IFERROR(((IFERROR(SUM(FILTER('Fund Data'!$V:$V, 'Fund Data'!$C:$C = $C1694, 'Fund Data'!$A:$A = $A1694 - 2, 'Fund Data'!$B:$B &gt;= 4)) * 'Parameters and Distribution Sum'!$B$4,0) + IFERROR(SUM(FILTER('Fund Data'!$V:$V, 'Fund Data'!$C:$C = $C1694, 'Fund Data"&amp;"'!$A:$A = $A1694 - 1, 'Fund Data'!$B:$B &lt;= 3)) * 'Parameters and Distribution Sum'!$B$4,0))),0)"),0.0)</f>
        <v>0</v>
      </c>
      <c r="AB1694" s="44">
        <f t="shared" si="141"/>
        <v>0</v>
      </c>
      <c r="AC1694" s="44">
        <f t="shared" si="142"/>
        <v>0</v>
      </c>
      <c r="AD1694" s="44">
        <f t="shared" si="7"/>
        <v>0</v>
      </c>
      <c r="AE1694" s="44"/>
    </row>
    <row r="1695">
      <c r="A1695" s="178"/>
      <c r="B1695" s="179"/>
      <c r="C1695" s="147"/>
      <c r="D1695" s="44"/>
      <c r="E1695" s="44"/>
      <c r="F1695" s="44"/>
      <c r="G1695" s="44"/>
      <c r="H1695" s="44"/>
      <c r="I1695" s="44"/>
      <c r="J1695" s="44"/>
      <c r="K1695" s="44"/>
      <c r="L1695" s="44"/>
      <c r="M1695" s="44"/>
      <c r="N1695" s="44"/>
      <c r="O1695" s="44"/>
      <c r="P1695" s="52">
        <f t="shared" si="23"/>
        <v>0</v>
      </c>
      <c r="Q1695" s="124">
        <f t="shared" si="2"/>
        <v>0</v>
      </c>
      <c r="R1695" s="52">
        <f t="array" ref="R1695">IFERROR(INDEX('Fund YTD Target Values'!$1:$1000, MATCH($C1695,'Fund YTD Target Values'!$A:$A,0), MATCH($A1695,'Fund YTD Target Values'!$1:$1,0)),0)</f>
        <v>0</v>
      </c>
      <c r="S1695" s="52">
        <f>IFERROR(__xludf.DUMMYFUNCTION("IFERROR(sum(FILTER('Fund Data'!$V:$V, 'Fund Data'!$C:$C = $C1695, 'Fund Data'!$A:$A &lt; $A1695)),0) + IFERROR(sum(FILTER('Fund Data'!$V:$V, 'Fund Data'!$C:$C = $C1695, 'Fund Data'!$A:$A = $A1695, 'Fund Data'!$B:$B &lt;= $B1695)),0)"),0.0)</f>
        <v>0</v>
      </c>
      <c r="T1695" s="44"/>
      <c r="U1695" s="44"/>
      <c r="V1695" s="44">
        <f t="shared" si="3"/>
        <v>0</v>
      </c>
      <c r="W1695" s="52">
        <f>IFERROR(__xludf.DUMMYFUNCTION("iFERROR((FILTER('Fund Data'!$Y:$Y, 'Fund Data'!$C:$C = $C1695, 'Fund Data'!$A:$A = $A1695 - 1, 'Fund Data'!$B:$B = 12) + FILTER('Fund Data'!$AA:$AA, 'Fund Data'!$C:$C = $C1695, 'Fund Data'!$A:$A = $A1695 - 1, 'Fund Data'!$B:$B = 12)) * (1 + AVERAGE(FILTER"&amp;"('Inflation Data'!$C:$C,'Inflation Data'!$A:$A = ($A1695 - 2)))) * 'Parameters and Distribution Sum'!$A$4,0)"),0.0)</f>
        <v>0</v>
      </c>
      <c r="X1695" s="52">
        <f>IFERROR(__xludf.DUMMYFUNCTION("IFERROR((IFERROR(FILTER('Fund Data'!$P:$P,'Fund Data'!$C:$C = $C1695,'Fund Data'!$A:$A = ($A1695 - 2), 'Fund Data'!$B:$B = 12),0) - SUM(FILTER('Fund Data'!$V:$V, 'Fund Data'!$C:$C = $C1695, 'Fund Data'!$A:$A = ($A1695 - 2), 'Fund Data'!$B:$B &gt; 3)))  * 'Pa"&amp;"rameters and Distribution Sum'!$B$4 * (1 - 'Parameters and Distribution Sum'!$A$4),0)"),0.0)</f>
        <v>0</v>
      </c>
      <c r="Y1695" s="52">
        <f t="shared" si="140"/>
        <v>0</v>
      </c>
      <c r="Z1695" s="52">
        <f>IFERROR(__xludf.DUMMYFUNCTION("((IFERROR((SUM(FILTER('Fund Data'!$V:$V, 'Fund Data'!$C:$C = $C1695, 'Fund Data'!$A:$A = $A1695 - 1, 'Fund Data'!$B:$B &gt;= 4, 'Fund Data'!$B:$B &lt;= ($B1695 + 5))) / 12) * ($B1695 - 3) * 'Parameters and Distribution Sum'!$B$4, 0) + IF($B1695 &gt;= 9, IFERROR(SU"&amp;"M(FILTER('Fund Data'!$V:$V, 'Fund Data'!$C:$C = $C1695, 'Fund Data'!$A:$A = $A1695, 'Fund Data'!$B:$B &lt;= 3)) * 'Parameters and Distribution Sum'!$B$4, 0),0)))"),0.0)</f>
        <v>0</v>
      </c>
      <c r="AA1695" s="44">
        <f>IFERROR(__xludf.DUMMYFUNCTION("IFERROR(((IFERROR(SUM(FILTER('Fund Data'!$V:$V, 'Fund Data'!$C:$C = $C1695, 'Fund Data'!$A:$A = $A1695 - 2, 'Fund Data'!$B:$B &gt;= 4)) * 'Parameters and Distribution Sum'!$B$4,0) + IFERROR(SUM(FILTER('Fund Data'!$V:$V, 'Fund Data'!$C:$C = $C1695, 'Fund Data"&amp;"'!$A:$A = $A1695 - 1, 'Fund Data'!$B:$B &lt;= 3)) * 'Parameters and Distribution Sum'!$B$4,0))),0)"),0.0)</f>
        <v>0</v>
      </c>
      <c r="AB1695" s="44">
        <f t="shared" si="141"/>
        <v>0</v>
      </c>
      <c r="AC1695" s="44">
        <f t="shared" si="142"/>
        <v>0</v>
      </c>
      <c r="AD1695" s="44">
        <f t="shared" si="7"/>
        <v>0</v>
      </c>
      <c r="AE1695" s="44"/>
    </row>
    <row r="1696">
      <c r="A1696" s="178"/>
      <c r="B1696" s="179"/>
      <c r="C1696" s="147"/>
      <c r="D1696" s="44"/>
      <c r="E1696" s="44"/>
      <c r="F1696" s="44"/>
      <c r="G1696" s="44"/>
      <c r="H1696" s="44"/>
      <c r="I1696" s="44"/>
      <c r="J1696" s="44"/>
      <c r="K1696" s="44"/>
      <c r="L1696" s="44"/>
      <c r="M1696" s="44"/>
      <c r="N1696" s="44"/>
      <c r="O1696" s="44"/>
      <c r="P1696" s="52">
        <f t="shared" si="23"/>
        <v>0</v>
      </c>
      <c r="Q1696" s="124">
        <f t="shared" si="2"/>
        <v>0</v>
      </c>
      <c r="R1696" s="52">
        <f t="array" ref="R1696">IFERROR(INDEX('Fund YTD Target Values'!$1:$1000, MATCH($C1696,'Fund YTD Target Values'!$A:$A,0), MATCH($A1696,'Fund YTD Target Values'!$1:$1,0)),0)</f>
        <v>0</v>
      </c>
      <c r="S1696" s="52">
        <f>IFERROR(__xludf.DUMMYFUNCTION("IFERROR(sum(FILTER('Fund Data'!$V:$V, 'Fund Data'!$C:$C = $C1696, 'Fund Data'!$A:$A &lt; $A1696)),0) + IFERROR(sum(FILTER('Fund Data'!$V:$V, 'Fund Data'!$C:$C = $C1696, 'Fund Data'!$A:$A = $A1696, 'Fund Data'!$B:$B &lt;= $B1696)),0)"),0.0)</f>
        <v>0</v>
      </c>
      <c r="T1696" s="44"/>
      <c r="U1696" s="44"/>
      <c r="V1696" s="44">
        <f t="shared" si="3"/>
        <v>0</v>
      </c>
      <c r="W1696" s="52">
        <f>IFERROR(__xludf.DUMMYFUNCTION("iFERROR((FILTER('Fund Data'!$Y:$Y, 'Fund Data'!$C:$C = $C1696, 'Fund Data'!$A:$A = $A1696 - 1, 'Fund Data'!$B:$B = 12) + FILTER('Fund Data'!$AA:$AA, 'Fund Data'!$C:$C = $C1696, 'Fund Data'!$A:$A = $A1696 - 1, 'Fund Data'!$B:$B = 12)) * (1 + AVERAGE(FILTER"&amp;"('Inflation Data'!$C:$C,'Inflation Data'!$A:$A = ($A1696 - 2)))) * 'Parameters and Distribution Sum'!$A$4,0)"),0.0)</f>
        <v>0</v>
      </c>
      <c r="X1696" s="52">
        <f>IFERROR(__xludf.DUMMYFUNCTION("IFERROR((IFERROR(FILTER('Fund Data'!$P:$P,'Fund Data'!$C:$C = $C1696,'Fund Data'!$A:$A = ($A1696 - 2), 'Fund Data'!$B:$B = 12),0) - SUM(FILTER('Fund Data'!$V:$V, 'Fund Data'!$C:$C = $C1696, 'Fund Data'!$A:$A = ($A1696 - 2), 'Fund Data'!$B:$B &gt; 3)))  * 'Pa"&amp;"rameters and Distribution Sum'!$B$4 * (1 - 'Parameters and Distribution Sum'!$A$4),0)"),0.0)</f>
        <v>0</v>
      </c>
      <c r="Y1696" s="52">
        <f t="shared" si="140"/>
        <v>0</v>
      </c>
      <c r="Z1696" s="52">
        <f>IFERROR(__xludf.DUMMYFUNCTION("((IFERROR((SUM(FILTER('Fund Data'!$V:$V, 'Fund Data'!$C:$C = $C1696, 'Fund Data'!$A:$A = $A1696 - 1, 'Fund Data'!$B:$B &gt;= 4, 'Fund Data'!$B:$B &lt;= ($B1696 + 5))) / 12) * ($B1696 - 3) * 'Parameters and Distribution Sum'!$B$4, 0) + IF($B1696 &gt;= 9, IFERROR(SU"&amp;"M(FILTER('Fund Data'!$V:$V, 'Fund Data'!$C:$C = $C1696, 'Fund Data'!$A:$A = $A1696, 'Fund Data'!$B:$B &lt;= 3)) * 'Parameters and Distribution Sum'!$B$4, 0),0)))"),0.0)</f>
        <v>0</v>
      </c>
      <c r="AA1696" s="44">
        <f>IFERROR(__xludf.DUMMYFUNCTION("IFERROR(((IFERROR(SUM(FILTER('Fund Data'!$V:$V, 'Fund Data'!$C:$C = $C1696, 'Fund Data'!$A:$A = $A1696 - 2, 'Fund Data'!$B:$B &gt;= 4)) * 'Parameters and Distribution Sum'!$B$4,0) + IFERROR(SUM(FILTER('Fund Data'!$V:$V, 'Fund Data'!$C:$C = $C1696, 'Fund Data"&amp;"'!$A:$A = $A1696 - 1, 'Fund Data'!$B:$B &lt;= 3)) * 'Parameters and Distribution Sum'!$B$4,0))),0)"),0.0)</f>
        <v>0</v>
      </c>
      <c r="AB1696" s="44">
        <f t="shared" si="141"/>
        <v>0</v>
      </c>
      <c r="AC1696" s="44">
        <f t="shared" si="142"/>
        <v>0</v>
      </c>
      <c r="AD1696" s="44">
        <f t="shared" si="7"/>
        <v>0</v>
      </c>
      <c r="AE1696" s="44"/>
    </row>
    <row r="1697">
      <c r="A1697" s="178"/>
      <c r="B1697" s="179"/>
      <c r="C1697" s="147"/>
      <c r="D1697" s="44"/>
      <c r="E1697" s="44"/>
      <c r="F1697" s="44"/>
      <c r="G1697" s="44"/>
      <c r="H1697" s="44"/>
      <c r="I1697" s="44"/>
      <c r="J1697" s="44"/>
      <c r="K1697" s="44"/>
      <c r="L1697" s="44"/>
      <c r="M1697" s="44"/>
      <c r="N1697" s="44"/>
      <c r="O1697" s="44"/>
      <c r="P1697" s="52">
        <f t="shared" si="23"/>
        <v>0</v>
      </c>
      <c r="Q1697" s="124">
        <f t="shared" si="2"/>
        <v>0</v>
      </c>
      <c r="R1697" s="52">
        <f t="array" ref="R1697">IFERROR(INDEX('Fund YTD Target Values'!$1:$1000, MATCH($C1697,'Fund YTD Target Values'!$A:$A,0), MATCH($A1697,'Fund YTD Target Values'!$1:$1,0)),0)</f>
        <v>0</v>
      </c>
      <c r="S1697" s="52">
        <f>IFERROR(__xludf.DUMMYFUNCTION("IFERROR(sum(FILTER('Fund Data'!$V:$V, 'Fund Data'!$C:$C = $C1697, 'Fund Data'!$A:$A &lt; $A1697)),0) + IFERROR(sum(FILTER('Fund Data'!$V:$V, 'Fund Data'!$C:$C = $C1697, 'Fund Data'!$A:$A = $A1697, 'Fund Data'!$B:$B &lt;= $B1697)),0)"),0.0)</f>
        <v>0</v>
      </c>
      <c r="T1697" s="44"/>
      <c r="U1697" s="44"/>
      <c r="V1697" s="44">
        <f t="shared" si="3"/>
        <v>0</v>
      </c>
      <c r="W1697" s="52">
        <f>IFERROR(__xludf.DUMMYFUNCTION("iFERROR((FILTER('Fund Data'!$Y:$Y, 'Fund Data'!$C:$C = $C1697, 'Fund Data'!$A:$A = $A1697 - 1, 'Fund Data'!$B:$B = 12) + FILTER('Fund Data'!$AA:$AA, 'Fund Data'!$C:$C = $C1697, 'Fund Data'!$A:$A = $A1697 - 1, 'Fund Data'!$B:$B = 12)) * (1 + AVERAGE(FILTER"&amp;"('Inflation Data'!$C:$C,'Inflation Data'!$A:$A = ($A1697 - 2)))) * 'Parameters and Distribution Sum'!$A$4,0)"),0.0)</f>
        <v>0</v>
      </c>
      <c r="X1697" s="52">
        <f>IFERROR(__xludf.DUMMYFUNCTION("IFERROR((IFERROR(FILTER('Fund Data'!$P:$P,'Fund Data'!$C:$C = $C1697,'Fund Data'!$A:$A = ($A1697 - 2), 'Fund Data'!$B:$B = 12),0) - SUM(FILTER('Fund Data'!$V:$V, 'Fund Data'!$C:$C = $C1697, 'Fund Data'!$A:$A = ($A1697 - 2), 'Fund Data'!$B:$B &gt; 3)))  * 'Pa"&amp;"rameters and Distribution Sum'!$B$4 * (1 - 'Parameters and Distribution Sum'!$A$4),0)"),0.0)</f>
        <v>0</v>
      </c>
      <c r="Y1697" s="52">
        <f t="shared" si="140"/>
        <v>0</v>
      </c>
      <c r="Z1697" s="52">
        <f>IFERROR(__xludf.DUMMYFUNCTION("((IFERROR((SUM(FILTER('Fund Data'!$V:$V, 'Fund Data'!$C:$C = $C1697, 'Fund Data'!$A:$A = $A1697 - 1, 'Fund Data'!$B:$B &gt;= 4, 'Fund Data'!$B:$B &lt;= ($B1697 + 5))) / 12) * ($B1697 - 3) * 'Parameters and Distribution Sum'!$B$4, 0) + IF($B1697 &gt;= 9, IFERROR(SU"&amp;"M(FILTER('Fund Data'!$V:$V, 'Fund Data'!$C:$C = $C1697, 'Fund Data'!$A:$A = $A1697, 'Fund Data'!$B:$B &lt;= 3)) * 'Parameters and Distribution Sum'!$B$4, 0),0)))"),0.0)</f>
        <v>0</v>
      </c>
      <c r="AA1697" s="44">
        <f>IFERROR(__xludf.DUMMYFUNCTION("IFERROR(((IFERROR(SUM(FILTER('Fund Data'!$V:$V, 'Fund Data'!$C:$C = $C1697, 'Fund Data'!$A:$A = $A1697 - 2, 'Fund Data'!$B:$B &gt;= 4)) * 'Parameters and Distribution Sum'!$B$4,0) + IFERROR(SUM(FILTER('Fund Data'!$V:$V, 'Fund Data'!$C:$C = $C1697, 'Fund Data"&amp;"'!$A:$A = $A1697 - 1, 'Fund Data'!$B:$B &lt;= 3)) * 'Parameters and Distribution Sum'!$B$4,0))),0)"),0.0)</f>
        <v>0</v>
      </c>
      <c r="AB1697" s="44">
        <f t="shared" si="141"/>
        <v>0</v>
      </c>
      <c r="AC1697" s="44">
        <f t="shared" si="142"/>
        <v>0</v>
      </c>
      <c r="AD1697" s="44">
        <f t="shared" si="7"/>
        <v>0</v>
      </c>
      <c r="AE1697" s="44"/>
    </row>
    <row r="1698">
      <c r="A1698" s="178"/>
      <c r="B1698" s="179"/>
      <c r="C1698" s="147"/>
      <c r="D1698" s="44"/>
      <c r="E1698" s="44"/>
      <c r="F1698" s="44"/>
      <c r="G1698" s="44"/>
      <c r="H1698" s="44"/>
      <c r="I1698" s="44"/>
      <c r="J1698" s="44"/>
      <c r="K1698" s="44"/>
      <c r="L1698" s="44"/>
      <c r="M1698" s="44"/>
      <c r="N1698" s="44"/>
      <c r="O1698" s="44"/>
      <c r="P1698" s="52">
        <f t="shared" si="23"/>
        <v>0</v>
      </c>
      <c r="Q1698" s="124">
        <f t="shared" si="2"/>
        <v>0</v>
      </c>
      <c r="R1698" s="52">
        <f t="array" ref="R1698">IFERROR(INDEX('Fund YTD Target Values'!$1:$1000, MATCH($C1698,'Fund YTD Target Values'!$A:$A,0), MATCH($A1698,'Fund YTD Target Values'!$1:$1,0)),0)</f>
        <v>0</v>
      </c>
      <c r="S1698" s="52">
        <f>IFERROR(__xludf.DUMMYFUNCTION("IFERROR(sum(FILTER('Fund Data'!$V:$V, 'Fund Data'!$C:$C = $C1698, 'Fund Data'!$A:$A &lt; $A1698)),0) + IFERROR(sum(FILTER('Fund Data'!$V:$V, 'Fund Data'!$C:$C = $C1698, 'Fund Data'!$A:$A = $A1698, 'Fund Data'!$B:$B &lt;= $B1698)),0)"),0.0)</f>
        <v>0</v>
      </c>
      <c r="T1698" s="44"/>
      <c r="U1698" s="44"/>
      <c r="V1698" s="44">
        <f t="shared" si="3"/>
        <v>0</v>
      </c>
      <c r="W1698" s="52">
        <f>IFERROR(__xludf.DUMMYFUNCTION("iFERROR((FILTER('Fund Data'!$Y:$Y, 'Fund Data'!$C:$C = $C1698, 'Fund Data'!$A:$A = $A1698 - 1, 'Fund Data'!$B:$B = 12) + FILTER('Fund Data'!$AA:$AA, 'Fund Data'!$C:$C = $C1698, 'Fund Data'!$A:$A = $A1698 - 1, 'Fund Data'!$B:$B = 12)) * (1 + AVERAGE(FILTER"&amp;"('Inflation Data'!$C:$C,'Inflation Data'!$A:$A = ($A1698 - 2)))) * 'Parameters and Distribution Sum'!$A$4,0)"),0.0)</f>
        <v>0</v>
      </c>
      <c r="X1698" s="52">
        <f>IFERROR(__xludf.DUMMYFUNCTION("IFERROR((IFERROR(FILTER('Fund Data'!$P:$P,'Fund Data'!$C:$C = $C1698,'Fund Data'!$A:$A = ($A1698 - 2), 'Fund Data'!$B:$B = 12),0) - SUM(FILTER('Fund Data'!$V:$V, 'Fund Data'!$C:$C = $C1698, 'Fund Data'!$A:$A = ($A1698 - 2), 'Fund Data'!$B:$B &gt; 3)))  * 'Pa"&amp;"rameters and Distribution Sum'!$B$4 * (1 - 'Parameters and Distribution Sum'!$A$4),0)"),0.0)</f>
        <v>0</v>
      </c>
      <c r="Y1698" s="52">
        <f t="shared" si="140"/>
        <v>0</v>
      </c>
      <c r="Z1698" s="52">
        <f>IFERROR(__xludf.DUMMYFUNCTION("((IFERROR((SUM(FILTER('Fund Data'!$V:$V, 'Fund Data'!$C:$C = $C1698, 'Fund Data'!$A:$A = $A1698 - 1, 'Fund Data'!$B:$B &gt;= 4, 'Fund Data'!$B:$B &lt;= ($B1698 + 5))) / 12) * ($B1698 - 3) * 'Parameters and Distribution Sum'!$B$4, 0) + IF($B1698 &gt;= 9, IFERROR(SU"&amp;"M(FILTER('Fund Data'!$V:$V, 'Fund Data'!$C:$C = $C1698, 'Fund Data'!$A:$A = $A1698, 'Fund Data'!$B:$B &lt;= 3)) * 'Parameters and Distribution Sum'!$B$4, 0),0)))"),0.0)</f>
        <v>0</v>
      </c>
      <c r="AA1698" s="44">
        <f>IFERROR(__xludf.DUMMYFUNCTION("IFERROR(((IFERROR(SUM(FILTER('Fund Data'!$V:$V, 'Fund Data'!$C:$C = $C1698, 'Fund Data'!$A:$A = $A1698 - 2, 'Fund Data'!$B:$B &gt;= 4)) * 'Parameters and Distribution Sum'!$B$4,0) + IFERROR(SUM(FILTER('Fund Data'!$V:$V, 'Fund Data'!$C:$C = $C1698, 'Fund Data"&amp;"'!$A:$A = $A1698 - 1, 'Fund Data'!$B:$B &lt;= 3)) * 'Parameters and Distribution Sum'!$B$4,0))),0)"),0.0)</f>
        <v>0</v>
      </c>
      <c r="AB1698" s="44">
        <f t="shared" si="141"/>
        <v>0</v>
      </c>
      <c r="AC1698" s="44">
        <f t="shared" si="142"/>
        <v>0</v>
      </c>
      <c r="AD1698" s="44">
        <f t="shared" si="7"/>
        <v>0</v>
      </c>
      <c r="AE1698" s="44"/>
    </row>
    <row r="1699">
      <c r="A1699" s="178"/>
      <c r="B1699" s="179"/>
      <c r="C1699" s="147"/>
      <c r="D1699" s="44"/>
      <c r="E1699" s="44"/>
      <c r="F1699" s="44"/>
      <c r="G1699" s="44"/>
      <c r="H1699" s="44"/>
      <c r="I1699" s="44"/>
      <c r="J1699" s="44"/>
      <c r="K1699" s="44"/>
      <c r="L1699" s="44"/>
      <c r="M1699" s="44"/>
      <c r="N1699" s="44"/>
      <c r="O1699" s="44"/>
      <c r="P1699" s="52">
        <f t="shared" si="23"/>
        <v>0</v>
      </c>
      <c r="Q1699" s="124">
        <f t="shared" si="2"/>
        <v>0</v>
      </c>
      <c r="R1699" s="52">
        <f t="array" ref="R1699">IFERROR(INDEX('Fund YTD Target Values'!$1:$1000, MATCH($C1699,'Fund YTD Target Values'!$A:$A,0), MATCH($A1699,'Fund YTD Target Values'!$1:$1,0)),0)</f>
        <v>0</v>
      </c>
      <c r="S1699" s="52">
        <f>IFERROR(__xludf.DUMMYFUNCTION("IFERROR(sum(FILTER('Fund Data'!$V:$V, 'Fund Data'!$C:$C = $C1699, 'Fund Data'!$A:$A &lt; $A1699)),0) + IFERROR(sum(FILTER('Fund Data'!$V:$V, 'Fund Data'!$C:$C = $C1699, 'Fund Data'!$A:$A = $A1699, 'Fund Data'!$B:$B &lt;= $B1699)),0)"),0.0)</f>
        <v>0</v>
      </c>
      <c r="T1699" s="44"/>
      <c r="U1699" s="44"/>
      <c r="V1699" s="44">
        <f t="shared" si="3"/>
        <v>0</v>
      </c>
      <c r="W1699" s="52">
        <f>IFERROR(__xludf.DUMMYFUNCTION("iFERROR((FILTER('Fund Data'!$Y:$Y, 'Fund Data'!$C:$C = $C1699, 'Fund Data'!$A:$A = $A1699 - 1, 'Fund Data'!$B:$B = 12) + FILTER('Fund Data'!$AA:$AA, 'Fund Data'!$C:$C = $C1699, 'Fund Data'!$A:$A = $A1699 - 1, 'Fund Data'!$B:$B = 12)) * (1 + AVERAGE(FILTER"&amp;"('Inflation Data'!$C:$C,'Inflation Data'!$A:$A = ($A1699 - 2)))) * 'Parameters and Distribution Sum'!$A$4,0)"),0.0)</f>
        <v>0</v>
      </c>
      <c r="X1699" s="52">
        <f>IFERROR(__xludf.DUMMYFUNCTION("IFERROR((IFERROR(FILTER('Fund Data'!$P:$P,'Fund Data'!$C:$C = $C1699,'Fund Data'!$A:$A = ($A1699 - 2), 'Fund Data'!$B:$B = 12),0) - SUM(FILTER('Fund Data'!$V:$V, 'Fund Data'!$C:$C = $C1699, 'Fund Data'!$A:$A = ($A1699 - 2), 'Fund Data'!$B:$B &gt; 3)))  * 'Pa"&amp;"rameters and Distribution Sum'!$B$4 * (1 - 'Parameters and Distribution Sum'!$A$4),0)"),0.0)</f>
        <v>0</v>
      </c>
      <c r="Y1699" s="52">
        <f t="shared" si="140"/>
        <v>0</v>
      </c>
      <c r="Z1699" s="52">
        <f>IFERROR(__xludf.DUMMYFUNCTION("((IFERROR((SUM(FILTER('Fund Data'!$V:$V, 'Fund Data'!$C:$C = $C1699, 'Fund Data'!$A:$A = $A1699 - 1, 'Fund Data'!$B:$B &gt;= 4, 'Fund Data'!$B:$B &lt;= ($B1699 + 5))) / 12) * ($B1699 - 3) * 'Parameters and Distribution Sum'!$B$4, 0) + IF($B1699 &gt;= 9, IFERROR(SU"&amp;"M(FILTER('Fund Data'!$V:$V, 'Fund Data'!$C:$C = $C1699, 'Fund Data'!$A:$A = $A1699, 'Fund Data'!$B:$B &lt;= 3)) * 'Parameters and Distribution Sum'!$B$4, 0),0)))"),0.0)</f>
        <v>0</v>
      </c>
      <c r="AA1699" s="44">
        <f>IFERROR(__xludf.DUMMYFUNCTION("IFERROR(((IFERROR(SUM(FILTER('Fund Data'!$V:$V, 'Fund Data'!$C:$C = $C1699, 'Fund Data'!$A:$A = $A1699 - 2, 'Fund Data'!$B:$B &gt;= 4)) * 'Parameters and Distribution Sum'!$B$4,0) + IFERROR(SUM(FILTER('Fund Data'!$V:$V, 'Fund Data'!$C:$C = $C1699, 'Fund Data"&amp;"'!$A:$A = $A1699 - 1, 'Fund Data'!$B:$B &lt;= 3)) * 'Parameters and Distribution Sum'!$B$4,0))),0)"),0.0)</f>
        <v>0</v>
      </c>
      <c r="AB1699" s="44">
        <f t="shared" si="141"/>
        <v>0</v>
      </c>
      <c r="AC1699" s="44">
        <f t="shared" si="142"/>
        <v>0</v>
      </c>
      <c r="AD1699" s="44">
        <f t="shared" si="7"/>
        <v>0</v>
      </c>
      <c r="AE1699" s="44"/>
    </row>
    <row r="1700">
      <c r="A1700" s="178"/>
      <c r="B1700" s="179"/>
      <c r="C1700" s="147"/>
      <c r="D1700" s="44"/>
      <c r="E1700" s="44"/>
      <c r="F1700" s="44"/>
      <c r="G1700" s="44"/>
      <c r="H1700" s="44"/>
      <c r="I1700" s="44"/>
      <c r="J1700" s="44"/>
      <c r="K1700" s="44"/>
      <c r="L1700" s="44"/>
      <c r="M1700" s="44"/>
      <c r="N1700" s="44"/>
      <c r="O1700" s="44"/>
      <c r="P1700" s="52">
        <f t="shared" si="23"/>
        <v>0</v>
      </c>
      <c r="Q1700" s="124">
        <f t="shared" si="2"/>
        <v>0</v>
      </c>
      <c r="R1700" s="52">
        <f t="array" ref="R1700">IFERROR(INDEX('Fund YTD Target Values'!$1:$1000, MATCH($C1700,'Fund YTD Target Values'!$A:$A,0), MATCH($A1700,'Fund YTD Target Values'!$1:$1,0)),0)</f>
        <v>0</v>
      </c>
      <c r="S1700" s="52">
        <f>IFERROR(__xludf.DUMMYFUNCTION("IFERROR(sum(FILTER('Fund Data'!$V:$V, 'Fund Data'!$C:$C = $C1700, 'Fund Data'!$A:$A &lt; $A1700)),0) + IFERROR(sum(FILTER('Fund Data'!$V:$V, 'Fund Data'!$C:$C = $C1700, 'Fund Data'!$A:$A = $A1700, 'Fund Data'!$B:$B &lt;= $B1700)),0)"),0.0)</f>
        <v>0</v>
      </c>
      <c r="T1700" s="44"/>
      <c r="U1700" s="44"/>
      <c r="V1700" s="44">
        <f t="shared" si="3"/>
        <v>0</v>
      </c>
      <c r="W1700" s="52">
        <f>IFERROR(__xludf.DUMMYFUNCTION("iFERROR((FILTER('Fund Data'!$Y:$Y, 'Fund Data'!$C:$C = $C1700, 'Fund Data'!$A:$A = $A1700 - 1, 'Fund Data'!$B:$B = 12) + FILTER('Fund Data'!$AA:$AA, 'Fund Data'!$C:$C = $C1700, 'Fund Data'!$A:$A = $A1700 - 1, 'Fund Data'!$B:$B = 12)) * (1 + AVERAGE(FILTER"&amp;"('Inflation Data'!$C:$C,'Inflation Data'!$A:$A = ($A1700 - 2)))) * 'Parameters and Distribution Sum'!$A$4,0)"),0.0)</f>
        <v>0</v>
      </c>
      <c r="X1700" s="52">
        <f>IFERROR(__xludf.DUMMYFUNCTION("IFERROR((IFERROR(FILTER('Fund Data'!$P:$P,'Fund Data'!$C:$C = $C1700,'Fund Data'!$A:$A = ($A1700 - 2), 'Fund Data'!$B:$B = 12),0) - SUM(FILTER('Fund Data'!$V:$V, 'Fund Data'!$C:$C = $C1700, 'Fund Data'!$A:$A = ($A1700 - 2), 'Fund Data'!$B:$B &gt; 3)))  * 'Pa"&amp;"rameters and Distribution Sum'!$B$4 * (1 - 'Parameters and Distribution Sum'!$A$4),0)"),0.0)</f>
        <v>0</v>
      </c>
      <c r="Y1700" s="52">
        <f t="shared" si="140"/>
        <v>0</v>
      </c>
      <c r="Z1700" s="52">
        <f>IFERROR(__xludf.DUMMYFUNCTION("((IFERROR((SUM(FILTER('Fund Data'!$V:$V, 'Fund Data'!$C:$C = $C1700, 'Fund Data'!$A:$A = $A1700 - 1, 'Fund Data'!$B:$B &gt;= 4, 'Fund Data'!$B:$B &lt;= ($B1700 + 5))) / 12) * ($B1700 - 3) * 'Parameters and Distribution Sum'!$B$4, 0) + IF($B1700 &gt;= 9, IFERROR(SU"&amp;"M(FILTER('Fund Data'!$V:$V, 'Fund Data'!$C:$C = $C1700, 'Fund Data'!$A:$A = $A1700, 'Fund Data'!$B:$B &lt;= 3)) * 'Parameters and Distribution Sum'!$B$4, 0),0)))"),0.0)</f>
        <v>0</v>
      </c>
      <c r="AA1700" s="44">
        <f>IFERROR(__xludf.DUMMYFUNCTION("IFERROR(((IFERROR(SUM(FILTER('Fund Data'!$V:$V, 'Fund Data'!$C:$C = $C1700, 'Fund Data'!$A:$A = $A1700 - 2, 'Fund Data'!$B:$B &gt;= 4)) * 'Parameters and Distribution Sum'!$B$4,0) + IFERROR(SUM(FILTER('Fund Data'!$V:$V, 'Fund Data'!$C:$C = $C1700, 'Fund Data"&amp;"'!$A:$A = $A1700 - 1, 'Fund Data'!$B:$B &lt;= 3)) * 'Parameters and Distribution Sum'!$B$4,0))),0)"),0.0)</f>
        <v>0</v>
      </c>
      <c r="AB1700" s="44">
        <f t="shared" si="141"/>
        <v>0</v>
      </c>
      <c r="AC1700" s="44">
        <f t="shared" si="142"/>
        <v>0</v>
      </c>
      <c r="AD1700" s="44">
        <f t="shared" si="7"/>
        <v>0</v>
      </c>
      <c r="AE1700" s="44"/>
    </row>
    <row r="1701">
      <c r="A1701" s="178"/>
      <c r="B1701" s="179"/>
      <c r="C1701" s="147"/>
      <c r="D1701" s="44"/>
      <c r="E1701" s="44"/>
      <c r="F1701" s="44"/>
      <c r="G1701" s="44"/>
      <c r="H1701" s="44"/>
      <c r="I1701" s="44"/>
      <c r="J1701" s="44"/>
      <c r="K1701" s="44"/>
      <c r="L1701" s="44"/>
      <c r="M1701" s="44"/>
      <c r="N1701" s="44"/>
      <c r="O1701" s="44"/>
      <c r="P1701" s="52">
        <f t="shared" si="23"/>
        <v>0</v>
      </c>
      <c r="Q1701" s="124">
        <f t="shared" si="2"/>
        <v>0</v>
      </c>
      <c r="R1701" s="52">
        <f t="array" ref="R1701">IFERROR(INDEX('Fund YTD Target Values'!$1:$1000, MATCH($C1701,'Fund YTD Target Values'!$A:$A,0), MATCH($A1701,'Fund YTD Target Values'!$1:$1,0)),0)</f>
        <v>0</v>
      </c>
      <c r="S1701" s="52">
        <f>IFERROR(__xludf.DUMMYFUNCTION("IFERROR(sum(FILTER('Fund Data'!$V:$V, 'Fund Data'!$C:$C = $C1701, 'Fund Data'!$A:$A &lt; $A1701)),0) + IFERROR(sum(FILTER('Fund Data'!$V:$V, 'Fund Data'!$C:$C = $C1701, 'Fund Data'!$A:$A = $A1701, 'Fund Data'!$B:$B &lt;= $B1701)),0)"),0.0)</f>
        <v>0</v>
      </c>
      <c r="T1701" s="44"/>
      <c r="U1701" s="44"/>
      <c r="V1701" s="44">
        <f t="shared" si="3"/>
        <v>0</v>
      </c>
      <c r="W1701" s="52">
        <f>IFERROR(__xludf.DUMMYFUNCTION("iFERROR((FILTER('Fund Data'!$Y:$Y, 'Fund Data'!$C:$C = $C1701, 'Fund Data'!$A:$A = $A1701 - 1, 'Fund Data'!$B:$B = 12) + FILTER('Fund Data'!$AA:$AA, 'Fund Data'!$C:$C = $C1701, 'Fund Data'!$A:$A = $A1701 - 1, 'Fund Data'!$B:$B = 12)) * (1 + AVERAGE(FILTER"&amp;"('Inflation Data'!$C:$C,'Inflation Data'!$A:$A = ($A1701 - 2)))) * 'Parameters and Distribution Sum'!$A$4,0)"),0.0)</f>
        <v>0</v>
      </c>
      <c r="X1701" s="52">
        <f>IFERROR(__xludf.DUMMYFUNCTION("IFERROR((IFERROR(FILTER('Fund Data'!$P:$P,'Fund Data'!$C:$C = $C1701,'Fund Data'!$A:$A = ($A1701 - 2), 'Fund Data'!$B:$B = 12),0) - SUM(FILTER('Fund Data'!$V:$V, 'Fund Data'!$C:$C = $C1701, 'Fund Data'!$A:$A = ($A1701 - 2), 'Fund Data'!$B:$B &gt; 3)))  * 'Pa"&amp;"rameters and Distribution Sum'!$B$4 * (1 - 'Parameters and Distribution Sum'!$A$4),0)"),0.0)</f>
        <v>0</v>
      </c>
      <c r="Y1701" s="52">
        <f t="shared" si="140"/>
        <v>0</v>
      </c>
      <c r="Z1701" s="52">
        <f>IFERROR(__xludf.DUMMYFUNCTION("((IFERROR((SUM(FILTER('Fund Data'!$V:$V, 'Fund Data'!$C:$C = $C1701, 'Fund Data'!$A:$A = $A1701 - 1, 'Fund Data'!$B:$B &gt;= 4, 'Fund Data'!$B:$B &lt;= ($B1701 + 5))) / 12) * ($B1701 - 3) * 'Parameters and Distribution Sum'!$B$4, 0) + IF($B1701 &gt;= 9, IFERROR(SU"&amp;"M(FILTER('Fund Data'!$V:$V, 'Fund Data'!$C:$C = $C1701, 'Fund Data'!$A:$A = $A1701, 'Fund Data'!$B:$B &lt;= 3)) * 'Parameters and Distribution Sum'!$B$4, 0),0)))"),0.0)</f>
        <v>0</v>
      </c>
      <c r="AA1701" s="44">
        <f>IFERROR(__xludf.DUMMYFUNCTION("IFERROR(((IFERROR(SUM(FILTER('Fund Data'!$V:$V, 'Fund Data'!$C:$C = $C1701, 'Fund Data'!$A:$A = $A1701 - 2, 'Fund Data'!$B:$B &gt;= 4)) * 'Parameters and Distribution Sum'!$B$4,0) + IFERROR(SUM(FILTER('Fund Data'!$V:$V, 'Fund Data'!$C:$C = $C1701, 'Fund Data"&amp;"'!$A:$A = $A1701 - 1, 'Fund Data'!$B:$B &lt;= 3)) * 'Parameters and Distribution Sum'!$B$4,0))),0)"),0.0)</f>
        <v>0</v>
      </c>
      <c r="AB1701" s="44">
        <f t="shared" si="141"/>
        <v>0</v>
      </c>
      <c r="AC1701" s="44">
        <f t="shared" si="142"/>
        <v>0</v>
      </c>
      <c r="AD1701" s="44">
        <f t="shared" si="7"/>
        <v>0</v>
      </c>
      <c r="AE1701" s="44"/>
    </row>
    <row r="1702">
      <c r="A1702" s="178"/>
      <c r="B1702" s="179"/>
      <c r="C1702" s="147"/>
      <c r="D1702" s="44"/>
      <c r="E1702" s="44"/>
      <c r="F1702" s="44"/>
      <c r="G1702" s="44"/>
      <c r="H1702" s="44"/>
      <c r="I1702" s="44"/>
      <c r="J1702" s="44"/>
      <c r="K1702" s="44"/>
      <c r="L1702" s="44"/>
      <c r="M1702" s="44"/>
      <c r="N1702" s="44"/>
      <c r="O1702" s="44"/>
      <c r="P1702" s="52">
        <f t="shared" si="23"/>
        <v>0</v>
      </c>
      <c r="Q1702" s="124">
        <f t="shared" si="2"/>
        <v>0</v>
      </c>
      <c r="R1702" s="52">
        <f t="array" ref="R1702">IFERROR(INDEX('Fund YTD Target Values'!$1:$1000, MATCH($C1702,'Fund YTD Target Values'!$A:$A,0), MATCH($A1702,'Fund YTD Target Values'!$1:$1,0)),0)</f>
        <v>0</v>
      </c>
      <c r="S1702" s="52">
        <f>IFERROR(__xludf.DUMMYFUNCTION("IFERROR(sum(FILTER('Fund Data'!$V:$V, 'Fund Data'!$C:$C = $C1702, 'Fund Data'!$A:$A &lt; $A1702)),0) + IFERROR(sum(FILTER('Fund Data'!$V:$V, 'Fund Data'!$C:$C = $C1702, 'Fund Data'!$A:$A = $A1702, 'Fund Data'!$B:$B &lt;= $B1702)),0)"),0.0)</f>
        <v>0</v>
      </c>
      <c r="T1702" s="44"/>
      <c r="U1702" s="44"/>
      <c r="V1702" s="44">
        <f t="shared" si="3"/>
        <v>0</v>
      </c>
      <c r="W1702" s="52">
        <f>IFERROR(__xludf.DUMMYFUNCTION("iFERROR((FILTER('Fund Data'!$Y:$Y, 'Fund Data'!$C:$C = $C1702, 'Fund Data'!$A:$A = $A1702 - 1, 'Fund Data'!$B:$B = 12) + FILTER('Fund Data'!$AA:$AA, 'Fund Data'!$C:$C = $C1702, 'Fund Data'!$A:$A = $A1702 - 1, 'Fund Data'!$B:$B = 12)) * (1 + AVERAGE(FILTER"&amp;"('Inflation Data'!$C:$C,'Inflation Data'!$A:$A = ($A1702 - 2)))) * 'Parameters and Distribution Sum'!$A$4,0)"),0.0)</f>
        <v>0</v>
      </c>
      <c r="X1702" s="52">
        <f>IFERROR(__xludf.DUMMYFUNCTION("IFERROR((IFERROR(FILTER('Fund Data'!$P:$P,'Fund Data'!$C:$C = $C1702,'Fund Data'!$A:$A = ($A1702 - 2), 'Fund Data'!$B:$B = 12),0) - SUM(FILTER('Fund Data'!$V:$V, 'Fund Data'!$C:$C = $C1702, 'Fund Data'!$A:$A = ($A1702 - 2), 'Fund Data'!$B:$B &gt; 3)))  * 'Pa"&amp;"rameters and Distribution Sum'!$B$4 * (1 - 'Parameters and Distribution Sum'!$A$4),0)"),0.0)</f>
        <v>0</v>
      </c>
      <c r="Y1702" s="52">
        <f t="shared" si="140"/>
        <v>0</v>
      </c>
      <c r="Z1702" s="52">
        <f>IFERROR(__xludf.DUMMYFUNCTION("((IFERROR((SUM(FILTER('Fund Data'!$V:$V, 'Fund Data'!$C:$C = $C1702, 'Fund Data'!$A:$A = $A1702 - 1, 'Fund Data'!$B:$B &gt;= 4, 'Fund Data'!$B:$B &lt;= ($B1702 + 5))) / 12) * ($B1702 - 3) * 'Parameters and Distribution Sum'!$B$4, 0) + IF($B1702 &gt;= 9, IFERROR(SU"&amp;"M(FILTER('Fund Data'!$V:$V, 'Fund Data'!$C:$C = $C1702, 'Fund Data'!$A:$A = $A1702, 'Fund Data'!$B:$B &lt;= 3)) * 'Parameters and Distribution Sum'!$B$4, 0),0)))"),0.0)</f>
        <v>0</v>
      </c>
      <c r="AA1702" s="44">
        <f>IFERROR(__xludf.DUMMYFUNCTION("IFERROR(((IFERROR(SUM(FILTER('Fund Data'!$V:$V, 'Fund Data'!$C:$C = $C1702, 'Fund Data'!$A:$A = $A1702 - 2, 'Fund Data'!$B:$B &gt;= 4)) * 'Parameters and Distribution Sum'!$B$4,0) + IFERROR(SUM(FILTER('Fund Data'!$V:$V, 'Fund Data'!$C:$C = $C1702, 'Fund Data"&amp;"'!$A:$A = $A1702 - 1, 'Fund Data'!$B:$B &lt;= 3)) * 'Parameters and Distribution Sum'!$B$4,0))),0)"),0.0)</f>
        <v>0</v>
      </c>
      <c r="AB1702" s="44">
        <f t="shared" si="141"/>
        <v>0</v>
      </c>
      <c r="AC1702" s="44">
        <f t="shared" si="142"/>
        <v>0</v>
      </c>
      <c r="AD1702" s="44">
        <f t="shared" si="7"/>
        <v>0</v>
      </c>
      <c r="AE1702" s="44"/>
    </row>
    <row r="1703">
      <c r="A1703" s="178"/>
      <c r="B1703" s="179"/>
      <c r="C1703" s="147"/>
      <c r="D1703" s="44"/>
      <c r="E1703" s="44"/>
      <c r="F1703" s="44"/>
      <c r="G1703" s="44"/>
      <c r="H1703" s="44"/>
      <c r="I1703" s="44"/>
      <c r="J1703" s="44"/>
      <c r="K1703" s="44"/>
      <c r="L1703" s="44"/>
      <c r="M1703" s="44"/>
      <c r="N1703" s="44"/>
      <c r="O1703" s="44"/>
      <c r="P1703" s="52">
        <f t="shared" si="23"/>
        <v>0</v>
      </c>
      <c r="Q1703" s="124">
        <f t="shared" si="2"/>
        <v>0</v>
      </c>
      <c r="R1703" s="52">
        <f t="array" ref="R1703">IFERROR(INDEX('Fund YTD Target Values'!$1:$1000, MATCH($C1703,'Fund YTD Target Values'!$A:$A,0), MATCH($A1703,'Fund YTD Target Values'!$1:$1,0)),0)</f>
        <v>0</v>
      </c>
      <c r="S1703" s="52">
        <f>IFERROR(__xludf.DUMMYFUNCTION("IFERROR(sum(FILTER('Fund Data'!$V:$V, 'Fund Data'!$C:$C = $C1703, 'Fund Data'!$A:$A &lt; $A1703)),0) + IFERROR(sum(FILTER('Fund Data'!$V:$V, 'Fund Data'!$C:$C = $C1703, 'Fund Data'!$A:$A = $A1703, 'Fund Data'!$B:$B &lt;= $B1703)),0)"),0.0)</f>
        <v>0</v>
      </c>
      <c r="T1703" s="44"/>
      <c r="U1703" s="44"/>
      <c r="V1703" s="44">
        <f t="shared" si="3"/>
        <v>0</v>
      </c>
      <c r="W1703" s="52">
        <f>IFERROR(__xludf.DUMMYFUNCTION("iFERROR((FILTER('Fund Data'!$Y:$Y, 'Fund Data'!$C:$C = $C1703, 'Fund Data'!$A:$A = $A1703 - 1, 'Fund Data'!$B:$B = 12) + FILTER('Fund Data'!$AA:$AA, 'Fund Data'!$C:$C = $C1703, 'Fund Data'!$A:$A = $A1703 - 1, 'Fund Data'!$B:$B = 12)) * (1 + AVERAGE(FILTER"&amp;"('Inflation Data'!$C:$C,'Inflation Data'!$A:$A = ($A1703 - 2)))) * 'Parameters and Distribution Sum'!$A$4,0)"),0.0)</f>
        <v>0</v>
      </c>
      <c r="X1703" s="52">
        <f>IFERROR(__xludf.DUMMYFUNCTION("IFERROR((IFERROR(FILTER('Fund Data'!$P:$P,'Fund Data'!$C:$C = $C1703,'Fund Data'!$A:$A = ($A1703 - 2), 'Fund Data'!$B:$B = 12),0) - SUM(FILTER('Fund Data'!$V:$V, 'Fund Data'!$C:$C = $C1703, 'Fund Data'!$A:$A = ($A1703 - 2), 'Fund Data'!$B:$B &gt; 3)))  * 'Pa"&amp;"rameters and Distribution Sum'!$B$4 * (1 - 'Parameters and Distribution Sum'!$A$4),0)"),0.0)</f>
        <v>0</v>
      </c>
      <c r="Y1703" s="52">
        <f t="shared" si="140"/>
        <v>0</v>
      </c>
      <c r="Z1703" s="52">
        <f>IFERROR(__xludf.DUMMYFUNCTION("((IFERROR((SUM(FILTER('Fund Data'!$V:$V, 'Fund Data'!$C:$C = $C1703, 'Fund Data'!$A:$A = $A1703 - 1, 'Fund Data'!$B:$B &gt;= 4, 'Fund Data'!$B:$B &lt;= ($B1703 + 5))) / 12) * ($B1703 - 3) * 'Parameters and Distribution Sum'!$B$4, 0) + IF($B1703 &gt;= 9, IFERROR(SU"&amp;"M(FILTER('Fund Data'!$V:$V, 'Fund Data'!$C:$C = $C1703, 'Fund Data'!$A:$A = $A1703, 'Fund Data'!$B:$B &lt;= 3)) * 'Parameters and Distribution Sum'!$B$4, 0),0)))"),0.0)</f>
        <v>0</v>
      </c>
      <c r="AA1703" s="44">
        <f>IFERROR(__xludf.DUMMYFUNCTION("IFERROR(((IFERROR(SUM(FILTER('Fund Data'!$V:$V, 'Fund Data'!$C:$C = $C1703, 'Fund Data'!$A:$A = $A1703 - 2, 'Fund Data'!$B:$B &gt;= 4)) * 'Parameters and Distribution Sum'!$B$4,0) + IFERROR(SUM(FILTER('Fund Data'!$V:$V, 'Fund Data'!$C:$C = $C1703, 'Fund Data"&amp;"'!$A:$A = $A1703 - 1, 'Fund Data'!$B:$B &lt;= 3)) * 'Parameters and Distribution Sum'!$B$4,0))),0)"),0.0)</f>
        <v>0</v>
      </c>
      <c r="AB1703" s="44">
        <f t="shared" si="141"/>
        <v>0</v>
      </c>
      <c r="AC1703" s="44">
        <f t="shared" si="142"/>
        <v>0</v>
      </c>
      <c r="AD1703" s="44">
        <f t="shared" si="7"/>
        <v>0</v>
      </c>
      <c r="AE1703" s="44"/>
    </row>
    <row r="1704">
      <c r="A1704" s="178"/>
      <c r="B1704" s="179"/>
      <c r="C1704" s="147"/>
      <c r="D1704" s="44"/>
      <c r="E1704" s="44"/>
      <c r="F1704" s="44"/>
      <c r="G1704" s="44"/>
      <c r="H1704" s="44"/>
      <c r="I1704" s="44"/>
      <c r="J1704" s="44"/>
      <c r="K1704" s="44"/>
      <c r="L1704" s="44"/>
      <c r="M1704" s="44"/>
      <c r="N1704" s="44"/>
      <c r="O1704" s="44"/>
      <c r="P1704" s="52">
        <f t="shared" si="23"/>
        <v>0</v>
      </c>
      <c r="Q1704" s="124">
        <f t="shared" si="2"/>
        <v>0</v>
      </c>
      <c r="R1704" s="52">
        <f t="array" ref="R1704">IFERROR(INDEX('Fund YTD Target Values'!$1:$1000, MATCH($C1704,'Fund YTD Target Values'!$A:$A,0), MATCH($A1704,'Fund YTD Target Values'!$1:$1,0)),0)</f>
        <v>0</v>
      </c>
      <c r="S1704" s="52">
        <f>IFERROR(__xludf.DUMMYFUNCTION("IFERROR(sum(FILTER('Fund Data'!$V:$V, 'Fund Data'!$C:$C = $C1704, 'Fund Data'!$A:$A &lt; $A1704)),0) + IFERROR(sum(FILTER('Fund Data'!$V:$V, 'Fund Data'!$C:$C = $C1704, 'Fund Data'!$A:$A = $A1704, 'Fund Data'!$B:$B &lt;= $B1704)),0)"),0.0)</f>
        <v>0</v>
      </c>
      <c r="T1704" s="44"/>
      <c r="U1704" s="44"/>
      <c r="V1704" s="44">
        <f t="shared" si="3"/>
        <v>0</v>
      </c>
      <c r="W1704" s="52">
        <f>IFERROR(__xludf.DUMMYFUNCTION("iFERROR((FILTER('Fund Data'!$Y:$Y, 'Fund Data'!$C:$C = $C1704, 'Fund Data'!$A:$A = $A1704 - 1, 'Fund Data'!$B:$B = 12) + FILTER('Fund Data'!$AA:$AA, 'Fund Data'!$C:$C = $C1704, 'Fund Data'!$A:$A = $A1704 - 1, 'Fund Data'!$B:$B = 12)) * (1 + AVERAGE(FILTER"&amp;"('Inflation Data'!$C:$C,'Inflation Data'!$A:$A = ($A1704 - 2)))) * 'Parameters and Distribution Sum'!$A$4,0)"),0.0)</f>
        <v>0</v>
      </c>
      <c r="X1704" s="52">
        <f>IFERROR(__xludf.DUMMYFUNCTION("IFERROR((IFERROR(FILTER('Fund Data'!$P:$P,'Fund Data'!$C:$C = $C1704,'Fund Data'!$A:$A = ($A1704 - 2), 'Fund Data'!$B:$B = 12),0) - SUM(FILTER('Fund Data'!$V:$V, 'Fund Data'!$C:$C = $C1704, 'Fund Data'!$A:$A = ($A1704 - 2), 'Fund Data'!$B:$B &gt; 3)))  * 'Pa"&amp;"rameters and Distribution Sum'!$B$4 * (1 - 'Parameters and Distribution Sum'!$A$4),0)"),0.0)</f>
        <v>0</v>
      </c>
      <c r="Y1704" s="52">
        <f t="shared" si="140"/>
        <v>0</v>
      </c>
      <c r="Z1704" s="52">
        <f>IFERROR(__xludf.DUMMYFUNCTION("((IFERROR((SUM(FILTER('Fund Data'!$V:$V, 'Fund Data'!$C:$C = $C1704, 'Fund Data'!$A:$A = $A1704 - 1, 'Fund Data'!$B:$B &gt;= 4, 'Fund Data'!$B:$B &lt;= ($B1704 + 5))) / 12) * ($B1704 - 3) * 'Parameters and Distribution Sum'!$B$4, 0) + IF($B1704 &gt;= 9, IFERROR(SU"&amp;"M(FILTER('Fund Data'!$V:$V, 'Fund Data'!$C:$C = $C1704, 'Fund Data'!$A:$A = $A1704, 'Fund Data'!$B:$B &lt;= 3)) * 'Parameters and Distribution Sum'!$B$4, 0),0)))"),0.0)</f>
        <v>0</v>
      </c>
      <c r="AA1704" s="44">
        <f>IFERROR(__xludf.DUMMYFUNCTION("IFERROR(((IFERROR(SUM(FILTER('Fund Data'!$V:$V, 'Fund Data'!$C:$C = $C1704, 'Fund Data'!$A:$A = $A1704 - 2, 'Fund Data'!$B:$B &gt;= 4)) * 'Parameters and Distribution Sum'!$B$4,0) + IFERROR(SUM(FILTER('Fund Data'!$V:$V, 'Fund Data'!$C:$C = $C1704, 'Fund Data"&amp;"'!$A:$A = $A1704 - 1, 'Fund Data'!$B:$B &lt;= 3)) * 'Parameters and Distribution Sum'!$B$4,0))),0)"),0.0)</f>
        <v>0</v>
      </c>
      <c r="AB1704" s="44">
        <f t="shared" si="141"/>
        <v>0</v>
      </c>
      <c r="AC1704" s="44">
        <f t="shared" si="142"/>
        <v>0</v>
      </c>
      <c r="AD1704" s="44">
        <f t="shared" si="7"/>
        <v>0</v>
      </c>
      <c r="AE1704" s="44"/>
    </row>
    <row r="1705">
      <c r="A1705" s="178"/>
      <c r="B1705" s="179"/>
      <c r="C1705" s="147"/>
      <c r="D1705" s="44"/>
      <c r="E1705" s="44"/>
      <c r="F1705" s="44"/>
      <c r="G1705" s="44"/>
      <c r="H1705" s="44"/>
      <c r="I1705" s="44"/>
      <c r="J1705" s="44"/>
      <c r="K1705" s="44"/>
      <c r="L1705" s="44"/>
      <c r="M1705" s="44"/>
      <c r="N1705" s="44"/>
      <c r="O1705" s="44"/>
      <c r="P1705" s="52">
        <f t="shared" si="23"/>
        <v>0</v>
      </c>
      <c r="Q1705" s="124">
        <f t="shared" si="2"/>
        <v>0</v>
      </c>
      <c r="R1705" s="52">
        <f t="array" ref="R1705">IFERROR(INDEX('Fund YTD Target Values'!$1:$1000, MATCH($C1705,'Fund YTD Target Values'!$A:$A,0), MATCH($A1705,'Fund YTD Target Values'!$1:$1,0)),0)</f>
        <v>0</v>
      </c>
      <c r="S1705" s="52">
        <f>IFERROR(__xludf.DUMMYFUNCTION("IFERROR(sum(FILTER('Fund Data'!$V:$V, 'Fund Data'!$C:$C = $C1705, 'Fund Data'!$A:$A &lt; $A1705)),0) + IFERROR(sum(FILTER('Fund Data'!$V:$V, 'Fund Data'!$C:$C = $C1705, 'Fund Data'!$A:$A = $A1705, 'Fund Data'!$B:$B &lt;= $B1705)),0)"),0.0)</f>
        <v>0</v>
      </c>
      <c r="T1705" s="44"/>
      <c r="U1705" s="44"/>
      <c r="V1705" s="44">
        <f t="shared" si="3"/>
        <v>0</v>
      </c>
      <c r="W1705" s="52">
        <f>IFERROR(__xludf.DUMMYFUNCTION("iFERROR((FILTER('Fund Data'!$Y:$Y, 'Fund Data'!$C:$C = $C1705, 'Fund Data'!$A:$A = $A1705 - 1, 'Fund Data'!$B:$B = 12) + FILTER('Fund Data'!$AA:$AA, 'Fund Data'!$C:$C = $C1705, 'Fund Data'!$A:$A = $A1705 - 1, 'Fund Data'!$B:$B = 12)) * (1 + AVERAGE(FILTER"&amp;"('Inflation Data'!$C:$C,'Inflation Data'!$A:$A = ($A1705 - 2)))) * 'Parameters and Distribution Sum'!$A$4,0)"),0.0)</f>
        <v>0</v>
      </c>
      <c r="X1705" s="52">
        <f>IFERROR(__xludf.DUMMYFUNCTION("IFERROR((IFERROR(FILTER('Fund Data'!$P:$P,'Fund Data'!$C:$C = $C1705,'Fund Data'!$A:$A = ($A1705 - 2), 'Fund Data'!$B:$B = 12),0) - SUM(FILTER('Fund Data'!$V:$V, 'Fund Data'!$C:$C = $C1705, 'Fund Data'!$A:$A = ($A1705 - 2), 'Fund Data'!$B:$B &gt; 3)))  * 'Pa"&amp;"rameters and Distribution Sum'!$B$4 * (1 - 'Parameters and Distribution Sum'!$A$4),0)"),0.0)</f>
        <v>0</v>
      </c>
      <c r="Y1705" s="52">
        <f t="shared" si="140"/>
        <v>0</v>
      </c>
      <c r="Z1705" s="52">
        <f>IFERROR(__xludf.DUMMYFUNCTION("((IFERROR((SUM(FILTER('Fund Data'!$V:$V, 'Fund Data'!$C:$C = $C1705, 'Fund Data'!$A:$A = $A1705 - 1, 'Fund Data'!$B:$B &gt;= 4, 'Fund Data'!$B:$B &lt;= ($B1705 + 5))) / 12) * ($B1705 - 3) * 'Parameters and Distribution Sum'!$B$4, 0) + IF($B1705 &gt;= 9, IFERROR(SU"&amp;"M(FILTER('Fund Data'!$V:$V, 'Fund Data'!$C:$C = $C1705, 'Fund Data'!$A:$A = $A1705, 'Fund Data'!$B:$B &lt;= 3)) * 'Parameters and Distribution Sum'!$B$4, 0),0)))"),0.0)</f>
        <v>0</v>
      </c>
      <c r="AA1705" s="44">
        <f>IFERROR(__xludf.DUMMYFUNCTION("IFERROR(((IFERROR(SUM(FILTER('Fund Data'!$V:$V, 'Fund Data'!$C:$C = $C1705, 'Fund Data'!$A:$A = $A1705 - 2, 'Fund Data'!$B:$B &gt;= 4)) * 'Parameters and Distribution Sum'!$B$4,0) + IFERROR(SUM(FILTER('Fund Data'!$V:$V, 'Fund Data'!$C:$C = $C1705, 'Fund Data"&amp;"'!$A:$A = $A1705 - 1, 'Fund Data'!$B:$B &lt;= 3)) * 'Parameters and Distribution Sum'!$B$4,0))),0)"),0.0)</f>
        <v>0</v>
      </c>
      <c r="AB1705" s="44">
        <f t="shared" si="141"/>
        <v>0</v>
      </c>
      <c r="AC1705" s="44">
        <f t="shared" si="142"/>
        <v>0</v>
      </c>
      <c r="AD1705" s="44">
        <f t="shared" si="7"/>
        <v>0</v>
      </c>
      <c r="AE1705" s="44"/>
    </row>
    <row r="1706">
      <c r="A1706" s="178"/>
      <c r="B1706" s="179"/>
      <c r="C1706" s="147"/>
      <c r="D1706" s="44"/>
      <c r="E1706" s="44"/>
      <c r="F1706" s="44"/>
      <c r="G1706" s="44"/>
      <c r="H1706" s="44"/>
      <c r="I1706" s="44"/>
      <c r="J1706" s="44"/>
      <c r="K1706" s="44"/>
      <c r="L1706" s="44"/>
      <c r="M1706" s="44"/>
      <c r="N1706" s="44"/>
      <c r="O1706" s="44"/>
      <c r="P1706" s="52">
        <f t="shared" si="23"/>
        <v>0</v>
      </c>
      <c r="Q1706" s="124">
        <f t="shared" si="2"/>
        <v>0</v>
      </c>
      <c r="R1706" s="52">
        <f t="array" ref="R1706">IFERROR(INDEX('Fund YTD Target Values'!$1:$1000, MATCH($C1706,'Fund YTD Target Values'!$A:$A,0), MATCH($A1706,'Fund YTD Target Values'!$1:$1,0)),0)</f>
        <v>0</v>
      </c>
      <c r="S1706" s="52">
        <f>IFERROR(__xludf.DUMMYFUNCTION("IFERROR(sum(FILTER('Fund Data'!$V:$V, 'Fund Data'!$C:$C = $C1706, 'Fund Data'!$A:$A &lt; $A1706)),0) + IFERROR(sum(FILTER('Fund Data'!$V:$V, 'Fund Data'!$C:$C = $C1706, 'Fund Data'!$A:$A = $A1706, 'Fund Data'!$B:$B &lt;= $B1706)),0)"),0.0)</f>
        <v>0</v>
      </c>
      <c r="T1706" s="44"/>
      <c r="U1706" s="44"/>
      <c r="V1706" s="44">
        <f t="shared" si="3"/>
        <v>0</v>
      </c>
      <c r="W1706" s="52">
        <f>IFERROR(__xludf.DUMMYFUNCTION("iFERROR((FILTER('Fund Data'!$Y:$Y, 'Fund Data'!$C:$C = $C1706, 'Fund Data'!$A:$A = $A1706 - 1, 'Fund Data'!$B:$B = 12) + FILTER('Fund Data'!$AA:$AA, 'Fund Data'!$C:$C = $C1706, 'Fund Data'!$A:$A = $A1706 - 1, 'Fund Data'!$B:$B = 12)) * (1 + AVERAGE(FILTER"&amp;"('Inflation Data'!$C:$C,'Inflation Data'!$A:$A = ($A1706 - 2)))) * 'Parameters and Distribution Sum'!$A$4,0)"),0.0)</f>
        <v>0</v>
      </c>
      <c r="X1706" s="52">
        <f>IFERROR(__xludf.DUMMYFUNCTION("IFERROR((IFERROR(FILTER('Fund Data'!$P:$P,'Fund Data'!$C:$C = $C1706,'Fund Data'!$A:$A = ($A1706 - 2), 'Fund Data'!$B:$B = 12),0) - SUM(FILTER('Fund Data'!$V:$V, 'Fund Data'!$C:$C = $C1706, 'Fund Data'!$A:$A = ($A1706 - 2), 'Fund Data'!$B:$B &gt; 3)))  * 'Pa"&amp;"rameters and Distribution Sum'!$B$4 * (1 - 'Parameters and Distribution Sum'!$A$4),0)"),0.0)</f>
        <v>0</v>
      </c>
      <c r="Y1706" s="52">
        <f t="shared" si="140"/>
        <v>0</v>
      </c>
      <c r="Z1706" s="52">
        <f>IFERROR(__xludf.DUMMYFUNCTION("((IFERROR((SUM(FILTER('Fund Data'!$V:$V, 'Fund Data'!$C:$C = $C1706, 'Fund Data'!$A:$A = $A1706 - 1, 'Fund Data'!$B:$B &gt;= 4, 'Fund Data'!$B:$B &lt;= ($B1706 + 5))) / 12) * ($B1706 - 3) * 'Parameters and Distribution Sum'!$B$4, 0) + IF($B1706 &gt;= 9, IFERROR(SU"&amp;"M(FILTER('Fund Data'!$V:$V, 'Fund Data'!$C:$C = $C1706, 'Fund Data'!$A:$A = $A1706, 'Fund Data'!$B:$B &lt;= 3)) * 'Parameters and Distribution Sum'!$B$4, 0),0)))"),0.0)</f>
        <v>0</v>
      </c>
      <c r="AA1706" s="44">
        <f>IFERROR(__xludf.DUMMYFUNCTION("IFERROR(((IFERROR(SUM(FILTER('Fund Data'!$V:$V, 'Fund Data'!$C:$C = $C1706, 'Fund Data'!$A:$A = $A1706 - 2, 'Fund Data'!$B:$B &gt;= 4)) * 'Parameters and Distribution Sum'!$B$4,0) + IFERROR(SUM(FILTER('Fund Data'!$V:$V, 'Fund Data'!$C:$C = $C1706, 'Fund Data"&amp;"'!$A:$A = $A1706 - 1, 'Fund Data'!$B:$B &lt;= 3)) * 'Parameters and Distribution Sum'!$B$4,0))),0)"),0.0)</f>
        <v>0</v>
      </c>
      <c r="AB1706" s="44">
        <f t="shared" si="141"/>
        <v>0</v>
      </c>
      <c r="AC1706" s="44">
        <f t="shared" si="142"/>
        <v>0</v>
      </c>
      <c r="AD1706" s="44">
        <f t="shared" si="7"/>
        <v>0</v>
      </c>
      <c r="AE1706" s="44"/>
    </row>
    <row r="1707">
      <c r="A1707" s="178"/>
      <c r="B1707" s="179"/>
      <c r="C1707" s="147"/>
      <c r="D1707" s="44"/>
      <c r="E1707" s="44"/>
      <c r="F1707" s="44"/>
      <c r="G1707" s="44"/>
      <c r="H1707" s="44"/>
      <c r="I1707" s="44"/>
      <c r="J1707" s="44"/>
      <c r="K1707" s="44"/>
      <c r="L1707" s="44"/>
      <c r="M1707" s="44"/>
      <c r="N1707" s="44"/>
      <c r="O1707" s="44"/>
      <c r="P1707" s="52">
        <f t="shared" si="23"/>
        <v>0</v>
      </c>
      <c r="Q1707" s="124">
        <f t="shared" si="2"/>
        <v>0</v>
      </c>
      <c r="R1707" s="52">
        <f t="array" ref="R1707">IFERROR(INDEX('Fund YTD Target Values'!$1:$1000, MATCH($C1707,'Fund YTD Target Values'!$A:$A,0), MATCH($A1707,'Fund YTD Target Values'!$1:$1,0)),0)</f>
        <v>0</v>
      </c>
      <c r="S1707" s="52">
        <f>IFERROR(__xludf.DUMMYFUNCTION("IFERROR(sum(FILTER('Fund Data'!$V:$V, 'Fund Data'!$C:$C = $C1707, 'Fund Data'!$A:$A &lt; $A1707)),0) + IFERROR(sum(FILTER('Fund Data'!$V:$V, 'Fund Data'!$C:$C = $C1707, 'Fund Data'!$A:$A = $A1707, 'Fund Data'!$B:$B &lt;= $B1707)),0)"),0.0)</f>
        <v>0</v>
      </c>
      <c r="T1707" s="44"/>
      <c r="U1707" s="44"/>
      <c r="V1707" s="44">
        <f t="shared" si="3"/>
        <v>0</v>
      </c>
      <c r="W1707" s="52">
        <f>IFERROR(__xludf.DUMMYFUNCTION("iFERROR((FILTER('Fund Data'!$Y:$Y, 'Fund Data'!$C:$C = $C1707, 'Fund Data'!$A:$A = $A1707 - 1, 'Fund Data'!$B:$B = 12) + FILTER('Fund Data'!$AA:$AA, 'Fund Data'!$C:$C = $C1707, 'Fund Data'!$A:$A = $A1707 - 1, 'Fund Data'!$B:$B = 12)) * (1 + AVERAGE(FILTER"&amp;"('Inflation Data'!$C:$C,'Inflation Data'!$A:$A = ($A1707 - 2)))) * 'Parameters and Distribution Sum'!$A$4,0)"),0.0)</f>
        <v>0</v>
      </c>
      <c r="X1707" s="52">
        <f>IFERROR(__xludf.DUMMYFUNCTION("IFERROR((IFERROR(FILTER('Fund Data'!$P:$P,'Fund Data'!$C:$C = $C1707,'Fund Data'!$A:$A = ($A1707 - 2), 'Fund Data'!$B:$B = 12),0) - SUM(FILTER('Fund Data'!$V:$V, 'Fund Data'!$C:$C = $C1707, 'Fund Data'!$A:$A = ($A1707 - 2), 'Fund Data'!$B:$B &gt; 3)))  * 'Pa"&amp;"rameters and Distribution Sum'!$B$4 * (1 - 'Parameters and Distribution Sum'!$A$4),0)"),0.0)</f>
        <v>0</v>
      </c>
      <c r="Y1707" s="52">
        <f t="shared" si="140"/>
        <v>0</v>
      </c>
      <c r="Z1707" s="52">
        <f>IFERROR(__xludf.DUMMYFUNCTION("((IFERROR((SUM(FILTER('Fund Data'!$V:$V, 'Fund Data'!$C:$C = $C1707, 'Fund Data'!$A:$A = $A1707 - 1, 'Fund Data'!$B:$B &gt;= 4, 'Fund Data'!$B:$B &lt;= ($B1707 + 5))) / 12) * ($B1707 - 3) * 'Parameters and Distribution Sum'!$B$4, 0) + IF($B1707 &gt;= 9, IFERROR(SU"&amp;"M(FILTER('Fund Data'!$V:$V, 'Fund Data'!$C:$C = $C1707, 'Fund Data'!$A:$A = $A1707, 'Fund Data'!$B:$B &lt;= 3)) * 'Parameters and Distribution Sum'!$B$4, 0),0)))"),0.0)</f>
        <v>0</v>
      </c>
      <c r="AA1707" s="44">
        <f>IFERROR(__xludf.DUMMYFUNCTION("IFERROR(((IFERROR(SUM(FILTER('Fund Data'!$V:$V, 'Fund Data'!$C:$C = $C1707, 'Fund Data'!$A:$A = $A1707 - 2, 'Fund Data'!$B:$B &gt;= 4)) * 'Parameters and Distribution Sum'!$B$4,0) + IFERROR(SUM(FILTER('Fund Data'!$V:$V, 'Fund Data'!$C:$C = $C1707, 'Fund Data"&amp;"'!$A:$A = $A1707 - 1, 'Fund Data'!$B:$B &lt;= 3)) * 'Parameters and Distribution Sum'!$B$4,0))),0)"),0.0)</f>
        <v>0</v>
      </c>
      <c r="AB1707" s="44">
        <f t="shared" si="141"/>
        <v>0</v>
      </c>
      <c r="AC1707" s="44">
        <f t="shared" si="142"/>
        <v>0</v>
      </c>
      <c r="AD1707" s="44">
        <f t="shared" si="7"/>
        <v>0</v>
      </c>
      <c r="AE1707" s="44"/>
    </row>
    <row r="1708">
      <c r="A1708" s="178"/>
      <c r="B1708" s="179"/>
      <c r="C1708" s="147"/>
      <c r="D1708" s="44"/>
      <c r="E1708" s="44"/>
      <c r="F1708" s="44"/>
      <c r="G1708" s="44"/>
      <c r="H1708" s="44"/>
      <c r="I1708" s="44"/>
      <c r="J1708" s="44"/>
      <c r="K1708" s="44"/>
      <c r="L1708" s="44"/>
      <c r="M1708" s="44"/>
      <c r="N1708" s="44"/>
      <c r="O1708" s="44"/>
      <c r="P1708" s="52">
        <f t="shared" si="23"/>
        <v>0</v>
      </c>
      <c r="Q1708" s="124">
        <f t="shared" si="2"/>
        <v>0</v>
      </c>
      <c r="R1708" s="52">
        <f t="array" ref="R1708">IFERROR(INDEX('Fund YTD Target Values'!$1:$1000, MATCH($C1708,'Fund YTD Target Values'!$A:$A,0), MATCH($A1708,'Fund YTD Target Values'!$1:$1,0)),0)</f>
        <v>0</v>
      </c>
      <c r="S1708" s="52">
        <f>IFERROR(__xludf.DUMMYFUNCTION("IFERROR(sum(FILTER('Fund Data'!$V:$V, 'Fund Data'!$C:$C = $C1708, 'Fund Data'!$A:$A &lt; $A1708)),0) + IFERROR(sum(FILTER('Fund Data'!$V:$V, 'Fund Data'!$C:$C = $C1708, 'Fund Data'!$A:$A = $A1708, 'Fund Data'!$B:$B &lt;= $B1708)),0)"),0.0)</f>
        <v>0</v>
      </c>
      <c r="T1708" s="44"/>
      <c r="U1708" s="44"/>
      <c r="V1708" s="44">
        <f t="shared" si="3"/>
        <v>0</v>
      </c>
      <c r="W1708" s="52">
        <f>IFERROR(__xludf.DUMMYFUNCTION("iFERROR((FILTER('Fund Data'!$Y:$Y, 'Fund Data'!$C:$C = $C1708, 'Fund Data'!$A:$A = $A1708 - 1, 'Fund Data'!$B:$B = 12) + FILTER('Fund Data'!$AA:$AA, 'Fund Data'!$C:$C = $C1708, 'Fund Data'!$A:$A = $A1708 - 1, 'Fund Data'!$B:$B = 12)) * (1 + AVERAGE(FILTER"&amp;"('Inflation Data'!$C:$C,'Inflation Data'!$A:$A = ($A1708 - 2)))) * 'Parameters and Distribution Sum'!$A$4,0)"),0.0)</f>
        <v>0</v>
      </c>
      <c r="X1708" s="52">
        <f>IFERROR(__xludf.DUMMYFUNCTION("IFERROR((IFERROR(FILTER('Fund Data'!$P:$P,'Fund Data'!$C:$C = $C1708,'Fund Data'!$A:$A = ($A1708 - 2), 'Fund Data'!$B:$B = 12),0) - SUM(FILTER('Fund Data'!$V:$V, 'Fund Data'!$C:$C = $C1708, 'Fund Data'!$A:$A = ($A1708 - 2), 'Fund Data'!$B:$B &gt; 3)))  * 'Pa"&amp;"rameters and Distribution Sum'!$B$4 * (1 - 'Parameters and Distribution Sum'!$A$4),0)"),0.0)</f>
        <v>0</v>
      </c>
      <c r="Y1708" s="52">
        <f t="shared" si="140"/>
        <v>0</v>
      </c>
      <c r="Z1708" s="52">
        <f>IFERROR(__xludf.DUMMYFUNCTION("((IFERROR((SUM(FILTER('Fund Data'!$V:$V, 'Fund Data'!$C:$C = $C1708, 'Fund Data'!$A:$A = $A1708 - 1, 'Fund Data'!$B:$B &gt;= 4, 'Fund Data'!$B:$B &lt;= ($B1708 + 5))) / 12) * ($B1708 - 3) * 'Parameters and Distribution Sum'!$B$4, 0) + IF($B1708 &gt;= 9, IFERROR(SU"&amp;"M(FILTER('Fund Data'!$V:$V, 'Fund Data'!$C:$C = $C1708, 'Fund Data'!$A:$A = $A1708, 'Fund Data'!$B:$B &lt;= 3)) * 'Parameters and Distribution Sum'!$B$4, 0),0)))"),0.0)</f>
        <v>0</v>
      </c>
      <c r="AA1708" s="44">
        <f>IFERROR(__xludf.DUMMYFUNCTION("IFERROR(((IFERROR(SUM(FILTER('Fund Data'!$V:$V, 'Fund Data'!$C:$C = $C1708, 'Fund Data'!$A:$A = $A1708 - 2, 'Fund Data'!$B:$B &gt;= 4)) * 'Parameters and Distribution Sum'!$B$4,0) + IFERROR(SUM(FILTER('Fund Data'!$V:$V, 'Fund Data'!$C:$C = $C1708, 'Fund Data"&amp;"'!$A:$A = $A1708 - 1, 'Fund Data'!$B:$B &lt;= 3)) * 'Parameters and Distribution Sum'!$B$4,0))),0)"),0.0)</f>
        <v>0</v>
      </c>
      <c r="AB1708" s="44">
        <f t="shared" si="141"/>
        <v>0</v>
      </c>
      <c r="AC1708" s="44">
        <f t="shared" si="142"/>
        <v>0</v>
      </c>
      <c r="AD1708" s="44">
        <f t="shared" si="7"/>
        <v>0</v>
      </c>
      <c r="AE1708" s="44"/>
    </row>
    <row r="1709">
      <c r="A1709" s="178"/>
      <c r="B1709" s="179"/>
      <c r="C1709" s="147"/>
      <c r="D1709" s="44"/>
      <c r="E1709" s="44"/>
      <c r="F1709" s="44"/>
      <c r="G1709" s="44"/>
      <c r="H1709" s="44"/>
      <c r="I1709" s="44"/>
      <c r="J1709" s="44"/>
      <c r="K1709" s="44"/>
      <c r="L1709" s="44"/>
      <c r="M1709" s="44"/>
      <c r="N1709" s="44"/>
      <c r="O1709" s="44"/>
      <c r="P1709" s="52">
        <f t="shared" si="23"/>
        <v>0</v>
      </c>
      <c r="Q1709" s="124">
        <f t="shared" si="2"/>
        <v>0</v>
      </c>
      <c r="R1709" s="52">
        <f t="array" ref="R1709">IFERROR(INDEX('Fund YTD Target Values'!$1:$1000, MATCH($C1709,'Fund YTD Target Values'!$A:$A,0), MATCH($A1709,'Fund YTD Target Values'!$1:$1,0)),0)</f>
        <v>0</v>
      </c>
      <c r="S1709" s="52">
        <f>IFERROR(__xludf.DUMMYFUNCTION("IFERROR(sum(FILTER('Fund Data'!$V:$V, 'Fund Data'!$C:$C = $C1709, 'Fund Data'!$A:$A &lt; $A1709)),0) + IFERROR(sum(FILTER('Fund Data'!$V:$V, 'Fund Data'!$C:$C = $C1709, 'Fund Data'!$A:$A = $A1709, 'Fund Data'!$B:$B &lt;= $B1709)),0)"),0.0)</f>
        <v>0</v>
      </c>
      <c r="T1709" s="44"/>
      <c r="U1709" s="44"/>
      <c r="V1709" s="44">
        <f t="shared" si="3"/>
        <v>0</v>
      </c>
      <c r="W1709" s="52">
        <f>IFERROR(__xludf.DUMMYFUNCTION("iFERROR((FILTER('Fund Data'!$Y:$Y, 'Fund Data'!$C:$C = $C1709, 'Fund Data'!$A:$A = $A1709 - 1, 'Fund Data'!$B:$B = 12) + FILTER('Fund Data'!$AA:$AA, 'Fund Data'!$C:$C = $C1709, 'Fund Data'!$A:$A = $A1709 - 1, 'Fund Data'!$B:$B = 12)) * (1 + AVERAGE(FILTER"&amp;"('Inflation Data'!$C:$C,'Inflation Data'!$A:$A = ($A1709 - 2)))) * 'Parameters and Distribution Sum'!$A$4,0)"),0.0)</f>
        <v>0</v>
      </c>
      <c r="X1709" s="52">
        <f>IFERROR(__xludf.DUMMYFUNCTION("IFERROR((IFERROR(FILTER('Fund Data'!$P:$P,'Fund Data'!$C:$C = $C1709,'Fund Data'!$A:$A = ($A1709 - 2), 'Fund Data'!$B:$B = 12),0) - SUM(FILTER('Fund Data'!$V:$V, 'Fund Data'!$C:$C = $C1709, 'Fund Data'!$A:$A = ($A1709 - 2), 'Fund Data'!$B:$B &gt; 3)))  * 'Pa"&amp;"rameters and Distribution Sum'!$B$4 * (1 - 'Parameters and Distribution Sum'!$A$4),0)"),0.0)</f>
        <v>0</v>
      </c>
      <c r="Y1709" s="52">
        <f t="shared" si="140"/>
        <v>0</v>
      </c>
      <c r="Z1709" s="52">
        <f>IFERROR(__xludf.DUMMYFUNCTION("((IFERROR((SUM(FILTER('Fund Data'!$V:$V, 'Fund Data'!$C:$C = $C1709, 'Fund Data'!$A:$A = $A1709 - 1, 'Fund Data'!$B:$B &gt;= 4, 'Fund Data'!$B:$B &lt;= ($B1709 + 5))) / 12) * ($B1709 - 3) * 'Parameters and Distribution Sum'!$B$4, 0) + IF($B1709 &gt;= 9, IFERROR(SU"&amp;"M(FILTER('Fund Data'!$V:$V, 'Fund Data'!$C:$C = $C1709, 'Fund Data'!$A:$A = $A1709, 'Fund Data'!$B:$B &lt;= 3)) * 'Parameters and Distribution Sum'!$B$4, 0),0)))"),0.0)</f>
        <v>0</v>
      </c>
      <c r="AA1709" s="44">
        <f>IFERROR(__xludf.DUMMYFUNCTION("IFERROR(((IFERROR(SUM(FILTER('Fund Data'!$V:$V, 'Fund Data'!$C:$C = $C1709, 'Fund Data'!$A:$A = $A1709 - 2, 'Fund Data'!$B:$B &gt;= 4)) * 'Parameters and Distribution Sum'!$B$4,0) + IFERROR(SUM(FILTER('Fund Data'!$V:$V, 'Fund Data'!$C:$C = $C1709, 'Fund Data"&amp;"'!$A:$A = $A1709 - 1, 'Fund Data'!$B:$B &lt;= 3)) * 'Parameters and Distribution Sum'!$B$4,0))),0)"),0.0)</f>
        <v>0</v>
      </c>
      <c r="AB1709" s="44">
        <f t="shared" si="141"/>
        <v>0</v>
      </c>
      <c r="AC1709" s="44">
        <f t="shared" si="142"/>
        <v>0</v>
      </c>
      <c r="AD1709" s="44">
        <f t="shared" si="7"/>
        <v>0</v>
      </c>
      <c r="AE1709" s="44"/>
    </row>
    <row r="1710">
      <c r="A1710" s="178"/>
      <c r="B1710" s="179"/>
      <c r="C1710" s="147"/>
      <c r="D1710" s="44"/>
      <c r="E1710" s="44"/>
      <c r="F1710" s="44"/>
      <c r="G1710" s="44"/>
      <c r="H1710" s="44"/>
      <c r="I1710" s="44"/>
      <c r="J1710" s="44"/>
      <c r="K1710" s="44"/>
      <c r="L1710" s="44"/>
      <c r="M1710" s="44"/>
      <c r="N1710" s="44"/>
      <c r="O1710" s="44"/>
      <c r="P1710" s="52">
        <f t="shared" si="23"/>
        <v>0</v>
      </c>
      <c r="Q1710" s="124">
        <f t="shared" si="2"/>
        <v>0</v>
      </c>
      <c r="R1710" s="52">
        <f t="array" ref="R1710">IFERROR(INDEX('Fund YTD Target Values'!$1:$1000, MATCH($C1710,'Fund YTD Target Values'!$A:$A,0), MATCH($A1710,'Fund YTD Target Values'!$1:$1,0)),0)</f>
        <v>0</v>
      </c>
      <c r="S1710" s="52">
        <f>IFERROR(__xludf.DUMMYFUNCTION("IFERROR(sum(FILTER('Fund Data'!$V:$V, 'Fund Data'!$C:$C = $C1710, 'Fund Data'!$A:$A &lt; $A1710)),0) + IFERROR(sum(FILTER('Fund Data'!$V:$V, 'Fund Data'!$C:$C = $C1710, 'Fund Data'!$A:$A = $A1710, 'Fund Data'!$B:$B &lt;= $B1710)),0)"),0.0)</f>
        <v>0</v>
      </c>
      <c r="T1710" s="44"/>
      <c r="U1710" s="44"/>
      <c r="V1710" s="44">
        <f t="shared" si="3"/>
        <v>0</v>
      </c>
      <c r="W1710" s="52">
        <f>IFERROR(__xludf.DUMMYFUNCTION("iFERROR((FILTER('Fund Data'!$Y:$Y, 'Fund Data'!$C:$C = $C1710, 'Fund Data'!$A:$A = $A1710 - 1, 'Fund Data'!$B:$B = 12) + FILTER('Fund Data'!$AA:$AA, 'Fund Data'!$C:$C = $C1710, 'Fund Data'!$A:$A = $A1710 - 1, 'Fund Data'!$B:$B = 12)) * (1 + AVERAGE(FILTER"&amp;"('Inflation Data'!$C:$C,'Inflation Data'!$A:$A = ($A1710 - 2)))) * 'Parameters and Distribution Sum'!$A$4,0)"),0.0)</f>
        <v>0</v>
      </c>
      <c r="X1710" s="52">
        <f>IFERROR(__xludf.DUMMYFUNCTION("IFERROR((IFERROR(FILTER('Fund Data'!$P:$P,'Fund Data'!$C:$C = $C1710,'Fund Data'!$A:$A = ($A1710 - 2), 'Fund Data'!$B:$B = 12),0) - SUM(FILTER('Fund Data'!$V:$V, 'Fund Data'!$C:$C = $C1710, 'Fund Data'!$A:$A = ($A1710 - 2), 'Fund Data'!$B:$B &gt; 3)))  * 'Pa"&amp;"rameters and Distribution Sum'!$B$4 * (1 - 'Parameters and Distribution Sum'!$A$4),0)"),0.0)</f>
        <v>0</v>
      </c>
      <c r="Y1710" s="52">
        <f t="shared" si="140"/>
        <v>0</v>
      </c>
      <c r="Z1710" s="52">
        <f>IFERROR(__xludf.DUMMYFUNCTION("((IFERROR((SUM(FILTER('Fund Data'!$V:$V, 'Fund Data'!$C:$C = $C1710, 'Fund Data'!$A:$A = $A1710 - 1, 'Fund Data'!$B:$B &gt;= 4, 'Fund Data'!$B:$B &lt;= ($B1710 + 5))) / 12) * ($B1710 - 3) * 'Parameters and Distribution Sum'!$B$4, 0) + IF($B1710 &gt;= 9, IFERROR(SU"&amp;"M(FILTER('Fund Data'!$V:$V, 'Fund Data'!$C:$C = $C1710, 'Fund Data'!$A:$A = $A1710, 'Fund Data'!$B:$B &lt;= 3)) * 'Parameters and Distribution Sum'!$B$4, 0),0)))"),0.0)</f>
        <v>0</v>
      </c>
      <c r="AA1710" s="44">
        <f>IFERROR(__xludf.DUMMYFUNCTION("IFERROR(((IFERROR(SUM(FILTER('Fund Data'!$V:$V, 'Fund Data'!$C:$C = $C1710, 'Fund Data'!$A:$A = $A1710 - 2, 'Fund Data'!$B:$B &gt;= 4)) * 'Parameters and Distribution Sum'!$B$4,0) + IFERROR(SUM(FILTER('Fund Data'!$V:$V, 'Fund Data'!$C:$C = $C1710, 'Fund Data"&amp;"'!$A:$A = $A1710 - 1, 'Fund Data'!$B:$B &lt;= 3)) * 'Parameters and Distribution Sum'!$B$4,0))),0)"),0.0)</f>
        <v>0</v>
      </c>
      <c r="AB1710" s="44">
        <f t="shared" si="141"/>
        <v>0</v>
      </c>
      <c r="AC1710" s="44">
        <f t="shared" si="142"/>
        <v>0</v>
      </c>
      <c r="AD1710" s="44">
        <f t="shared" si="7"/>
        <v>0</v>
      </c>
      <c r="AE1710" s="44"/>
    </row>
    <row r="1711">
      <c r="A1711" s="178"/>
      <c r="B1711" s="179"/>
      <c r="C1711" s="147"/>
      <c r="D1711" s="44"/>
      <c r="E1711" s="44"/>
      <c r="F1711" s="44"/>
      <c r="G1711" s="44"/>
      <c r="H1711" s="44"/>
      <c r="I1711" s="44"/>
      <c r="J1711" s="44"/>
      <c r="K1711" s="44"/>
      <c r="L1711" s="44"/>
      <c r="M1711" s="44"/>
      <c r="N1711" s="44"/>
      <c r="O1711" s="44"/>
      <c r="P1711" s="52">
        <f t="shared" si="23"/>
        <v>0</v>
      </c>
      <c r="Q1711" s="124">
        <f t="shared" si="2"/>
        <v>0</v>
      </c>
      <c r="R1711" s="52">
        <f t="array" ref="R1711">IFERROR(INDEX('Fund YTD Target Values'!$1:$1000, MATCH($C1711,'Fund YTD Target Values'!$A:$A,0), MATCH($A1711,'Fund YTD Target Values'!$1:$1,0)),0)</f>
        <v>0</v>
      </c>
      <c r="S1711" s="52">
        <f>IFERROR(__xludf.DUMMYFUNCTION("IFERROR(sum(FILTER('Fund Data'!$V:$V, 'Fund Data'!$C:$C = $C1711, 'Fund Data'!$A:$A &lt; $A1711)),0) + IFERROR(sum(FILTER('Fund Data'!$V:$V, 'Fund Data'!$C:$C = $C1711, 'Fund Data'!$A:$A = $A1711, 'Fund Data'!$B:$B &lt;= $B1711)),0)"),0.0)</f>
        <v>0</v>
      </c>
      <c r="T1711" s="44"/>
      <c r="U1711" s="44"/>
      <c r="V1711" s="44">
        <f t="shared" si="3"/>
        <v>0</v>
      </c>
      <c r="W1711" s="52">
        <f>IFERROR(__xludf.DUMMYFUNCTION("iFERROR((FILTER('Fund Data'!$Y:$Y, 'Fund Data'!$C:$C = $C1711, 'Fund Data'!$A:$A = $A1711 - 1, 'Fund Data'!$B:$B = 12) + FILTER('Fund Data'!$AA:$AA, 'Fund Data'!$C:$C = $C1711, 'Fund Data'!$A:$A = $A1711 - 1, 'Fund Data'!$B:$B = 12)) * (1 + AVERAGE(FILTER"&amp;"('Inflation Data'!$C:$C,'Inflation Data'!$A:$A = ($A1711 - 2)))) * 'Parameters and Distribution Sum'!$A$4,0)"),0.0)</f>
        <v>0</v>
      </c>
      <c r="X1711" s="52">
        <f>IFERROR(__xludf.DUMMYFUNCTION("IFERROR((IFERROR(FILTER('Fund Data'!$P:$P,'Fund Data'!$C:$C = $C1711,'Fund Data'!$A:$A = ($A1711 - 2), 'Fund Data'!$B:$B = 12),0) - SUM(FILTER('Fund Data'!$V:$V, 'Fund Data'!$C:$C = $C1711, 'Fund Data'!$A:$A = ($A1711 - 2), 'Fund Data'!$B:$B &gt; 3)))  * 'Pa"&amp;"rameters and Distribution Sum'!$B$4 * (1 - 'Parameters and Distribution Sum'!$A$4),0)"),0.0)</f>
        <v>0</v>
      </c>
      <c r="Y1711" s="52">
        <f t="shared" si="140"/>
        <v>0</v>
      </c>
      <c r="Z1711" s="52">
        <f>IFERROR(__xludf.DUMMYFUNCTION("((IFERROR((SUM(FILTER('Fund Data'!$V:$V, 'Fund Data'!$C:$C = $C1711, 'Fund Data'!$A:$A = $A1711 - 1, 'Fund Data'!$B:$B &gt;= 4, 'Fund Data'!$B:$B &lt;= ($B1711 + 5))) / 12) * ($B1711 - 3) * 'Parameters and Distribution Sum'!$B$4, 0) + IF($B1711 &gt;= 9, IFERROR(SU"&amp;"M(FILTER('Fund Data'!$V:$V, 'Fund Data'!$C:$C = $C1711, 'Fund Data'!$A:$A = $A1711, 'Fund Data'!$B:$B &lt;= 3)) * 'Parameters and Distribution Sum'!$B$4, 0),0)))"),0.0)</f>
        <v>0</v>
      </c>
      <c r="AA1711" s="44">
        <f>IFERROR(__xludf.DUMMYFUNCTION("IFERROR(((IFERROR(SUM(FILTER('Fund Data'!$V:$V, 'Fund Data'!$C:$C = $C1711, 'Fund Data'!$A:$A = $A1711 - 2, 'Fund Data'!$B:$B &gt;= 4)) * 'Parameters and Distribution Sum'!$B$4,0) + IFERROR(SUM(FILTER('Fund Data'!$V:$V, 'Fund Data'!$C:$C = $C1711, 'Fund Data"&amp;"'!$A:$A = $A1711 - 1, 'Fund Data'!$B:$B &lt;= 3)) * 'Parameters and Distribution Sum'!$B$4,0))),0)"),0.0)</f>
        <v>0</v>
      </c>
      <c r="AB1711" s="44">
        <f t="shared" si="141"/>
        <v>0</v>
      </c>
      <c r="AC1711" s="44">
        <f t="shared" si="142"/>
        <v>0</v>
      </c>
      <c r="AD1711" s="44">
        <f t="shared" si="7"/>
        <v>0</v>
      </c>
      <c r="AE1711" s="44"/>
    </row>
    <row r="1712">
      <c r="A1712" s="178"/>
      <c r="B1712" s="179"/>
      <c r="C1712" s="147"/>
      <c r="D1712" s="44"/>
      <c r="E1712" s="44"/>
      <c r="F1712" s="44"/>
      <c r="G1712" s="44"/>
      <c r="H1712" s="44"/>
      <c r="I1712" s="44"/>
      <c r="J1712" s="44"/>
      <c r="K1712" s="44"/>
      <c r="L1712" s="44"/>
      <c r="M1712" s="44"/>
      <c r="N1712" s="44"/>
      <c r="O1712" s="44"/>
      <c r="P1712" s="52">
        <f t="shared" si="23"/>
        <v>0</v>
      </c>
      <c r="Q1712" s="124">
        <f t="shared" si="2"/>
        <v>0</v>
      </c>
      <c r="R1712" s="52">
        <f t="array" ref="R1712">IFERROR(INDEX('Fund YTD Target Values'!$1:$1000, MATCH($C1712,'Fund YTD Target Values'!$A:$A,0), MATCH($A1712,'Fund YTD Target Values'!$1:$1,0)),0)</f>
        <v>0</v>
      </c>
      <c r="S1712" s="52">
        <f>IFERROR(__xludf.DUMMYFUNCTION("IFERROR(sum(FILTER('Fund Data'!$V:$V, 'Fund Data'!$C:$C = $C1712, 'Fund Data'!$A:$A &lt; $A1712)),0) + IFERROR(sum(FILTER('Fund Data'!$V:$V, 'Fund Data'!$C:$C = $C1712, 'Fund Data'!$A:$A = $A1712, 'Fund Data'!$B:$B &lt;= $B1712)),0)"),0.0)</f>
        <v>0</v>
      </c>
      <c r="T1712" s="44"/>
      <c r="U1712" s="44"/>
      <c r="V1712" s="44">
        <f t="shared" si="3"/>
        <v>0</v>
      </c>
      <c r="W1712" s="52">
        <f>IFERROR(__xludf.DUMMYFUNCTION("iFERROR((FILTER('Fund Data'!$Y:$Y, 'Fund Data'!$C:$C = $C1712, 'Fund Data'!$A:$A = $A1712 - 1, 'Fund Data'!$B:$B = 12) + FILTER('Fund Data'!$AA:$AA, 'Fund Data'!$C:$C = $C1712, 'Fund Data'!$A:$A = $A1712 - 1, 'Fund Data'!$B:$B = 12)) * (1 + AVERAGE(FILTER"&amp;"('Inflation Data'!$C:$C,'Inflation Data'!$A:$A = ($A1712 - 2)))) * 'Parameters and Distribution Sum'!$A$4,0)"),0.0)</f>
        <v>0</v>
      </c>
      <c r="X1712" s="52">
        <f>IFERROR(__xludf.DUMMYFUNCTION("IFERROR((IFERROR(FILTER('Fund Data'!$P:$P,'Fund Data'!$C:$C = $C1712,'Fund Data'!$A:$A = ($A1712 - 2), 'Fund Data'!$B:$B = 12),0) - SUM(FILTER('Fund Data'!$V:$V, 'Fund Data'!$C:$C = $C1712, 'Fund Data'!$A:$A = ($A1712 - 2), 'Fund Data'!$B:$B &gt; 3)))  * 'Pa"&amp;"rameters and Distribution Sum'!$B$4 * (1 - 'Parameters and Distribution Sum'!$A$4),0)"),0.0)</f>
        <v>0</v>
      </c>
      <c r="Y1712" s="52">
        <f t="shared" si="140"/>
        <v>0</v>
      </c>
      <c r="Z1712" s="52">
        <f>IFERROR(__xludf.DUMMYFUNCTION("((IFERROR((SUM(FILTER('Fund Data'!$V:$V, 'Fund Data'!$C:$C = $C1712, 'Fund Data'!$A:$A = $A1712 - 1, 'Fund Data'!$B:$B &gt;= 4, 'Fund Data'!$B:$B &lt;= ($B1712 + 5))) / 12) * ($B1712 - 3) * 'Parameters and Distribution Sum'!$B$4, 0) + IF($B1712 &gt;= 9, IFERROR(SU"&amp;"M(FILTER('Fund Data'!$V:$V, 'Fund Data'!$C:$C = $C1712, 'Fund Data'!$A:$A = $A1712, 'Fund Data'!$B:$B &lt;= 3)) * 'Parameters and Distribution Sum'!$B$4, 0),0)))"),0.0)</f>
        <v>0</v>
      </c>
      <c r="AA1712" s="44">
        <f>IFERROR(__xludf.DUMMYFUNCTION("IFERROR(((IFERROR(SUM(FILTER('Fund Data'!$V:$V, 'Fund Data'!$C:$C = $C1712, 'Fund Data'!$A:$A = $A1712 - 2, 'Fund Data'!$B:$B &gt;= 4)) * 'Parameters and Distribution Sum'!$B$4,0) + IFERROR(SUM(FILTER('Fund Data'!$V:$V, 'Fund Data'!$C:$C = $C1712, 'Fund Data"&amp;"'!$A:$A = $A1712 - 1, 'Fund Data'!$B:$B &lt;= 3)) * 'Parameters and Distribution Sum'!$B$4,0))),0)"),0.0)</f>
        <v>0</v>
      </c>
      <c r="AB1712" s="44">
        <f t="shared" si="141"/>
        <v>0</v>
      </c>
      <c r="AC1712" s="44">
        <f t="shared" si="142"/>
        <v>0</v>
      </c>
      <c r="AD1712" s="44">
        <f t="shared" si="7"/>
        <v>0</v>
      </c>
      <c r="AE1712" s="44"/>
    </row>
    <row r="1713">
      <c r="A1713" s="178"/>
      <c r="B1713" s="179"/>
      <c r="C1713" s="147"/>
      <c r="D1713" s="44"/>
      <c r="E1713" s="44"/>
      <c r="F1713" s="44"/>
      <c r="G1713" s="44"/>
      <c r="H1713" s="44"/>
      <c r="I1713" s="44"/>
      <c r="J1713" s="44"/>
      <c r="K1713" s="44"/>
      <c r="L1713" s="44"/>
      <c r="M1713" s="44"/>
      <c r="N1713" s="44"/>
      <c r="O1713" s="44"/>
      <c r="P1713" s="52">
        <f t="shared" si="23"/>
        <v>0</v>
      </c>
      <c r="Q1713" s="124">
        <f t="shared" si="2"/>
        <v>0</v>
      </c>
      <c r="R1713" s="52">
        <f t="array" ref="R1713">IFERROR(INDEX('Fund YTD Target Values'!$1:$1000, MATCH($C1713,'Fund YTD Target Values'!$A:$A,0), MATCH($A1713,'Fund YTD Target Values'!$1:$1,0)),0)</f>
        <v>0</v>
      </c>
      <c r="S1713" s="52">
        <f>IFERROR(__xludf.DUMMYFUNCTION("IFERROR(sum(FILTER('Fund Data'!$V:$V, 'Fund Data'!$C:$C = $C1713, 'Fund Data'!$A:$A &lt; $A1713)),0) + IFERROR(sum(FILTER('Fund Data'!$V:$V, 'Fund Data'!$C:$C = $C1713, 'Fund Data'!$A:$A = $A1713, 'Fund Data'!$B:$B &lt;= $B1713)),0)"),0.0)</f>
        <v>0</v>
      </c>
      <c r="T1713" s="44"/>
      <c r="U1713" s="44"/>
      <c r="V1713" s="44">
        <f t="shared" si="3"/>
        <v>0</v>
      </c>
      <c r="W1713" s="52">
        <f>IFERROR(__xludf.DUMMYFUNCTION("iFERROR((FILTER('Fund Data'!$Y:$Y, 'Fund Data'!$C:$C = $C1713, 'Fund Data'!$A:$A = $A1713 - 1, 'Fund Data'!$B:$B = 12) + FILTER('Fund Data'!$AA:$AA, 'Fund Data'!$C:$C = $C1713, 'Fund Data'!$A:$A = $A1713 - 1, 'Fund Data'!$B:$B = 12)) * (1 + AVERAGE(FILTER"&amp;"('Inflation Data'!$C:$C,'Inflation Data'!$A:$A = ($A1713 - 2)))) * 'Parameters and Distribution Sum'!$A$4,0)"),0.0)</f>
        <v>0</v>
      </c>
      <c r="X1713" s="52">
        <f>IFERROR(__xludf.DUMMYFUNCTION("IFERROR((IFERROR(FILTER('Fund Data'!$P:$P,'Fund Data'!$C:$C = $C1713,'Fund Data'!$A:$A = ($A1713 - 2), 'Fund Data'!$B:$B = 12),0) - SUM(FILTER('Fund Data'!$V:$V, 'Fund Data'!$C:$C = $C1713, 'Fund Data'!$A:$A = ($A1713 - 2), 'Fund Data'!$B:$B &gt; 3)))  * 'Pa"&amp;"rameters and Distribution Sum'!$B$4 * (1 - 'Parameters and Distribution Sum'!$A$4),0)"),0.0)</f>
        <v>0</v>
      </c>
      <c r="Y1713" s="52">
        <f t="shared" si="140"/>
        <v>0</v>
      </c>
      <c r="Z1713" s="52">
        <f>IFERROR(__xludf.DUMMYFUNCTION("((IFERROR((SUM(FILTER('Fund Data'!$V:$V, 'Fund Data'!$C:$C = $C1713, 'Fund Data'!$A:$A = $A1713 - 1, 'Fund Data'!$B:$B &gt;= 4, 'Fund Data'!$B:$B &lt;= ($B1713 + 5))) / 12) * ($B1713 - 3) * 'Parameters and Distribution Sum'!$B$4, 0) + IF($B1713 &gt;= 9, IFERROR(SU"&amp;"M(FILTER('Fund Data'!$V:$V, 'Fund Data'!$C:$C = $C1713, 'Fund Data'!$A:$A = $A1713, 'Fund Data'!$B:$B &lt;= 3)) * 'Parameters and Distribution Sum'!$B$4, 0),0)))"),0.0)</f>
        <v>0</v>
      </c>
      <c r="AA1713" s="44">
        <f>IFERROR(__xludf.DUMMYFUNCTION("IFERROR(((IFERROR(SUM(FILTER('Fund Data'!$V:$V, 'Fund Data'!$C:$C = $C1713, 'Fund Data'!$A:$A = $A1713 - 2, 'Fund Data'!$B:$B &gt;= 4)) * 'Parameters and Distribution Sum'!$B$4,0) + IFERROR(SUM(FILTER('Fund Data'!$V:$V, 'Fund Data'!$C:$C = $C1713, 'Fund Data"&amp;"'!$A:$A = $A1713 - 1, 'Fund Data'!$B:$B &lt;= 3)) * 'Parameters and Distribution Sum'!$B$4,0))),0)"),0.0)</f>
        <v>0</v>
      </c>
      <c r="AB1713" s="44">
        <f t="shared" si="141"/>
        <v>0</v>
      </c>
      <c r="AC1713" s="44">
        <f t="shared" si="142"/>
        <v>0</v>
      </c>
      <c r="AD1713" s="44">
        <f t="shared" si="7"/>
        <v>0</v>
      </c>
      <c r="AE1713" s="44"/>
    </row>
    <row r="1714">
      <c r="A1714" s="178"/>
      <c r="B1714" s="179"/>
      <c r="C1714" s="147"/>
      <c r="D1714" s="44"/>
      <c r="E1714" s="44"/>
      <c r="F1714" s="44"/>
      <c r="G1714" s="44"/>
      <c r="H1714" s="44"/>
      <c r="I1714" s="44"/>
      <c r="J1714" s="44"/>
      <c r="K1714" s="44"/>
      <c r="L1714" s="44"/>
      <c r="M1714" s="44"/>
      <c r="N1714" s="44"/>
      <c r="O1714" s="44"/>
      <c r="P1714" s="52">
        <f t="shared" si="23"/>
        <v>0</v>
      </c>
      <c r="Q1714" s="124">
        <f t="shared" si="2"/>
        <v>0</v>
      </c>
      <c r="R1714" s="52">
        <f t="array" ref="R1714">IFERROR(INDEX('Fund YTD Target Values'!$1:$1000, MATCH($C1714,'Fund YTD Target Values'!$A:$A,0), MATCH($A1714,'Fund YTD Target Values'!$1:$1,0)),0)</f>
        <v>0</v>
      </c>
      <c r="S1714" s="52">
        <f>IFERROR(__xludf.DUMMYFUNCTION("IFERROR(sum(FILTER('Fund Data'!$V:$V, 'Fund Data'!$C:$C = $C1714, 'Fund Data'!$A:$A &lt; $A1714)),0) + IFERROR(sum(FILTER('Fund Data'!$V:$V, 'Fund Data'!$C:$C = $C1714, 'Fund Data'!$A:$A = $A1714, 'Fund Data'!$B:$B &lt;= $B1714)),0)"),0.0)</f>
        <v>0</v>
      </c>
      <c r="T1714" s="44"/>
      <c r="U1714" s="44"/>
      <c r="V1714" s="44">
        <f t="shared" si="3"/>
        <v>0</v>
      </c>
      <c r="W1714" s="52">
        <f>IFERROR(__xludf.DUMMYFUNCTION("iFERROR((FILTER('Fund Data'!$Y:$Y, 'Fund Data'!$C:$C = $C1714, 'Fund Data'!$A:$A = $A1714 - 1, 'Fund Data'!$B:$B = 12) + FILTER('Fund Data'!$AA:$AA, 'Fund Data'!$C:$C = $C1714, 'Fund Data'!$A:$A = $A1714 - 1, 'Fund Data'!$B:$B = 12)) * (1 + AVERAGE(FILTER"&amp;"('Inflation Data'!$C:$C,'Inflation Data'!$A:$A = ($A1714 - 2)))) * 'Parameters and Distribution Sum'!$A$4,0)"),0.0)</f>
        <v>0</v>
      </c>
      <c r="X1714" s="52">
        <f>IFERROR(__xludf.DUMMYFUNCTION("IFERROR((IFERROR(FILTER('Fund Data'!$P:$P,'Fund Data'!$C:$C = $C1714,'Fund Data'!$A:$A = ($A1714 - 2), 'Fund Data'!$B:$B = 12),0) - SUM(FILTER('Fund Data'!$V:$V, 'Fund Data'!$C:$C = $C1714, 'Fund Data'!$A:$A = ($A1714 - 2), 'Fund Data'!$B:$B &gt; 3)))  * 'Pa"&amp;"rameters and Distribution Sum'!$B$4 * (1 - 'Parameters and Distribution Sum'!$A$4),0)"),0.0)</f>
        <v>0</v>
      </c>
      <c r="Y1714" s="52">
        <f t="shared" si="140"/>
        <v>0</v>
      </c>
      <c r="Z1714" s="52">
        <f>IFERROR(__xludf.DUMMYFUNCTION("((IFERROR((SUM(FILTER('Fund Data'!$V:$V, 'Fund Data'!$C:$C = $C1714, 'Fund Data'!$A:$A = $A1714 - 1, 'Fund Data'!$B:$B &gt;= 4, 'Fund Data'!$B:$B &lt;= ($B1714 + 5))) / 12) * ($B1714 - 3) * 'Parameters and Distribution Sum'!$B$4, 0) + IF($B1714 &gt;= 9, IFERROR(SU"&amp;"M(FILTER('Fund Data'!$V:$V, 'Fund Data'!$C:$C = $C1714, 'Fund Data'!$A:$A = $A1714, 'Fund Data'!$B:$B &lt;= 3)) * 'Parameters and Distribution Sum'!$B$4, 0),0)))"),0.0)</f>
        <v>0</v>
      </c>
      <c r="AA1714" s="44">
        <f>IFERROR(__xludf.DUMMYFUNCTION("IFERROR(((IFERROR(SUM(FILTER('Fund Data'!$V:$V, 'Fund Data'!$C:$C = $C1714, 'Fund Data'!$A:$A = $A1714 - 2, 'Fund Data'!$B:$B &gt;= 4)) * 'Parameters and Distribution Sum'!$B$4,0) + IFERROR(SUM(FILTER('Fund Data'!$V:$V, 'Fund Data'!$C:$C = $C1714, 'Fund Data"&amp;"'!$A:$A = $A1714 - 1, 'Fund Data'!$B:$B &lt;= 3)) * 'Parameters and Distribution Sum'!$B$4,0))),0)"),0.0)</f>
        <v>0</v>
      </c>
      <c r="AB1714" s="44">
        <f t="shared" si="141"/>
        <v>0</v>
      </c>
      <c r="AC1714" s="44">
        <f t="shared" si="142"/>
        <v>0</v>
      </c>
      <c r="AD1714" s="44">
        <f t="shared" si="7"/>
        <v>0</v>
      </c>
      <c r="AE1714" s="44"/>
    </row>
    <row r="1715">
      <c r="A1715" s="178"/>
      <c r="B1715" s="179"/>
      <c r="C1715" s="147"/>
      <c r="D1715" s="44"/>
      <c r="E1715" s="44"/>
      <c r="F1715" s="44"/>
      <c r="G1715" s="44"/>
      <c r="H1715" s="44"/>
      <c r="I1715" s="44"/>
      <c r="J1715" s="44"/>
      <c r="K1715" s="44"/>
      <c r="L1715" s="44"/>
      <c r="M1715" s="44"/>
      <c r="N1715" s="44"/>
      <c r="O1715" s="44"/>
      <c r="P1715" s="52">
        <f t="shared" si="23"/>
        <v>0</v>
      </c>
      <c r="Q1715" s="124">
        <f t="shared" si="2"/>
        <v>0</v>
      </c>
      <c r="R1715" s="52">
        <f t="array" ref="R1715">IFERROR(INDEX('Fund YTD Target Values'!$1:$1000, MATCH($C1715,'Fund YTD Target Values'!$A:$A,0), MATCH($A1715,'Fund YTD Target Values'!$1:$1,0)),0)</f>
        <v>0</v>
      </c>
      <c r="S1715" s="52">
        <f>IFERROR(__xludf.DUMMYFUNCTION("IFERROR(sum(FILTER('Fund Data'!$V:$V, 'Fund Data'!$C:$C = $C1715, 'Fund Data'!$A:$A &lt; $A1715)),0) + IFERROR(sum(FILTER('Fund Data'!$V:$V, 'Fund Data'!$C:$C = $C1715, 'Fund Data'!$A:$A = $A1715, 'Fund Data'!$B:$B &lt;= $B1715)),0)"),0.0)</f>
        <v>0</v>
      </c>
      <c r="T1715" s="44"/>
      <c r="U1715" s="44"/>
      <c r="V1715" s="44">
        <f t="shared" si="3"/>
        <v>0</v>
      </c>
      <c r="W1715" s="52">
        <f>IFERROR(__xludf.DUMMYFUNCTION("iFERROR((FILTER('Fund Data'!$Y:$Y, 'Fund Data'!$C:$C = $C1715, 'Fund Data'!$A:$A = $A1715 - 1, 'Fund Data'!$B:$B = 12) + FILTER('Fund Data'!$AA:$AA, 'Fund Data'!$C:$C = $C1715, 'Fund Data'!$A:$A = $A1715 - 1, 'Fund Data'!$B:$B = 12)) * (1 + AVERAGE(FILTER"&amp;"('Inflation Data'!$C:$C,'Inflation Data'!$A:$A = ($A1715 - 2)))) * 'Parameters and Distribution Sum'!$A$4,0)"),0.0)</f>
        <v>0</v>
      </c>
      <c r="X1715" s="52">
        <f>IFERROR(__xludf.DUMMYFUNCTION("IFERROR((IFERROR(FILTER('Fund Data'!$P:$P,'Fund Data'!$C:$C = $C1715,'Fund Data'!$A:$A = ($A1715 - 2), 'Fund Data'!$B:$B = 12),0) - SUM(FILTER('Fund Data'!$V:$V, 'Fund Data'!$C:$C = $C1715, 'Fund Data'!$A:$A = ($A1715 - 2), 'Fund Data'!$B:$B &gt; 3)))  * 'Pa"&amp;"rameters and Distribution Sum'!$B$4 * (1 - 'Parameters and Distribution Sum'!$A$4),0)"),0.0)</f>
        <v>0</v>
      </c>
      <c r="Y1715" s="52">
        <f t="shared" si="140"/>
        <v>0</v>
      </c>
      <c r="Z1715" s="52">
        <f>IFERROR(__xludf.DUMMYFUNCTION("((IFERROR((SUM(FILTER('Fund Data'!$V:$V, 'Fund Data'!$C:$C = $C1715, 'Fund Data'!$A:$A = $A1715 - 1, 'Fund Data'!$B:$B &gt;= 4, 'Fund Data'!$B:$B &lt;= ($B1715 + 5))) / 12) * ($B1715 - 3) * 'Parameters and Distribution Sum'!$B$4, 0) + IF($B1715 &gt;= 9, IFERROR(SU"&amp;"M(FILTER('Fund Data'!$V:$V, 'Fund Data'!$C:$C = $C1715, 'Fund Data'!$A:$A = $A1715, 'Fund Data'!$B:$B &lt;= 3)) * 'Parameters and Distribution Sum'!$B$4, 0),0)))"),0.0)</f>
        <v>0</v>
      </c>
      <c r="AA1715" s="44">
        <f>IFERROR(__xludf.DUMMYFUNCTION("IFERROR(((IFERROR(SUM(FILTER('Fund Data'!$V:$V, 'Fund Data'!$C:$C = $C1715, 'Fund Data'!$A:$A = $A1715 - 2, 'Fund Data'!$B:$B &gt;= 4)) * 'Parameters and Distribution Sum'!$B$4,0) + IFERROR(SUM(FILTER('Fund Data'!$V:$V, 'Fund Data'!$C:$C = $C1715, 'Fund Data"&amp;"'!$A:$A = $A1715 - 1, 'Fund Data'!$B:$B &lt;= 3)) * 'Parameters and Distribution Sum'!$B$4,0))),0)"),0.0)</f>
        <v>0</v>
      </c>
      <c r="AB1715" s="44">
        <f t="shared" si="141"/>
        <v>0</v>
      </c>
      <c r="AC1715" s="44">
        <f t="shared" si="142"/>
        <v>0</v>
      </c>
      <c r="AD1715" s="44">
        <f t="shared" si="7"/>
        <v>0</v>
      </c>
      <c r="AE1715" s="44"/>
    </row>
    <row r="1716">
      <c r="A1716" s="178"/>
      <c r="B1716" s="179"/>
      <c r="C1716" s="147"/>
      <c r="D1716" s="44"/>
      <c r="E1716" s="44"/>
      <c r="F1716" s="44"/>
      <c r="G1716" s="44"/>
      <c r="H1716" s="44"/>
      <c r="I1716" s="44"/>
      <c r="J1716" s="44"/>
      <c r="K1716" s="44"/>
      <c r="L1716" s="44"/>
      <c r="M1716" s="44"/>
      <c r="N1716" s="44"/>
      <c r="O1716" s="44"/>
      <c r="P1716" s="52">
        <f t="shared" si="23"/>
        <v>0</v>
      </c>
      <c r="Q1716" s="124">
        <f t="shared" si="2"/>
        <v>0</v>
      </c>
      <c r="R1716" s="52">
        <f t="array" ref="R1716">IFERROR(INDEX('Fund YTD Target Values'!$1:$1000, MATCH($C1716,'Fund YTD Target Values'!$A:$A,0), MATCH($A1716,'Fund YTD Target Values'!$1:$1,0)),0)</f>
        <v>0</v>
      </c>
      <c r="S1716" s="52">
        <f>IFERROR(__xludf.DUMMYFUNCTION("IFERROR(sum(FILTER('Fund Data'!$V:$V, 'Fund Data'!$C:$C = $C1716, 'Fund Data'!$A:$A &lt; $A1716)),0) + IFERROR(sum(FILTER('Fund Data'!$V:$V, 'Fund Data'!$C:$C = $C1716, 'Fund Data'!$A:$A = $A1716, 'Fund Data'!$B:$B &lt;= $B1716)),0)"),0.0)</f>
        <v>0</v>
      </c>
      <c r="T1716" s="44"/>
      <c r="U1716" s="44"/>
      <c r="V1716" s="44">
        <f t="shared" si="3"/>
        <v>0</v>
      </c>
      <c r="W1716" s="52">
        <f>IFERROR(__xludf.DUMMYFUNCTION("iFERROR((FILTER('Fund Data'!$Y:$Y, 'Fund Data'!$C:$C = $C1716, 'Fund Data'!$A:$A = $A1716 - 1, 'Fund Data'!$B:$B = 12) + FILTER('Fund Data'!$AA:$AA, 'Fund Data'!$C:$C = $C1716, 'Fund Data'!$A:$A = $A1716 - 1, 'Fund Data'!$B:$B = 12)) * (1 + AVERAGE(FILTER"&amp;"('Inflation Data'!$C:$C,'Inflation Data'!$A:$A = ($A1716 - 2)))) * 'Parameters and Distribution Sum'!$A$4,0)"),0.0)</f>
        <v>0</v>
      </c>
      <c r="X1716" s="52">
        <f>IFERROR(__xludf.DUMMYFUNCTION("IFERROR((IFERROR(FILTER('Fund Data'!$P:$P,'Fund Data'!$C:$C = $C1716,'Fund Data'!$A:$A = ($A1716 - 2), 'Fund Data'!$B:$B = 12),0) - SUM(FILTER('Fund Data'!$V:$V, 'Fund Data'!$C:$C = $C1716, 'Fund Data'!$A:$A = ($A1716 - 2), 'Fund Data'!$B:$B &gt; 3)))  * 'Pa"&amp;"rameters and Distribution Sum'!$B$4 * (1 - 'Parameters and Distribution Sum'!$A$4),0)"),0.0)</f>
        <v>0</v>
      </c>
      <c r="Y1716" s="52">
        <f t="shared" si="140"/>
        <v>0</v>
      </c>
      <c r="Z1716" s="52">
        <f>IFERROR(__xludf.DUMMYFUNCTION("((IFERROR((SUM(FILTER('Fund Data'!$V:$V, 'Fund Data'!$C:$C = $C1716, 'Fund Data'!$A:$A = $A1716 - 1, 'Fund Data'!$B:$B &gt;= 4, 'Fund Data'!$B:$B &lt;= ($B1716 + 5))) / 12) * ($B1716 - 3) * 'Parameters and Distribution Sum'!$B$4, 0) + IF($B1716 &gt;= 9, IFERROR(SU"&amp;"M(FILTER('Fund Data'!$V:$V, 'Fund Data'!$C:$C = $C1716, 'Fund Data'!$A:$A = $A1716, 'Fund Data'!$B:$B &lt;= 3)) * 'Parameters and Distribution Sum'!$B$4, 0),0)))"),0.0)</f>
        <v>0</v>
      </c>
      <c r="AA1716" s="44">
        <f>IFERROR(__xludf.DUMMYFUNCTION("IFERROR(((IFERROR(SUM(FILTER('Fund Data'!$V:$V, 'Fund Data'!$C:$C = $C1716, 'Fund Data'!$A:$A = $A1716 - 2, 'Fund Data'!$B:$B &gt;= 4)) * 'Parameters and Distribution Sum'!$B$4,0) + IFERROR(SUM(FILTER('Fund Data'!$V:$V, 'Fund Data'!$C:$C = $C1716, 'Fund Data"&amp;"'!$A:$A = $A1716 - 1, 'Fund Data'!$B:$B &lt;= 3)) * 'Parameters and Distribution Sum'!$B$4,0))),0)"),0.0)</f>
        <v>0</v>
      </c>
      <c r="AB1716" s="44">
        <f t="shared" si="141"/>
        <v>0</v>
      </c>
      <c r="AC1716" s="44">
        <f t="shared" si="142"/>
        <v>0</v>
      </c>
      <c r="AD1716" s="44">
        <f t="shared" si="7"/>
        <v>0</v>
      </c>
      <c r="AE1716" s="44"/>
    </row>
    <row r="1717">
      <c r="A1717" s="178"/>
      <c r="B1717" s="179"/>
      <c r="C1717" s="147"/>
      <c r="D1717" s="44"/>
      <c r="E1717" s="44"/>
      <c r="F1717" s="44"/>
      <c r="G1717" s="44"/>
      <c r="H1717" s="44"/>
      <c r="I1717" s="44"/>
      <c r="J1717" s="44"/>
      <c r="K1717" s="44"/>
      <c r="L1717" s="44"/>
      <c r="M1717" s="44"/>
      <c r="N1717" s="44"/>
      <c r="O1717" s="44"/>
      <c r="P1717" s="52">
        <f t="shared" si="23"/>
        <v>0</v>
      </c>
      <c r="Q1717" s="124">
        <f t="shared" si="2"/>
        <v>0</v>
      </c>
      <c r="R1717" s="52">
        <f t="array" ref="R1717">IFERROR(INDEX('Fund YTD Target Values'!$1:$1000, MATCH($C1717,'Fund YTD Target Values'!$A:$A,0), MATCH($A1717,'Fund YTD Target Values'!$1:$1,0)),0)</f>
        <v>0</v>
      </c>
      <c r="S1717" s="52">
        <f>IFERROR(__xludf.DUMMYFUNCTION("IFERROR(sum(FILTER('Fund Data'!$V:$V, 'Fund Data'!$C:$C = $C1717, 'Fund Data'!$A:$A &lt; $A1717)),0) + IFERROR(sum(FILTER('Fund Data'!$V:$V, 'Fund Data'!$C:$C = $C1717, 'Fund Data'!$A:$A = $A1717, 'Fund Data'!$B:$B &lt;= $B1717)),0)"),0.0)</f>
        <v>0</v>
      </c>
      <c r="T1717" s="44"/>
      <c r="U1717" s="44"/>
      <c r="V1717" s="44">
        <f t="shared" si="3"/>
        <v>0</v>
      </c>
      <c r="W1717" s="52">
        <f>IFERROR(__xludf.DUMMYFUNCTION("iFERROR((FILTER('Fund Data'!$Y:$Y, 'Fund Data'!$C:$C = $C1717, 'Fund Data'!$A:$A = $A1717 - 1, 'Fund Data'!$B:$B = 12) + FILTER('Fund Data'!$AA:$AA, 'Fund Data'!$C:$C = $C1717, 'Fund Data'!$A:$A = $A1717 - 1, 'Fund Data'!$B:$B = 12)) * (1 + AVERAGE(FILTER"&amp;"('Inflation Data'!$C:$C,'Inflation Data'!$A:$A = ($A1717 - 2)))) * 'Parameters and Distribution Sum'!$A$4,0)"),0.0)</f>
        <v>0</v>
      </c>
      <c r="X1717" s="52">
        <f>IFERROR(__xludf.DUMMYFUNCTION("IFERROR((IFERROR(FILTER('Fund Data'!$P:$P,'Fund Data'!$C:$C = $C1717,'Fund Data'!$A:$A = ($A1717 - 2), 'Fund Data'!$B:$B = 12),0) - SUM(FILTER('Fund Data'!$V:$V, 'Fund Data'!$C:$C = $C1717, 'Fund Data'!$A:$A = ($A1717 - 2), 'Fund Data'!$B:$B &gt; 3)))  * 'Pa"&amp;"rameters and Distribution Sum'!$B$4 * (1 - 'Parameters and Distribution Sum'!$A$4),0)"),0.0)</f>
        <v>0</v>
      </c>
      <c r="Y1717" s="52">
        <f t="shared" si="140"/>
        <v>0</v>
      </c>
      <c r="Z1717" s="52">
        <f>IFERROR(__xludf.DUMMYFUNCTION("((IFERROR((SUM(FILTER('Fund Data'!$V:$V, 'Fund Data'!$C:$C = $C1717, 'Fund Data'!$A:$A = $A1717 - 1, 'Fund Data'!$B:$B &gt;= 4, 'Fund Data'!$B:$B &lt;= ($B1717 + 5))) / 12) * ($B1717 - 3) * 'Parameters and Distribution Sum'!$B$4, 0) + IF($B1717 &gt;= 9, IFERROR(SU"&amp;"M(FILTER('Fund Data'!$V:$V, 'Fund Data'!$C:$C = $C1717, 'Fund Data'!$A:$A = $A1717, 'Fund Data'!$B:$B &lt;= 3)) * 'Parameters and Distribution Sum'!$B$4, 0),0)))"),0.0)</f>
        <v>0</v>
      </c>
      <c r="AA1717" s="44">
        <f>IFERROR(__xludf.DUMMYFUNCTION("IFERROR(((IFERROR(SUM(FILTER('Fund Data'!$V:$V, 'Fund Data'!$C:$C = $C1717, 'Fund Data'!$A:$A = $A1717 - 2, 'Fund Data'!$B:$B &gt;= 4)) * 'Parameters and Distribution Sum'!$B$4,0) + IFERROR(SUM(FILTER('Fund Data'!$V:$V, 'Fund Data'!$C:$C = $C1717, 'Fund Data"&amp;"'!$A:$A = $A1717 - 1, 'Fund Data'!$B:$B &lt;= 3)) * 'Parameters and Distribution Sum'!$B$4,0))),0)"),0.0)</f>
        <v>0</v>
      </c>
      <c r="AB1717" s="44">
        <f t="shared" si="141"/>
        <v>0</v>
      </c>
      <c r="AC1717" s="44">
        <f t="shared" si="142"/>
        <v>0</v>
      </c>
      <c r="AD1717" s="44">
        <f t="shared" si="7"/>
        <v>0</v>
      </c>
      <c r="AE1717" s="44"/>
    </row>
    <row r="1718">
      <c r="A1718" s="178"/>
      <c r="B1718" s="179"/>
      <c r="C1718" s="147"/>
      <c r="D1718" s="44"/>
      <c r="E1718" s="44"/>
      <c r="F1718" s="44"/>
      <c r="G1718" s="44"/>
      <c r="H1718" s="44"/>
      <c r="I1718" s="44"/>
      <c r="J1718" s="44"/>
      <c r="K1718" s="44"/>
      <c r="L1718" s="44"/>
      <c r="M1718" s="44"/>
      <c r="N1718" s="44"/>
      <c r="O1718" s="44"/>
      <c r="P1718" s="52">
        <f t="shared" si="23"/>
        <v>0</v>
      </c>
      <c r="Q1718" s="124">
        <f t="shared" si="2"/>
        <v>0</v>
      </c>
      <c r="R1718" s="52">
        <f t="array" ref="R1718">IFERROR(INDEX('Fund YTD Target Values'!$1:$1000, MATCH($C1718,'Fund YTD Target Values'!$A:$A,0), MATCH($A1718,'Fund YTD Target Values'!$1:$1,0)),0)</f>
        <v>0</v>
      </c>
      <c r="S1718" s="52">
        <f>IFERROR(__xludf.DUMMYFUNCTION("IFERROR(sum(FILTER('Fund Data'!$V:$V, 'Fund Data'!$C:$C = $C1718, 'Fund Data'!$A:$A &lt; $A1718)),0) + IFERROR(sum(FILTER('Fund Data'!$V:$V, 'Fund Data'!$C:$C = $C1718, 'Fund Data'!$A:$A = $A1718, 'Fund Data'!$B:$B &lt;= $B1718)),0)"),0.0)</f>
        <v>0</v>
      </c>
      <c r="T1718" s="44"/>
      <c r="U1718" s="44"/>
      <c r="V1718" s="44">
        <f t="shared" si="3"/>
        <v>0</v>
      </c>
      <c r="W1718" s="52">
        <f>IFERROR(__xludf.DUMMYFUNCTION("iFERROR((FILTER('Fund Data'!$Y:$Y, 'Fund Data'!$C:$C = $C1718, 'Fund Data'!$A:$A = $A1718 - 1, 'Fund Data'!$B:$B = 12) + FILTER('Fund Data'!$AA:$AA, 'Fund Data'!$C:$C = $C1718, 'Fund Data'!$A:$A = $A1718 - 1, 'Fund Data'!$B:$B = 12)) * (1 + AVERAGE(FILTER"&amp;"('Inflation Data'!$C:$C,'Inflation Data'!$A:$A = ($A1718 - 2)))) * 'Parameters and Distribution Sum'!$A$4,0)"),0.0)</f>
        <v>0</v>
      </c>
      <c r="X1718" s="52">
        <f>IFERROR(__xludf.DUMMYFUNCTION("IFERROR((IFERROR(FILTER('Fund Data'!$P:$P,'Fund Data'!$C:$C = $C1718,'Fund Data'!$A:$A = ($A1718 - 2), 'Fund Data'!$B:$B = 12),0) - SUM(FILTER('Fund Data'!$V:$V, 'Fund Data'!$C:$C = $C1718, 'Fund Data'!$A:$A = ($A1718 - 2), 'Fund Data'!$B:$B &gt; 3)))  * 'Pa"&amp;"rameters and Distribution Sum'!$B$4 * (1 - 'Parameters and Distribution Sum'!$A$4),0)"),0.0)</f>
        <v>0</v>
      </c>
      <c r="Y1718" s="52">
        <f t="shared" si="140"/>
        <v>0</v>
      </c>
      <c r="Z1718" s="52">
        <f>IFERROR(__xludf.DUMMYFUNCTION("((IFERROR((SUM(FILTER('Fund Data'!$V:$V, 'Fund Data'!$C:$C = $C1718, 'Fund Data'!$A:$A = $A1718 - 1, 'Fund Data'!$B:$B &gt;= 4, 'Fund Data'!$B:$B &lt;= ($B1718 + 5))) / 12) * ($B1718 - 3) * 'Parameters and Distribution Sum'!$B$4, 0) + IF($B1718 &gt;= 9, IFERROR(SU"&amp;"M(FILTER('Fund Data'!$V:$V, 'Fund Data'!$C:$C = $C1718, 'Fund Data'!$A:$A = $A1718, 'Fund Data'!$B:$B &lt;= 3)) * 'Parameters and Distribution Sum'!$B$4, 0),0)))"),0.0)</f>
        <v>0</v>
      </c>
      <c r="AA1718" s="44">
        <f>IFERROR(__xludf.DUMMYFUNCTION("IFERROR(((IFERROR(SUM(FILTER('Fund Data'!$V:$V, 'Fund Data'!$C:$C = $C1718, 'Fund Data'!$A:$A = $A1718 - 2, 'Fund Data'!$B:$B &gt;= 4)) * 'Parameters and Distribution Sum'!$B$4,0) + IFERROR(SUM(FILTER('Fund Data'!$V:$V, 'Fund Data'!$C:$C = $C1718, 'Fund Data"&amp;"'!$A:$A = $A1718 - 1, 'Fund Data'!$B:$B &lt;= 3)) * 'Parameters and Distribution Sum'!$B$4,0))),0)"),0.0)</f>
        <v>0</v>
      </c>
      <c r="AB1718" s="44">
        <f t="shared" si="141"/>
        <v>0</v>
      </c>
      <c r="AC1718" s="44">
        <f t="shared" si="142"/>
        <v>0</v>
      </c>
      <c r="AD1718" s="44">
        <f t="shared" si="7"/>
        <v>0</v>
      </c>
      <c r="AE1718" s="44"/>
    </row>
    <row r="1719">
      <c r="A1719" s="178"/>
      <c r="B1719" s="179"/>
      <c r="C1719" s="147"/>
      <c r="D1719" s="44"/>
      <c r="E1719" s="44"/>
      <c r="F1719" s="44"/>
      <c r="G1719" s="44"/>
      <c r="H1719" s="44"/>
      <c r="I1719" s="44"/>
      <c r="J1719" s="44"/>
      <c r="K1719" s="44"/>
      <c r="L1719" s="44"/>
      <c r="M1719" s="44"/>
      <c r="N1719" s="44"/>
      <c r="O1719" s="44"/>
      <c r="P1719" s="52">
        <f t="shared" si="23"/>
        <v>0</v>
      </c>
      <c r="Q1719" s="124">
        <f t="shared" si="2"/>
        <v>0</v>
      </c>
      <c r="R1719" s="52">
        <f t="array" ref="R1719">IFERROR(INDEX('Fund YTD Target Values'!$1:$1000, MATCH($C1719,'Fund YTD Target Values'!$A:$A,0), MATCH($A1719,'Fund YTD Target Values'!$1:$1,0)),0)</f>
        <v>0</v>
      </c>
      <c r="S1719" s="52">
        <f>IFERROR(__xludf.DUMMYFUNCTION("IFERROR(sum(FILTER('Fund Data'!$V:$V, 'Fund Data'!$C:$C = $C1719, 'Fund Data'!$A:$A &lt; $A1719)),0) + IFERROR(sum(FILTER('Fund Data'!$V:$V, 'Fund Data'!$C:$C = $C1719, 'Fund Data'!$A:$A = $A1719, 'Fund Data'!$B:$B &lt;= $B1719)),0)"),0.0)</f>
        <v>0</v>
      </c>
      <c r="T1719" s="44"/>
      <c r="U1719" s="44"/>
      <c r="V1719" s="44">
        <f t="shared" si="3"/>
        <v>0</v>
      </c>
      <c r="W1719" s="52">
        <f>IFERROR(__xludf.DUMMYFUNCTION("iFERROR((FILTER('Fund Data'!$Y:$Y, 'Fund Data'!$C:$C = $C1719, 'Fund Data'!$A:$A = $A1719 - 1, 'Fund Data'!$B:$B = 12) + FILTER('Fund Data'!$AA:$AA, 'Fund Data'!$C:$C = $C1719, 'Fund Data'!$A:$A = $A1719 - 1, 'Fund Data'!$B:$B = 12)) * (1 + AVERAGE(FILTER"&amp;"('Inflation Data'!$C:$C,'Inflation Data'!$A:$A = ($A1719 - 2)))) * 'Parameters and Distribution Sum'!$A$4,0)"),0.0)</f>
        <v>0</v>
      </c>
      <c r="X1719" s="52">
        <f>IFERROR(__xludf.DUMMYFUNCTION("IFERROR((IFERROR(FILTER('Fund Data'!$P:$P,'Fund Data'!$C:$C = $C1719,'Fund Data'!$A:$A = ($A1719 - 2), 'Fund Data'!$B:$B = 12),0) - SUM(FILTER('Fund Data'!$V:$V, 'Fund Data'!$C:$C = $C1719, 'Fund Data'!$A:$A = ($A1719 - 2), 'Fund Data'!$B:$B &gt; 3)))  * 'Pa"&amp;"rameters and Distribution Sum'!$B$4 * (1 - 'Parameters and Distribution Sum'!$A$4),0)"),0.0)</f>
        <v>0</v>
      </c>
      <c r="Y1719" s="52">
        <f t="shared" si="140"/>
        <v>0</v>
      </c>
      <c r="Z1719" s="52">
        <f>IFERROR(__xludf.DUMMYFUNCTION("((IFERROR((SUM(FILTER('Fund Data'!$V:$V, 'Fund Data'!$C:$C = $C1719, 'Fund Data'!$A:$A = $A1719 - 1, 'Fund Data'!$B:$B &gt;= 4, 'Fund Data'!$B:$B &lt;= ($B1719 + 5))) / 12) * ($B1719 - 3) * 'Parameters and Distribution Sum'!$B$4, 0) + IF($B1719 &gt;= 9, IFERROR(SU"&amp;"M(FILTER('Fund Data'!$V:$V, 'Fund Data'!$C:$C = $C1719, 'Fund Data'!$A:$A = $A1719, 'Fund Data'!$B:$B &lt;= 3)) * 'Parameters and Distribution Sum'!$B$4, 0),0)))"),0.0)</f>
        <v>0</v>
      </c>
      <c r="AA1719" s="44">
        <f>IFERROR(__xludf.DUMMYFUNCTION("IFERROR(((IFERROR(SUM(FILTER('Fund Data'!$V:$V, 'Fund Data'!$C:$C = $C1719, 'Fund Data'!$A:$A = $A1719 - 2, 'Fund Data'!$B:$B &gt;= 4)) * 'Parameters and Distribution Sum'!$B$4,0) + IFERROR(SUM(FILTER('Fund Data'!$V:$V, 'Fund Data'!$C:$C = $C1719, 'Fund Data"&amp;"'!$A:$A = $A1719 - 1, 'Fund Data'!$B:$B &lt;= 3)) * 'Parameters and Distribution Sum'!$B$4,0))),0)"),0.0)</f>
        <v>0</v>
      </c>
      <c r="AB1719" s="44">
        <f t="shared" si="141"/>
        <v>0</v>
      </c>
      <c r="AC1719" s="44">
        <f t="shared" si="142"/>
        <v>0</v>
      </c>
      <c r="AD1719" s="44">
        <f t="shared" si="7"/>
        <v>0</v>
      </c>
      <c r="AE1719" s="44"/>
    </row>
    <row r="1720">
      <c r="A1720" s="178"/>
      <c r="B1720" s="179"/>
      <c r="C1720" s="147"/>
      <c r="D1720" s="44"/>
      <c r="E1720" s="44"/>
      <c r="F1720" s="44"/>
      <c r="G1720" s="44"/>
      <c r="H1720" s="44"/>
      <c r="I1720" s="44"/>
      <c r="J1720" s="44"/>
      <c r="K1720" s="44"/>
      <c r="L1720" s="44"/>
      <c r="M1720" s="44"/>
      <c r="N1720" s="44"/>
      <c r="O1720" s="44"/>
      <c r="P1720" s="52">
        <f t="shared" si="23"/>
        <v>0</v>
      </c>
      <c r="Q1720" s="124">
        <f t="shared" si="2"/>
        <v>0</v>
      </c>
      <c r="R1720" s="52">
        <f t="array" ref="R1720">IFERROR(INDEX('Fund YTD Target Values'!$1:$1000, MATCH($C1720,'Fund YTD Target Values'!$A:$A,0), MATCH($A1720,'Fund YTD Target Values'!$1:$1,0)),0)</f>
        <v>0</v>
      </c>
      <c r="S1720" s="52">
        <f>IFERROR(__xludf.DUMMYFUNCTION("IFERROR(sum(FILTER('Fund Data'!$V:$V, 'Fund Data'!$C:$C = $C1720, 'Fund Data'!$A:$A &lt; $A1720)),0) + IFERROR(sum(FILTER('Fund Data'!$V:$V, 'Fund Data'!$C:$C = $C1720, 'Fund Data'!$A:$A = $A1720, 'Fund Data'!$B:$B &lt;= $B1720)),0)"),0.0)</f>
        <v>0</v>
      </c>
      <c r="T1720" s="44"/>
      <c r="U1720" s="44"/>
      <c r="V1720" s="44">
        <f t="shared" si="3"/>
        <v>0</v>
      </c>
      <c r="W1720" s="52">
        <f>IFERROR(__xludf.DUMMYFUNCTION("iFERROR((FILTER('Fund Data'!$Y:$Y, 'Fund Data'!$C:$C = $C1720, 'Fund Data'!$A:$A = $A1720 - 1, 'Fund Data'!$B:$B = 12) + FILTER('Fund Data'!$AA:$AA, 'Fund Data'!$C:$C = $C1720, 'Fund Data'!$A:$A = $A1720 - 1, 'Fund Data'!$B:$B = 12)) * (1 + AVERAGE(FILTER"&amp;"('Inflation Data'!$C:$C,'Inflation Data'!$A:$A = ($A1720 - 2)))) * 'Parameters and Distribution Sum'!$A$4,0)"),0.0)</f>
        <v>0</v>
      </c>
      <c r="X1720" s="52">
        <f>IFERROR(__xludf.DUMMYFUNCTION("IFERROR((IFERROR(FILTER('Fund Data'!$P:$P,'Fund Data'!$C:$C = $C1720,'Fund Data'!$A:$A = ($A1720 - 2), 'Fund Data'!$B:$B = 12),0) - SUM(FILTER('Fund Data'!$V:$V, 'Fund Data'!$C:$C = $C1720, 'Fund Data'!$A:$A = ($A1720 - 2), 'Fund Data'!$B:$B &gt; 3)))  * 'Pa"&amp;"rameters and Distribution Sum'!$B$4 * (1 - 'Parameters and Distribution Sum'!$A$4),0)"),0.0)</f>
        <v>0</v>
      </c>
      <c r="Y1720" s="52">
        <f t="shared" si="140"/>
        <v>0</v>
      </c>
      <c r="Z1720" s="52">
        <f>IFERROR(__xludf.DUMMYFUNCTION("((IFERROR((SUM(FILTER('Fund Data'!$V:$V, 'Fund Data'!$C:$C = $C1720, 'Fund Data'!$A:$A = $A1720 - 1, 'Fund Data'!$B:$B &gt;= 4, 'Fund Data'!$B:$B &lt;= ($B1720 + 5))) / 12) * ($B1720 - 3) * 'Parameters and Distribution Sum'!$B$4, 0) + IF($B1720 &gt;= 9, IFERROR(SU"&amp;"M(FILTER('Fund Data'!$V:$V, 'Fund Data'!$C:$C = $C1720, 'Fund Data'!$A:$A = $A1720, 'Fund Data'!$B:$B &lt;= 3)) * 'Parameters and Distribution Sum'!$B$4, 0),0)))"),0.0)</f>
        <v>0</v>
      </c>
      <c r="AA1720" s="44">
        <f>IFERROR(__xludf.DUMMYFUNCTION("IFERROR(((IFERROR(SUM(FILTER('Fund Data'!$V:$V, 'Fund Data'!$C:$C = $C1720, 'Fund Data'!$A:$A = $A1720 - 2, 'Fund Data'!$B:$B &gt;= 4)) * 'Parameters and Distribution Sum'!$B$4,0) + IFERROR(SUM(FILTER('Fund Data'!$V:$V, 'Fund Data'!$C:$C = $C1720, 'Fund Data"&amp;"'!$A:$A = $A1720 - 1, 'Fund Data'!$B:$B &lt;= 3)) * 'Parameters and Distribution Sum'!$B$4,0))),0)"),0.0)</f>
        <v>0</v>
      </c>
      <c r="AB1720" s="44">
        <f t="shared" si="141"/>
        <v>0</v>
      </c>
      <c r="AC1720" s="44">
        <f t="shared" si="142"/>
        <v>0</v>
      </c>
      <c r="AD1720" s="44">
        <f t="shared" si="7"/>
        <v>0</v>
      </c>
      <c r="AE1720" s="44"/>
    </row>
    <row r="1721">
      <c r="A1721" s="178"/>
      <c r="B1721" s="179"/>
      <c r="C1721" s="147"/>
      <c r="D1721" s="44"/>
      <c r="E1721" s="44"/>
      <c r="F1721" s="44"/>
      <c r="G1721" s="44"/>
      <c r="H1721" s="44"/>
      <c r="I1721" s="44"/>
      <c r="J1721" s="44"/>
      <c r="K1721" s="44"/>
      <c r="L1721" s="44"/>
      <c r="M1721" s="44"/>
      <c r="N1721" s="44"/>
      <c r="O1721" s="44"/>
      <c r="P1721" s="52">
        <f t="shared" si="23"/>
        <v>0</v>
      </c>
      <c r="Q1721" s="124">
        <f t="shared" si="2"/>
        <v>0</v>
      </c>
      <c r="R1721" s="52">
        <f t="array" ref="R1721">IFERROR(INDEX('Fund YTD Target Values'!$1:$1000, MATCH($C1721,'Fund YTD Target Values'!$A:$A,0), MATCH($A1721,'Fund YTD Target Values'!$1:$1,0)),0)</f>
        <v>0</v>
      </c>
      <c r="S1721" s="52">
        <f>IFERROR(__xludf.DUMMYFUNCTION("IFERROR(sum(FILTER('Fund Data'!$V:$V, 'Fund Data'!$C:$C = $C1721, 'Fund Data'!$A:$A &lt; $A1721)),0) + IFERROR(sum(FILTER('Fund Data'!$V:$V, 'Fund Data'!$C:$C = $C1721, 'Fund Data'!$A:$A = $A1721, 'Fund Data'!$B:$B &lt;= $B1721)),0)"),0.0)</f>
        <v>0</v>
      </c>
      <c r="T1721" s="44"/>
      <c r="U1721" s="44"/>
      <c r="V1721" s="44">
        <f t="shared" si="3"/>
        <v>0</v>
      </c>
      <c r="W1721" s="52">
        <f>IFERROR(__xludf.DUMMYFUNCTION("iFERROR((FILTER('Fund Data'!$Y:$Y, 'Fund Data'!$C:$C = $C1721, 'Fund Data'!$A:$A = $A1721 - 1, 'Fund Data'!$B:$B = 12) + FILTER('Fund Data'!$AA:$AA, 'Fund Data'!$C:$C = $C1721, 'Fund Data'!$A:$A = $A1721 - 1, 'Fund Data'!$B:$B = 12)) * (1 + AVERAGE(FILTER"&amp;"('Inflation Data'!$C:$C,'Inflation Data'!$A:$A = ($A1721 - 2)))) * 'Parameters and Distribution Sum'!$A$4,0)"),0.0)</f>
        <v>0</v>
      </c>
      <c r="X1721" s="52">
        <f>IFERROR(__xludf.DUMMYFUNCTION("IFERROR((IFERROR(FILTER('Fund Data'!$P:$P,'Fund Data'!$C:$C = $C1721,'Fund Data'!$A:$A = ($A1721 - 2), 'Fund Data'!$B:$B = 12),0) - SUM(FILTER('Fund Data'!$V:$V, 'Fund Data'!$C:$C = $C1721, 'Fund Data'!$A:$A = ($A1721 - 2), 'Fund Data'!$B:$B &gt; 3)))  * 'Pa"&amp;"rameters and Distribution Sum'!$B$4 * (1 - 'Parameters and Distribution Sum'!$A$4),0)"),0.0)</f>
        <v>0</v>
      </c>
      <c r="Y1721" s="52">
        <f t="shared" si="140"/>
        <v>0</v>
      </c>
      <c r="Z1721" s="52">
        <f>IFERROR(__xludf.DUMMYFUNCTION("((IFERROR((SUM(FILTER('Fund Data'!$V:$V, 'Fund Data'!$C:$C = $C1721, 'Fund Data'!$A:$A = $A1721 - 1, 'Fund Data'!$B:$B &gt;= 4, 'Fund Data'!$B:$B &lt;= ($B1721 + 5))) / 12) * ($B1721 - 3) * 'Parameters and Distribution Sum'!$B$4, 0) + IF($B1721 &gt;= 9, IFERROR(SU"&amp;"M(FILTER('Fund Data'!$V:$V, 'Fund Data'!$C:$C = $C1721, 'Fund Data'!$A:$A = $A1721, 'Fund Data'!$B:$B &lt;= 3)) * 'Parameters and Distribution Sum'!$B$4, 0),0)))"),0.0)</f>
        <v>0</v>
      </c>
      <c r="AA1721" s="44">
        <f>IFERROR(__xludf.DUMMYFUNCTION("IFERROR(((IFERROR(SUM(FILTER('Fund Data'!$V:$V, 'Fund Data'!$C:$C = $C1721, 'Fund Data'!$A:$A = $A1721 - 2, 'Fund Data'!$B:$B &gt;= 4)) * 'Parameters and Distribution Sum'!$B$4,0) + IFERROR(SUM(FILTER('Fund Data'!$V:$V, 'Fund Data'!$C:$C = $C1721, 'Fund Data"&amp;"'!$A:$A = $A1721 - 1, 'Fund Data'!$B:$B &lt;= 3)) * 'Parameters and Distribution Sum'!$B$4,0))),0)"),0.0)</f>
        <v>0</v>
      </c>
      <c r="AB1721" s="44">
        <f t="shared" si="141"/>
        <v>0</v>
      </c>
      <c r="AC1721" s="44">
        <f t="shared" si="142"/>
        <v>0</v>
      </c>
      <c r="AD1721" s="44">
        <f t="shared" si="7"/>
        <v>0</v>
      </c>
      <c r="AE1721" s="44"/>
    </row>
    <row r="1722">
      <c r="A1722" s="178"/>
      <c r="B1722" s="179"/>
      <c r="C1722" s="147"/>
      <c r="D1722" s="44"/>
      <c r="E1722" s="44"/>
      <c r="F1722" s="44"/>
      <c r="G1722" s="44"/>
      <c r="H1722" s="44"/>
      <c r="I1722" s="44"/>
      <c r="J1722" s="44"/>
      <c r="K1722" s="44"/>
      <c r="L1722" s="44"/>
      <c r="M1722" s="44"/>
      <c r="N1722" s="44"/>
      <c r="O1722" s="44"/>
      <c r="P1722" s="52">
        <f t="shared" si="23"/>
        <v>0</v>
      </c>
      <c r="Q1722" s="124">
        <f t="shared" si="2"/>
        <v>0</v>
      </c>
      <c r="R1722" s="52">
        <f t="array" ref="R1722">IFERROR(INDEX('Fund YTD Target Values'!$1:$1000, MATCH($C1722,'Fund YTD Target Values'!$A:$A,0), MATCH($A1722,'Fund YTD Target Values'!$1:$1,0)),0)</f>
        <v>0</v>
      </c>
      <c r="S1722" s="52">
        <f>IFERROR(__xludf.DUMMYFUNCTION("IFERROR(sum(FILTER('Fund Data'!$V:$V, 'Fund Data'!$C:$C = $C1722, 'Fund Data'!$A:$A &lt; $A1722)),0) + IFERROR(sum(FILTER('Fund Data'!$V:$V, 'Fund Data'!$C:$C = $C1722, 'Fund Data'!$A:$A = $A1722, 'Fund Data'!$B:$B &lt;= $B1722)),0)"),0.0)</f>
        <v>0</v>
      </c>
      <c r="T1722" s="44"/>
      <c r="U1722" s="44"/>
      <c r="V1722" s="44">
        <f t="shared" si="3"/>
        <v>0</v>
      </c>
      <c r="W1722" s="52">
        <f>IFERROR(__xludf.DUMMYFUNCTION("iFERROR((FILTER('Fund Data'!$Y:$Y, 'Fund Data'!$C:$C = $C1722, 'Fund Data'!$A:$A = $A1722 - 1, 'Fund Data'!$B:$B = 12) + FILTER('Fund Data'!$AA:$AA, 'Fund Data'!$C:$C = $C1722, 'Fund Data'!$A:$A = $A1722 - 1, 'Fund Data'!$B:$B = 12)) * (1 + AVERAGE(FILTER"&amp;"('Inflation Data'!$C:$C,'Inflation Data'!$A:$A = ($A1722 - 2)))) * 'Parameters and Distribution Sum'!$A$4,0)"),0.0)</f>
        <v>0</v>
      </c>
      <c r="X1722" s="52">
        <f>IFERROR(__xludf.DUMMYFUNCTION("IFERROR((IFERROR(FILTER('Fund Data'!$P:$P,'Fund Data'!$C:$C = $C1722,'Fund Data'!$A:$A = ($A1722 - 2), 'Fund Data'!$B:$B = 12),0) - SUM(FILTER('Fund Data'!$V:$V, 'Fund Data'!$C:$C = $C1722, 'Fund Data'!$A:$A = ($A1722 - 2), 'Fund Data'!$B:$B &gt; 3)))  * 'Pa"&amp;"rameters and Distribution Sum'!$B$4 * (1 - 'Parameters and Distribution Sum'!$A$4),0)"),0.0)</f>
        <v>0</v>
      </c>
      <c r="Y1722" s="52">
        <f t="shared" si="140"/>
        <v>0</v>
      </c>
      <c r="Z1722" s="52">
        <f>IFERROR(__xludf.DUMMYFUNCTION("((IFERROR((SUM(FILTER('Fund Data'!$V:$V, 'Fund Data'!$C:$C = $C1722, 'Fund Data'!$A:$A = $A1722 - 1, 'Fund Data'!$B:$B &gt;= 4, 'Fund Data'!$B:$B &lt;= ($B1722 + 5))) / 12) * ($B1722 - 3) * 'Parameters and Distribution Sum'!$B$4, 0) + IF($B1722 &gt;= 9, IFERROR(SU"&amp;"M(FILTER('Fund Data'!$V:$V, 'Fund Data'!$C:$C = $C1722, 'Fund Data'!$A:$A = $A1722, 'Fund Data'!$B:$B &lt;= 3)) * 'Parameters and Distribution Sum'!$B$4, 0),0)))"),0.0)</f>
        <v>0</v>
      </c>
      <c r="AA1722" s="44">
        <f>IFERROR(__xludf.DUMMYFUNCTION("IFERROR(((IFERROR(SUM(FILTER('Fund Data'!$V:$V, 'Fund Data'!$C:$C = $C1722, 'Fund Data'!$A:$A = $A1722 - 2, 'Fund Data'!$B:$B &gt;= 4)) * 'Parameters and Distribution Sum'!$B$4,0) + IFERROR(SUM(FILTER('Fund Data'!$V:$V, 'Fund Data'!$C:$C = $C1722, 'Fund Data"&amp;"'!$A:$A = $A1722 - 1, 'Fund Data'!$B:$B &lt;= 3)) * 'Parameters and Distribution Sum'!$B$4,0))),0)"),0.0)</f>
        <v>0</v>
      </c>
      <c r="AB1722" s="44">
        <f t="shared" si="141"/>
        <v>0</v>
      </c>
      <c r="AC1722" s="44">
        <f t="shared" si="142"/>
        <v>0</v>
      </c>
      <c r="AD1722" s="44">
        <f t="shared" si="7"/>
        <v>0</v>
      </c>
      <c r="AE1722" s="44"/>
    </row>
    <row r="1723">
      <c r="A1723" s="178"/>
      <c r="B1723" s="179"/>
      <c r="C1723" s="147"/>
      <c r="D1723" s="44"/>
      <c r="E1723" s="44"/>
      <c r="F1723" s="44"/>
      <c r="G1723" s="44"/>
      <c r="H1723" s="44"/>
      <c r="I1723" s="44"/>
      <c r="J1723" s="44"/>
      <c r="K1723" s="44"/>
      <c r="L1723" s="44"/>
      <c r="M1723" s="44"/>
      <c r="N1723" s="44"/>
      <c r="O1723" s="44"/>
      <c r="P1723" s="52">
        <f t="shared" si="23"/>
        <v>0</v>
      </c>
      <c r="Q1723" s="124">
        <f t="shared" si="2"/>
        <v>0</v>
      </c>
      <c r="R1723" s="52">
        <f t="array" ref="R1723">IFERROR(INDEX('Fund YTD Target Values'!$1:$1000, MATCH($C1723,'Fund YTD Target Values'!$A:$A,0), MATCH($A1723,'Fund YTD Target Values'!$1:$1,0)),0)</f>
        <v>0</v>
      </c>
      <c r="S1723" s="52">
        <f>IFERROR(__xludf.DUMMYFUNCTION("IFERROR(sum(FILTER('Fund Data'!$V:$V, 'Fund Data'!$C:$C = $C1723, 'Fund Data'!$A:$A &lt; $A1723)),0) + IFERROR(sum(FILTER('Fund Data'!$V:$V, 'Fund Data'!$C:$C = $C1723, 'Fund Data'!$A:$A = $A1723, 'Fund Data'!$B:$B &lt;= $B1723)),0)"),0.0)</f>
        <v>0</v>
      </c>
      <c r="T1723" s="44"/>
      <c r="U1723" s="44"/>
      <c r="V1723" s="44">
        <f t="shared" si="3"/>
        <v>0</v>
      </c>
      <c r="W1723" s="52">
        <f>IFERROR(__xludf.DUMMYFUNCTION("iFERROR((FILTER('Fund Data'!$Y:$Y, 'Fund Data'!$C:$C = $C1723, 'Fund Data'!$A:$A = $A1723 - 1, 'Fund Data'!$B:$B = 12) + FILTER('Fund Data'!$AA:$AA, 'Fund Data'!$C:$C = $C1723, 'Fund Data'!$A:$A = $A1723 - 1, 'Fund Data'!$B:$B = 12)) * (1 + AVERAGE(FILTER"&amp;"('Inflation Data'!$C:$C,'Inflation Data'!$A:$A = ($A1723 - 2)))) * 'Parameters and Distribution Sum'!$A$4,0)"),0.0)</f>
        <v>0</v>
      </c>
      <c r="X1723" s="52">
        <f>IFERROR(__xludf.DUMMYFUNCTION("IFERROR((IFERROR(FILTER('Fund Data'!$P:$P,'Fund Data'!$C:$C = $C1723,'Fund Data'!$A:$A = ($A1723 - 2), 'Fund Data'!$B:$B = 12),0) - SUM(FILTER('Fund Data'!$V:$V, 'Fund Data'!$C:$C = $C1723, 'Fund Data'!$A:$A = ($A1723 - 2), 'Fund Data'!$B:$B &gt; 3)))  * 'Pa"&amp;"rameters and Distribution Sum'!$B$4 * (1 - 'Parameters and Distribution Sum'!$A$4),0)"),0.0)</f>
        <v>0</v>
      </c>
      <c r="Y1723" s="52">
        <f t="shared" si="140"/>
        <v>0</v>
      </c>
      <c r="Z1723" s="52">
        <f>IFERROR(__xludf.DUMMYFUNCTION("((IFERROR((SUM(FILTER('Fund Data'!$V:$V, 'Fund Data'!$C:$C = $C1723, 'Fund Data'!$A:$A = $A1723 - 1, 'Fund Data'!$B:$B &gt;= 4, 'Fund Data'!$B:$B &lt;= ($B1723 + 5))) / 12) * ($B1723 - 3) * 'Parameters and Distribution Sum'!$B$4, 0) + IF($B1723 &gt;= 9, IFERROR(SU"&amp;"M(FILTER('Fund Data'!$V:$V, 'Fund Data'!$C:$C = $C1723, 'Fund Data'!$A:$A = $A1723, 'Fund Data'!$B:$B &lt;= 3)) * 'Parameters and Distribution Sum'!$B$4, 0),0)))"),0.0)</f>
        <v>0</v>
      </c>
      <c r="AA1723" s="44">
        <f>IFERROR(__xludf.DUMMYFUNCTION("IFERROR(((IFERROR(SUM(FILTER('Fund Data'!$V:$V, 'Fund Data'!$C:$C = $C1723, 'Fund Data'!$A:$A = $A1723 - 2, 'Fund Data'!$B:$B &gt;= 4)) * 'Parameters and Distribution Sum'!$B$4,0) + IFERROR(SUM(FILTER('Fund Data'!$V:$V, 'Fund Data'!$C:$C = $C1723, 'Fund Data"&amp;"'!$A:$A = $A1723 - 1, 'Fund Data'!$B:$B &lt;= 3)) * 'Parameters and Distribution Sum'!$B$4,0))),0)"),0.0)</f>
        <v>0</v>
      </c>
      <c r="AB1723" s="44">
        <f t="shared" si="141"/>
        <v>0</v>
      </c>
      <c r="AC1723" s="44">
        <f t="shared" si="142"/>
        <v>0</v>
      </c>
      <c r="AD1723" s="44">
        <f t="shared" si="7"/>
        <v>0</v>
      </c>
      <c r="AE1723" s="44"/>
    </row>
    <row r="1724">
      <c r="A1724" s="178"/>
      <c r="B1724" s="179"/>
      <c r="C1724" s="147"/>
      <c r="D1724" s="44"/>
      <c r="E1724" s="44"/>
      <c r="F1724" s="44"/>
      <c r="G1724" s="44"/>
      <c r="H1724" s="44"/>
      <c r="I1724" s="44"/>
      <c r="J1724" s="44"/>
      <c r="K1724" s="44"/>
      <c r="L1724" s="44"/>
      <c r="M1724" s="44"/>
      <c r="N1724" s="44"/>
      <c r="O1724" s="44"/>
      <c r="P1724" s="52">
        <f t="shared" si="23"/>
        <v>0</v>
      </c>
      <c r="Q1724" s="124">
        <f t="shared" si="2"/>
        <v>0</v>
      </c>
      <c r="R1724" s="52">
        <f t="array" ref="R1724">IFERROR(INDEX('Fund YTD Target Values'!$1:$1000, MATCH($C1724,'Fund YTD Target Values'!$A:$A,0), MATCH($A1724,'Fund YTD Target Values'!$1:$1,0)),0)</f>
        <v>0</v>
      </c>
      <c r="S1724" s="52">
        <f>IFERROR(__xludf.DUMMYFUNCTION("IFERROR(sum(FILTER('Fund Data'!$V:$V, 'Fund Data'!$C:$C = $C1724, 'Fund Data'!$A:$A &lt; $A1724)),0) + IFERROR(sum(FILTER('Fund Data'!$V:$V, 'Fund Data'!$C:$C = $C1724, 'Fund Data'!$A:$A = $A1724, 'Fund Data'!$B:$B &lt;= $B1724)),0)"),0.0)</f>
        <v>0</v>
      </c>
      <c r="T1724" s="44"/>
      <c r="U1724" s="44"/>
      <c r="V1724" s="44">
        <f t="shared" si="3"/>
        <v>0</v>
      </c>
      <c r="W1724" s="52">
        <f>IFERROR(__xludf.DUMMYFUNCTION("iFERROR((FILTER('Fund Data'!$Y:$Y, 'Fund Data'!$C:$C = $C1724, 'Fund Data'!$A:$A = $A1724 - 1, 'Fund Data'!$B:$B = 12) + FILTER('Fund Data'!$AA:$AA, 'Fund Data'!$C:$C = $C1724, 'Fund Data'!$A:$A = $A1724 - 1, 'Fund Data'!$B:$B = 12)) * (1 + AVERAGE(FILTER"&amp;"('Inflation Data'!$C:$C,'Inflation Data'!$A:$A = ($A1724 - 2)))) * 'Parameters and Distribution Sum'!$A$4,0)"),0.0)</f>
        <v>0</v>
      </c>
      <c r="X1724" s="52">
        <f>IFERROR(__xludf.DUMMYFUNCTION("IFERROR((IFERROR(FILTER('Fund Data'!$P:$P,'Fund Data'!$C:$C = $C1724,'Fund Data'!$A:$A = ($A1724 - 2), 'Fund Data'!$B:$B = 12),0) - SUM(FILTER('Fund Data'!$V:$V, 'Fund Data'!$C:$C = $C1724, 'Fund Data'!$A:$A = ($A1724 - 2), 'Fund Data'!$B:$B &gt; 3)))  * 'Pa"&amp;"rameters and Distribution Sum'!$B$4 * (1 - 'Parameters and Distribution Sum'!$A$4),0)"),0.0)</f>
        <v>0</v>
      </c>
      <c r="Y1724" s="52">
        <f t="shared" si="140"/>
        <v>0</v>
      </c>
      <c r="Z1724" s="52">
        <f>IFERROR(__xludf.DUMMYFUNCTION("((IFERROR((SUM(FILTER('Fund Data'!$V:$V, 'Fund Data'!$C:$C = $C1724, 'Fund Data'!$A:$A = $A1724 - 1, 'Fund Data'!$B:$B &gt;= 4, 'Fund Data'!$B:$B &lt;= ($B1724 + 5))) / 12) * ($B1724 - 3) * 'Parameters and Distribution Sum'!$B$4, 0) + IF($B1724 &gt;= 9, IFERROR(SU"&amp;"M(FILTER('Fund Data'!$V:$V, 'Fund Data'!$C:$C = $C1724, 'Fund Data'!$A:$A = $A1724, 'Fund Data'!$B:$B &lt;= 3)) * 'Parameters and Distribution Sum'!$B$4, 0),0)))"),0.0)</f>
        <v>0</v>
      </c>
      <c r="AA1724" s="44">
        <f>IFERROR(__xludf.DUMMYFUNCTION("IFERROR(((IFERROR(SUM(FILTER('Fund Data'!$V:$V, 'Fund Data'!$C:$C = $C1724, 'Fund Data'!$A:$A = $A1724 - 2, 'Fund Data'!$B:$B &gt;= 4)) * 'Parameters and Distribution Sum'!$B$4,0) + IFERROR(SUM(FILTER('Fund Data'!$V:$V, 'Fund Data'!$C:$C = $C1724, 'Fund Data"&amp;"'!$A:$A = $A1724 - 1, 'Fund Data'!$B:$B &lt;= 3)) * 'Parameters and Distribution Sum'!$B$4,0))),0)"),0.0)</f>
        <v>0</v>
      </c>
      <c r="AB1724" s="44">
        <f t="shared" si="141"/>
        <v>0</v>
      </c>
      <c r="AC1724" s="44">
        <f t="shared" si="142"/>
        <v>0</v>
      </c>
      <c r="AD1724" s="44">
        <f t="shared" si="7"/>
        <v>0</v>
      </c>
      <c r="AE1724" s="44"/>
    </row>
    <row r="1725">
      <c r="A1725" s="178"/>
      <c r="B1725" s="179"/>
      <c r="C1725" s="147"/>
      <c r="D1725" s="44"/>
      <c r="E1725" s="44"/>
      <c r="F1725" s="44"/>
      <c r="G1725" s="44"/>
      <c r="H1725" s="44"/>
      <c r="I1725" s="44"/>
      <c r="J1725" s="44"/>
      <c r="K1725" s="44"/>
      <c r="L1725" s="44"/>
      <c r="M1725" s="44"/>
      <c r="N1725" s="44"/>
      <c r="O1725" s="44"/>
      <c r="P1725" s="52">
        <f t="shared" si="23"/>
        <v>0</v>
      </c>
      <c r="Q1725" s="124">
        <f t="shared" si="2"/>
        <v>0</v>
      </c>
      <c r="R1725" s="52">
        <f t="array" ref="R1725">IFERROR(INDEX('Fund YTD Target Values'!$1:$1000, MATCH($C1725,'Fund YTD Target Values'!$A:$A,0), MATCH($A1725,'Fund YTD Target Values'!$1:$1,0)),0)</f>
        <v>0</v>
      </c>
      <c r="S1725" s="52">
        <f>IFERROR(__xludf.DUMMYFUNCTION("IFERROR(sum(FILTER('Fund Data'!$V:$V, 'Fund Data'!$C:$C = $C1725, 'Fund Data'!$A:$A &lt; $A1725)),0) + IFERROR(sum(FILTER('Fund Data'!$V:$V, 'Fund Data'!$C:$C = $C1725, 'Fund Data'!$A:$A = $A1725, 'Fund Data'!$B:$B &lt;= $B1725)),0)"),0.0)</f>
        <v>0</v>
      </c>
      <c r="T1725" s="44"/>
      <c r="U1725" s="44"/>
      <c r="V1725" s="44">
        <f t="shared" si="3"/>
        <v>0</v>
      </c>
      <c r="W1725" s="52">
        <f>IFERROR(__xludf.DUMMYFUNCTION("iFERROR((FILTER('Fund Data'!$Y:$Y, 'Fund Data'!$C:$C = $C1725, 'Fund Data'!$A:$A = $A1725 - 1, 'Fund Data'!$B:$B = 12) + FILTER('Fund Data'!$AA:$AA, 'Fund Data'!$C:$C = $C1725, 'Fund Data'!$A:$A = $A1725 - 1, 'Fund Data'!$B:$B = 12)) * (1 + AVERAGE(FILTER"&amp;"('Inflation Data'!$C:$C,'Inflation Data'!$A:$A = ($A1725 - 2)))) * 'Parameters and Distribution Sum'!$A$4,0)"),0.0)</f>
        <v>0</v>
      </c>
      <c r="X1725" s="52">
        <f>IFERROR(__xludf.DUMMYFUNCTION("IFERROR((IFERROR(FILTER('Fund Data'!$P:$P,'Fund Data'!$C:$C = $C1725,'Fund Data'!$A:$A = ($A1725 - 2), 'Fund Data'!$B:$B = 12),0) - SUM(FILTER('Fund Data'!$V:$V, 'Fund Data'!$C:$C = $C1725, 'Fund Data'!$A:$A = ($A1725 - 2), 'Fund Data'!$B:$B &gt; 3)))  * 'Pa"&amp;"rameters and Distribution Sum'!$B$4 * (1 - 'Parameters and Distribution Sum'!$A$4),0)"),0.0)</f>
        <v>0</v>
      </c>
      <c r="Y1725" s="52">
        <f t="shared" si="140"/>
        <v>0</v>
      </c>
      <c r="Z1725" s="52">
        <f>IFERROR(__xludf.DUMMYFUNCTION("((IFERROR((SUM(FILTER('Fund Data'!$V:$V, 'Fund Data'!$C:$C = $C1725, 'Fund Data'!$A:$A = $A1725 - 1, 'Fund Data'!$B:$B &gt;= 4, 'Fund Data'!$B:$B &lt;= ($B1725 + 5))) / 12) * ($B1725 - 3) * 'Parameters and Distribution Sum'!$B$4, 0) + IF($B1725 &gt;= 9, IFERROR(SU"&amp;"M(FILTER('Fund Data'!$V:$V, 'Fund Data'!$C:$C = $C1725, 'Fund Data'!$A:$A = $A1725, 'Fund Data'!$B:$B &lt;= 3)) * 'Parameters and Distribution Sum'!$B$4, 0),0)))"),0.0)</f>
        <v>0</v>
      </c>
      <c r="AA1725" s="44">
        <f>IFERROR(__xludf.DUMMYFUNCTION("IFERROR(((IFERROR(SUM(FILTER('Fund Data'!$V:$V, 'Fund Data'!$C:$C = $C1725, 'Fund Data'!$A:$A = $A1725 - 2, 'Fund Data'!$B:$B &gt;= 4)) * 'Parameters and Distribution Sum'!$B$4,0) + IFERROR(SUM(FILTER('Fund Data'!$V:$V, 'Fund Data'!$C:$C = $C1725, 'Fund Data"&amp;"'!$A:$A = $A1725 - 1, 'Fund Data'!$B:$B &lt;= 3)) * 'Parameters and Distribution Sum'!$B$4,0))),0)"),0.0)</f>
        <v>0</v>
      </c>
      <c r="AB1725" s="44">
        <f t="shared" si="141"/>
        <v>0</v>
      </c>
      <c r="AC1725" s="44">
        <f t="shared" si="142"/>
        <v>0</v>
      </c>
      <c r="AD1725" s="44">
        <f t="shared" si="7"/>
        <v>0</v>
      </c>
      <c r="AE1725" s="44"/>
    </row>
    <row r="1726">
      <c r="A1726" s="178"/>
      <c r="B1726" s="179"/>
      <c r="C1726" s="147"/>
      <c r="D1726" s="44"/>
      <c r="E1726" s="44"/>
      <c r="F1726" s="44"/>
      <c r="G1726" s="44"/>
      <c r="H1726" s="44"/>
      <c r="I1726" s="44"/>
      <c r="J1726" s="44"/>
      <c r="K1726" s="44"/>
      <c r="L1726" s="44"/>
      <c r="M1726" s="44"/>
      <c r="N1726" s="44"/>
      <c r="O1726" s="44"/>
      <c r="P1726" s="52">
        <f t="shared" si="23"/>
        <v>0</v>
      </c>
      <c r="Q1726" s="124">
        <f t="shared" si="2"/>
        <v>0</v>
      </c>
      <c r="R1726" s="52">
        <f t="array" ref="R1726">IFERROR(INDEX('Fund YTD Target Values'!$1:$1000, MATCH($C1726,'Fund YTD Target Values'!$A:$A,0), MATCH($A1726,'Fund YTD Target Values'!$1:$1,0)),0)</f>
        <v>0</v>
      </c>
      <c r="S1726" s="52">
        <f>IFERROR(__xludf.DUMMYFUNCTION("IFERROR(sum(FILTER('Fund Data'!$V:$V, 'Fund Data'!$C:$C = $C1726, 'Fund Data'!$A:$A &lt; $A1726)),0) + IFERROR(sum(FILTER('Fund Data'!$V:$V, 'Fund Data'!$C:$C = $C1726, 'Fund Data'!$A:$A = $A1726, 'Fund Data'!$B:$B &lt;= $B1726)),0)"),0.0)</f>
        <v>0</v>
      </c>
      <c r="T1726" s="44"/>
      <c r="U1726" s="44"/>
      <c r="V1726" s="44">
        <f t="shared" si="3"/>
        <v>0</v>
      </c>
      <c r="W1726" s="52">
        <f>IFERROR(__xludf.DUMMYFUNCTION("iFERROR((FILTER('Fund Data'!$Y:$Y, 'Fund Data'!$C:$C = $C1726, 'Fund Data'!$A:$A = $A1726 - 1, 'Fund Data'!$B:$B = 12) + FILTER('Fund Data'!$AA:$AA, 'Fund Data'!$C:$C = $C1726, 'Fund Data'!$A:$A = $A1726 - 1, 'Fund Data'!$B:$B = 12)) * (1 + AVERAGE(FILTER"&amp;"('Inflation Data'!$C:$C,'Inflation Data'!$A:$A = ($A1726 - 2)))) * 'Parameters and Distribution Sum'!$A$4,0)"),0.0)</f>
        <v>0</v>
      </c>
      <c r="X1726" s="52">
        <f>IFERROR(__xludf.DUMMYFUNCTION("IFERROR((IFERROR(FILTER('Fund Data'!$P:$P,'Fund Data'!$C:$C = $C1726,'Fund Data'!$A:$A = ($A1726 - 2), 'Fund Data'!$B:$B = 12),0) - SUM(FILTER('Fund Data'!$V:$V, 'Fund Data'!$C:$C = $C1726, 'Fund Data'!$A:$A = ($A1726 - 2), 'Fund Data'!$B:$B &gt; 3)))  * 'Pa"&amp;"rameters and Distribution Sum'!$B$4 * (1 - 'Parameters and Distribution Sum'!$A$4),0)"),0.0)</f>
        <v>0</v>
      </c>
      <c r="Y1726" s="52">
        <f t="shared" si="140"/>
        <v>0</v>
      </c>
      <c r="Z1726" s="52">
        <f>IFERROR(__xludf.DUMMYFUNCTION("((IFERROR((SUM(FILTER('Fund Data'!$V:$V, 'Fund Data'!$C:$C = $C1726, 'Fund Data'!$A:$A = $A1726 - 1, 'Fund Data'!$B:$B &gt;= 4, 'Fund Data'!$B:$B &lt;= ($B1726 + 5))) / 12) * ($B1726 - 3) * 'Parameters and Distribution Sum'!$B$4, 0) + IF($B1726 &gt;= 9, IFERROR(SU"&amp;"M(FILTER('Fund Data'!$V:$V, 'Fund Data'!$C:$C = $C1726, 'Fund Data'!$A:$A = $A1726, 'Fund Data'!$B:$B &lt;= 3)) * 'Parameters and Distribution Sum'!$B$4, 0),0)))"),0.0)</f>
        <v>0</v>
      </c>
      <c r="AA1726" s="44">
        <f>IFERROR(__xludf.DUMMYFUNCTION("IFERROR(((IFERROR(SUM(FILTER('Fund Data'!$V:$V, 'Fund Data'!$C:$C = $C1726, 'Fund Data'!$A:$A = $A1726 - 2, 'Fund Data'!$B:$B &gt;= 4)) * 'Parameters and Distribution Sum'!$B$4,0) + IFERROR(SUM(FILTER('Fund Data'!$V:$V, 'Fund Data'!$C:$C = $C1726, 'Fund Data"&amp;"'!$A:$A = $A1726 - 1, 'Fund Data'!$B:$B &lt;= 3)) * 'Parameters and Distribution Sum'!$B$4,0))),0)"),0.0)</f>
        <v>0</v>
      </c>
      <c r="AB1726" s="44">
        <f t="shared" si="141"/>
        <v>0</v>
      </c>
      <c r="AC1726" s="44">
        <f t="shared" si="142"/>
        <v>0</v>
      </c>
      <c r="AD1726" s="44">
        <f t="shared" si="7"/>
        <v>0</v>
      </c>
      <c r="AE1726" s="44"/>
    </row>
    <row r="1727">
      <c r="A1727" s="178"/>
      <c r="B1727" s="179"/>
      <c r="C1727" s="147"/>
      <c r="D1727" s="44"/>
      <c r="E1727" s="44"/>
      <c r="F1727" s="44"/>
      <c r="G1727" s="44"/>
      <c r="H1727" s="44"/>
      <c r="I1727" s="44"/>
      <c r="J1727" s="44"/>
      <c r="K1727" s="44"/>
      <c r="L1727" s="44"/>
      <c r="M1727" s="44"/>
      <c r="N1727" s="44"/>
      <c r="O1727" s="44"/>
      <c r="P1727" s="52">
        <f t="shared" si="23"/>
        <v>0</v>
      </c>
      <c r="Q1727" s="124">
        <f t="shared" si="2"/>
        <v>0</v>
      </c>
      <c r="R1727" s="52">
        <f t="array" ref="R1727">IFERROR(INDEX('Fund YTD Target Values'!$1:$1000, MATCH($C1727,'Fund YTD Target Values'!$A:$A,0), MATCH($A1727,'Fund YTD Target Values'!$1:$1,0)),0)</f>
        <v>0</v>
      </c>
      <c r="S1727" s="52">
        <f>IFERROR(__xludf.DUMMYFUNCTION("IFERROR(sum(FILTER('Fund Data'!$V:$V, 'Fund Data'!$C:$C = $C1727, 'Fund Data'!$A:$A &lt; $A1727)),0) + IFERROR(sum(FILTER('Fund Data'!$V:$V, 'Fund Data'!$C:$C = $C1727, 'Fund Data'!$A:$A = $A1727, 'Fund Data'!$B:$B &lt;= $B1727)),0)"),0.0)</f>
        <v>0</v>
      </c>
      <c r="T1727" s="44"/>
      <c r="U1727" s="44"/>
      <c r="V1727" s="44">
        <f t="shared" si="3"/>
        <v>0</v>
      </c>
      <c r="W1727" s="52">
        <f>IFERROR(__xludf.DUMMYFUNCTION("iFERROR((FILTER('Fund Data'!$Y:$Y, 'Fund Data'!$C:$C = $C1727, 'Fund Data'!$A:$A = $A1727 - 1, 'Fund Data'!$B:$B = 12) + FILTER('Fund Data'!$AA:$AA, 'Fund Data'!$C:$C = $C1727, 'Fund Data'!$A:$A = $A1727 - 1, 'Fund Data'!$B:$B = 12)) * (1 + AVERAGE(FILTER"&amp;"('Inflation Data'!$C:$C,'Inflation Data'!$A:$A = ($A1727 - 2)))) * 'Parameters and Distribution Sum'!$A$4,0)"),0.0)</f>
        <v>0</v>
      </c>
      <c r="X1727" s="52">
        <f>IFERROR(__xludf.DUMMYFUNCTION("IFERROR((IFERROR(FILTER('Fund Data'!$P:$P,'Fund Data'!$C:$C = $C1727,'Fund Data'!$A:$A = ($A1727 - 2), 'Fund Data'!$B:$B = 12),0) - SUM(FILTER('Fund Data'!$V:$V, 'Fund Data'!$C:$C = $C1727, 'Fund Data'!$A:$A = ($A1727 - 2), 'Fund Data'!$B:$B &gt; 3)))  * 'Pa"&amp;"rameters and Distribution Sum'!$B$4 * (1 - 'Parameters and Distribution Sum'!$A$4),0)"),0.0)</f>
        <v>0</v>
      </c>
      <c r="Y1727" s="52">
        <f t="shared" si="140"/>
        <v>0</v>
      </c>
      <c r="Z1727" s="52">
        <f>IFERROR(__xludf.DUMMYFUNCTION("((IFERROR((SUM(FILTER('Fund Data'!$V:$V, 'Fund Data'!$C:$C = $C1727, 'Fund Data'!$A:$A = $A1727 - 1, 'Fund Data'!$B:$B &gt;= 4, 'Fund Data'!$B:$B &lt;= ($B1727 + 5))) / 12) * ($B1727 - 3) * 'Parameters and Distribution Sum'!$B$4, 0) + IF($B1727 &gt;= 9, IFERROR(SU"&amp;"M(FILTER('Fund Data'!$V:$V, 'Fund Data'!$C:$C = $C1727, 'Fund Data'!$A:$A = $A1727, 'Fund Data'!$B:$B &lt;= 3)) * 'Parameters and Distribution Sum'!$B$4, 0),0)))"),0.0)</f>
        <v>0</v>
      </c>
      <c r="AA1727" s="44">
        <f>IFERROR(__xludf.DUMMYFUNCTION("IFERROR(((IFERROR(SUM(FILTER('Fund Data'!$V:$V, 'Fund Data'!$C:$C = $C1727, 'Fund Data'!$A:$A = $A1727 - 2, 'Fund Data'!$B:$B &gt;= 4)) * 'Parameters and Distribution Sum'!$B$4,0) + IFERROR(SUM(FILTER('Fund Data'!$V:$V, 'Fund Data'!$C:$C = $C1727, 'Fund Data"&amp;"'!$A:$A = $A1727 - 1, 'Fund Data'!$B:$B &lt;= 3)) * 'Parameters and Distribution Sum'!$B$4,0))),0)"),0.0)</f>
        <v>0</v>
      </c>
      <c r="AB1727" s="44">
        <f t="shared" si="141"/>
        <v>0</v>
      </c>
      <c r="AC1727" s="44">
        <f t="shared" si="142"/>
        <v>0</v>
      </c>
      <c r="AD1727" s="44">
        <f t="shared" si="7"/>
        <v>0</v>
      </c>
      <c r="AE1727" s="44"/>
    </row>
    <row r="1728">
      <c r="A1728" s="178"/>
      <c r="B1728" s="179"/>
      <c r="C1728" s="147"/>
      <c r="D1728" s="44"/>
      <c r="E1728" s="44"/>
      <c r="F1728" s="44"/>
      <c r="G1728" s="44"/>
      <c r="H1728" s="44"/>
      <c r="I1728" s="44"/>
      <c r="J1728" s="44"/>
      <c r="K1728" s="44"/>
      <c r="L1728" s="44"/>
      <c r="M1728" s="44"/>
      <c r="N1728" s="44"/>
      <c r="O1728" s="44"/>
      <c r="P1728" s="52">
        <f t="shared" si="23"/>
        <v>0</v>
      </c>
      <c r="Q1728" s="124">
        <f t="shared" si="2"/>
        <v>0</v>
      </c>
      <c r="R1728" s="52">
        <f t="array" ref="R1728">IFERROR(INDEX('Fund YTD Target Values'!$1:$1000, MATCH($C1728,'Fund YTD Target Values'!$A:$A,0), MATCH($A1728,'Fund YTD Target Values'!$1:$1,0)),0)</f>
        <v>0</v>
      </c>
      <c r="S1728" s="52">
        <f>IFERROR(__xludf.DUMMYFUNCTION("IFERROR(sum(FILTER('Fund Data'!$V:$V, 'Fund Data'!$C:$C = $C1728, 'Fund Data'!$A:$A &lt; $A1728)),0) + IFERROR(sum(FILTER('Fund Data'!$V:$V, 'Fund Data'!$C:$C = $C1728, 'Fund Data'!$A:$A = $A1728, 'Fund Data'!$B:$B &lt;= $B1728)),0)"),0.0)</f>
        <v>0</v>
      </c>
      <c r="T1728" s="44"/>
      <c r="U1728" s="44"/>
      <c r="V1728" s="44">
        <f t="shared" si="3"/>
        <v>0</v>
      </c>
      <c r="W1728" s="52">
        <f>IFERROR(__xludf.DUMMYFUNCTION("iFERROR((FILTER('Fund Data'!$Y:$Y, 'Fund Data'!$C:$C = $C1728, 'Fund Data'!$A:$A = $A1728 - 1, 'Fund Data'!$B:$B = 12) + FILTER('Fund Data'!$AA:$AA, 'Fund Data'!$C:$C = $C1728, 'Fund Data'!$A:$A = $A1728 - 1, 'Fund Data'!$B:$B = 12)) * (1 + AVERAGE(FILTER"&amp;"('Inflation Data'!$C:$C,'Inflation Data'!$A:$A = ($A1728 - 2)))) * 'Parameters and Distribution Sum'!$A$4,0)"),0.0)</f>
        <v>0</v>
      </c>
      <c r="X1728" s="52">
        <f>IFERROR(__xludf.DUMMYFUNCTION("IFERROR((IFERROR(FILTER('Fund Data'!$P:$P,'Fund Data'!$C:$C = $C1728,'Fund Data'!$A:$A = ($A1728 - 2), 'Fund Data'!$B:$B = 12),0) - SUM(FILTER('Fund Data'!$V:$V, 'Fund Data'!$C:$C = $C1728, 'Fund Data'!$A:$A = ($A1728 - 2), 'Fund Data'!$B:$B &gt; 3)))  * 'Pa"&amp;"rameters and Distribution Sum'!$B$4 * (1 - 'Parameters and Distribution Sum'!$A$4),0)"),0.0)</f>
        <v>0</v>
      </c>
      <c r="Y1728" s="52">
        <f t="shared" si="140"/>
        <v>0</v>
      </c>
      <c r="Z1728" s="52">
        <f>IFERROR(__xludf.DUMMYFUNCTION("((IFERROR((SUM(FILTER('Fund Data'!$V:$V, 'Fund Data'!$C:$C = $C1728, 'Fund Data'!$A:$A = $A1728 - 1, 'Fund Data'!$B:$B &gt;= 4, 'Fund Data'!$B:$B &lt;= ($B1728 + 5))) / 12) * ($B1728 - 3) * 'Parameters and Distribution Sum'!$B$4, 0) + IF($B1728 &gt;= 9, IFERROR(SU"&amp;"M(FILTER('Fund Data'!$V:$V, 'Fund Data'!$C:$C = $C1728, 'Fund Data'!$A:$A = $A1728, 'Fund Data'!$B:$B &lt;= 3)) * 'Parameters and Distribution Sum'!$B$4, 0),0)))"),0.0)</f>
        <v>0</v>
      </c>
      <c r="AA1728" s="44">
        <f>IFERROR(__xludf.DUMMYFUNCTION("IFERROR(((IFERROR(SUM(FILTER('Fund Data'!$V:$V, 'Fund Data'!$C:$C = $C1728, 'Fund Data'!$A:$A = $A1728 - 2, 'Fund Data'!$B:$B &gt;= 4)) * 'Parameters and Distribution Sum'!$B$4,0) + IFERROR(SUM(FILTER('Fund Data'!$V:$V, 'Fund Data'!$C:$C = $C1728, 'Fund Data"&amp;"'!$A:$A = $A1728 - 1, 'Fund Data'!$B:$B &lt;= 3)) * 'Parameters and Distribution Sum'!$B$4,0))),0)"),0.0)</f>
        <v>0</v>
      </c>
      <c r="AB1728" s="44">
        <f t="shared" si="141"/>
        <v>0</v>
      </c>
      <c r="AC1728" s="44">
        <f t="shared" si="142"/>
        <v>0</v>
      </c>
      <c r="AD1728" s="44">
        <f t="shared" si="7"/>
        <v>0</v>
      </c>
      <c r="AE1728" s="44"/>
    </row>
    <row r="1729">
      <c r="A1729" s="178"/>
      <c r="B1729" s="179"/>
      <c r="C1729" s="147"/>
      <c r="D1729" s="44"/>
      <c r="E1729" s="44"/>
      <c r="F1729" s="44"/>
      <c r="G1729" s="44"/>
      <c r="H1729" s="44"/>
      <c r="I1729" s="44"/>
      <c r="J1729" s="44"/>
      <c r="K1729" s="44"/>
      <c r="L1729" s="44"/>
      <c r="M1729" s="44"/>
      <c r="N1729" s="44"/>
      <c r="O1729" s="44"/>
      <c r="P1729" s="52">
        <f t="shared" si="23"/>
        <v>0</v>
      </c>
      <c r="Q1729" s="124">
        <f t="shared" si="2"/>
        <v>0</v>
      </c>
      <c r="R1729" s="52">
        <f t="array" ref="R1729">IFERROR(INDEX('Fund YTD Target Values'!$1:$1000, MATCH($C1729,'Fund YTD Target Values'!$A:$A,0), MATCH($A1729,'Fund YTD Target Values'!$1:$1,0)),0)</f>
        <v>0</v>
      </c>
      <c r="S1729" s="52">
        <f>IFERROR(__xludf.DUMMYFUNCTION("IFERROR(sum(FILTER('Fund Data'!$V:$V, 'Fund Data'!$C:$C = $C1729, 'Fund Data'!$A:$A &lt; $A1729)),0) + IFERROR(sum(FILTER('Fund Data'!$V:$V, 'Fund Data'!$C:$C = $C1729, 'Fund Data'!$A:$A = $A1729, 'Fund Data'!$B:$B &lt;= $B1729)),0)"),0.0)</f>
        <v>0</v>
      </c>
      <c r="T1729" s="44"/>
      <c r="U1729" s="44"/>
      <c r="V1729" s="44">
        <f t="shared" si="3"/>
        <v>0</v>
      </c>
      <c r="W1729" s="52">
        <f>IFERROR(__xludf.DUMMYFUNCTION("iFERROR((FILTER('Fund Data'!$Y:$Y, 'Fund Data'!$C:$C = $C1729, 'Fund Data'!$A:$A = $A1729 - 1, 'Fund Data'!$B:$B = 12) + FILTER('Fund Data'!$AA:$AA, 'Fund Data'!$C:$C = $C1729, 'Fund Data'!$A:$A = $A1729 - 1, 'Fund Data'!$B:$B = 12)) * (1 + AVERAGE(FILTER"&amp;"('Inflation Data'!$C:$C,'Inflation Data'!$A:$A = ($A1729 - 2)))) * 'Parameters and Distribution Sum'!$A$4,0)"),0.0)</f>
        <v>0</v>
      </c>
      <c r="X1729" s="52">
        <f>IFERROR(__xludf.DUMMYFUNCTION("IFERROR((IFERROR(FILTER('Fund Data'!$P:$P,'Fund Data'!$C:$C = $C1729,'Fund Data'!$A:$A = ($A1729 - 2), 'Fund Data'!$B:$B = 12),0) - SUM(FILTER('Fund Data'!$V:$V, 'Fund Data'!$C:$C = $C1729, 'Fund Data'!$A:$A = ($A1729 - 2), 'Fund Data'!$B:$B &gt; 3)))  * 'Pa"&amp;"rameters and Distribution Sum'!$B$4 * (1 - 'Parameters and Distribution Sum'!$A$4),0)"),0.0)</f>
        <v>0</v>
      </c>
      <c r="Y1729" s="52">
        <f t="shared" si="140"/>
        <v>0</v>
      </c>
      <c r="Z1729" s="52">
        <f>IFERROR(__xludf.DUMMYFUNCTION("((IFERROR((SUM(FILTER('Fund Data'!$V:$V, 'Fund Data'!$C:$C = $C1729, 'Fund Data'!$A:$A = $A1729 - 1, 'Fund Data'!$B:$B &gt;= 4, 'Fund Data'!$B:$B &lt;= ($B1729 + 5))) / 12) * ($B1729 - 3) * 'Parameters and Distribution Sum'!$B$4, 0) + IF($B1729 &gt;= 9, IFERROR(SU"&amp;"M(FILTER('Fund Data'!$V:$V, 'Fund Data'!$C:$C = $C1729, 'Fund Data'!$A:$A = $A1729, 'Fund Data'!$B:$B &lt;= 3)) * 'Parameters and Distribution Sum'!$B$4, 0),0)))"),0.0)</f>
        <v>0</v>
      </c>
      <c r="AA1729" s="44">
        <f>IFERROR(__xludf.DUMMYFUNCTION("IFERROR(((IFERROR(SUM(FILTER('Fund Data'!$V:$V, 'Fund Data'!$C:$C = $C1729, 'Fund Data'!$A:$A = $A1729 - 2, 'Fund Data'!$B:$B &gt;= 4)) * 'Parameters and Distribution Sum'!$B$4,0) + IFERROR(SUM(FILTER('Fund Data'!$V:$V, 'Fund Data'!$C:$C = $C1729, 'Fund Data"&amp;"'!$A:$A = $A1729 - 1, 'Fund Data'!$B:$B &lt;= 3)) * 'Parameters and Distribution Sum'!$B$4,0))),0)"),0.0)</f>
        <v>0</v>
      </c>
      <c r="AB1729" s="44">
        <f t="shared" si="141"/>
        <v>0</v>
      </c>
      <c r="AC1729" s="44">
        <f t="shared" si="142"/>
        <v>0</v>
      </c>
      <c r="AD1729" s="44">
        <f t="shared" si="7"/>
        <v>0</v>
      </c>
      <c r="AE1729" s="44"/>
    </row>
    <row r="1730">
      <c r="A1730" s="178"/>
      <c r="B1730" s="179"/>
      <c r="C1730" s="147"/>
      <c r="D1730" s="44"/>
      <c r="E1730" s="44"/>
      <c r="F1730" s="44"/>
      <c r="G1730" s="44"/>
      <c r="H1730" s="44"/>
      <c r="I1730" s="44"/>
      <c r="J1730" s="44"/>
      <c r="K1730" s="44"/>
      <c r="L1730" s="44"/>
      <c r="M1730" s="44"/>
      <c r="N1730" s="44"/>
      <c r="O1730" s="44"/>
      <c r="P1730" s="52">
        <f t="shared" si="23"/>
        <v>0</v>
      </c>
      <c r="Q1730" s="124">
        <f t="shared" si="2"/>
        <v>0</v>
      </c>
      <c r="R1730" s="52">
        <f t="array" ref="R1730">IFERROR(INDEX('Fund YTD Target Values'!$1:$1000, MATCH($C1730,'Fund YTD Target Values'!$A:$A,0), MATCH($A1730,'Fund YTD Target Values'!$1:$1,0)),0)</f>
        <v>0</v>
      </c>
      <c r="S1730" s="52">
        <f>IFERROR(__xludf.DUMMYFUNCTION("IFERROR(sum(FILTER('Fund Data'!$V:$V, 'Fund Data'!$C:$C = $C1730, 'Fund Data'!$A:$A &lt; $A1730)),0) + IFERROR(sum(FILTER('Fund Data'!$V:$V, 'Fund Data'!$C:$C = $C1730, 'Fund Data'!$A:$A = $A1730, 'Fund Data'!$B:$B &lt;= $B1730)),0)"),0.0)</f>
        <v>0</v>
      </c>
      <c r="T1730" s="44"/>
      <c r="U1730" s="44"/>
      <c r="V1730" s="44">
        <f t="shared" si="3"/>
        <v>0</v>
      </c>
      <c r="W1730" s="52">
        <f>IFERROR(__xludf.DUMMYFUNCTION("iFERROR((FILTER('Fund Data'!$Y:$Y, 'Fund Data'!$C:$C = $C1730, 'Fund Data'!$A:$A = $A1730 - 1, 'Fund Data'!$B:$B = 12) + FILTER('Fund Data'!$AA:$AA, 'Fund Data'!$C:$C = $C1730, 'Fund Data'!$A:$A = $A1730 - 1, 'Fund Data'!$B:$B = 12)) * (1 + AVERAGE(FILTER"&amp;"('Inflation Data'!$C:$C,'Inflation Data'!$A:$A = ($A1730 - 2)))) * 'Parameters and Distribution Sum'!$A$4,0)"),0.0)</f>
        <v>0</v>
      </c>
      <c r="X1730" s="52">
        <f>IFERROR(__xludf.DUMMYFUNCTION("IFERROR((IFERROR(FILTER('Fund Data'!$P:$P,'Fund Data'!$C:$C = $C1730,'Fund Data'!$A:$A = ($A1730 - 2), 'Fund Data'!$B:$B = 12),0) - SUM(FILTER('Fund Data'!$V:$V, 'Fund Data'!$C:$C = $C1730, 'Fund Data'!$A:$A = ($A1730 - 2), 'Fund Data'!$B:$B &gt; 3)))  * 'Pa"&amp;"rameters and Distribution Sum'!$B$4 * (1 - 'Parameters and Distribution Sum'!$A$4),0)"),0.0)</f>
        <v>0</v>
      </c>
      <c r="Y1730" s="52">
        <f t="shared" si="140"/>
        <v>0</v>
      </c>
      <c r="Z1730" s="52">
        <f>IFERROR(__xludf.DUMMYFUNCTION("((IFERROR((SUM(FILTER('Fund Data'!$V:$V, 'Fund Data'!$C:$C = $C1730, 'Fund Data'!$A:$A = $A1730 - 1, 'Fund Data'!$B:$B &gt;= 4, 'Fund Data'!$B:$B &lt;= ($B1730 + 5))) / 12) * ($B1730 - 3) * 'Parameters and Distribution Sum'!$B$4, 0) + IF($B1730 &gt;= 9, IFERROR(SU"&amp;"M(FILTER('Fund Data'!$V:$V, 'Fund Data'!$C:$C = $C1730, 'Fund Data'!$A:$A = $A1730, 'Fund Data'!$B:$B &lt;= 3)) * 'Parameters and Distribution Sum'!$B$4, 0),0)))"),0.0)</f>
        <v>0</v>
      </c>
      <c r="AA1730" s="44">
        <f>IFERROR(__xludf.DUMMYFUNCTION("IFERROR(((IFERROR(SUM(FILTER('Fund Data'!$V:$V, 'Fund Data'!$C:$C = $C1730, 'Fund Data'!$A:$A = $A1730 - 2, 'Fund Data'!$B:$B &gt;= 4)) * 'Parameters and Distribution Sum'!$B$4,0) + IFERROR(SUM(FILTER('Fund Data'!$V:$V, 'Fund Data'!$C:$C = $C1730, 'Fund Data"&amp;"'!$A:$A = $A1730 - 1, 'Fund Data'!$B:$B &lt;= 3)) * 'Parameters and Distribution Sum'!$B$4,0))),0)"),0.0)</f>
        <v>0</v>
      </c>
      <c r="AB1730" s="44">
        <f t="shared" si="141"/>
        <v>0</v>
      </c>
      <c r="AC1730" s="44">
        <f t="shared" si="142"/>
        <v>0</v>
      </c>
      <c r="AD1730" s="44">
        <f t="shared" si="7"/>
        <v>0</v>
      </c>
      <c r="AE1730" s="44"/>
    </row>
    <row r="1731">
      <c r="A1731" s="178"/>
      <c r="B1731" s="179"/>
      <c r="C1731" s="147"/>
      <c r="D1731" s="44"/>
      <c r="E1731" s="44"/>
      <c r="F1731" s="44"/>
      <c r="G1731" s="44"/>
      <c r="H1731" s="44"/>
      <c r="I1731" s="44"/>
      <c r="J1731" s="44"/>
      <c r="K1731" s="44"/>
      <c r="L1731" s="44"/>
      <c r="M1731" s="44"/>
      <c r="N1731" s="44"/>
      <c r="O1731" s="44"/>
      <c r="P1731" s="52">
        <f t="shared" si="23"/>
        <v>0</v>
      </c>
      <c r="Q1731" s="124">
        <f t="shared" si="2"/>
        <v>0</v>
      </c>
      <c r="R1731" s="52">
        <f t="array" ref="R1731">IFERROR(INDEX('Fund YTD Target Values'!$1:$1000, MATCH($C1731,'Fund YTD Target Values'!$A:$A,0), MATCH($A1731,'Fund YTD Target Values'!$1:$1,0)),0)</f>
        <v>0</v>
      </c>
      <c r="S1731" s="52">
        <f>IFERROR(__xludf.DUMMYFUNCTION("IFERROR(sum(FILTER('Fund Data'!$V:$V, 'Fund Data'!$C:$C = $C1731, 'Fund Data'!$A:$A &lt; $A1731)),0) + IFERROR(sum(FILTER('Fund Data'!$V:$V, 'Fund Data'!$C:$C = $C1731, 'Fund Data'!$A:$A = $A1731, 'Fund Data'!$B:$B &lt;= $B1731)),0)"),0.0)</f>
        <v>0</v>
      </c>
      <c r="T1731" s="44"/>
      <c r="U1731" s="44"/>
      <c r="V1731" s="44">
        <f t="shared" si="3"/>
        <v>0</v>
      </c>
      <c r="W1731" s="52">
        <f>IFERROR(__xludf.DUMMYFUNCTION("iFERROR((FILTER('Fund Data'!$Y:$Y, 'Fund Data'!$C:$C = $C1731, 'Fund Data'!$A:$A = $A1731 - 1, 'Fund Data'!$B:$B = 12) + FILTER('Fund Data'!$AA:$AA, 'Fund Data'!$C:$C = $C1731, 'Fund Data'!$A:$A = $A1731 - 1, 'Fund Data'!$B:$B = 12)) * (1 + AVERAGE(FILTER"&amp;"('Inflation Data'!$C:$C,'Inflation Data'!$A:$A = ($A1731 - 2)))) * 'Parameters and Distribution Sum'!$A$4,0)"),0.0)</f>
        <v>0</v>
      </c>
      <c r="X1731" s="52">
        <f>IFERROR(__xludf.DUMMYFUNCTION("IFERROR((IFERROR(FILTER('Fund Data'!$P:$P,'Fund Data'!$C:$C = $C1731,'Fund Data'!$A:$A = ($A1731 - 2), 'Fund Data'!$B:$B = 12),0) - SUM(FILTER('Fund Data'!$V:$V, 'Fund Data'!$C:$C = $C1731, 'Fund Data'!$A:$A = ($A1731 - 2), 'Fund Data'!$B:$B &gt; 3)))  * 'Pa"&amp;"rameters and Distribution Sum'!$B$4 * (1 - 'Parameters and Distribution Sum'!$A$4),0)"),0.0)</f>
        <v>0</v>
      </c>
      <c r="Y1731" s="52">
        <f t="shared" si="140"/>
        <v>0</v>
      </c>
      <c r="Z1731" s="52">
        <f>IFERROR(__xludf.DUMMYFUNCTION("((IFERROR((SUM(FILTER('Fund Data'!$V:$V, 'Fund Data'!$C:$C = $C1731, 'Fund Data'!$A:$A = $A1731 - 1, 'Fund Data'!$B:$B &gt;= 4, 'Fund Data'!$B:$B &lt;= ($B1731 + 5))) / 12) * ($B1731 - 3) * 'Parameters and Distribution Sum'!$B$4, 0) + IF($B1731 &gt;= 9, IFERROR(SU"&amp;"M(FILTER('Fund Data'!$V:$V, 'Fund Data'!$C:$C = $C1731, 'Fund Data'!$A:$A = $A1731, 'Fund Data'!$B:$B &lt;= 3)) * 'Parameters and Distribution Sum'!$B$4, 0),0)))"),0.0)</f>
        <v>0</v>
      </c>
      <c r="AA1731" s="44">
        <f>IFERROR(__xludf.DUMMYFUNCTION("IFERROR(((IFERROR(SUM(FILTER('Fund Data'!$V:$V, 'Fund Data'!$C:$C = $C1731, 'Fund Data'!$A:$A = $A1731 - 2, 'Fund Data'!$B:$B &gt;= 4)) * 'Parameters and Distribution Sum'!$B$4,0) + IFERROR(SUM(FILTER('Fund Data'!$V:$V, 'Fund Data'!$C:$C = $C1731, 'Fund Data"&amp;"'!$A:$A = $A1731 - 1, 'Fund Data'!$B:$B &lt;= 3)) * 'Parameters and Distribution Sum'!$B$4,0))),0)"),0.0)</f>
        <v>0</v>
      </c>
      <c r="AB1731" s="44">
        <f t="shared" si="141"/>
        <v>0</v>
      </c>
      <c r="AC1731" s="44">
        <f t="shared" si="142"/>
        <v>0</v>
      </c>
      <c r="AD1731" s="44">
        <f t="shared" si="7"/>
        <v>0</v>
      </c>
      <c r="AE1731" s="44"/>
    </row>
    <row r="1732">
      <c r="A1732" s="178"/>
      <c r="B1732" s="179"/>
      <c r="C1732" s="147"/>
      <c r="D1732" s="44"/>
      <c r="E1732" s="44"/>
      <c r="F1732" s="44"/>
      <c r="G1732" s="44"/>
      <c r="H1732" s="44"/>
      <c r="I1732" s="44"/>
      <c r="J1732" s="44"/>
      <c r="K1732" s="44"/>
      <c r="L1732" s="44"/>
      <c r="M1732" s="44"/>
      <c r="N1732" s="44"/>
      <c r="O1732" s="44"/>
      <c r="P1732" s="52">
        <f t="shared" si="23"/>
        <v>0</v>
      </c>
      <c r="Q1732" s="124">
        <f t="shared" si="2"/>
        <v>0</v>
      </c>
      <c r="R1732" s="52">
        <f t="array" ref="R1732">IFERROR(INDEX('Fund YTD Target Values'!$1:$1000, MATCH($C1732,'Fund YTD Target Values'!$A:$A,0), MATCH($A1732,'Fund YTD Target Values'!$1:$1,0)),0)</f>
        <v>0</v>
      </c>
      <c r="S1732" s="52">
        <f>IFERROR(__xludf.DUMMYFUNCTION("IFERROR(sum(FILTER('Fund Data'!$V:$V, 'Fund Data'!$C:$C = $C1732, 'Fund Data'!$A:$A &lt; $A1732)),0) + IFERROR(sum(FILTER('Fund Data'!$V:$V, 'Fund Data'!$C:$C = $C1732, 'Fund Data'!$A:$A = $A1732, 'Fund Data'!$B:$B &lt;= $B1732)),0)"),0.0)</f>
        <v>0</v>
      </c>
      <c r="T1732" s="44"/>
      <c r="U1732" s="44"/>
      <c r="V1732" s="44">
        <f t="shared" si="3"/>
        <v>0</v>
      </c>
      <c r="W1732" s="52">
        <f>IFERROR(__xludf.DUMMYFUNCTION("iFERROR((FILTER('Fund Data'!$Y:$Y, 'Fund Data'!$C:$C = $C1732, 'Fund Data'!$A:$A = $A1732 - 1, 'Fund Data'!$B:$B = 12) + FILTER('Fund Data'!$AA:$AA, 'Fund Data'!$C:$C = $C1732, 'Fund Data'!$A:$A = $A1732 - 1, 'Fund Data'!$B:$B = 12)) * (1 + AVERAGE(FILTER"&amp;"('Inflation Data'!$C:$C,'Inflation Data'!$A:$A = ($A1732 - 2)))) * 'Parameters and Distribution Sum'!$A$4,0)"),0.0)</f>
        <v>0</v>
      </c>
      <c r="X1732" s="52">
        <f>IFERROR(__xludf.DUMMYFUNCTION("IFERROR((IFERROR(FILTER('Fund Data'!$P:$P,'Fund Data'!$C:$C = $C1732,'Fund Data'!$A:$A = ($A1732 - 2), 'Fund Data'!$B:$B = 12),0) - SUM(FILTER('Fund Data'!$V:$V, 'Fund Data'!$C:$C = $C1732, 'Fund Data'!$A:$A = ($A1732 - 2), 'Fund Data'!$B:$B &gt; 3)))  * 'Pa"&amp;"rameters and Distribution Sum'!$B$4 * (1 - 'Parameters and Distribution Sum'!$A$4),0)"),0.0)</f>
        <v>0</v>
      </c>
      <c r="Y1732" s="52">
        <f t="shared" si="140"/>
        <v>0</v>
      </c>
      <c r="Z1732" s="52">
        <f>IFERROR(__xludf.DUMMYFUNCTION("((IFERROR((SUM(FILTER('Fund Data'!$V:$V, 'Fund Data'!$C:$C = $C1732, 'Fund Data'!$A:$A = $A1732 - 1, 'Fund Data'!$B:$B &gt;= 4, 'Fund Data'!$B:$B &lt;= ($B1732 + 5))) / 12) * ($B1732 - 3) * 'Parameters and Distribution Sum'!$B$4, 0) + IF($B1732 &gt;= 9, IFERROR(SU"&amp;"M(FILTER('Fund Data'!$V:$V, 'Fund Data'!$C:$C = $C1732, 'Fund Data'!$A:$A = $A1732, 'Fund Data'!$B:$B &lt;= 3)) * 'Parameters and Distribution Sum'!$B$4, 0),0)))"),0.0)</f>
        <v>0</v>
      </c>
      <c r="AA1732" s="44">
        <f>IFERROR(__xludf.DUMMYFUNCTION("IFERROR(((IFERROR(SUM(FILTER('Fund Data'!$V:$V, 'Fund Data'!$C:$C = $C1732, 'Fund Data'!$A:$A = $A1732 - 2, 'Fund Data'!$B:$B &gt;= 4)) * 'Parameters and Distribution Sum'!$B$4,0) + IFERROR(SUM(FILTER('Fund Data'!$V:$V, 'Fund Data'!$C:$C = $C1732, 'Fund Data"&amp;"'!$A:$A = $A1732 - 1, 'Fund Data'!$B:$B &lt;= 3)) * 'Parameters and Distribution Sum'!$B$4,0))),0)"),0.0)</f>
        <v>0</v>
      </c>
      <c r="AB1732" s="44">
        <f t="shared" si="141"/>
        <v>0</v>
      </c>
      <c r="AC1732" s="44">
        <f t="shared" si="142"/>
        <v>0</v>
      </c>
      <c r="AD1732" s="44">
        <f t="shared" si="7"/>
        <v>0</v>
      </c>
      <c r="AE1732" s="44"/>
    </row>
    <row r="1733">
      <c r="A1733" s="178"/>
      <c r="B1733" s="179"/>
      <c r="C1733" s="147"/>
      <c r="D1733" s="44"/>
      <c r="E1733" s="44"/>
      <c r="F1733" s="44"/>
      <c r="G1733" s="44"/>
      <c r="H1733" s="44"/>
      <c r="I1733" s="44"/>
      <c r="J1733" s="44"/>
      <c r="K1733" s="44"/>
      <c r="L1733" s="44"/>
      <c r="M1733" s="44"/>
      <c r="N1733" s="44"/>
      <c r="O1733" s="44"/>
      <c r="P1733" s="52">
        <f t="shared" si="23"/>
        <v>0</v>
      </c>
      <c r="Q1733" s="124">
        <f t="shared" si="2"/>
        <v>0</v>
      </c>
      <c r="R1733" s="52">
        <f t="array" ref="R1733">IFERROR(INDEX('Fund YTD Target Values'!$1:$1000, MATCH($C1733,'Fund YTD Target Values'!$A:$A,0), MATCH($A1733,'Fund YTD Target Values'!$1:$1,0)),0)</f>
        <v>0</v>
      </c>
      <c r="S1733" s="52">
        <f>IFERROR(__xludf.DUMMYFUNCTION("IFERROR(sum(FILTER('Fund Data'!$V:$V, 'Fund Data'!$C:$C = $C1733, 'Fund Data'!$A:$A &lt; $A1733)),0) + IFERROR(sum(FILTER('Fund Data'!$V:$V, 'Fund Data'!$C:$C = $C1733, 'Fund Data'!$A:$A = $A1733, 'Fund Data'!$B:$B &lt;= $B1733)),0)"),0.0)</f>
        <v>0</v>
      </c>
      <c r="T1733" s="44"/>
      <c r="U1733" s="44"/>
      <c r="V1733" s="44">
        <f t="shared" si="3"/>
        <v>0</v>
      </c>
      <c r="W1733" s="52">
        <f>IFERROR(__xludf.DUMMYFUNCTION("iFERROR((FILTER('Fund Data'!$Y:$Y, 'Fund Data'!$C:$C = $C1733, 'Fund Data'!$A:$A = $A1733 - 1, 'Fund Data'!$B:$B = 12) + FILTER('Fund Data'!$AA:$AA, 'Fund Data'!$C:$C = $C1733, 'Fund Data'!$A:$A = $A1733 - 1, 'Fund Data'!$B:$B = 12)) * (1 + AVERAGE(FILTER"&amp;"('Inflation Data'!$C:$C,'Inflation Data'!$A:$A = ($A1733 - 2)))) * 'Parameters and Distribution Sum'!$A$4,0)"),0.0)</f>
        <v>0</v>
      </c>
      <c r="X1733" s="52">
        <f>IFERROR(__xludf.DUMMYFUNCTION("IFERROR((IFERROR(FILTER('Fund Data'!$P:$P,'Fund Data'!$C:$C = $C1733,'Fund Data'!$A:$A = ($A1733 - 2), 'Fund Data'!$B:$B = 12),0) - SUM(FILTER('Fund Data'!$V:$V, 'Fund Data'!$C:$C = $C1733, 'Fund Data'!$A:$A = ($A1733 - 2), 'Fund Data'!$B:$B &gt; 3)))  * 'Pa"&amp;"rameters and Distribution Sum'!$B$4 * (1 - 'Parameters and Distribution Sum'!$A$4),0)"),0.0)</f>
        <v>0</v>
      </c>
      <c r="Y1733" s="52">
        <f t="shared" si="140"/>
        <v>0</v>
      </c>
      <c r="Z1733" s="52">
        <f>IFERROR(__xludf.DUMMYFUNCTION("((IFERROR((SUM(FILTER('Fund Data'!$V:$V, 'Fund Data'!$C:$C = $C1733, 'Fund Data'!$A:$A = $A1733 - 1, 'Fund Data'!$B:$B &gt;= 4, 'Fund Data'!$B:$B &lt;= ($B1733 + 5))) / 12) * ($B1733 - 3) * 'Parameters and Distribution Sum'!$B$4, 0) + IF($B1733 &gt;= 9, IFERROR(SU"&amp;"M(FILTER('Fund Data'!$V:$V, 'Fund Data'!$C:$C = $C1733, 'Fund Data'!$A:$A = $A1733, 'Fund Data'!$B:$B &lt;= 3)) * 'Parameters and Distribution Sum'!$B$4, 0),0)))"),0.0)</f>
        <v>0</v>
      </c>
      <c r="AA1733" s="44">
        <f>IFERROR(__xludf.DUMMYFUNCTION("IFERROR(((IFERROR(SUM(FILTER('Fund Data'!$V:$V, 'Fund Data'!$C:$C = $C1733, 'Fund Data'!$A:$A = $A1733 - 2, 'Fund Data'!$B:$B &gt;= 4)) * 'Parameters and Distribution Sum'!$B$4,0) + IFERROR(SUM(FILTER('Fund Data'!$V:$V, 'Fund Data'!$C:$C = $C1733, 'Fund Data"&amp;"'!$A:$A = $A1733 - 1, 'Fund Data'!$B:$B &lt;= 3)) * 'Parameters and Distribution Sum'!$B$4,0))),0)"),0.0)</f>
        <v>0</v>
      </c>
      <c r="AB1733" s="44">
        <f t="shared" si="141"/>
        <v>0</v>
      </c>
      <c r="AC1733" s="44">
        <f t="shared" si="142"/>
        <v>0</v>
      </c>
      <c r="AD1733" s="44">
        <f t="shared" si="7"/>
        <v>0</v>
      </c>
      <c r="AE1733" s="44"/>
    </row>
    <row r="1734">
      <c r="A1734" s="178"/>
      <c r="B1734" s="179"/>
      <c r="C1734" s="147"/>
      <c r="D1734" s="44"/>
      <c r="E1734" s="44"/>
      <c r="F1734" s="44"/>
      <c r="G1734" s="44"/>
      <c r="H1734" s="44"/>
      <c r="I1734" s="44"/>
      <c r="J1734" s="44"/>
      <c r="K1734" s="44"/>
      <c r="L1734" s="44"/>
      <c r="M1734" s="44"/>
      <c r="N1734" s="44"/>
      <c r="O1734" s="44"/>
      <c r="P1734" s="52">
        <f t="shared" si="23"/>
        <v>0</v>
      </c>
      <c r="Q1734" s="124">
        <f t="shared" si="2"/>
        <v>0</v>
      </c>
      <c r="R1734" s="52">
        <f t="array" ref="R1734">IFERROR(INDEX('Fund YTD Target Values'!$1:$1000, MATCH($C1734,'Fund YTD Target Values'!$A:$A,0), MATCH($A1734,'Fund YTD Target Values'!$1:$1,0)),0)</f>
        <v>0</v>
      </c>
      <c r="S1734" s="52">
        <f>IFERROR(__xludf.DUMMYFUNCTION("IFERROR(sum(FILTER('Fund Data'!$V:$V, 'Fund Data'!$C:$C = $C1734, 'Fund Data'!$A:$A &lt; $A1734)),0) + IFERROR(sum(FILTER('Fund Data'!$V:$V, 'Fund Data'!$C:$C = $C1734, 'Fund Data'!$A:$A = $A1734, 'Fund Data'!$B:$B &lt;= $B1734)),0)"),0.0)</f>
        <v>0</v>
      </c>
      <c r="T1734" s="44"/>
      <c r="U1734" s="44"/>
      <c r="V1734" s="44">
        <f t="shared" si="3"/>
        <v>0</v>
      </c>
      <c r="W1734" s="52">
        <f>IFERROR(__xludf.DUMMYFUNCTION("iFERROR((FILTER('Fund Data'!$Y:$Y, 'Fund Data'!$C:$C = $C1734, 'Fund Data'!$A:$A = $A1734 - 1, 'Fund Data'!$B:$B = 12) + FILTER('Fund Data'!$AA:$AA, 'Fund Data'!$C:$C = $C1734, 'Fund Data'!$A:$A = $A1734 - 1, 'Fund Data'!$B:$B = 12)) * (1 + AVERAGE(FILTER"&amp;"('Inflation Data'!$C:$C,'Inflation Data'!$A:$A = ($A1734 - 2)))) * 'Parameters and Distribution Sum'!$A$4,0)"),0.0)</f>
        <v>0</v>
      </c>
      <c r="X1734" s="52">
        <f>IFERROR(__xludf.DUMMYFUNCTION("IFERROR((IFERROR(FILTER('Fund Data'!$P:$P,'Fund Data'!$C:$C = $C1734,'Fund Data'!$A:$A = ($A1734 - 2), 'Fund Data'!$B:$B = 12),0) - SUM(FILTER('Fund Data'!$V:$V, 'Fund Data'!$C:$C = $C1734, 'Fund Data'!$A:$A = ($A1734 - 2), 'Fund Data'!$B:$B &gt; 3)))  * 'Pa"&amp;"rameters and Distribution Sum'!$B$4 * (1 - 'Parameters and Distribution Sum'!$A$4),0)"),0.0)</f>
        <v>0</v>
      </c>
      <c r="Y1734" s="52">
        <f t="shared" si="140"/>
        <v>0</v>
      </c>
      <c r="Z1734" s="52">
        <f>IFERROR(__xludf.DUMMYFUNCTION("((IFERROR((SUM(FILTER('Fund Data'!$V:$V, 'Fund Data'!$C:$C = $C1734, 'Fund Data'!$A:$A = $A1734 - 1, 'Fund Data'!$B:$B &gt;= 4, 'Fund Data'!$B:$B &lt;= ($B1734 + 5))) / 12) * ($B1734 - 3) * 'Parameters and Distribution Sum'!$B$4, 0) + IF($B1734 &gt;= 9, IFERROR(SU"&amp;"M(FILTER('Fund Data'!$V:$V, 'Fund Data'!$C:$C = $C1734, 'Fund Data'!$A:$A = $A1734, 'Fund Data'!$B:$B &lt;= 3)) * 'Parameters and Distribution Sum'!$B$4, 0),0)))"),0.0)</f>
        <v>0</v>
      </c>
      <c r="AA1734" s="44">
        <f>IFERROR(__xludf.DUMMYFUNCTION("IFERROR(((IFERROR(SUM(FILTER('Fund Data'!$V:$V, 'Fund Data'!$C:$C = $C1734, 'Fund Data'!$A:$A = $A1734 - 2, 'Fund Data'!$B:$B &gt;= 4)) * 'Parameters and Distribution Sum'!$B$4,0) + IFERROR(SUM(FILTER('Fund Data'!$V:$V, 'Fund Data'!$C:$C = $C1734, 'Fund Data"&amp;"'!$A:$A = $A1734 - 1, 'Fund Data'!$B:$B &lt;= 3)) * 'Parameters and Distribution Sum'!$B$4,0))),0)"),0.0)</f>
        <v>0</v>
      </c>
      <c r="AB1734" s="44">
        <f t="shared" si="141"/>
        <v>0</v>
      </c>
      <c r="AC1734" s="44">
        <f t="shared" si="142"/>
        <v>0</v>
      </c>
      <c r="AD1734" s="44">
        <f t="shared" si="7"/>
        <v>0</v>
      </c>
      <c r="AE1734" s="44"/>
    </row>
    <row r="1735">
      <c r="A1735" s="178"/>
      <c r="B1735" s="179"/>
      <c r="C1735" s="147"/>
      <c r="D1735" s="44"/>
      <c r="E1735" s="44"/>
      <c r="F1735" s="44"/>
      <c r="G1735" s="44"/>
      <c r="H1735" s="44"/>
      <c r="I1735" s="44"/>
      <c r="J1735" s="44"/>
      <c r="K1735" s="44"/>
      <c r="L1735" s="44"/>
      <c r="M1735" s="44"/>
      <c r="N1735" s="44"/>
      <c r="O1735" s="44"/>
      <c r="P1735" s="52">
        <f t="shared" si="23"/>
        <v>0</v>
      </c>
      <c r="Q1735" s="124">
        <f t="shared" si="2"/>
        <v>0</v>
      </c>
      <c r="R1735" s="52">
        <f t="array" ref="R1735">IFERROR(INDEX('Fund YTD Target Values'!$1:$1000, MATCH($C1735,'Fund YTD Target Values'!$A:$A,0), MATCH($A1735,'Fund YTD Target Values'!$1:$1,0)),0)</f>
        <v>0</v>
      </c>
      <c r="S1735" s="52">
        <f>IFERROR(__xludf.DUMMYFUNCTION("IFERROR(sum(FILTER('Fund Data'!$V:$V, 'Fund Data'!$C:$C = $C1735, 'Fund Data'!$A:$A &lt; $A1735)),0) + IFERROR(sum(FILTER('Fund Data'!$V:$V, 'Fund Data'!$C:$C = $C1735, 'Fund Data'!$A:$A = $A1735, 'Fund Data'!$B:$B &lt;= $B1735)),0)"),0.0)</f>
        <v>0</v>
      </c>
      <c r="T1735" s="44"/>
      <c r="U1735" s="44"/>
      <c r="V1735" s="44">
        <f t="shared" si="3"/>
        <v>0</v>
      </c>
      <c r="W1735" s="52">
        <f>IFERROR(__xludf.DUMMYFUNCTION("iFERROR((FILTER('Fund Data'!$Y:$Y, 'Fund Data'!$C:$C = $C1735, 'Fund Data'!$A:$A = $A1735 - 1, 'Fund Data'!$B:$B = 12) + FILTER('Fund Data'!$AA:$AA, 'Fund Data'!$C:$C = $C1735, 'Fund Data'!$A:$A = $A1735 - 1, 'Fund Data'!$B:$B = 12)) * (1 + AVERAGE(FILTER"&amp;"('Inflation Data'!$C:$C,'Inflation Data'!$A:$A = ($A1735 - 2)))) * 'Parameters and Distribution Sum'!$A$4,0)"),0.0)</f>
        <v>0</v>
      </c>
      <c r="X1735" s="52">
        <f>IFERROR(__xludf.DUMMYFUNCTION("IFERROR((IFERROR(FILTER('Fund Data'!$P:$P,'Fund Data'!$C:$C = $C1735,'Fund Data'!$A:$A = ($A1735 - 2), 'Fund Data'!$B:$B = 12),0) - SUM(FILTER('Fund Data'!$V:$V, 'Fund Data'!$C:$C = $C1735, 'Fund Data'!$A:$A = ($A1735 - 2), 'Fund Data'!$B:$B &gt; 3)))  * 'Pa"&amp;"rameters and Distribution Sum'!$B$4 * (1 - 'Parameters and Distribution Sum'!$A$4),0)"),0.0)</f>
        <v>0</v>
      </c>
      <c r="Y1735" s="52">
        <f t="shared" si="140"/>
        <v>0</v>
      </c>
      <c r="Z1735" s="52">
        <f>IFERROR(__xludf.DUMMYFUNCTION("((IFERROR((SUM(FILTER('Fund Data'!$V:$V, 'Fund Data'!$C:$C = $C1735, 'Fund Data'!$A:$A = $A1735 - 1, 'Fund Data'!$B:$B &gt;= 4, 'Fund Data'!$B:$B &lt;= ($B1735 + 5))) / 12) * ($B1735 - 3) * 'Parameters and Distribution Sum'!$B$4, 0) + IF($B1735 &gt;= 9, IFERROR(SU"&amp;"M(FILTER('Fund Data'!$V:$V, 'Fund Data'!$C:$C = $C1735, 'Fund Data'!$A:$A = $A1735, 'Fund Data'!$B:$B &lt;= 3)) * 'Parameters and Distribution Sum'!$B$4, 0),0)))"),0.0)</f>
        <v>0</v>
      </c>
      <c r="AA1735" s="44">
        <f>IFERROR(__xludf.DUMMYFUNCTION("IFERROR(((IFERROR(SUM(FILTER('Fund Data'!$V:$V, 'Fund Data'!$C:$C = $C1735, 'Fund Data'!$A:$A = $A1735 - 2, 'Fund Data'!$B:$B &gt;= 4)) * 'Parameters and Distribution Sum'!$B$4,0) + IFERROR(SUM(FILTER('Fund Data'!$V:$V, 'Fund Data'!$C:$C = $C1735, 'Fund Data"&amp;"'!$A:$A = $A1735 - 1, 'Fund Data'!$B:$B &lt;= 3)) * 'Parameters and Distribution Sum'!$B$4,0))),0)"),0.0)</f>
        <v>0</v>
      </c>
      <c r="AB1735" s="44">
        <f t="shared" si="141"/>
        <v>0</v>
      </c>
      <c r="AC1735" s="44">
        <f t="shared" si="142"/>
        <v>0</v>
      </c>
      <c r="AD1735" s="44">
        <f t="shared" si="7"/>
        <v>0</v>
      </c>
      <c r="AE1735" s="44"/>
    </row>
    <row r="1736">
      <c r="A1736" s="178"/>
      <c r="B1736" s="179"/>
      <c r="C1736" s="147"/>
      <c r="D1736" s="44"/>
      <c r="E1736" s="44"/>
      <c r="F1736" s="44"/>
      <c r="G1736" s="44"/>
      <c r="H1736" s="44"/>
      <c r="I1736" s="44"/>
      <c r="J1736" s="44"/>
      <c r="K1736" s="44"/>
      <c r="L1736" s="44"/>
      <c r="M1736" s="44"/>
      <c r="N1736" s="44"/>
      <c r="O1736" s="44"/>
      <c r="P1736" s="52">
        <f t="shared" si="23"/>
        <v>0</v>
      </c>
      <c r="Q1736" s="124">
        <f t="shared" si="2"/>
        <v>0</v>
      </c>
      <c r="R1736" s="52">
        <f t="array" ref="R1736">IFERROR(INDEX('Fund YTD Target Values'!$1:$1000, MATCH($C1736,'Fund YTD Target Values'!$A:$A,0), MATCH($A1736,'Fund YTD Target Values'!$1:$1,0)),0)</f>
        <v>0</v>
      </c>
      <c r="S1736" s="52">
        <f>IFERROR(__xludf.DUMMYFUNCTION("IFERROR(sum(FILTER('Fund Data'!$V:$V, 'Fund Data'!$C:$C = $C1736, 'Fund Data'!$A:$A &lt; $A1736)),0) + IFERROR(sum(FILTER('Fund Data'!$V:$V, 'Fund Data'!$C:$C = $C1736, 'Fund Data'!$A:$A = $A1736, 'Fund Data'!$B:$B &lt;= $B1736)),0)"),0.0)</f>
        <v>0</v>
      </c>
      <c r="T1736" s="44"/>
      <c r="U1736" s="44"/>
      <c r="V1736" s="44">
        <f t="shared" si="3"/>
        <v>0</v>
      </c>
      <c r="W1736" s="52">
        <f>IFERROR(__xludf.DUMMYFUNCTION("iFERROR((FILTER('Fund Data'!$Y:$Y, 'Fund Data'!$C:$C = $C1736, 'Fund Data'!$A:$A = $A1736 - 1, 'Fund Data'!$B:$B = 12) + FILTER('Fund Data'!$AA:$AA, 'Fund Data'!$C:$C = $C1736, 'Fund Data'!$A:$A = $A1736 - 1, 'Fund Data'!$B:$B = 12)) * (1 + AVERAGE(FILTER"&amp;"('Inflation Data'!$C:$C,'Inflation Data'!$A:$A = ($A1736 - 2)))) * 'Parameters and Distribution Sum'!$A$4,0)"),0.0)</f>
        <v>0</v>
      </c>
      <c r="X1736" s="52">
        <f>IFERROR(__xludf.DUMMYFUNCTION("IFERROR((IFERROR(FILTER('Fund Data'!$P:$P,'Fund Data'!$C:$C = $C1736,'Fund Data'!$A:$A = ($A1736 - 2), 'Fund Data'!$B:$B = 12),0) - SUM(FILTER('Fund Data'!$V:$V, 'Fund Data'!$C:$C = $C1736, 'Fund Data'!$A:$A = ($A1736 - 2), 'Fund Data'!$B:$B &gt; 3)))  * 'Pa"&amp;"rameters and Distribution Sum'!$B$4 * (1 - 'Parameters and Distribution Sum'!$A$4),0)"),0.0)</f>
        <v>0</v>
      </c>
      <c r="Y1736" s="52">
        <f t="shared" si="140"/>
        <v>0</v>
      </c>
      <c r="Z1736" s="52">
        <f>IFERROR(__xludf.DUMMYFUNCTION("((IFERROR((SUM(FILTER('Fund Data'!$V:$V, 'Fund Data'!$C:$C = $C1736, 'Fund Data'!$A:$A = $A1736 - 1, 'Fund Data'!$B:$B &gt;= 4, 'Fund Data'!$B:$B &lt;= ($B1736 + 5))) / 12) * ($B1736 - 3) * 'Parameters and Distribution Sum'!$B$4, 0) + IF($B1736 &gt;= 9, IFERROR(SU"&amp;"M(FILTER('Fund Data'!$V:$V, 'Fund Data'!$C:$C = $C1736, 'Fund Data'!$A:$A = $A1736, 'Fund Data'!$B:$B &lt;= 3)) * 'Parameters and Distribution Sum'!$B$4, 0),0)))"),0.0)</f>
        <v>0</v>
      </c>
      <c r="AA1736" s="44">
        <f>IFERROR(__xludf.DUMMYFUNCTION("IFERROR(((IFERROR(SUM(FILTER('Fund Data'!$V:$V, 'Fund Data'!$C:$C = $C1736, 'Fund Data'!$A:$A = $A1736 - 2, 'Fund Data'!$B:$B &gt;= 4)) * 'Parameters and Distribution Sum'!$B$4,0) + IFERROR(SUM(FILTER('Fund Data'!$V:$V, 'Fund Data'!$C:$C = $C1736, 'Fund Data"&amp;"'!$A:$A = $A1736 - 1, 'Fund Data'!$B:$B &lt;= 3)) * 'Parameters and Distribution Sum'!$B$4,0))),0)"),0.0)</f>
        <v>0</v>
      </c>
      <c r="AB1736" s="44">
        <f t="shared" si="141"/>
        <v>0</v>
      </c>
      <c r="AC1736" s="44">
        <f t="shared" si="142"/>
        <v>0</v>
      </c>
      <c r="AD1736" s="44">
        <f t="shared" si="7"/>
        <v>0</v>
      </c>
      <c r="AE1736" s="44"/>
    </row>
    <row r="1737">
      <c r="A1737" s="178"/>
      <c r="B1737" s="179"/>
      <c r="C1737" s="147"/>
      <c r="D1737" s="44"/>
      <c r="E1737" s="44"/>
      <c r="F1737" s="44"/>
      <c r="G1737" s="44"/>
      <c r="H1737" s="44"/>
      <c r="I1737" s="44"/>
      <c r="J1737" s="44"/>
      <c r="K1737" s="44"/>
      <c r="L1737" s="44"/>
      <c r="M1737" s="44"/>
      <c r="N1737" s="44"/>
      <c r="O1737" s="44"/>
      <c r="P1737" s="52">
        <f t="shared" si="23"/>
        <v>0</v>
      </c>
      <c r="Q1737" s="124">
        <f t="shared" si="2"/>
        <v>0</v>
      </c>
      <c r="R1737" s="52">
        <f t="array" ref="R1737">IFERROR(INDEX('Fund YTD Target Values'!$1:$1000, MATCH($C1737,'Fund YTD Target Values'!$A:$A,0), MATCH($A1737,'Fund YTD Target Values'!$1:$1,0)),0)</f>
        <v>0</v>
      </c>
      <c r="S1737" s="52">
        <f>IFERROR(__xludf.DUMMYFUNCTION("IFERROR(sum(FILTER('Fund Data'!$V:$V, 'Fund Data'!$C:$C = $C1737, 'Fund Data'!$A:$A &lt; $A1737)),0) + IFERROR(sum(FILTER('Fund Data'!$V:$V, 'Fund Data'!$C:$C = $C1737, 'Fund Data'!$A:$A = $A1737, 'Fund Data'!$B:$B &lt;= $B1737)),0)"),0.0)</f>
        <v>0</v>
      </c>
      <c r="T1737" s="44"/>
      <c r="U1737" s="44"/>
      <c r="V1737" s="44">
        <f t="shared" si="3"/>
        <v>0</v>
      </c>
      <c r="W1737" s="52">
        <f>IFERROR(__xludf.DUMMYFUNCTION("iFERROR((FILTER('Fund Data'!$Y:$Y, 'Fund Data'!$C:$C = $C1737, 'Fund Data'!$A:$A = $A1737 - 1, 'Fund Data'!$B:$B = 12) + FILTER('Fund Data'!$AA:$AA, 'Fund Data'!$C:$C = $C1737, 'Fund Data'!$A:$A = $A1737 - 1, 'Fund Data'!$B:$B = 12)) * (1 + AVERAGE(FILTER"&amp;"('Inflation Data'!$C:$C,'Inflation Data'!$A:$A = ($A1737 - 2)))) * 'Parameters and Distribution Sum'!$A$4,0)"),0.0)</f>
        <v>0</v>
      </c>
      <c r="X1737" s="52">
        <f>IFERROR(__xludf.DUMMYFUNCTION("IFERROR((IFERROR(FILTER('Fund Data'!$P:$P,'Fund Data'!$C:$C = $C1737,'Fund Data'!$A:$A = ($A1737 - 2), 'Fund Data'!$B:$B = 12),0) - SUM(FILTER('Fund Data'!$V:$V, 'Fund Data'!$C:$C = $C1737, 'Fund Data'!$A:$A = ($A1737 - 2), 'Fund Data'!$B:$B &gt; 3)))  * 'Pa"&amp;"rameters and Distribution Sum'!$B$4 * (1 - 'Parameters and Distribution Sum'!$A$4),0)"),0.0)</f>
        <v>0</v>
      </c>
      <c r="Y1737" s="52">
        <f t="shared" si="140"/>
        <v>0</v>
      </c>
      <c r="Z1737" s="52">
        <f>IFERROR(__xludf.DUMMYFUNCTION("((IFERROR((SUM(FILTER('Fund Data'!$V:$V, 'Fund Data'!$C:$C = $C1737, 'Fund Data'!$A:$A = $A1737 - 1, 'Fund Data'!$B:$B &gt;= 4, 'Fund Data'!$B:$B &lt;= ($B1737 + 5))) / 12) * ($B1737 - 3) * 'Parameters and Distribution Sum'!$B$4, 0) + IF($B1737 &gt;= 9, IFERROR(SU"&amp;"M(FILTER('Fund Data'!$V:$V, 'Fund Data'!$C:$C = $C1737, 'Fund Data'!$A:$A = $A1737, 'Fund Data'!$B:$B &lt;= 3)) * 'Parameters and Distribution Sum'!$B$4, 0),0)))"),0.0)</f>
        <v>0</v>
      </c>
      <c r="AA1737" s="44">
        <f>IFERROR(__xludf.DUMMYFUNCTION("IFERROR(((IFERROR(SUM(FILTER('Fund Data'!$V:$V, 'Fund Data'!$C:$C = $C1737, 'Fund Data'!$A:$A = $A1737 - 2, 'Fund Data'!$B:$B &gt;= 4)) * 'Parameters and Distribution Sum'!$B$4,0) + IFERROR(SUM(FILTER('Fund Data'!$V:$V, 'Fund Data'!$C:$C = $C1737, 'Fund Data"&amp;"'!$A:$A = $A1737 - 1, 'Fund Data'!$B:$B &lt;= 3)) * 'Parameters and Distribution Sum'!$B$4,0))),0)"),0.0)</f>
        <v>0</v>
      </c>
      <c r="AB1737" s="44">
        <f t="shared" si="141"/>
        <v>0</v>
      </c>
      <c r="AC1737" s="44">
        <f t="shared" si="142"/>
        <v>0</v>
      </c>
      <c r="AD1737" s="44">
        <f t="shared" si="7"/>
        <v>0</v>
      </c>
      <c r="AE1737" s="44"/>
    </row>
    <row r="1738">
      <c r="A1738" s="178"/>
      <c r="B1738" s="179"/>
      <c r="C1738" s="147"/>
      <c r="D1738" s="44"/>
      <c r="E1738" s="44"/>
      <c r="F1738" s="44"/>
      <c r="G1738" s="44"/>
      <c r="H1738" s="44"/>
      <c r="I1738" s="44"/>
      <c r="J1738" s="44"/>
      <c r="K1738" s="44"/>
      <c r="L1738" s="44"/>
      <c r="M1738" s="44"/>
      <c r="N1738" s="44"/>
      <c r="O1738" s="44"/>
      <c r="P1738" s="52">
        <f t="shared" si="23"/>
        <v>0</v>
      </c>
      <c r="Q1738" s="124">
        <f t="shared" si="2"/>
        <v>0</v>
      </c>
      <c r="R1738" s="52">
        <f t="array" ref="R1738">IFERROR(INDEX('Fund YTD Target Values'!$1:$1000, MATCH($C1738,'Fund YTD Target Values'!$A:$A,0), MATCH($A1738,'Fund YTD Target Values'!$1:$1,0)),0)</f>
        <v>0</v>
      </c>
      <c r="S1738" s="52">
        <f>IFERROR(__xludf.DUMMYFUNCTION("IFERROR(sum(FILTER('Fund Data'!$V:$V, 'Fund Data'!$C:$C = $C1738, 'Fund Data'!$A:$A &lt; $A1738)),0) + IFERROR(sum(FILTER('Fund Data'!$V:$V, 'Fund Data'!$C:$C = $C1738, 'Fund Data'!$A:$A = $A1738, 'Fund Data'!$B:$B &lt;= $B1738)),0)"),0.0)</f>
        <v>0</v>
      </c>
      <c r="T1738" s="44"/>
      <c r="U1738" s="44"/>
      <c r="V1738" s="44">
        <f t="shared" si="3"/>
        <v>0</v>
      </c>
      <c r="W1738" s="52">
        <f>IFERROR(__xludf.DUMMYFUNCTION("iFERROR((FILTER('Fund Data'!$Y:$Y, 'Fund Data'!$C:$C = $C1738, 'Fund Data'!$A:$A = $A1738 - 1, 'Fund Data'!$B:$B = 12) + FILTER('Fund Data'!$AA:$AA, 'Fund Data'!$C:$C = $C1738, 'Fund Data'!$A:$A = $A1738 - 1, 'Fund Data'!$B:$B = 12)) * (1 + AVERAGE(FILTER"&amp;"('Inflation Data'!$C:$C,'Inflation Data'!$A:$A = ($A1738 - 2)))) * 'Parameters and Distribution Sum'!$A$4,0)"),0.0)</f>
        <v>0</v>
      </c>
      <c r="X1738" s="52">
        <f>IFERROR(__xludf.DUMMYFUNCTION("IFERROR((IFERROR(FILTER('Fund Data'!$P:$P,'Fund Data'!$C:$C = $C1738,'Fund Data'!$A:$A = ($A1738 - 2), 'Fund Data'!$B:$B = 12),0) - SUM(FILTER('Fund Data'!$V:$V, 'Fund Data'!$C:$C = $C1738, 'Fund Data'!$A:$A = ($A1738 - 2), 'Fund Data'!$B:$B &gt; 3)))  * 'Pa"&amp;"rameters and Distribution Sum'!$B$4 * (1 - 'Parameters and Distribution Sum'!$A$4),0)"),0.0)</f>
        <v>0</v>
      </c>
      <c r="Y1738" s="52">
        <f t="shared" si="140"/>
        <v>0</v>
      </c>
      <c r="Z1738" s="52">
        <f>IFERROR(__xludf.DUMMYFUNCTION("((IFERROR((SUM(FILTER('Fund Data'!$V:$V, 'Fund Data'!$C:$C = $C1738, 'Fund Data'!$A:$A = $A1738 - 1, 'Fund Data'!$B:$B &gt;= 4, 'Fund Data'!$B:$B &lt;= ($B1738 + 5))) / 12) * ($B1738 - 3) * 'Parameters and Distribution Sum'!$B$4, 0) + IF($B1738 &gt;= 9, IFERROR(SU"&amp;"M(FILTER('Fund Data'!$V:$V, 'Fund Data'!$C:$C = $C1738, 'Fund Data'!$A:$A = $A1738, 'Fund Data'!$B:$B &lt;= 3)) * 'Parameters and Distribution Sum'!$B$4, 0),0)))"),0.0)</f>
        <v>0</v>
      </c>
      <c r="AA1738" s="44">
        <f>IFERROR(__xludf.DUMMYFUNCTION("IFERROR(((IFERROR(SUM(FILTER('Fund Data'!$V:$V, 'Fund Data'!$C:$C = $C1738, 'Fund Data'!$A:$A = $A1738 - 2, 'Fund Data'!$B:$B &gt;= 4)) * 'Parameters and Distribution Sum'!$B$4,0) + IFERROR(SUM(FILTER('Fund Data'!$V:$V, 'Fund Data'!$C:$C = $C1738, 'Fund Data"&amp;"'!$A:$A = $A1738 - 1, 'Fund Data'!$B:$B &lt;= 3)) * 'Parameters and Distribution Sum'!$B$4,0))),0)"),0.0)</f>
        <v>0</v>
      </c>
      <c r="AB1738" s="44">
        <f t="shared" si="141"/>
        <v>0</v>
      </c>
      <c r="AC1738" s="44">
        <f t="shared" si="142"/>
        <v>0</v>
      </c>
      <c r="AD1738" s="44">
        <f t="shared" si="7"/>
        <v>0</v>
      </c>
      <c r="AE1738" s="44"/>
    </row>
    <row r="1739">
      <c r="A1739" s="178"/>
      <c r="B1739" s="179"/>
      <c r="C1739" s="147"/>
      <c r="D1739" s="44"/>
      <c r="E1739" s="44"/>
      <c r="F1739" s="44"/>
      <c r="G1739" s="44"/>
      <c r="H1739" s="44"/>
      <c r="I1739" s="44"/>
      <c r="J1739" s="44"/>
      <c r="K1739" s="44"/>
      <c r="L1739" s="44"/>
      <c r="M1739" s="44"/>
      <c r="N1739" s="44"/>
      <c r="O1739" s="44"/>
      <c r="P1739" s="52">
        <f t="shared" si="23"/>
        <v>0</v>
      </c>
      <c r="Q1739" s="124">
        <f t="shared" si="2"/>
        <v>0</v>
      </c>
      <c r="R1739" s="52">
        <f t="array" ref="R1739">IFERROR(INDEX('Fund YTD Target Values'!$1:$1000, MATCH($C1739,'Fund YTD Target Values'!$A:$A,0), MATCH($A1739,'Fund YTD Target Values'!$1:$1,0)),0)</f>
        <v>0</v>
      </c>
      <c r="S1739" s="52">
        <f>IFERROR(__xludf.DUMMYFUNCTION("IFERROR(sum(FILTER('Fund Data'!$V:$V, 'Fund Data'!$C:$C = $C1739, 'Fund Data'!$A:$A &lt; $A1739)),0) + IFERROR(sum(FILTER('Fund Data'!$V:$V, 'Fund Data'!$C:$C = $C1739, 'Fund Data'!$A:$A = $A1739, 'Fund Data'!$B:$B &lt;= $B1739)),0)"),0.0)</f>
        <v>0</v>
      </c>
      <c r="T1739" s="44"/>
      <c r="U1739" s="44"/>
      <c r="V1739" s="44">
        <f t="shared" si="3"/>
        <v>0</v>
      </c>
      <c r="W1739" s="52">
        <f>IFERROR(__xludf.DUMMYFUNCTION("iFERROR((FILTER('Fund Data'!$Y:$Y, 'Fund Data'!$C:$C = $C1739, 'Fund Data'!$A:$A = $A1739 - 1, 'Fund Data'!$B:$B = 12) + FILTER('Fund Data'!$AA:$AA, 'Fund Data'!$C:$C = $C1739, 'Fund Data'!$A:$A = $A1739 - 1, 'Fund Data'!$B:$B = 12)) * (1 + AVERAGE(FILTER"&amp;"('Inflation Data'!$C:$C,'Inflation Data'!$A:$A = ($A1739 - 2)))) * 'Parameters and Distribution Sum'!$A$4,0)"),0.0)</f>
        <v>0</v>
      </c>
      <c r="X1739" s="52">
        <f>IFERROR(__xludf.DUMMYFUNCTION("IFERROR((IFERROR(FILTER('Fund Data'!$P:$P,'Fund Data'!$C:$C = $C1739,'Fund Data'!$A:$A = ($A1739 - 2), 'Fund Data'!$B:$B = 12),0) - SUM(FILTER('Fund Data'!$V:$V, 'Fund Data'!$C:$C = $C1739, 'Fund Data'!$A:$A = ($A1739 - 2), 'Fund Data'!$B:$B &gt; 3)))  * 'Pa"&amp;"rameters and Distribution Sum'!$B$4 * (1 - 'Parameters and Distribution Sum'!$A$4),0)"),0.0)</f>
        <v>0</v>
      </c>
      <c r="Y1739" s="52">
        <f t="shared" si="140"/>
        <v>0</v>
      </c>
      <c r="Z1739" s="52">
        <f>IFERROR(__xludf.DUMMYFUNCTION("((IFERROR((SUM(FILTER('Fund Data'!$V:$V, 'Fund Data'!$C:$C = $C1739, 'Fund Data'!$A:$A = $A1739 - 1, 'Fund Data'!$B:$B &gt;= 4, 'Fund Data'!$B:$B &lt;= ($B1739 + 5))) / 12) * ($B1739 - 3) * 'Parameters and Distribution Sum'!$B$4, 0) + IF($B1739 &gt;= 9, IFERROR(SU"&amp;"M(FILTER('Fund Data'!$V:$V, 'Fund Data'!$C:$C = $C1739, 'Fund Data'!$A:$A = $A1739, 'Fund Data'!$B:$B &lt;= 3)) * 'Parameters and Distribution Sum'!$B$4, 0),0)))"),0.0)</f>
        <v>0</v>
      </c>
      <c r="AA1739" s="44">
        <f>IFERROR(__xludf.DUMMYFUNCTION("IFERROR(((IFERROR(SUM(FILTER('Fund Data'!$V:$V, 'Fund Data'!$C:$C = $C1739, 'Fund Data'!$A:$A = $A1739 - 2, 'Fund Data'!$B:$B &gt;= 4)) * 'Parameters and Distribution Sum'!$B$4,0) + IFERROR(SUM(FILTER('Fund Data'!$V:$V, 'Fund Data'!$C:$C = $C1739, 'Fund Data"&amp;"'!$A:$A = $A1739 - 1, 'Fund Data'!$B:$B &lt;= 3)) * 'Parameters and Distribution Sum'!$B$4,0))),0)"),0.0)</f>
        <v>0</v>
      </c>
      <c r="AB1739" s="44">
        <f t="shared" si="141"/>
        <v>0</v>
      </c>
      <c r="AC1739" s="44">
        <f t="shared" si="142"/>
        <v>0</v>
      </c>
      <c r="AD1739" s="44">
        <f t="shared" si="7"/>
        <v>0</v>
      </c>
      <c r="AE1739" s="44"/>
    </row>
    <row r="1740">
      <c r="A1740" s="178"/>
      <c r="B1740" s="179"/>
      <c r="C1740" s="147"/>
      <c r="D1740" s="44"/>
      <c r="E1740" s="44"/>
      <c r="F1740" s="44"/>
      <c r="G1740" s="44"/>
      <c r="H1740" s="44"/>
      <c r="I1740" s="44"/>
      <c r="J1740" s="44"/>
      <c r="K1740" s="44"/>
      <c r="L1740" s="44"/>
      <c r="M1740" s="44"/>
      <c r="N1740" s="44"/>
      <c r="O1740" s="44"/>
      <c r="P1740" s="52">
        <f t="shared" si="23"/>
        <v>0</v>
      </c>
      <c r="Q1740" s="124">
        <f t="shared" si="2"/>
        <v>0</v>
      </c>
      <c r="R1740" s="52">
        <f t="array" ref="R1740">IFERROR(INDEX('Fund YTD Target Values'!$1:$1000, MATCH($C1740,'Fund YTD Target Values'!$A:$A,0), MATCH($A1740,'Fund YTD Target Values'!$1:$1,0)),0)</f>
        <v>0</v>
      </c>
      <c r="S1740" s="52">
        <f>IFERROR(__xludf.DUMMYFUNCTION("IFERROR(sum(FILTER('Fund Data'!$V:$V, 'Fund Data'!$C:$C = $C1740, 'Fund Data'!$A:$A &lt; $A1740)),0) + IFERROR(sum(FILTER('Fund Data'!$V:$V, 'Fund Data'!$C:$C = $C1740, 'Fund Data'!$A:$A = $A1740, 'Fund Data'!$B:$B &lt;= $B1740)),0)"),0.0)</f>
        <v>0</v>
      </c>
      <c r="T1740" s="44"/>
      <c r="U1740" s="44"/>
      <c r="V1740" s="44">
        <f t="shared" si="3"/>
        <v>0</v>
      </c>
      <c r="W1740" s="52">
        <f>IFERROR(__xludf.DUMMYFUNCTION("iFERROR((FILTER('Fund Data'!$Y:$Y, 'Fund Data'!$C:$C = $C1740, 'Fund Data'!$A:$A = $A1740 - 1, 'Fund Data'!$B:$B = 12) + FILTER('Fund Data'!$AA:$AA, 'Fund Data'!$C:$C = $C1740, 'Fund Data'!$A:$A = $A1740 - 1, 'Fund Data'!$B:$B = 12)) * (1 + AVERAGE(FILTER"&amp;"('Inflation Data'!$C:$C,'Inflation Data'!$A:$A = ($A1740 - 2)))) * 'Parameters and Distribution Sum'!$A$4,0)"),0.0)</f>
        <v>0</v>
      </c>
      <c r="X1740" s="52">
        <f>IFERROR(__xludf.DUMMYFUNCTION("IFERROR((IFERROR(FILTER('Fund Data'!$P:$P,'Fund Data'!$C:$C = $C1740,'Fund Data'!$A:$A = ($A1740 - 2), 'Fund Data'!$B:$B = 12),0) - SUM(FILTER('Fund Data'!$V:$V, 'Fund Data'!$C:$C = $C1740, 'Fund Data'!$A:$A = ($A1740 - 2), 'Fund Data'!$B:$B &gt; 3)))  * 'Pa"&amp;"rameters and Distribution Sum'!$B$4 * (1 - 'Parameters and Distribution Sum'!$A$4),0)"),0.0)</f>
        <v>0</v>
      </c>
      <c r="Y1740" s="52">
        <f t="shared" si="140"/>
        <v>0</v>
      </c>
      <c r="Z1740" s="52">
        <f>IFERROR(__xludf.DUMMYFUNCTION("((IFERROR((SUM(FILTER('Fund Data'!$V:$V, 'Fund Data'!$C:$C = $C1740, 'Fund Data'!$A:$A = $A1740 - 1, 'Fund Data'!$B:$B &gt;= 4, 'Fund Data'!$B:$B &lt;= ($B1740 + 5))) / 12) * ($B1740 - 3) * 'Parameters and Distribution Sum'!$B$4, 0) + IF($B1740 &gt;= 9, IFERROR(SU"&amp;"M(FILTER('Fund Data'!$V:$V, 'Fund Data'!$C:$C = $C1740, 'Fund Data'!$A:$A = $A1740, 'Fund Data'!$B:$B &lt;= 3)) * 'Parameters and Distribution Sum'!$B$4, 0),0)))"),0.0)</f>
        <v>0</v>
      </c>
      <c r="AA1740" s="44">
        <f>IFERROR(__xludf.DUMMYFUNCTION("IFERROR(((IFERROR(SUM(FILTER('Fund Data'!$V:$V, 'Fund Data'!$C:$C = $C1740, 'Fund Data'!$A:$A = $A1740 - 2, 'Fund Data'!$B:$B &gt;= 4)) * 'Parameters and Distribution Sum'!$B$4,0) + IFERROR(SUM(FILTER('Fund Data'!$V:$V, 'Fund Data'!$C:$C = $C1740, 'Fund Data"&amp;"'!$A:$A = $A1740 - 1, 'Fund Data'!$B:$B &lt;= 3)) * 'Parameters and Distribution Sum'!$B$4,0))),0)"),0.0)</f>
        <v>0</v>
      </c>
      <c r="AB1740" s="44">
        <f t="shared" si="141"/>
        <v>0</v>
      </c>
      <c r="AC1740" s="44">
        <f t="shared" si="142"/>
        <v>0</v>
      </c>
      <c r="AD1740" s="44">
        <f t="shared" si="7"/>
        <v>0</v>
      </c>
      <c r="AE1740" s="44"/>
    </row>
    <row r="1741">
      <c r="A1741" s="178"/>
      <c r="B1741" s="179"/>
      <c r="C1741" s="147"/>
      <c r="D1741" s="44"/>
      <c r="E1741" s="44"/>
      <c r="F1741" s="44"/>
      <c r="G1741" s="44"/>
      <c r="H1741" s="44"/>
      <c r="I1741" s="44"/>
      <c r="J1741" s="44"/>
      <c r="K1741" s="44"/>
      <c r="L1741" s="44"/>
      <c r="M1741" s="44"/>
      <c r="N1741" s="44"/>
      <c r="O1741" s="44"/>
      <c r="P1741" s="52">
        <f t="shared" si="23"/>
        <v>0</v>
      </c>
      <c r="Q1741" s="124">
        <f t="shared" si="2"/>
        <v>0</v>
      </c>
      <c r="R1741" s="52">
        <f t="array" ref="R1741">IFERROR(INDEX('Fund YTD Target Values'!$1:$1000, MATCH($C1741,'Fund YTD Target Values'!$A:$A,0), MATCH($A1741,'Fund YTD Target Values'!$1:$1,0)),0)</f>
        <v>0</v>
      </c>
      <c r="S1741" s="52">
        <f>IFERROR(__xludf.DUMMYFUNCTION("IFERROR(sum(FILTER('Fund Data'!$V:$V, 'Fund Data'!$C:$C = $C1741, 'Fund Data'!$A:$A &lt; $A1741)),0) + IFERROR(sum(FILTER('Fund Data'!$V:$V, 'Fund Data'!$C:$C = $C1741, 'Fund Data'!$A:$A = $A1741, 'Fund Data'!$B:$B &lt;= $B1741)),0)"),0.0)</f>
        <v>0</v>
      </c>
      <c r="T1741" s="44"/>
      <c r="U1741" s="44"/>
      <c r="V1741" s="44">
        <f t="shared" si="3"/>
        <v>0</v>
      </c>
      <c r="W1741" s="52">
        <f>IFERROR(__xludf.DUMMYFUNCTION("iFERROR((FILTER('Fund Data'!$Y:$Y, 'Fund Data'!$C:$C = $C1741, 'Fund Data'!$A:$A = $A1741 - 1, 'Fund Data'!$B:$B = 12) + FILTER('Fund Data'!$AA:$AA, 'Fund Data'!$C:$C = $C1741, 'Fund Data'!$A:$A = $A1741 - 1, 'Fund Data'!$B:$B = 12)) * (1 + AVERAGE(FILTER"&amp;"('Inflation Data'!$C:$C,'Inflation Data'!$A:$A = ($A1741 - 2)))) * 'Parameters and Distribution Sum'!$A$4,0)"),0.0)</f>
        <v>0</v>
      </c>
      <c r="X1741" s="52">
        <f>IFERROR(__xludf.DUMMYFUNCTION("IFERROR((IFERROR(FILTER('Fund Data'!$P:$P,'Fund Data'!$C:$C = $C1741,'Fund Data'!$A:$A = ($A1741 - 2), 'Fund Data'!$B:$B = 12),0) - SUM(FILTER('Fund Data'!$V:$V, 'Fund Data'!$C:$C = $C1741, 'Fund Data'!$A:$A = ($A1741 - 2), 'Fund Data'!$B:$B &gt; 3)))  * 'Pa"&amp;"rameters and Distribution Sum'!$B$4 * (1 - 'Parameters and Distribution Sum'!$A$4),0)"),0.0)</f>
        <v>0</v>
      </c>
      <c r="Y1741" s="52">
        <f t="shared" si="140"/>
        <v>0</v>
      </c>
      <c r="Z1741" s="52">
        <f>IFERROR(__xludf.DUMMYFUNCTION("((IFERROR((SUM(FILTER('Fund Data'!$V:$V, 'Fund Data'!$C:$C = $C1741, 'Fund Data'!$A:$A = $A1741 - 1, 'Fund Data'!$B:$B &gt;= 4, 'Fund Data'!$B:$B &lt;= ($B1741 + 5))) / 12) * ($B1741 - 3) * 'Parameters and Distribution Sum'!$B$4, 0) + IF($B1741 &gt;= 9, IFERROR(SU"&amp;"M(FILTER('Fund Data'!$V:$V, 'Fund Data'!$C:$C = $C1741, 'Fund Data'!$A:$A = $A1741, 'Fund Data'!$B:$B &lt;= 3)) * 'Parameters and Distribution Sum'!$B$4, 0),0)))"),0.0)</f>
        <v>0</v>
      </c>
      <c r="AA1741" s="44">
        <f>IFERROR(__xludf.DUMMYFUNCTION("IFERROR(((IFERROR(SUM(FILTER('Fund Data'!$V:$V, 'Fund Data'!$C:$C = $C1741, 'Fund Data'!$A:$A = $A1741 - 2, 'Fund Data'!$B:$B &gt;= 4)) * 'Parameters and Distribution Sum'!$B$4,0) + IFERROR(SUM(FILTER('Fund Data'!$V:$V, 'Fund Data'!$C:$C = $C1741, 'Fund Data"&amp;"'!$A:$A = $A1741 - 1, 'Fund Data'!$B:$B &lt;= 3)) * 'Parameters and Distribution Sum'!$B$4,0))),0)"),0.0)</f>
        <v>0</v>
      </c>
      <c r="AB1741" s="44">
        <f t="shared" si="141"/>
        <v>0</v>
      </c>
      <c r="AC1741" s="44">
        <f t="shared" si="142"/>
        <v>0</v>
      </c>
      <c r="AD1741" s="44">
        <f t="shared" si="7"/>
        <v>0</v>
      </c>
      <c r="AE1741" s="44"/>
    </row>
    <row r="1742">
      <c r="A1742" s="178"/>
      <c r="B1742" s="179"/>
      <c r="C1742" s="147"/>
      <c r="D1742" s="44"/>
      <c r="E1742" s="44"/>
      <c r="F1742" s="44"/>
      <c r="G1742" s="44"/>
      <c r="H1742" s="44"/>
      <c r="I1742" s="44"/>
      <c r="J1742" s="44"/>
      <c r="K1742" s="44"/>
      <c r="L1742" s="44"/>
      <c r="M1742" s="44"/>
      <c r="N1742" s="44"/>
      <c r="O1742" s="44"/>
      <c r="P1742" s="52">
        <f t="shared" si="23"/>
        <v>0</v>
      </c>
      <c r="Q1742" s="124">
        <f t="shared" si="2"/>
        <v>0</v>
      </c>
      <c r="R1742" s="52">
        <f t="array" ref="R1742">IFERROR(INDEX('Fund YTD Target Values'!$1:$1000, MATCH($C1742,'Fund YTD Target Values'!$A:$A,0), MATCH($A1742,'Fund YTD Target Values'!$1:$1,0)),0)</f>
        <v>0</v>
      </c>
      <c r="S1742" s="52">
        <f>IFERROR(__xludf.DUMMYFUNCTION("IFERROR(sum(FILTER('Fund Data'!$V:$V, 'Fund Data'!$C:$C = $C1742, 'Fund Data'!$A:$A &lt; $A1742)),0) + IFERROR(sum(FILTER('Fund Data'!$V:$V, 'Fund Data'!$C:$C = $C1742, 'Fund Data'!$A:$A = $A1742, 'Fund Data'!$B:$B &lt;= $B1742)),0)"),0.0)</f>
        <v>0</v>
      </c>
      <c r="T1742" s="44"/>
      <c r="U1742" s="44"/>
      <c r="V1742" s="44">
        <f t="shared" si="3"/>
        <v>0</v>
      </c>
      <c r="W1742" s="52">
        <f>IFERROR(__xludf.DUMMYFUNCTION("iFERROR((FILTER('Fund Data'!$Y:$Y, 'Fund Data'!$C:$C = $C1742, 'Fund Data'!$A:$A = $A1742 - 1, 'Fund Data'!$B:$B = 12) + FILTER('Fund Data'!$AA:$AA, 'Fund Data'!$C:$C = $C1742, 'Fund Data'!$A:$A = $A1742 - 1, 'Fund Data'!$B:$B = 12)) * (1 + AVERAGE(FILTER"&amp;"('Inflation Data'!$C:$C,'Inflation Data'!$A:$A = ($A1742 - 2)))) * 'Parameters and Distribution Sum'!$A$4,0)"),0.0)</f>
        <v>0</v>
      </c>
      <c r="X1742" s="52">
        <f>IFERROR(__xludf.DUMMYFUNCTION("IFERROR((IFERROR(FILTER('Fund Data'!$P:$P,'Fund Data'!$C:$C = $C1742,'Fund Data'!$A:$A = ($A1742 - 2), 'Fund Data'!$B:$B = 12),0) - SUM(FILTER('Fund Data'!$V:$V, 'Fund Data'!$C:$C = $C1742, 'Fund Data'!$A:$A = ($A1742 - 2), 'Fund Data'!$B:$B &gt; 3)))  * 'Pa"&amp;"rameters and Distribution Sum'!$B$4 * (1 - 'Parameters and Distribution Sum'!$A$4),0)"),0.0)</f>
        <v>0</v>
      </c>
      <c r="Y1742" s="52">
        <f t="shared" si="140"/>
        <v>0</v>
      </c>
      <c r="Z1742" s="52">
        <f>IFERROR(__xludf.DUMMYFUNCTION("((IFERROR((SUM(FILTER('Fund Data'!$V:$V, 'Fund Data'!$C:$C = $C1742, 'Fund Data'!$A:$A = $A1742 - 1, 'Fund Data'!$B:$B &gt;= 4, 'Fund Data'!$B:$B &lt;= ($B1742 + 5))) / 12) * ($B1742 - 3) * 'Parameters and Distribution Sum'!$B$4, 0) + IF($B1742 &gt;= 9, IFERROR(SU"&amp;"M(FILTER('Fund Data'!$V:$V, 'Fund Data'!$C:$C = $C1742, 'Fund Data'!$A:$A = $A1742, 'Fund Data'!$B:$B &lt;= 3)) * 'Parameters and Distribution Sum'!$B$4, 0),0)))"),0.0)</f>
        <v>0</v>
      </c>
      <c r="AA1742" s="44">
        <f>IFERROR(__xludf.DUMMYFUNCTION("IFERROR(((IFERROR(SUM(FILTER('Fund Data'!$V:$V, 'Fund Data'!$C:$C = $C1742, 'Fund Data'!$A:$A = $A1742 - 2, 'Fund Data'!$B:$B &gt;= 4)) * 'Parameters and Distribution Sum'!$B$4,0) + IFERROR(SUM(FILTER('Fund Data'!$V:$V, 'Fund Data'!$C:$C = $C1742, 'Fund Data"&amp;"'!$A:$A = $A1742 - 1, 'Fund Data'!$B:$B &lt;= 3)) * 'Parameters and Distribution Sum'!$B$4,0))),0)"),0.0)</f>
        <v>0</v>
      </c>
      <c r="AB1742" s="44">
        <f t="shared" si="141"/>
        <v>0</v>
      </c>
      <c r="AC1742" s="44">
        <f t="shared" si="142"/>
        <v>0</v>
      </c>
      <c r="AD1742" s="44">
        <f t="shared" si="7"/>
        <v>0</v>
      </c>
      <c r="AE1742" s="44"/>
    </row>
    <row r="1743">
      <c r="A1743" s="178"/>
      <c r="B1743" s="179"/>
      <c r="C1743" s="147"/>
      <c r="D1743" s="44"/>
      <c r="E1743" s="44"/>
      <c r="F1743" s="44"/>
      <c r="G1743" s="44"/>
      <c r="H1743" s="44"/>
      <c r="I1743" s="44"/>
      <c r="J1743" s="44"/>
      <c r="K1743" s="44"/>
      <c r="L1743" s="44"/>
      <c r="M1743" s="44"/>
      <c r="N1743" s="44"/>
      <c r="O1743" s="44"/>
      <c r="P1743" s="52">
        <f t="shared" si="23"/>
        <v>0</v>
      </c>
      <c r="Q1743" s="124">
        <f t="shared" si="2"/>
        <v>0</v>
      </c>
      <c r="R1743" s="52">
        <f t="array" ref="R1743">IFERROR(INDEX('Fund YTD Target Values'!$1:$1000, MATCH($C1743,'Fund YTD Target Values'!$A:$A,0), MATCH($A1743,'Fund YTD Target Values'!$1:$1,0)),0)</f>
        <v>0</v>
      </c>
      <c r="S1743" s="52">
        <f>IFERROR(__xludf.DUMMYFUNCTION("IFERROR(sum(FILTER('Fund Data'!$V:$V, 'Fund Data'!$C:$C = $C1743, 'Fund Data'!$A:$A &lt; $A1743)),0) + IFERROR(sum(FILTER('Fund Data'!$V:$V, 'Fund Data'!$C:$C = $C1743, 'Fund Data'!$A:$A = $A1743, 'Fund Data'!$B:$B &lt;= $B1743)),0)"),0.0)</f>
        <v>0</v>
      </c>
      <c r="T1743" s="44"/>
      <c r="U1743" s="44"/>
      <c r="V1743" s="44">
        <f t="shared" si="3"/>
        <v>0</v>
      </c>
      <c r="W1743" s="52">
        <f>IFERROR(__xludf.DUMMYFUNCTION("iFERROR((FILTER('Fund Data'!$Y:$Y, 'Fund Data'!$C:$C = $C1743, 'Fund Data'!$A:$A = $A1743 - 1, 'Fund Data'!$B:$B = 12) + FILTER('Fund Data'!$AA:$AA, 'Fund Data'!$C:$C = $C1743, 'Fund Data'!$A:$A = $A1743 - 1, 'Fund Data'!$B:$B = 12)) * (1 + AVERAGE(FILTER"&amp;"('Inflation Data'!$C:$C,'Inflation Data'!$A:$A = ($A1743 - 2)))) * 'Parameters and Distribution Sum'!$A$4,0)"),0.0)</f>
        <v>0</v>
      </c>
      <c r="X1743" s="52">
        <f>IFERROR(__xludf.DUMMYFUNCTION("IFERROR((IFERROR(FILTER('Fund Data'!$P:$P,'Fund Data'!$C:$C = $C1743,'Fund Data'!$A:$A = ($A1743 - 2), 'Fund Data'!$B:$B = 12),0) - SUM(FILTER('Fund Data'!$V:$V, 'Fund Data'!$C:$C = $C1743, 'Fund Data'!$A:$A = ($A1743 - 2), 'Fund Data'!$B:$B &gt; 3)))  * 'Pa"&amp;"rameters and Distribution Sum'!$B$4 * (1 - 'Parameters and Distribution Sum'!$A$4),0)"),0.0)</f>
        <v>0</v>
      </c>
      <c r="Y1743" s="52">
        <f t="shared" si="140"/>
        <v>0</v>
      </c>
      <c r="Z1743" s="52">
        <f>IFERROR(__xludf.DUMMYFUNCTION("((IFERROR((SUM(FILTER('Fund Data'!$V:$V, 'Fund Data'!$C:$C = $C1743, 'Fund Data'!$A:$A = $A1743 - 1, 'Fund Data'!$B:$B &gt;= 4, 'Fund Data'!$B:$B &lt;= ($B1743 + 5))) / 12) * ($B1743 - 3) * 'Parameters and Distribution Sum'!$B$4, 0) + IF($B1743 &gt;= 9, IFERROR(SU"&amp;"M(FILTER('Fund Data'!$V:$V, 'Fund Data'!$C:$C = $C1743, 'Fund Data'!$A:$A = $A1743, 'Fund Data'!$B:$B &lt;= 3)) * 'Parameters and Distribution Sum'!$B$4, 0),0)))"),0.0)</f>
        <v>0</v>
      </c>
      <c r="AA1743" s="44">
        <f>IFERROR(__xludf.DUMMYFUNCTION("IFERROR(((IFERROR(SUM(FILTER('Fund Data'!$V:$V, 'Fund Data'!$C:$C = $C1743, 'Fund Data'!$A:$A = $A1743 - 2, 'Fund Data'!$B:$B &gt;= 4)) * 'Parameters and Distribution Sum'!$B$4,0) + IFERROR(SUM(FILTER('Fund Data'!$V:$V, 'Fund Data'!$C:$C = $C1743, 'Fund Data"&amp;"'!$A:$A = $A1743 - 1, 'Fund Data'!$B:$B &lt;= 3)) * 'Parameters and Distribution Sum'!$B$4,0))),0)"),0.0)</f>
        <v>0</v>
      </c>
      <c r="AB1743" s="44">
        <f t="shared" si="141"/>
        <v>0</v>
      </c>
      <c r="AC1743" s="44">
        <f t="shared" si="142"/>
        <v>0</v>
      </c>
      <c r="AD1743" s="44">
        <f t="shared" si="7"/>
        <v>0</v>
      </c>
      <c r="AE1743" s="44"/>
    </row>
    <row r="1744">
      <c r="A1744" s="178"/>
      <c r="B1744" s="179"/>
      <c r="C1744" s="147"/>
      <c r="D1744" s="44"/>
      <c r="E1744" s="44"/>
      <c r="F1744" s="44"/>
      <c r="G1744" s="44"/>
      <c r="H1744" s="44"/>
      <c r="I1744" s="44"/>
      <c r="J1744" s="44"/>
      <c r="K1744" s="44"/>
      <c r="L1744" s="44"/>
      <c r="M1744" s="44"/>
      <c r="N1744" s="44"/>
      <c r="O1744" s="44"/>
      <c r="P1744" s="52">
        <f t="shared" si="23"/>
        <v>0</v>
      </c>
      <c r="Q1744" s="124">
        <f t="shared" si="2"/>
        <v>0</v>
      </c>
      <c r="R1744" s="52">
        <f t="array" ref="R1744">IFERROR(INDEX('Fund YTD Target Values'!$1:$1000, MATCH($C1744,'Fund YTD Target Values'!$A:$A,0), MATCH($A1744,'Fund YTD Target Values'!$1:$1,0)),0)</f>
        <v>0</v>
      </c>
      <c r="S1744" s="52">
        <f>IFERROR(__xludf.DUMMYFUNCTION("IFERROR(sum(FILTER('Fund Data'!$V:$V, 'Fund Data'!$C:$C = $C1744, 'Fund Data'!$A:$A &lt; $A1744)),0) + IFERROR(sum(FILTER('Fund Data'!$V:$V, 'Fund Data'!$C:$C = $C1744, 'Fund Data'!$A:$A = $A1744, 'Fund Data'!$B:$B &lt;= $B1744)),0)"),0.0)</f>
        <v>0</v>
      </c>
      <c r="T1744" s="44"/>
      <c r="U1744" s="44"/>
      <c r="V1744" s="44">
        <f t="shared" si="3"/>
        <v>0</v>
      </c>
      <c r="W1744" s="52">
        <f>IFERROR(__xludf.DUMMYFUNCTION("iFERROR((FILTER('Fund Data'!$Y:$Y, 'Fund Data'!$C:$C = $C1744, 'Fund Data'!$A:$A = $A1744 - 1, 'Fund Data'!$B:$B = 12) + FILTER('Fund Data'!$AA:$AA, 'Fund Data'!$C:$C = $C1744, 'Fund Data'!$A:$A = $A1744 - 1, 'Fund Data'!$B:$B = 12)) * (1 + AVERAGE(FILTER"&amp;"('Inflation Data'!$C:$C,'Inflation Data'!$A:$A = ($A1744 - 2)))) * 'Parameters and Distribution Sum'!$A$4,0)"),0.0)</f>
        <v>0</v>
      </c>
      <c r="X1744" s="52">
        <f>IFERROR(__xludf.DUMMYFUNCTION("IFERROR((IFERROR(FILTER('Fund Data'!$P:$P,'Fund Data'!$C:$C = $C1744,'Fund Data'!$A:$A = ($A1744 - 2), 'Fund Data'!$B:$B = 12),0) - SUM(FILTER('Fund Data'!$V:$V, 'Fund Data'!$C:$C = $C1744, 'Fund Data'!$A:$A = ($A1744 - 2), 'Fund Data'!$B:$B &gt; 3)))  * 'Pa"&amp;"rameters and Distribution Sum'!$B$4 * (1 - 'Parameters and Distribution Sum'!$A$4),0)"),0.0)</f>
        <v>0</v>
      </c>
      <c r="Y1744" s="52">
        <f t="shared" si="140"/>
        <v>0</v>
      </c>
      <c r="Z1744" s="52">
        <f>IFERROR(__xludf.DUMMYFUNCTION("((IFERROR((SUM(FILTER('Fund Data'!$V:$V, 'Fund Data'!$C:$C = $C1744, 'Fund Data'!$A:$A = $A1744 - 1, 'Fund Data'!$B:$B &gt;= 4, 'Fund Data'!$B:$B &lt;= ($B1744 + 5))) / 12) * ($B1744 - 3) * 'Parameters and Distribution Sum'!$B$4, 0) + IF($B1744 &gt;= 9, IFERROR(SU"&amp;"M(FILTER('Fund Data'!$V:$V, 'Fund Data'!$C:$C = $C1744, 'Fund Data'!$A:$A = $A1744, 'Fund Data'!$B:$B &lt;= 3)) * 'Parameters and Distribution Sum'!$B$4, 0),0)))"),0.0)</f>
        <v>0</v>
      </c>
      <c r="AA1744" s="44">
        <f>IFERROR(__xludf.DUMMYFUNCTION("IFERROR(((IFERROR(SUM(FILTER('Fund Data'!$V:$V, 'Fund Data'!$C:$C = $C1744, 'Fund Data'!$A:$A = $A1744 - 2, 'Fund Data'!$B:$B &gt;= 4)) * 'Parameters and Distribution Sum'!$B$4,0) + IFERROR(SUM(FILTER('Fund Data'!$V:$V, 'Fund Data'!$C:$C = $C1744, 'Fund Data"&amp;"'!$A:$A = $A1744 - 1, 'Fund Data'!$B:$B &lt;= 3)) * 'Parameters and Distribution Sum'!$B$4,0))),0)"),0.0)</f>
        <v>0</v>
      </c>
      <c r="AB1744" s="44">
        <f t="shared" si="141"/>
        <v>0</v>
      </c>
      <c r="AC1744" s="44">
        <f t="shared" si="142"/>
        <v>0</v>
      </c>
      <c r="AD1744" s="44">
        <f t="shared" si="7"/>
        <v>0</v>
      </c>
      <c r="AE1744" s="44"/>
    </row>
    <row r="1745">
      <c r="A1745" s="178"/>
      <c r="B1745" s="179"/>
      <c r="C1745" s="147"/>
      <c r="D1745" s="44"/>
      <c r="E1745" s="44"/>
      <c r="F1745" s="44"/>
      <c r="G1745" s="44"/>
      <c r="H1745" s="44"/>
      <c r="I1745" s="44"/>
      <c r="J1745" s="44"/>
      <c r="K1745" s="44"/>
      <c r="L1745" s="44"/>
      <c r="M1745" s="44"/>
      <c r="N1745" s="44"/>
      <c r="O1745" s="44"/>
      <c r="P1745" s="52">
        <f t="shared" si="23"/>
        <v>0</v>
      </c>
      <c r="Q1745" s="124">
        <f t="shared" si="2"/>
        <v>0</v>
      </c>
      <c r="R1745" s="52">
        <f t="array" ref="R1745">IFERROR(INDEX('Fund YTD Target Values'!$1:$1000, MATCH($C1745,'Fund YTD Target Values'!$A:$A,0), MATCH($A1745,'Fund YTD Target Values'!$1:$1,0)),0)</f>
        <v>0</v>
      </c>
      <c r="S1745" s="52">
        <f>IFERROR(__xludf.DUMMYFUNCTION("IFERROR(sum(FILTER('Fund Data'!$V:$V, 'Fund Data'!$C:$C = $C1745, 'Fund Data'!$A:$A &lt; $A1745)),0) + IFERROR(sum(FILTER('Fund Data'!$V:$V, 'Fund Data'!$C:$C = $C1745, 'Fund Data'!$A:$A = $A1745, 'Fund Data'!$B:$B &lt;= $B1745)),0)"),0.0)</f>
        <v>0</v>
      </c>
      <c r="T1745" s="44"/>
      <c r="U1745" s="44"/>
      <c r="V1745" s="44">
        <f t="shared" si="3"/>
        <v>0</v>
      </c>
      <c r="W1745" s="52">
        <f>IFERROR(__xludf.DUMMYFUNCTION("iFERROR((FILTER('Fund Data'!$Y:$Y, 'Fund Data'!$C:$C = $C1745, 'Fund Data'!$A:$A = $A1745 - 1, 'Fund Data'!$B:$B = 12) + FILTER('Fund Data'!$AA:$AA, 'Fund Data'!$C:$C = $C1745, 'Fund Data'!$A:$A = $A1745 - 1, 'Fund Data'!$B:$B = 12)) * (1 + AVERAGE(FILTER"&amp;"('Inflation Data'!$C:$C,'Inflation Data'!$A:$A = ($A1745 - 2)))) * 'Parameters and Distribution Sum'!$A$4,0)"),0.0)</f>
        <v>0</v>
      </c>
      <c r="X1745" s="52">
        <f>IFERROR(__xludf.DUMMYFUNCTION("IFERROR((IFERROR(FILTER('Fund Data'!$P:$P,'Fund Data'!$C:$C = $C1745,'Fund Data'!$A:$A = ($A1745 - 2), 'Fund Data'!$B:$B = 12),0) - SUM(FILTER('Fund Data'!$V:$V, 'Fund Data'!$C:$C = $C1745, 'Fund Data'!$A:$A = ($A1745 - 2), 'Fund Data'!$B:$B &gt; 3)))  * 'Pa"&amp;"rameters and Distribution Sum'!$B$4 * (1 - 'Parameters and Distribution Sum'!$A$4),0)"),0.0)</f>
        <v>0</v>
      </c>
      <c r="Y1745" s="52">
        <f t="shared" si="140"/>
        <v>0</v>
      </c>
      <c r="Z1745" s="52">
        <f>IFERROR(__xludf.DUMMYFUNCTION("((IFERROR((SUM(FILTER('Fund Data'!$V:$V, 'Fund Data'!$C:$C = $C1745, 'Fund Data'!$A:$A = $A1745 - 1, 'Fund Data'!$B:$B &gt;= 4, 'Fund Data'!$B:$B &lt;= ($B1745 + 5))) / 12) * ($B1745 - 3) * 'Parameters and Distribution Sum'!$B$4, 0) + IF($B1745 &gt;= 9, IFERROR(SU"&amp;"M(FILTER('Fund Data'!$V:$V, 'Fund Data'!$C:$C = $C1745, 'Fund Data'!$A:$A = $A1745, 'Fund Data'!$B:$B &lt;= 3)) * 'Parameters and Distribution Sum'!$B$4, 0),0)))"),0.0)</f>
        <v>0</v>
      </c>
      <c r="AA1745" s="44">
        <f>IFERROR(__xludf.DUMMYFUNCTION("IFERROR(((IFERROR(SUM(FILTER('Fund Data'!$V:$V, 'Fund Data'!$C:$C = $C1745, 'Fund Data'!$A:$A = $A1745 - 2, 'Fund Data'!$B:$B &gt;= 4)) * 'Parameters and Distribution Sum'!$B$4,0) + IFERROR(SUM(FILTER('Fund Data'!$V:$V, 'Fund Data'!$C:$C = $C1745, 'Fund Data"&amp;"'!$A:$A = $A1745 - 1, 'Fund Data'!$B:$B &lt;= 3)) * 'Parameters and Distribution Sum'!$B$4,0))),0)"),0.0)</f>
        <v>0</v>
      </c>
      <c r="AB1745" s="44">
        <f t="shared" si="141"/>
        <v>0</v>
      </c>
      <c r="AC1745" s="44">
        <f t="shared" si="142"/>
        <v>0</v>
      </c>
      <c r="AD1745" s="44">
        <f t="shared" si="7"/>
        <v>0</v>
      </c>
      <c r="AE1745" s="44"/>
    </row>
    <row r="1746">
      <c r="A1746" s="178"/>
      <c r="B1746" s="179"/>
      <c r="C1746" s="147"/>
      <c r="D1746" s="44"/>
      <c r="E1746" s="44"/>
      <c r="F1746" s="44"/>
      <c r="G1746" s="44"/>
      <c r="H1746" s="44"/>
      <c r="I1746" s="44"/>
      <c r="J1746" s="44"/>
      <c r="K1746" s="44"/>
      <c r="L1746" s="44"/>
      <c r="M1746" s="44"/>
      <c r="N1746" s="44"/>
      <c r="O1746" s="44"/>
      <c r="P1746" s="52">
        <f t="shared" si="23"/>
        <v>0</v>
      </c>
      <c r="Q1746" s="124">
        <f t="shared" si="2"/>
        <v>0</v>
      </c>
      <c r="R1746" s="52">
        <f t="array" ref="R1746">IFERROR(INDEX('Fund YTD Target Values'!$1:$1000, MATCH($C1746,'Fund YTD Target Values'!$A:$A,0), MATCH($A1746,'Fund YTD Target Values'!$1:$1,0)),0)</f>
        <v>0</v>
      </c>
      <c r="S1746" s="52">
        <f>IFERROR(__xludf.DUMMYFUNCTION("IFERROR(sum(FILTER('Fund Data'!$V:$V, 'Fund Data'!$C:$C = $C1746, 'Fund Data'!$A:$A &lt; $A1746)),0) + IFERROR(sum(FILTER('Fund Data'!$V:$V, 'Fund Data'!$C:$C = $C1746, 'Fund Data'!$A:$A = $A1746, 'Fund Data'!$B:$B &lt;= $B1746)),0)"),0.0)</f>
        <v>0</v>
      </c>
      <c r="T1746" s="44"/>
      <c r="U1746" s="44"/>
      <c r="V1746" s="44">
        <f t="shared" si="3"/>
        <v>0</v>
      </c>
      <c r="W1746" s="52">
        <f>IFERROR(__xludf.DUMMYFUNCTION("iFERROR((FILTER('Fund Data'!$Y:$Y, 'Fund Data'!$C:$C = $C1746, 'Fund Data'!$A:$A = $A1746 - 1, 'Fund Data'!$B:$B = 12) + FILTER('Fund Data'!$AA:$AA, 'Fund Data'!$C:$C = $C1746, 'Fund Data'!$A:$A = $A1746 - 1, 'Fund Data'!$B:$B = 12)) * (1 + AVERAGE(FILTER"&amp;"('Inflation Data'!$C:$C,'Inflation Data'!$A:$A = ($A1746 - 2)))) * 'Parameters and Distribution Sum'!$A$4,0)"),0.0)</f>
        <v>0</v>
      </c>
      <c r="X1746" s="52">
        <f>IFERROR(__xludf.DUMMYFUNCTION("IFERROR((IFERROR(FILTER('Fund Data'!$P:$P,'Fund Data'!$C:$C = $C1746,'Fund Data'!$A:$A = ($A1746 - 2), 'Fund Data'!$B:$B = 12),0) - SUM(FILTER('Fund Data'!$V:$V, 'Fund Data'!$C:$C = $C1746, 'Fund Data'!$A:$A = ($A1746 - 2), 'Fund Data'!$B:$B &gt; 3)))  * 'Pa"&amp;"rameters and Distribution Sum'!$B$4 * (1 - 'Parameters and Distribution Sum'!$A$4),0)"),0.0)</f>
        <v>0</v>
      </c>
      <c r="Y1746" s="52">
        <f t="shared" si="140"/>
        <v>0</v>
      </c>
      <c r="Z1746" s="52">
        <f>IFERROR(__xludf.DUMMYFUNCTION("((IFERROR((SUM(FILTER('Fund Data'!$V:$V, 'Fund Data'!$C:$C = $C1746, 'Fund Data'!$A:$A = $A1746 - 1, 'Fund Data'!$B:$B &gt;= 4, 'Fund Data'!$B:$B &lt;= ($B1746 + 5))) / 12) * ($B1746 - 3) * 'Parameters and Distribution Sum'!$B$4, 0) + IF($B1746 &gt;= 9, IFERROR(SU"&amp;"M(FILTER('Fund Data'!$V:$V, 'Fund Data'!$C:$C = $C1746, 'Fund Data'!$A:$A = $A1746, 'Fund Data'!$B:$B &lt;= 3)) * 'Parameters and Distribution Sum'!$B$4, 0),0)))"),0.0)</f>
        <v>0</v>
      </c>
      <c r="AA1746" s="44">
        <f>IFERROR(__xludf.DUMMYFUNCTION("IFERROR(((IFERROR(SUM(FILTER('Fund Data'!$V:$V, 'Fund Data'!$C:$C = $C1746, 'Fund Data'!$A:$A = $A1746 - 2, 'Fund Data'!$B:$B &gt;= 4)) * 'Parameters and Distribution Sum'!$B$4,0) + IFERROR(SUM(FILTER('Fund Data'!$V:$V, 'Fund Data'!$C:$C = $C1746, 'Fund Data"&amp;"'!$A:$A = $A1746 - 1, 'Fund Data'!$B:$B &lt;= 3)) * 'Parameters and Distribution Sum'!$B$4,0))),0)"),0.0)</f>
        <v>0</v>
      </c>
      <c r="AB1746" s="44">
        <f t="shared" si="141"/>
        <v>0</v>
      </c>
      <c r="AC1746" s="44">
        <f t="shared" si="142"/>
        <v>0</v>
      </c>
      <c r="AD1746" s="44">
        <f t="shared" si="7"/>
        <v>0</v>
      </c>
      <c r="AE1746" s="44"/>
    </row>
    <row r="1747">
      <c r="A1747" s="178"/>
      <c r="B1747" s="179"/>
      <c r="C1747" s="147"/>
      <c r="D1747" s="44"/>
      <c r="E1747" s="44"/>
      <c r="F1747" s="44"/>
      <c r="G1747" s="44"/>
      <c r="H1747" s="44"/>
      <c r="I1747" s="44"/>
      <c r="J1747" s="44"/>
      <c r="K1747" s="44"/>
      <c r="L1747" s="44"/>
      <c r="M1747" s="44"/>
      <c r="N1747" s="44"/>
      <c r="O1747" s="44"/>
      <c r="P1747" s="52">
        <f t="shared" si="23"/>
        <v>0</v>
      </c>
      <c r="Q1747" s="124">
        <f t="shared" si="2"/>
        <v>0</v>
      </c>
      <c r="R1747" s="52">
        <f t="array" ref="R1747">IFERROR(INDEX('Fund YTD Target Values'!$1:$1000, MATCH($C1747,'Fund YTD Target Values'!$A:$A,0), MATCH($A1747,'Fund YTD Target Values'!$1:$1,0)),0)</f>
        <v>0</v>
      </c>
      <c r="S1747" s="52">
        <f>IFERROR(__xludf.DUMMYFUNCTION("IFERROR(sum(FILTER('Fund Data'!$V:$V, 'Fund Data'!$C:$C = $C1747, 'Fund Data'!$A:$A &lt; $A1747)),0) + IFERROR(sum(FILTER('Fund Data'!$V:$V, 'Fund Data'!$C:$C = $C1747, 'Fund Data'!$A:$A = $A1747, 'Fund Data'!$B:$B &lt;= $B1747)),0)"),0.0)</f>
        <v>0</v>
      </c>
      <c r="T1747" s="44"/>
      <c r="U1747" s="44"/>
      <c r="V1747" s="44">
        <f t="shared" si="3"/>
        <v>0</v>
      </c>
      <c r="W1747" s="52">
        <f>IFERROR(__xludf.DUMMYFUNCTION("iFERROR((FILTER('Fund Data'!$Y:$Y, 'Fund Data'!$C:$C = $C1747, 'Fund Data'!$A:$A = $A1747 - 1, 'Fund Data'!$B:$B = 12) + FILTER('Fund Data'!$AA:$AA, 'Fund Data'!$C:$C = $C1747, 'Fund Data'!$A:$A = $A1747 - 1, 'Fund Data'!$B:$B = 12)) * (1 + AVERAGE(FILTER"&amp;"('Inflation Data'!$C:$C,'Inflation Data'!$A:$A = ($A1747 - 2)))) * 'Parameters and Distribution Sum'!$A$4,0)"),0.0)</f>
        <v>0</v>
      </c>
      <c r="X1747" s="52">
        <f>IFERROR(__xludf.DUMMYFUNCTION("IFERROR((IFERROR(FILTER('Fund Data'!$P:$P,'Fund Data'!$C:$C = $C1747,'Fund Data'!$A:$A = ($A1747 - 2), 'Fund Data'!$B:$B = 12),0) - SUM(FILTER('Fund Data'!$V:$V, 'Fund Data'!$C:$C = $C1747, 'Fund Data'!$A:$A = ($A1747 - 2), 'Fund Data'!$B:$B &gt; 3)))  * 'Pa"&amp;"rameters and Distribution Sum'!$B$4 * (1 - 'Parameters and Distribution Sum'!$A$4),0)"),0.0)</f>
        <v>0</v>
      </c>
      <c r="Y1747" s="52">
        <f t="shared" si="140"/>
        <v>0</v>
      </c>
      <c r="Z1747" s="52">
        <f>IFERROR(__xludf.DUMMYFUNCTION("((IFERROR((SUM(FILTER('Fund Data'!$V:$V, 'Fund Data'!$C:$C = $C1747, 'Fund Data'!$A:$A = $A1747 - 1, 'Fund Data'!$B:$B &gt;= 4, 'Fund Data'!$B:$B &lt;= ($B1747 + 5))) / 12) * ($B1747 - 3) * 'Parameters and Distribution Sum'!$B$4, 0) + IF($B1747 &gt;= 9, IFERROR(SU"&amp;"M(FILTER('Fund Data'!$V:$V, 'Fund Data'!$C:$C = $C1747, 'Fund Data'!$A:$A = $A1747, 'Fund Data'!$B:$B &lt;= 3)) * 'Parameters and Distribution Sum'!$B$4, 0),0)))"),0.0)</f>
        <v>0</v>
      </c>
      <c r="AA1747" s="44">
        <f>IFERROR(__xludf.DUMMYFUNCTION("IFERROR(((IFERROR(SUM(FILTER('Fund Data'!$V:$V, 'Fund Data'!$C:$C = $C1747, 'Fund Data'!$A:$A = $A1747 - 2, 'Fund Data'!$B:$B &gt;= 4)) * 'Parameters and Distribution Sum'!$B$4,0) + IFERROR(SUM(FILTER('Fund Data'!$V:$V, 'Fund Data'!$C:$C = $C1747, 'Fund Data"&amp;"'!$A:$A = $A1747 - 1, 'Fund Data'!$B:$B &lt;= 3)) * 'Parameters and Distribution Sum'!$B$4,0))),0)"),0.0)</f>
        <v>0</v>
      </c>
      <c r="AB1747" s="44">
        <f t="shared" si="141"/>
        <v>0</v>
      </c>
      <c r="AC1747" s="44">
        <f t="shared" si="142"/>
        <v>0</v>
      </c>
      <c r="AD1747" s="44">
        <f t="shared" si="7"/>
        <v>0</v>
      </c>
      <c r="AE1747" s="44"/>
    </row>
    <row r="1748">
      <c r="A1748" s="178"/>
      <c r="B1748" s="179"/>
      <c r="C1748" s="147"/>
      <c r="D1748" s="44"/>
      <c r="E1748" s="44"/>
      <c r="F1748" s="44"/>
      <c r="G1748" s="44"/>
      <c r="H1748" s="44"/>
      <c r="I1748" s="44"/>
      <c r="J1748" s="44"/>
      <c r="K1748" s="44"/>
      <c r="L1748" s="44"/>
      <c r="M1748" s="44"/>
      <c r="N1748" s="44"/>
      <c r="O1748" s="44"/>
      <c r="P1748" s="52">
        <f t="shared" si="23"/>
        <v>0</v>
      </c>
      <c r="Q1748" s="124">
        <f t="shared" si="2"/>
        <v>0</v>
      </c>
      <c r="R1748" s="52">
        <f t="array" ref="R1748">IFERROR(INDEX('Fund YTD Target Values'!$1:$1000, MATCH($C1748,'Fund YTD Target Values'!$A:$A,0), MATCH($A1748,'Fund YTD Target Values'!$1:$1,0)),0)</f>
        <v>0</v>
      </c>
      <c r="S1748" s="52">
        <f>IFERROR(__xludf.DUMMYFUNCTION("IFERROR(sum(FILTER('Fund Data'!$V:$V, 'Fund Data'!$C:$C = $C1748, 'Fund Data'!$A:$A &lt; $A1748)),0) + IFERROR(sum(FILTER('Fund Data'!$V:$V, 'Fund Data'!$C:$C = $C1748, 'Fund Data'!$A:$A = $A1748, 'Fund Data'!$B:$B &lt;= $B1748)),0)"),0.0)</f>
        <v>0</v>
      </c>
      <c r="T1748" s="44"/>
      <c r="U1748" s="44"/>
      <c r="V1748" s="44">
        <f t="shared" si="3"/>
        <v>0</v>
      </c>
      <c r="W1748" s="52">
        <f>IFERROR(__xludf.DUMMYFUNCTION("iFERROR((FILTER('Fund Data'!$Y:$Y, 'Fund Data'!$C:$C = $C1748, 'Fund Data'!$A:$A = $A1748 - 1, 'Fund Data'!$B:$B = 12) + FILTER('Fund Data'!$AA:$AA, 'Fund Data'!$C:$C = $C1748, 'Fund Data'!$A:$A = $A1748 - 1, 'Fund Data'!$B:$B = 12)) * (1 + AVERAGE(FILTER"&amp;"('Inflation Data'!$C:$C,'Inflation Data'!$A:$A = ($A1748 - 2)))) * 'Parameters and Distribution Sum'!$A$4,0)"),0.0)</f>
        <v>0</v>
      </c>
      <c r="X1748" s="52">
        <f>IFERROR(__xludf.DUMMYFUNCTION("IFERROR((IFERROR(FILTER('Fund Data'!$P:$P,'Fund Data'!$C:$C = $C1748,'Fund Data'!$A:$A = ($A1748 - 2), 'Fund Data'!$B:$B = 12),0) - SUM(FILTER('Fund Data'!$V:$V, 'Fund Data'!$C:$C = $C1748, 'Fund Data'!$A:$A = ($A1748 - 2), 'Fund Data'!$B:$B &gt; 3)))  * 'Pa"&amp;"rameters and Distribution Sum'!$B$4 * (1 - 'Parameters and Distribution Sum'!$A$4),0)"),0.0)</f>
        <v>0</v>
      </c>
      <c r="Y1748" s="52">
        <f t="shared" si="140"/>
        <v>0</v>
      </c>
      <c r="Z1748" s="52">
        <f>IFERROR(__xludf.DUMMYFUNCTION("((IFERROR((SUM(FILTER('Fund Data'!$V:$V, 'Fund Data'!$C:$C = $C1748, 'Fund Data'!$A:$A = $A1748 - 1, 'Fund Data'!$B:$B &gt;= 4, 'Fund Data'!$B:$B &lt;= ($B1748 + 5))) / 12) * ($B1748 - 3) * 'Parameters and Distribution Sum'!$B$4, 0) + IF($B1748 &gt;= 9, IFERROR(SU"&amp;"M(FILTER('Fund Data'!$V:$V, 'Fund Data'!$C:$C = $C1748, 'Fund Data'!$A:$A = $A1748, 'Fund Data'!$B:$B &lt;= 3)) * 'Parameters and Distribution Sum'!$B$4, 0),0)))"),0.0)</f>
        <v>0</v>
      </c>
      <c r="AA1748" s="44">
        <f>IFERROR(__xludf.DUMMYFUNCTION("IFERROR(((IFERROR(SUM(FILTER('Fund Data'!$V:$V, 'Fund Data'!$C:$C = $C1748, 'Fund Data'!$A:$A = $A1748 - 2, 'Fund Data'!$B:$B &gt;= 4)) * 'Parameters and Distribution Sum'!$B$4,0) + IFERROR(SUM(FILTER('Fund Data'!$V:$V, 'Fund Data'!$C:$C = $C1748, 'Fund Data"&amp;"'!$A:$A = $A1748 - 1, 'Fund Data'!$B:$B &lt;= 3)) * 'Parameters and Distribution Sum'!$B$4,0))),0)"),0.0)</f>
        <v>0</v>
      </c>
      <c r="AB1748" s="44">
        <f t="shared" si="141"/>
        <v>0</v>
      </c>
      <c r="AC1748" s="44">
        <f t="shared" si="142"/>
        <v>0</v>
      </c>
      <c r="AD1748" s="44">
        <f t="shared" si="7"/>
        <v>0</v>
      </c>
      <c r="AE1748" s="44"/>
    </row>
    <row r="1749">
      <c r="A1749" s="178"/>
      <c r="B1749" s="179"/>
      <c r="C1749" s="147"/>
      <c r="D1749" s="44"/>
      <c r="E1749" s="44"/>
      <c r="F1749" s="44"/>
      <c r="G1749" s="44"/>
      <c r="H1749" s="44"/>
      <c r="I1749" s="44"/>
      <c r="J1749" s="44"/>
      <c r="K1749" s="44"/>
      <c r="L1749" s="44"/>
      <c r="M1749" s="44"/>
      <c r="N1749" s="44"/>
      <c r="O1749" s="44"/>
      <c r="P1749" s="52">
        <f t="shared" si="23"/>
        <v>0</v>
      </c>
      <c r="Q1749" s="124">
        <f t="shared" si="2"/>
        <v>0</v>
      </c>
      <c r="R1749" s="52">
        <f t="array" ref="R1749">IFERROR(INDEX('Fund YTD Target Values'!$1:$1000, MATCH($C1749,'Fund YTD Target Values'!$A:$A,0), MATCH($A1749,'Fund YTD Target Values'!$1:$1,0)),0)</f>
        <v>0</v>
      </c>
      <c r="S1749" s="52">
        <f>IFERROR(__xludf.DUMMYFUNCTION("IFERROR(sum(FILTER('Fund Data'!$V:$V, 'Fund Data'!$C:$C = $C1749, 'Fund Data'!$A:$A &lt; $A1749)),0) + IFERROR(sum(FILTER('Fund Data'!$V:$V, 'Fund Data'!$C:$C = $C1749, 'Fund Data'!$A:$A = $A1749, 'Fund Data'!$B:$B &lt;= $B1749)),0)"),0.0)</f>
        <v>0</v>
      </c>
      <c r="T1749" s="44"/>
      <c r="U1749" s="44"/>
      <c r="V1749" s="44">
        <f t="shared" si="3"/>
        <v>0</v>
      </c>
      <c r="W1749" s="52">
        <f>IFERROR(__xludf.DUMMYFUNCTION("iFERROR((FILTER('Fund Data'!$Y:$Y, 'Fund Data'!$C:$C = $C1749, 'Fund Data'!$A:$A = $A1749 - 1, 'Fund Data'!$B:$B = 12) + FILTER('Fund Data'!$AA:$AA, 'Fund Data'!$C:$C = $C1749, 'Fund Data'!$A:$A = $A1749 - 1, 'Fund Data'!$B:$B = 12)) * (1 + AVERAGE(FILTER"&amp;"('Inflation Data'!$C:$C,'Inflation Data'!$A:$A = ($A1749 - 2)))) * 'Parameters and Distribution Sum'!$A$4,0)"),0.0)</f>
        <v>0</v>
      </c>
      <c r="X1749" s="52">
        <f>IFERROR(__xludf.DUMMYFUNCTION("IFERROR((IFERROR(FILTER('Fund Data'!$P:$P,'Fund Data'!$C:$C = $C1749,'Fund Data'!$A:$A = ($A1749 - 2), 'Fund Data'!$B:$B = 12),0) - SUM(FILTER('Fund Data'!$V:$V, 'Fund Data'!$C:$C = $C1749, 'Fund Data'!$A:$A = ($A1749 - 2), 'Fund Data'!$B:$B &gt; 3)))  * 'Pa"&amp;"rameters and Distribution Sum'!$B$4 * (1 - 'Parameters and Distribution Sum'!$A$4),0)"),0.0)</f>
        <v>0</v>
      </c>
      <c r="Y1749" s="52">
        <f t="shared" si="140"/>
        <v>0</v>
      </c>
      <c r="Z1749" s="52">
        <f>IFERROR(__xludf.DUMMYFUNCTION("((IFERROR((SUM(FILTER('Fund Data'!$V:$V, 'Fund Data'!$C:$C = $C1749, 'Fund Data'!$A:$A = $A1749 - 1, 'Fund Data'!$B:$B &gt;= 4, 'Fund Data'!$B:$B &lt;= ($B1749 + 5))) / 12) * ($B1749 - 3) * 'Parameters and Distribution Sum'!$B$4, 0) + IF($B1749 &gt;= 9, IFERROR(SU"&amp;"M(FILTER('Fund Data'!$V:$V, 'Fund Data'!$C:$C = $C1749, 'Fund Data'!$A:$A = $A1749, 'Fund Data'!$B:$B &lt;= 3)) * 'Parameters and Distribution Sum'!$B$4, 0),0)))"),0.0)</f>
        <v>0</v>
      </c>
      <c r="AA1749" s="44">
        <f>IFERROR(__xludf.DUMMYFUNCTION("IFERROR(((IFERROR(SUM(FILTER('Fund Data'!$V:$V, 'Fund Data'!$C:$C = $C1749, 'Fund Data'!$A:$A = $A1749 - 2, 'Fund Data'!$B:$B &gt;= 4)) * 'Parameters and Distribution Sum'!$B$4,0) + IFERROR(SUM(FILTER('Fund Data'!$V:$V, 'Fund Data'!$C:$C = $C1749, 'Fund Data"&amp;"'!$A:$A = $A1749 - 1, 'Fund Data'!$B:$B &lt;= 3)) * 'Parameters and Distribution Sum'!$B$4,0))),0)"),0.0)</f>
        <v>0</v>
      </c>
      <c r="AB1749" s="44">
        <f t="shared" si="141"/>
        <v>0</v>
      </c>
      <c r="AC1749" s="44">
        <f t="shared" si="142"/>
        <v>0</v>
      </c>
      <c r="AD1749" s="44">
        <f t="shared" si="7"/>
        <v>0</v>
      </c>
      <c r="AE1749" s="44"/>
    </row>
    <row r="1750">
      <c r="A1750" s="178"/>
      <c r="B1750" s="179"/>
      <c r="C1750" s="147"/>
      <c r="D1750" s="44"/>
      <c r="E1750" s="44"/>
      <c r="F1750" s="44"/>
      <c r="G1750" s="44"/>
      <c r="H1750" s="44"/>
      <c r="I1750" s="44"/>
      <c r="J1750" s="44"/>
      <c r="K1750" s="44"/>
      <c r="L1750" s="44"/>
      <c r="M1750" s="44"/>
      <c r="N1750" s="44"/>
      <c r="O1750" s="44"/>
      <c r="P1750" s="52">
        <f t="shared" si="23"/>
        <v>0</v>
      </c>
      <c r="Q1750" s="124">
        <f t="shared" si="2"/>
        <v>0</v>
      </c>
      <c r="R1750" s="52">
        <f t="array" ref="R1750">IFERROR(INDEX('Fund YTD Target Values'!$1:$1000, MATCH($C1750,'Fund YTD Target Values'!$A:$A,0), MATCH($A1750,'Fund YTD Target Values'!$1:$1,0)),0)</f>
        <v>0</v>
      </c>
      <c r="S1750" s="52">
        <f>IFERROR(__xludf.DUMMYFUNCTION("IFERROR(sum(FILTER('Fund Data'!$V:$V, 'Fund Data'!$C:$C = $C1750, 'Fund Data'!$A:$A &lt; $A1750)),0) + IFERROR(sum(FILTER('Fund Data'!$V:$V, 'Fund Data'!$C:$C = $C1750, 'Fund Data'!$A:$A = $A1750, 'Fund Data'!$B:$B &lt;= $B1750)),0)"),0.0)</f>
        <v>0</v>
      </c>
      <c r="T1750" s="44"/>
      <c r="U1750" s="44"/>
      <c r="V1750" s="44">
        <f t="shared" si="3"/>
        <v>0</v>
      </c>
      <c r="W1750" s="52">
        <f>IFERROR(__xludf.DUMMYFUNCTION("iFERROR((FILTER('Fund Data'!$Y:$Y, 'Fund Data'!$C:$C = $C1750, 'Fund Data'!$A:$A = $A1750 - 1, 'Fund Data'!$B:$B = 12) + FILTER('Fund Data'!$AA:$AA, 'Fund Data'!$C:$C = $C1750, 'Fund Data'!$A:$A = $A1750 - 1, 'Fund Data'!$B:$B = 12)) * (1 + AVERAGE(FILTER"&amp;"('Inflation Data'!$C:$C,'Inflation Data'!$A:$A = ($A1750 - 2)))) * 'Parameters and Distribution Sum'!$A$4,0)"),0.0)</f>
        <v>0</v>
      </c>
      <c r="X1750" s="52">
        <f>IFERROR(__xludf.DUMMYFUNCTION("IFERROR((IFERROR(FILTER('Fund Data'!$P:$P,'Fund Data'!$C:$C = $C1750,'Fund Data'!$A:$A = ($A1750 - 2), 'Fund Data'!$B:$B = 12),0) - SUM(FILTER('Fund Data'!$V:$V, 'Fund Data'!$C:$C = $C1750, 'Fund Data'!$A:$A = ($A1750 - 2), 'Fund Data'!$B:$B &gt; 3)))  * 'Pa"&amp;"rameters and Distribution Sum'!$B$4 * (1 - 'Parameters and Distribution Sum'!$A$4),0)"),0.0)</f>
        <v>0</v>
      </c>
      <c r="Y1750" s="52">
        <f t="shared" si="140"/>
        <v>0</v>
      </c>
      <c r="Z1750" s="52">
        <f>IFERROR(__xludf.DUMMYFUNCTION("((IFERROR((SUM(FILTER('Fund Data'!$V:$V, 'Fund Data'!$C:$C = $C1750, 'Fund Data'!$A:$A = $A1750 - 1, 'Fund Data'!$B:$B &gt;= 4, 'Fund Data'!$B:$B &lt;= ($B1750 + 5))) / 12) * ($B1750 - 3) * 'Parameters and Distribution Sum'!$B$4, 0) + IF($B1750 &gt;= 9, IFERROR(SU"&amp;"M(FILTER('Fund Data'!$V:$V, 'Fund Data'!$C:$C = $C1750, 'Fund Data'!$A:$A = $A1750, 'Fund Data'!$B:$B &lt;= 3)) * 'Parameters and Distribution Sum'!$B$4, 0),0)))"),0.0)</f>
        <v>0</v>
      </c>
      <c r="AA1750" s="44">
        <f>IFERROR(__xludf.DUMMYFUNCTION("IFERROR(((IFERROR(SUM(FILTER('Fund Data'!$V:$V, 'Fund Data'!$C:$C = $C1750, 'Fund Data'!$A:$A = $A1750 - 2, 'Fund Data'!$B:$B &gt;= 4)) * 'Parameters and Distribution Sum'!$B$4,0) + IFERROR(SUM(FILTER('Fund Data'!$V:$V, 'Fund Data'!$C:$C = $C1750, 'Fund Data"&amp;"'!$A:$A = $A1750 - 1, 'Fund Data'!$B:$B &lt;= 3)) * 'Parameters and Distribution Sum'!$B$4,0))),0)"),0.0)</f>
        <v>0</v>
      </c>
      <c r="AB1750" s="44">
        <f t="shared" si="141"/>
        <v>0</v>
      </c>
      <c r="AC1750" s="44">
        <f t="shared" si="142"/>
        <v>0</v>
      </c>
      <c r="AD1750" s="44">
        <f t="shared" si="7"/>
        <v>0</v>
      </c>
      <c r="AE1750" s="44"/>
    </row>
    <row r="1751">
      <c r="A1751" s="178"/>
      <c r="B1751" s="179"/>
      <c r="C1751" s="147"/>
      <c r="D1751" s="44"/>
      <c r="E1751" s="44"/>
      <c r="F1751" s="44"/>
      <c r="G1751" s="44"/>
      <c r="H1751" s="44"/>
      <c r="I1751" s="44"/>
      <c r="J1751" s="44"/>
      <c r="K1751" s="44"/>
      <c r="L1751" s="44"/>
      <c r="M1751" s="44"/>
      <c r="N1751" s="44"/>
      <c r="O1751" s="44"/>
      <c r="P1751" s="52">
        <f t="shared" si="23"/>
        <v>0</v>
      </c>
      <c r="Q1751" s="124">
        <f t="shared" si="2"/>
        <v>0</v>
      </c>
      <c r="R1751" s="52">
        <f t="array" ref="R1751">IFERROR(INDEX('Fund YTD Target Values'!$1:$1000, MATCH($C1751,'Fund YTD Target Values'!$A:$A,0), MATCH($A1751,'Fund YTD Target Values'!$1:$1,0)),0)</f>
        <v>0</v>
      </c>
      <c r="S1751" s="52">
        <f>IFERROR(__xludf.DUMMYFUNCTION("IFERROR(sum(FILTER('Fund Data'!$V:$V, 'Fund Data'!$C:$C = $C1751, 'Fund Data'!$A:$A &lt; $A1751)),0) + IFERROR(sum(FILTER('Fund Data'!$V:$V, 'Fund Data'!$C:$C = $C1751, 'Fund Data'!$A:$A = $A1751, 'Fund Data'!$B:$B &lt;= $B1751)),0)"),0.0)</f>
        <v>0</v>
      </c>
      <c r="T1751" s="44"/>
      <c r="U1751" s="44"/>
      <c r="V1751" s="44">
        <f t="shared" si="3"/>
        <v>0</v>
      </c>
      <c r="W1751" s="52">
        <f>IFERROR(__xludf.DUMMYFUNCTION("iFERROR((FILTER('Fund Data'!$Y:$Y, 'Fund Data'!$C:$C = $C1751, 'Fund Data'!$A:$A = $A1751 - 1, 'Fund Data'!$B:$B = 12) + FILTER('Fund Data'!$AA:$AA, 'Fund Data'!$C:$C = $C1751, 'Fund Data'!$A:$A = $A1751 - 1, 'Fund Data'!$B:$B = 12)) * (1 + AVERAGE(FILTER"&amp;"('Inflation Data'!$C:$C,'Inflation Data'!$A:$A = ($A1751 - 2)))) * 'Parameters and Distribution Sum'!$A$4,0)"),0.0)</f>
        <v>0</v>
      </c>
      <c r="X1751" s="52">
        <f>IFERROR(__xludf.DUMMYFUNCTION("IFERROR((IFERROR(FILTER('Fund Data'!$P:$P,'Fund Data'!$C:$C = $C1751,'Fund Data'!$A:$A = ($A1751 - 2), 'Fund Data'!$B:$B = 12),0) - SUM(FILTER('Fund Data'!$V:$V, 'Fund Data'!$C:$C = $C1751, 'Fund Data'!$A:$A = ($A1751 - 2), 'Fund Data'!$B:$B &gt; 3)))  * 'Pa"&amp;"rameters and Distribution Sum'!$B$4 * (1 - 'Parameters and Distribution Sum'!$A$4),0)"),0.0)</f>
        <v>0</v>
      </c>
      <c r="Y1751" s="52">
        <f t="shared" si="140"/>
        <v>0</v>
      </c>
      <c r="Z1751" s="52">
        <f>IFERROR(__xludf.DUMMYFUNCTION("((IFERROR((SUM(FILTER('Fund Data'!$V:$V, 'Fund Data'!$C:$C = $C1751, 'Fund Data'!$A:$A = $A1751 - 1, 'Fund Data'!$B:$B &gt;= 4, 'Fund Data'!$B:$B &lt;= ($B1751 + 5))) / 12) * ($B1751 - 3) * 'Parameters and Distribution Sum'!$B$4, 0) + IF($B1751 &gt;= 9, IFERROR(SU"&amp;"M(FILTER('Fund Data'!$V:$V, 'Fund Data'!$C:$C = $C1751, 'Fund Data'!$A:$A = $A1751, 'Fund Data'!$B:$B &lt;= 3)) * 'Parameters and Distribution Sum'!$B$4, 0),0)))"),0.0)</f>
        <v>0</v>
      </c>
      <c r="AA1751" s="44">
        <f>IFERROR(__xludf.DUMMYFUNCTION("IFERROR(((IFERROR(SUM(FILTER('Fund Data'!$V:$V, 'Fund Data'!$C:$C = $C1751, 'Fund Data'!$A:$A = $A1751 - 2, 'Fund Data'!$B:$B &gt;= 4)) * 'Parameters and Distribution Sum'!$B$4,0) + IFERROR(SUM(FILTER('Fund Data'!$V:$V, 'Fund Data'!$C:$C = $C1751, 'Fund Data"&amp;"'!$A:$A = $A1751 - 1, 'Fund Data'!$B:$B &lt;= 3)) * 'Parameters and Distribution Sum'!$B$4,0))),0)"),0.0)</f>
        <v>0</v>
      </c>
      <c r="AB1751" s="44">
        <f t="shared" si="141"/>
        <v>0</v>
      </c>
      <c r="AC1751" s="44">
        <f t="shared" si="142"/>
        <v>0</v>
      </c>
      <c r="AD1751" s="44">
        <f t="shared" si="7"/>
        <v>0</v>
      </c>
      <c r="AE1751" s="44"/>
    </row>
    <row r="1752">
      <c r="A1752" s="178"/>
      <c r="B1752" s="179"/>
      <c r="C1752" s="147"/>
      <c r="D1752" s="44"/>
      <c r="E1752" s="44"/>
      <c r="F1752" s="44"/>
      <c r="G1752" s="44"/>
      <c r="H1752" s="44"/>
      <c r="I1752" s="44"/>
      <c r="J1752" s="44"/>
      <c r="K1752" s="44"/>
      <c r="L1752" s="44"/>
      <c r="M1752" s="44"/>
      <c r="N1752" s="44"/>
      <c r="O1752" s="44"/>
      <c r="P1752" s="52">
        <f t="shared" si="23"/>
        <v>0</v>
      </c>
      <c r="Q1752" s="124">
        <f t="shared" si="2"/>
        <v>0</v>
      </c>
      <c r="R1752" s="52">
        <f t="array" ref="R1752">IFERROR(INDEX('Fund YTD Target Values'!$1:$1000, MATCH($C1752,'Fund YTD Target Values'!$A:$A,0), MATCH($A1752,'Fund YTD Target Values'!$1:$1,0)),0)</f>
        <v>0</v>
      </c>
      <c r="S1752" s="52">
        <f>IFERROR(__xludf.DUMMYFUNCTION("IFERROR(sum(FILTER('Fund Data'!$V:$V, 'Fund Data'!$C:$C = $C1752, 'Fund Data'!$A:$A &lt; $A1752)),0) + IFERROR(sum(FILTER('Fund Data'!$V:$V, 'Fund Data'!$C:$C = $C1752, 'Fund Data'!$A:$A = $A1752, 'Fund Data'!$B:$B &lt;= $B1752)),0)"),0.0)</f>
        <v>0</v>
      </c>
      <c r="T1752" s="44"/>
      <c r="U1752" s="44"/>
      <c r="V1752" s="44">
        <f t="shared" si="3"/>
        <v>0</v>
      </c>
      <c r="W1752" s="52">
        <f>IFERROR(__xludf.DUMMYFUNCTION("iFERROR((FILTER('Fund Data'!$Y:$Y, 'Fund Data'!$C:$C = $C1752, 'Fund Data'!$A:$A = $A1752 - 1, 'Fund Data'!$B:$B = 12) + FILTER('Fund Data'!$AA:$AA, 'Fund Data'!$C:$C = $C1752, 'Fund Data'!$A:$A = $A1752 - 1, 'Fund Data'!$B:$B = 12)) * (1 + AVERAGE(FILTER"&amp;"('Inflation Data'!$C:$C,'Inflation Data'!$A:$A = ($A1752 - 2)))) * 'Parameters and Distribution Sum'!$A$4,0)"),0.0)</f>
        <v>0</v>
      </c>
      <c r="X1752" s="52">
        <f>IFERROR(__xludf.DUMMYFUNCTION("IFERROR((IFERROR(FILTER('Fund Data'!$P:$P,'Fund Data'!$C:$C = $C1752,'Fund Data'!$A:$A = ($A1752 - 2), 'Fund Data'!$B:$B = 12),0) - SUM(FILTER('Fund Data'!$V:$V, 'Fund Data'!$C:$C = $C1752, 'Fund Data'!$A:$A = ($A1752 - 2), 'Fund Data'!$B:$B &gt; 3)))  * 'Pa"&amp;"rameters and Distribution Sum'!$B$4 * (1 - 'Parameters and Distribution Sum'!$A$4),0)"),0.0)</f>
        <v>0</v>
      </c>
      <c r="Y1752" s="52">
        <f t="shared" si="140"/>
        <v>0</v>
      </c>
      <c r="Z1752" s="52">
        <f>IFERROR(__xludf.DUMMYFUNCTION("((IFERROR((SUM(FILTER('Fund Data'!$V:$V, 'Fund Data'!$C:$C = $C1752, 'Fund Data'!$A:$A = $A1752 - 1, 'Fund Data'!$B:$B &gt;= 4, 'Fund Data'!$B:$B &lt;= ($B1752 + 5))) / 12) * ($B1752 - 3) * 'Parameters and Distribution Sum'!$B$4, 0) + IF($B1752 &gt;= 9, IFERROR(SU"&amp;"M(FILTER('Fund Data'!$V:$V, 'Fund Data'!$C:$C = $C1752, 'Fund Data'!$A:$A = $A1752, 'Fund Data'!$B:$B &lt;= 3)) * 'Parameters and Distribution Sum'!$B$4, 0),0)))"),0.0)</f>
        <v>0</v>
      </c>
      <c r="AA1752" s="44">
        <f>IFERROR(__xludf.DUMMYFUNCTION("IFERROR(((IFERROR(SUM(FILTER('Fund Data'!$V:$V, 'Fund Data'!$C:$C = $C1752, 'Fund Data'!$A:$A = $A1752 - 2, 'Fund Data'!$B:$B &gt;= 4)) * 'Parameters and Distribution Sum'!$B$4,0) + IFERROR(SUM(FILTER('Fund Data'!$V:$V, 'Fund Data'!$C:$C = $C1752, 'Fund Data"&amp;"'!$A:$A = $A1752 - 1, 'Fund Data'!$B:$B &lt;= 3)) * 'Parameters and Distribution Sum'!$B$4,0))),0)"),0.0)</f>
        <v>0</v>
      </c>
      <c r="AB1752" s="44">
        <f t="shared" si="141"/>
        <v>0</v>
      </c>
      <c r="AC1752" s="44">
        <f t="shared" si="142"/>
        <v>0</v>
      </c>
      <c r="AD1752" s="44">
        <f t="shared" si="7"/>
        <v>0</v>
      </c>
      <c r="AE1752" s="44"/>
    </row>
    <row r="1753">
      <c r="A1753" s="178"/>
      <c r="B1753" s="179"/>
      <c r="C1753" s="147"/>
      <c r="D1753" s="44"/>
      <c r="E1753" s="44"/>
      <c r="F1753" s="44"/>
      <c r="G1753" s="44"/>
      <c r="H1753" s="44"/>
      <c r="I1753" s="44"/>
      <c r="J1753" s="44"/>
      <c r="K1753" s="44"/>
      <c r="L1753" s="44"/>
      <c r="M1753" s="44"/>
      <c r="N1753" s="44"/>
      <c r="O1753" s="44"/>
      <c r="P1753" s="52">
        <f t="shared" si="23"/>
        <v>0</v>
      </c>
      <c r="Q1753" s="124">
        <f t="shared" si="2"/>
        <v>0</v>
      </c>
      <c r="R1753" s="52">
        <f t="array" ref="R1753">IFERROR(INDEX('Fund YTD Target Values'!$1:$1000, MATCH($C1753,'Fund YTD Target Values'!$A:$A,0), MATCH($A1753,'Fund YTD Target Values'!$1:$1,0)),0)</f>
        <v>0</v>
      </c>
      <c r="S1753" s="52">
        <f>IFERROR(__xludf.DUMMYFUNCTION("IFERROR(sum(FILTER('Fund Data'!$V:$V, 'Fund Data'!$C:$C = $C1753, 'Fund Data'!$A:$A &lt; $A1753)),0) + IFERROR(sum(FILTER('Fund Data'!$V:$V, 'Fund Data'!$C:$C = $C1753, 'Fund Data'!$A:$A = $A1753, 'Fund Data'!$B:$B &lt;= $B1753)),0)"),0.0)</f>
        <v>0</v>
      </c>
      <c r="T1753" s="44"/>
      <c r="U1753" s="44"/>
      <c r="V1753" s="44">
        <f t="shared" si="3"/>
        <v>0</v>
      </c>
      <c r="W1753" s="52">
        <f>IFERROR(__xludf.DUMMYFUNCTION("iFERROR((FILTER('Fund Data'!$Y:$Y, 'Fund Data'!$C:$C = $C1753, 'Fund Data'!$A:$A = $A1753 - 1, 'Fund Data'!$B:$B = 12) + FILTER('Fund Data'!$AA:$AA, 'Fund Data'!$C:$C = $C1753, 'Fund Data'!$A:$A = $A1753 - 1, 'Fund Data'!$B:$B = 12)) * (1 + AVERAGE(FILTER"&amp;"('Inflation Data'!$C:$C,'Inflation Data'!$A:$A = ($A1753 - 2)))) * 'Parameters and Distribution Sum'!$A$4,0)"),0.0)</f>
        <v>0</v>
      </c>
      <c r="X1753" s="52">
        <f>IFERROR(__xludf.DUMMYFUNCTION("IFERROR((IFERROR(FILTER('Fund Data'!$P:$P,'Fund Data'!$C:$C = $C1753,'Fund Data'!$A:$A = ($A1753 - 2), 'Fund Data'!$B:$B = 12),0) - SUM(FILTER('Fund Data'!$V:$V, 'Fund Data'!$C:$C = $C1753, 'Fund Data'!$A:$A = ($A1753 - 2), 'Fund Data'!$B:$B &gt; 3)))  * 'Pa"&amp;"rameters and Distribution Sum'!$B$4 * (1 - 'Parameters and Distribution Sum'!$A$4),0)"),0.0)</f>
        <v>0</v>
      </c>
      <c r="Y1753" s="52">
        <f t="shared" si="140"/>
        <v>0</v>
      </c>
      <c r="Z1753" s="52">
        <f>IFERROR(__xludf.DUMMYFUNCTION("((IFERROR((SUM(FILTER('Fund Data'!$V:$V, 'Fund Data'!$C:$C = $C1753, 'Fund Data'!$A:$A = $A1753 - 1, 'Fund Data'!$B:$B &gt;= 4, 'Fund Data'!$B:$B &lt;= ($B1753 + 5))) / 12) * ($B1753 - 3) * 'Parameters and Distribution Sum'!$B$4, 0) + IF($B1753 &gt;= 9, IFERROR(SU"&amp;"M(FILTER('Fund Data'!$V:$V, 'Fund Data'!$C:$C = $C1753, 'Fund Data'!$A:$A = $A1753, 'Fund Data'!$B:$B &lt;= 3)) * 'Parameters and Distribution Sum'!$B$4, 0),0)))"),0.0)</f>
        <v>0</v>
      </c>
      <c r="AA1753" s="44">
        <f>IFERROR(__xludf.DUMMYFUNCTION("IFERROR(((IFERROR(SUM(FILTER('Fund Data'!$V:$V, 'Fund Data'!$C:$C = $C1753, 'Fund Data'!$A:$A = $A1753 - 2, 'Fund Data'!$B:$B &gt;= 4)) * 'Parameters and Distribution Sum'!$B$4,0) + IFERROR(SUM(FILTER('Fund Data'!$V:$V, 'Fund Data'!$C:$C = $C1753, 'Fund Data"&amp;"'!$A:$A = $A1753 - 1, 'Fund Data'!$B:$B &lt;= 3)) * 'Parameters and Distribution Sum'!$B$4,0))),0)"),0.0)</f>
        <v>0</v>
      </c>
      <c r="AB1753" s="44">
        <f t="shared" si="141"/>
        <v>0</v>
      </c>
      <c r="AC1753" s="44">
        <f t="shared" si="142"/>
        <v>0</v>
      </c>
      <c r="AD1753" s="44">
        <f t="shared" si="7"/>
        <v>0</v>
      </c>
      <c r="AE1753" s="44"/>
    </row>
    <row r="1754">
      <c r="A1754" s="178"/>
      <c r="B1754" s="179"/>
      <c r="C1754" s="147"/>
      <c r="D1754" s="44"/>
      <c r="E1754" s="44"/>
      <c r="F1754" s="44"/>
      <c r="G1754" s="44"/>
      <c r="H1754" s="44"/>
      <c r="I1754" s="44"/>
      <c r="J1754" s="44"/>
      <c r="K1754" s="44"/>
      <c r="L1754" s="44"/>
      <c r="M1754" s="44"/>
      <c r="N1754" s="44"/>
      <c r="O1754" s="44"/>
      <c r="P1754" s="52">
        <f t="shared" si="23"/>
        <v>0</v>
      </c>
      <c r="Q1754" s="124">
        <f t="shared" si="2"/>
        <v>0</v>
      </c>
      <c r="R1754" s="52">
        <f t="array" ref="R1754">IFERROR(INDEX('Fund YTD Target Values'!$1:$1000, MATCH($C1754,'Fund YTD Target Values'!$A:$A,0), MATCH($A1754,'Fund YTD Target Values'!$1:$1,0)),0)</f>
        <v>0</v>
      </c>
      <c r="S1754" s="52">
        <f>IFERROR(__xludf.DUMMYFUNCTION("IFERROR(sum(FILTER('Fund Data'!$V:$V, 'Fund Data'!$C:$C = $C1754, 'Fund Data'!$A:$A &lt; $A1754)),0) + IFERROR(sum(FILTER('Fund Data'!$V:$V, 'Fund Data'!$C:$C = $C1754, 'Fund Data'!$A:$A = $A1754, 'Fund Data'!$B:$B &lt;= $B1754)),0)"),0.0)</f>
        <v>0</v>
      </c>
      <c r="T1754" s="44"/>
      <c r="U1754" s="44"/>
      <c r="V1754" s="44">
        <f t="shared" si="3"/>
        <v>0</v>
      </c>
      <c r="W1754" s="52">
        <f>IFERROR(__xludf.DUMMYFUNCTION("iFERROR((FILTER('Fund Data'!$Y:$Y, 'Fund Data'!$C:$C = $C1754, 'Fund Data'!$A:$A = $A1754 - 1, 'Fund Data'!$B:$B = 12) + FILTER('Fund Data'!$AA:$AA, 'Fund Data'!$C:$C = $C1754, 'Fund Data'!$A:$A = $A1754 - 1, 'Fund Data'!$B:$B = 12)) * (1 + AVERAGE(FILTER"&amp;"('Inflation Data'!$C:$C,'Inflation Data'!$A:$A = ($A1754 - 2)))) * 'Parameters and Distribution Sum'!$A$4,0)"),0.0)</f>
        <v>0</v>
      </c>
      <c r="X1754" s="52">
        <f>IFERROR(__xludf.DUMMYFUNCTION("IFERROR((IFERROR(FILTER('Fund Data'!$P:$P,'Fund Data'!$C:$C = $C1754,'Fund Data'!$A:$A = ($A1754 - 2), 'Fund Data'!$B:$B = 12),0) - SUM(FILTER('Fund Data'!$V:$V, 'Fund Data'!$C:$C = $C1754, 'Fund Data'!$A:$A = ($A1754 - 2), 'Fund Data'!$B:$B &gt; 3)))  * 'Pa"&amp;"rameters and Distribution Sum'!$B$4 * (1 - 'Parameters and Distribution Sum'!$A$4),0)"),0.0)</f>
        <v>0</v>
      </c>
      <c r="Y1754" s="52">
        <f t="shared" si="140"/>
        <v>0</v>
      </c>
      <c r="Z1754" s="52">
        <f>IFERROR(__xludf.DUMMYFUNCTION("((IFERROR((SUM(FILTER('Fund Data'!$V:$V, 'Fund Data'!$C:$C = $C1754, 'Fund Data'!$A:$A = $A1754 - 1, 'Fund Data'!$B:$B &gt;= 4, 'Fund Data'!$B:$B &lt;= ($B1754 + 5))) / 12) * ($B1754 - 3) * 'Parameters and Distribution Sum'!$B$4, 0) + IF($B1754 &gt;= 9, IFERROR(SU"&amp;"M(FILTER('Fund Data'!$V:$V, 'Fund Data'!$C:$C = $C1754, 'Fund Data'!$A:$A = $A1754, 'Fund Data'!$B:$B &lt;= 3)) * 'Parameters and Distribution Sum'!$B$4, 0),0)))"),0.0)</f>
        <v>0</v>
      </c>
      <c r="AA1754" s="44">
        <f>IFERROR(__xludf.DUMMYFUNCTION("IFERROR(((IFERROR(SUM(FILTER('Fund Data'!$V:$V, 'Fund Data'!$C:$C = $C1754, 'Fund Data'!$A:$A = $A1754 - 2, 'Fund Data'!$B:$B &gt;= 4)) * 'Parameters and Distribution Sum'!$B$4,0) + IFERROR(SUM(FILTER('Fund Data'!$V:$V, 'Fund Data'!$C:$C = $C1754, 'Fund Data"&amp;"'!$A:$A = $A1754 - 1, 'Fund Data'!$B:$B &lt;= 3)) * 'Parameters and Distribution Sum'!$B$4,0))),0)"),0.0)</f>
        <v>0</v>
      </c>
      <c r="AB1754" s="44">
        <f t="shared" si="141"/>
        <v>0</v>
      </c>
      <c r="AC1754" s="44">
        <f t="shared" si="142"/>
        <v>0</v>
      </c>
      <c r="AD1754" s="44">
        <f t="shared" si="7"/>
        <v>0</v>
      </c>
      <c r="AE1754" s="44"/>
    </row>
    <row r="1755">
      <c r="A1755" s="178"/>
      <c r="B1755" s="179"/>
      <c r="C1755" s="147"/>
      <c r="D1755" s="44"/>
      <c r="E1755" s="44"/>
      <c r="F1755" s="44"/>
      <c r="G1755" s="44"/>
      <c r="H1755" s="44"/>
      <c r="I1755" s="44"/>
      <c r="J1755" s="44"/>
      <c r="K1755" s="44"/>
      <c r="L1755" s="44"/>
      <c r="M1755" s="44"/>
      <c r="N1755" s="44"/>
      <c r="O1755" s="44"/>
      <c r="P1755" s="52">
        <f t="shared" si="23"/>
        <v>0</v>
      </c>
      <c r="Q1755" s="124">
        <f t="shared" si="2"/>
        <v>0</v>
      </c>
      <c r="R1755" s="52">
        <f t="array" ref="R1755">IFERROR(INDEX('Fund YTD Target Values'!$1:$1000, MATCH($C1755,'Fund YTD Target Values'!$A:$A,0), MATCH($A1755,'Fund YTD Target Values'!$1:$1,0)),0)</f>
        <v>0</v>
      </c>
      <c r="S1755" s="52">
        <f>IFERROR(__xludf.DUMMYFUNCTION("IFERROR(sum(FILTER('Fund Data'!$V:$V, 'Fund Data'!$C:$C = $C1755, 'Fund Data'!$A:$A &lt; $A1755)),0) + IFERROR(sum(FILTER('Fund Data'!$V:$V, 'Fund Data'!$C:$C = $C1755, 'Fund Data'!$A:$A = $A1755, 'Fund Data'!$B:$B &lt;= $B1755)),0)"),0.0)</f>
        <v>0</v>
      </c>
      <c r="T1755" s="44"/>
      <c r="U1755" s="44"/>
      <c r="V1755" s="44">
        <f t="shared" si="3"/>
        <v>0</v>
      </c>
      <c r="W1755" s="52">
        <f>IFERROR(__xludf.DUMMYFUNCTION("iFERROR((FILTER('Fund Data'!$Y:$Y, 'Fund Data'!$C:$C = $C1755, 'Fund Data'!$A:$A = $A1755 - 1, 'Fund Data'!$B:$B = 12) + FILTER('Fund Data'!$AA:$AA, 'Fund Data'!$C:$C = $C1755, 'Fund Data'!$A:$A = $A1755 - 1, 'Fund Data'!$B:$B = 12)) * (1 + AVERAGE(FILTER"&amp;"('Inflation Data'!$C:$C,'Inflation Data'!$A:$A = ($A1755 - 2)))) * 'Parameters and Distribution Sum'!$A$4,0)"),0.0)</f>
        <v>0</v>
      </c>
      <c r="X1755" s="52">
        <f>IFERROR(__xludf.DUMMYFUNCTION("IFERROR((IFERROR(FILTER('Fund Data'!$P:$P,'Fund Data'!$C:$C = $C1755,'Fund Data'!$A:$A = ($A1755 - 2), 'Fund Data'!$B:$B = 12),0) - SUM(FILTER('Fund Data'!$V:$V, 'Fund Data'!$C:$C = $C1755, 'Fund Data'!$A:$A = ($A1755 - 2), 'Fund Data'!$B:$B &gt; 3)))  * 'Pa"&amp;"rameters and Distribution Sum'!$B$4 * (1 - 'Parameters and Distribution Sum'!$A$4),0)"),0.0)</f>
        <v>0</v>
      </c>
      <c r="Y1755" s="52">
        <f t="shared" si="140"/>
        <v>0</v>
      </c>
      <c r="Z1755" s="52">
        <f>IFERROR(__xludf.DUMMYFUNCTION("((IFERROR((SUM(FILTER('Fund Data'!$V:$V, 'Fund Data'!$C:$C = $C1755, 'Fund Data'!$A:$A = $A1755 - 1, 'Fund Data'!$B:$B &gt;= 4, 'Fund Data'!$B:$B &lt;= ($B1755 + 5))) / 12) * ($B1755 - 3) * 'Parameters and Distribution Sum'!$B$4, 0) + IF($B1755 &gt;= 9, IFERROR(SU"&amp;"M(FILTER('Fund Data'!$V:$V, 'Fund Data'!$C:$C = $C1755, 'Fund Data'!$A:$A = $A1755, 'Fund Data'!$B:$B &lt;= 3)) * 'Parameters and Distribution Sum'!$B$4, 0),0)))"),0.0)</f>
        <v>0</v>
      </c>
      <c r="AA1755" s="44">
        <f>IFERROR(__xludf.DUMMYFUNCTION("IFERROR(((IFERROR(SUM(FILTER('Fund Data'!$V:$V, 'Fund Data'!$C:$C = $C1755, 'Fund Data'!$A:$A = $A1755 - 2, 'Fund Data'!$B:$B &gt;= 4)) * 'Parameters and Distribution Sum'!$B$4,0) + IFERROR(SUM(FILTER('Fund Data'!$V:$V, 'Fund Data'!$C:$C = $C1755, 'Fund Data"&amp;"'!$A:$A = $A1755 - 1, 'Fund Data'!$B:$B &lt;= 3)) * 'Parameters and Distribution Sum'!$B$4,0))),0)"),0.0)</f>
        <v>0</v>
      </c>
      <c r="AB1755" s="44">
        <f t="shared" si="141"/>
        <v>0</v>
      </c>
      <c r="AC1755" s="44">
        <f t="shared" si="142"/>
        <v>0</v>
      </c>
      <c r="AD1755" s="44">
        <f t="shared" si="7"/>
        <v>0</v>
      </c>
      <c r="AE1755" s="44"/>
    </row>
    <row r="1756">
      <c r="A1756" s="178"/>
      <c r="B1756" s="179"/>
      <c r="C1756" s="147"/>
      <c r="D1756" s="44"/>
      <c r="E1756" s="44"/>
      <c r="F1756" s="44"/>
      <c r="G1756" s="44"/>
      <c r="H1756" s="44"/>
      <c r="I1756" s="44"/>
      <c r="J1756" s="44"/>
      <c r="K1756" s="44"/>
      <c r="L1756" s="44"/>
      <c r="M1756" s="44"/>
      <c r="N1756" s="44"/>
      <c r="O1756" s="44"/>
      <c r="P1756" s="52">
        <f t="shared" si="23"/>
        <v>0</v>
      </c>
      <c r="Q1756" s="124">
        <f t="shared" si="2"/>
        <v>0</v>
      </c>
      <c r="R1756" s="52">
        <f t="array" ref="R1756">IFERROR(INDEX('Fund YTD Target Values'!$1:$1000, MATCH($C1756,'Fund YTD Target Values'!$A:$A,0), MATCH($A1756,'Fund YTD Target Values'!$1:$1,0)),0)</f>
        <v>0</v>
      </c>
      <c r="S1756" s="52">
        <f>IFERROR(__xludf.DUMMYFUNCTION("IFERROR(sum(FILTER('Fund Data'!$V:$V, 'Fund Data'!$C:$C = $C1756, 'Fund Data'!$A:$A &lt; $A1756)),0) + IFERROR(sum(FILTER('Fund Data'!$V:$V, 'Fund Data'!$C:$C = $C1756, 'Fund Data'!$A:$A = $A1756, 'Fund Data'!$B:$B &lt;= $B1756)),0)"),0.0)</f>
        <v>0</v>
      </c>
      <c r="T1756" s="44"/>
      <c r="U1756" s="44"/>
      <c r="V1756" s="44">
        <f t="shared" si="3"/>
        <v>0</v>
      </c>
      <c r="W1756" s="52">
        <f>IFERROR(__xludf.DUMMYFUNCTION("iFERROR((FILTER('Fund Data'!$Y:$Y, 'Fund Data'!$C:$C = $C1756, 'Fund Data'!$A:$A = $A1756 - 1, 'Fund Data'!$B:$B = 12) + FILTER('Fund Data'!$AA:$AA, 'Fund Data'!$C:$C = $C1756, 'Fund Data'!$A:$A = $A1756 - 1, 'Fund Data'!$B:$B = 12)) * (1 + AVERAGE(FILTER"&amp;"('Inflation Data'!$C:$C,'Inflation Data'!$A:$A = ($A1756 - 2)))) * 'Parameters and Distribution Sum'!$A$4,0)"),0.0)</f>
        <v>0</v>
      </c>
      <c r="X1756" s="52">
        <f>IFERROR(__xludf.DUMMYFUNCTION("IFERROR((IFERROR(FILTER('Fund Data'!$P:$P,'Fund Data'!$C:$C = $C1756,'Fund Data'!$A:$A = ($A1756 - 2), 'Fund Data'!$B:$B = 12),0) - SUM(FILTER('Fund Data'!$V:$V, 'Fund Data'!$C:$C = $C1756, 'Fund Data'!$A:$A = ($A1756 - 2), 'Fund Data'!$B:$B &gt; 3)))  * 'Pa"&amp;"rameters and Distribution Sum'!$B$4 * (1 - 'Parameters and Distribution Sum'!$A$4),0)"),0.0)</f>
        <v>0</v>
      </c>
      <c r="Y1756" s="52">
        <f t="shared" si="140"/>
        <v>0</v>
      </c>
      <c r="Z1756" s="52">
        <f>IFERROR(__xludf.DUMMYFUNCTION("((IFERROR((SUM(FILTER('Fund Data'!$V:$V, 'Fund Data'!$C:$C = $C1756, 'Fund Data'!$A:$A = $A1756 - 1, 'Fund Data'!$B:$B &gt;= 4, 'Fund Data'!$B:$B &lt;= ($B1756 + 5))) / 12) * ($B1756 - 3) * 'Parameters and Distribution Sum'!$B$4, 0) + IF($B1756 &gt;= 9, IFERROR(SU"&amp;"M(FILTER('Fund Data'!$V:$V, 'Fund Data'!$C:$C = $C1756, 'Fund Data'!$A:$A = $A1756, 'Fund Data'!$B:$B &lt;= 3)) * 'Parameters and Distribution Sum'!$B$4, 0),0)))"),0.0)</f>
        <v>0</v>
      </c>
      <c r="AA1756" s="44">
        <f>IFERROR(__xludf.DUMMYFUNCTION("IFERROR(((IFERROR(SUM(FILTER('Fund Data'!$V:$V, 'Fund Data'!$C:$C = $C1756, 'Fund Data'!$A:$A = $A1756 - 2, 'Fund Data'!$B:$B &gt;= 4)) * 'Parameters and Distribution Sum'!$B$4,0) + IFERROR(SUM(FILTER('Fund Data'!$V:$V, 'Fund Data'!$C:$C = $C1756, 'Fund Data"&amp;"'!$A:$A = $A1756 - 1, 'Fund Data'!$B:$B &lt;= 3)) * 'Parameters and Distribution Sum'!$B$4,0))),0)"),0.0)</f>
        <v>0</v>
      </c>
      <c r="AB1756" s="44">
        <f t="shared" si="141"/>
        <v>0</v>
      </c>
      <c r="AC1756" s="44">
        <f t="shared" si="142"/>
        <v>0</v>
      </c>
      <c r="AD1756" s="44">
        <f t="shared" si="7"/>
        <v>0</v>
      </c>
      <c r="AE1756" s="44"/>
    </row>
    <row r="1757">
      <c r="A1757" s="178"/>
      <c r="B1757" s="179"/>
      <c r="C1757" s="147"/>
      <c r="D1757" s="44"/>
      <c r="E1757" s="44"/>
      <c r="F1757" s="44"/>
      <c r="G1757" s="44"/>
      <c r="H1757" s="44"/>
      <c r="I1757" s="44"/>
      <c r="J1757" s="44"/>
      <c r="K1757" s="44"/>
      <c r="L1757" s="44"/>
      <c r="M1757" s="44"/>
      <c r="N1757" s="44"/>
      <c r="O1757" s="44"/>
      <c r="P1757" s="52">
        <f t="shared" si="23"/>
        <v>0</v>
      </c>
      <c r="Q1757" s="124">
        <f t="shared" si="2"/>
        <v>0</v>
      </c>
      <c r="R1757" s="52">
        <f t="array" ref="R1757">IFERROR(INDEX('Fund YTD Target Values'!$1:$1000, MATCH($C1757,'Fund YTD Target Values'!$A:$A,0), MATCH($A1757,'Fund YTD Target Values'!$1:$1,0)),0)</f>
        <v>0</v>
      </c>
      <c r="S1757" s="52">
        <f>IFERROR(__xludf.DUMMYFUNCTION("IFERROR(sum(FILTER('Fund Data'!$V:$V, 'Fund Data'!$C:$C = $C1757, 'Fund Data'!$A:$A &lt; $A1757)),0) + IFERROR(sum(FILTER('Fund Data'!$V:$V, 'Fund Data'!$C:$C = $C1757, 'Fund Data'!$A:$A = $A1757, 'Fund Data'!$B:$B &lt;= $B1757)),0)"),0.0)</f>
        <v>0</v>
      </c>
      <c r="T1757" s="44"/>
      <c r="U1757" s="44"/>
      <c r="V1757" s="44">
        <f t="shared" si="3"/>
        <v>0</v>
      </c>
      <c r="W1757" s="52">
        <f>IFERROR(__xludf.DUMMYFUNCTION("iFERROR((FILTER('Fund Data'!$Y:$Y, 'Fund Data'!$C:$C = $C1757, 'Fund Data'!$A:$A = $A1757 - 1, 'Fund Data'!$B:$B = 12) + FILTER('Fund Data'!$AA:$AA, 'Fund Data'!$C:$C = $C1757, 'Fund Data'!$A:$A = $A1757 - 1, 'Fund Data'!$B:$B = 12)) * (1 + AVERAGE(FILTER"&amp;"('Inflation Data'!$C:$C,'Inflation Data'!$A:$A = ($A1757 - 2)))) * 'Parameters and Distribution Sum'!$A$4,0)"),0.0)</f>
        <v>0</v>
      </c>
      <c r="X1757" s="52">
        <f>IFERROR(__xludf.DUMMYFUNCTION("IFERROR((IFERROR(FILTER('Fund Data'!$P:$P,'Fund Data'!$C:$C = $C1757,'Fund Data'!$A:$A = ($A1757 - 2), 'Fund Data'!$B:$B = 12),0) - SUM(FILTER('Fund Data'!$V:$V, 'Fund Data'!$C:$C = $C1757, 'Fund Data'!$A:$A = ($A1757 - 2), 'Fund Data'!$B:$B &gt; 3)))  * 'Pa"&amp;"rameters and Distribution Sum'!$B$4 * (1 - 'Parameters and Distribution Sum'!$A$4),0)"),0.0)</f>
        <v>0</v>
      </c>
      <c r="Y1757" s="52">
        <f t="shared" si="140"/>
        <v>0</v>
      </c>
      <c r="Z1757" s="52">
        <f>IFERROR(__xludf.DUMMYFUNCTION("((IFERROR((SUM(FILTER('Fund Data'!$V:$V, 'Fund Data'!$C:$C = $C1757, 'Fund Data'!$A:$A = $A1757 - 1, 'Fund Data'!$B:$B &gt;= 4, 'Fund Data'!$B:$B &lt;= ($B1757 + 5))) / 12) * ($B1757 - 3) * 'Parameters and Distribution Sum'!$B$4, 0) + IF($B1757 &gt;= 9, IFERROR(SU"&amp;"M(FILTER('Fund Data'!$V:$V, 'Fund Data'!$C:$C = $C1757, 'Fund Data'!$A:$A = $A1757, 'Fund Data'!$B:$B &lt;= 3)) * 'Parameters and Distribution Sum'!$B$4, 0),0)))"),0.0)</f>
        <v>0</v>
      </c>
      <c r="AA1757" s="44">
        <f>IFERROR(__xludf.DUMMYFUNCTION("IFERROR(((IFERROR(SUM(FILTER('Fund Data'!$V:$V, 'Fund Data'!$C:$C = $C1757, 'Fund Data'!$A:$A = $A1757 - 2, 'Fund Data'!$B:$B &gt;= 4)) * 'Parameters and Distribution Sum'!$B$4,0) + IFERROR(SUM(FILTER('Fund Data'!$V:$V, 'Fund Data'!$C:$C = $C1757, 'Fund Data"&amp;"'!$A:$A = $A1757 - 1, 'Fund Data'!$B:$B &lt;= 3)) * 'Parameters and Distribution Sum'!$B$4,0))),0)"),0.0)</f>
        <v>0</v>
      </c>
      <c r="AB1757" s="44">
        <f t="shared" si="141"/>
        <v>0</v>
      </c>
      <c r="AC1757" s="44">
        <f t="shared" si="142"/>
        <v>0</v>
      </c>
      <c r="AD1757" s="44">
        <f t="shared" si="7"/>
        <v>0</v>
      </c>
      <c r="AE1757" s="44"/>
    </row>
    <row r="1758">
      <c r="A1758" s="178"/>
      <c r="B1758" s="179"/>
      <c r="C1758" s="147"/>
      <c r="D1758" s="44"/>
      <c r="E1758" s="44"/>
      <c r="F1758" s="44"/>
      <c r="G1758" s="44"/>
      <c r="H1758" s="44"/>
      <c r="I1758" s="44"/>
      <c r="J1758" s="44"/>
      <c r="K1758" s="44"/>
      <c r="L1758" s="44"/>
      <c r="M1758" s="44"/>
      <c r="N1758" s="44"/>
      <c r="O1758" s="44"/>
      <c r="P1758" s="52">
        <f t="shared" si="23"/>
        <v>0</v>
      </c>
      <c r="Q1758" s="124">
        <f t="shared" si="2"/>
        <v>0</v>
      </c>
      <c r="R1758" s="52">
        <f t="array" ref="R1758">IFERROR(INDEX('Fund YTD Target Values'!$1:$1000, MATCH($C1758,'Fund YTD Target Values'!$A:$A,0), MATCH($A1758,'Fund YTD Target Values'!$1:$1,0)),0)</f>
        <v>0</v>
      </c>
      <c r="S1758" s="52">
        <f>IFERROR(__xludf.DUMMYFUNCTION("IFERROR(sum(FILTER('Fund Data'!$V:$V, 'Fund Data'!$C:$C = $C1758, 'Fund Data'!$A:$A &lt; $A1758)),0) + IFERROR(sum(FILTER('Fund Data'!$V:$V, 'Fund Data'!$C:$C = $C1758, 'Fund Data'!$A:$A = $A1758, 'Fund Data'!$B:$B &lt;= $B1758)),0)"),0.0)</f>
        <v>0</v>
      </c>
      <c r="T1758" s="44"/>
      <c r="U1758" s="44"/>
      <c r="V1758" s="44">
        <f t="shared" si="3"/>
        <v>0</v>
      </c>
      <c r="W1758" s="52">
        <f>IFERROR(__xludf.DUMMYFUNCTION("iFERROR((FILTER('Fund Data'!$Y:$Y, 'Fund Data'!$C:$C = $C1758, 'Fund Data'!$A:$A = $A1758 - 1, 'Fund Data'!$B:$B = 12) + FILTER('Fund Data'!$AA:$AA, 'Fund Data'!$C:$C = $C1758, 'Fund Data'!$A:$A = $A1758 - 1, 'Fund Data'!$B:$B = 12)) * (1 + AVERAGE(FILTER"&amp;"('Inflation Data'!$C:$C,'Inflation Data'!$A:$A = ($A1758 - 2)))) * 'Parameters and Distribution Sum'!$A$4,0)"),0.0)</f>
        <v>0</v>
      </c>
      <c r="X1758" s="52">
        <f>IFERROR(__xludf.DUMMYFUNCTION("IFERROR((IFERROR(FILTER('Fund Data'!$P:$P,'Fund Data'!$C:$C = $C1758,'Fund Data'!$A:$A = ($A1758 - 2), 'Fund Data'!$B:$B = 12),0) - SUM(FILTER('Fund Data'!$V:$V, 'Fund Data'!$C:$C = $C1758, 'Fund Data'!$A:$A = ($A1758 - 2), 'Fund Data'!$B:$B &gt; 3)))  * 'Pa"&amp;"rameters and Distribution Sum'!$B$4 * (1 - 'Parameters and Distribution Sum'!$A$4),0)"),0.0)</f>
        <v>0</v>
      </c>
      <c r="Y1758" s="52">
        <f t="shared" si="140"/>
        <v>0</v>
      </c>
      <c r="Z1758" s="52">
        <f>IFERROR(__xludf.DUMMYFUNCTION("((IFERROR((SUM(FILTER('Fund Data'!$V:$V, 'Fund Data'!$C:$C = $C1758, 'Fund Data'!$A:$A = $A1758 - 1, 'Fund Data'!$B:$B &gt;= 4, 'Fund Data'!$B:$B &lt;= ($B1758 + 5))) / 12) * ($B1758 - 3) * 'Parameters and Distribution Sum'!$B$4, 0) + IF($B1758 &gt;= 9, IFERROR(SU"&amp;"M(FILTER('Fund Data'!$V:$V, 'Fund Data'!$C:$C = $C1758, 'Fund Data'!$A:$A = $A1758, 'Fund Data'!$B:$B &lt;= 3)) * 'Parameters and Distribution Sum'!$B$4, 0),0)))"),0.0)</f>
        <v>0</v>
      </c>
      <c r="AA1758" s="44">
        <f>IFERROR(__xludf.DUMMYFUNCTION("IFERROR(((IFERROR(SUM(FILTER('Fund Data'!$V:$V, 'Fund Data'!$C:$C = $C1758, 'Fund Data'!$A:$A = $A1758 - 2, 'Fund Data'!$B:$B &gt;= 4)) * 'Parameters and Distribution Sum'!$B$4,0) + IFERROR(SUM(FILTER('Fund Data'!$V:$V, 'Fund Data'!$C:$C = $C1758, 'Fund Data"&amp;"'!$A:$A = $A1758 - 1, 'Fund Data'!$B:$B &lt;= 3)) * 'Parameters and Distribution Sum'!$B$4,0))),0)"),0.0)</f>
        <v>0</v>
      </c>
      <c r="AB1758" s="44">
        <f t="shared" si="141"/>
        <v>0</v>
      </c>
      <c r="AC1758" s="44">
        <f t="shared" si="142"/>
        <v>0</v>
      </c>
      <c r="AD1758" s="44">
        <f t="shared" si="7"/>
        <v>0</v>
      </c>
      <c r="AE1758" s="44"/>
    </row>
    <row r="1759">
      <c r="A1759" s="178"/>
      <c r="B1759" s="179"/>
      <c r="C1759" s="147"/>
      <c r="D1759" s="44"/>
      <c r="E1759" s="44"/>
      <c r="F1759" s="44"/>
      <c r="G1759" s="44"/>
      <c r="H1759" s="44"/>
      <c r="I1759" s="44"/>
      <c r="J1759" s="44"/>
      <c r="K1759" s="44"/>
      <c r="L1759" s="44"/>
      <c r="M1759" s="44"/>
      <c r="N1759" s="44"/>
      <c r="O1759" s="44"/>
      <c r="P1759" s="52">
        <f t="shared" si="23"/>
        <v>0</v>
      </c>
      <c r="Q1759" s="124">
        <f t="shared" si="2"/>
        <v>0</v>
      </c>
      <c r="R1759" s="52">
        <f t="array" ref="R1759">IFERROR(INDEX('Fund YTD Target Values'!$1:$1000, MATCH($C1759,'Fund YTD Target Values'!$A:$A,0), MATCH($A1759,'Fund YTD Target Values'!$1:$1,0)),0)</f>
        <v>0</v>
      </c>
      <c r="S1759" s="52">
        <f>IFERROR(__xludf.DUMMYFUNCTION("IFERROR(sum(FILTER('Fund Data'!$V:$V, 'Fund Data'!$C:$C = $C1759, 'Fund Data'!$A:$A &lt; $A1759)),0) + IFERROR(sum(FILTER('Fund Data'!$V:$V, 'Fund Data'!$C:$C = $C1759, 'Fund Data'!$A:$A = $A1759, 'Fund Data'!$B:$B &lt;= $B1759)),0)"),0.0)</f>
        <v>0</v>
      </c>
      <c r="T1759" s="44"/>
      <c r="U1759" s="44"/>
      <c r="V1759" s="44">
        <f t="shared" si="3"/>
        <v>0</v>
      </c>
      <c r="W1759" s="52">
        <f>IFERROR(__xludf.DUMMYFUNCTION("iFERROR((FILTER('Fund Data'!$Y:$Y, 'Fund Data'!$C:$C = $C1759, 'Fund Data'!$A:$A = $A1759 - 1, 'Fund Data'!$B:$B = 12) + FILTER('Fund Data'!$AA:$AA, 'Fund Data'!$C:$C = $C1759, 'Fund Data'!$A:$A = $A1759 - 1, 'Fund Data'!$B:$B = 12)) * (1 + AVERAGE(FILTER"&amp;"('Inflation Data'!$C:$C,'Inflation Data'!$A:$A = ($A1759 - 2)))) * 'Parameters and Distribution Sum'!$A$4,0)"),0.0)</f>
        <v>0</v>
      </c>
      <c r="X1759" s="52">
        <f>IFERROR(__xludf.DUMMYFUNCTION("IFERROR((IFERROR(FILTER('Fund Data'!$P:$P,'Fund Data'!$C:$C = $C1759,'Fund Data'!$A:$A = ($A1759 - 2), 'Fund Data'!$B:$B = 12),0) - SUM(FILTER('Fund Data'!$V:$V, 'Fund Data'!$C:$C = $C1759, 'Fund Data'!$A:$A = ($A1759 - 2), 'Fund Data'!$B:$B &gt; 3)))  * 'Pa"&amp;"rameters and Distribution Sum'!$B$4 * (1 - 'Parameters and Distribution Sum'!$A$4),0)"),0.0)</f>
        <v>0</v>
      </c>
      <c r="Y1759" s="52">
        <f t="shared" si="140"/>
        <v>0</v>
      </c>
      <c r="Z1759" s="52">
        <f>IFERROR(__xludf.DUMMYFUNCTION("((IFERROR((SUM(FILTER('Fund Data'!$V:$V, 'Fund Data'!$C:$C = $C1759, 'Fund Data'!$A:$A = $A1759 - 1, 'Fund Data'!$B:$B &gt;= 4, 'Fund Data'!$B:$B &lt;= ($B1759 + 5))) / 12) * ($B1759 - 3) * 'Parameters and Distribution Sum'!$B$4, 0) + IF($B1759 &gt;= 9, IFERROR(SU"&amp;"M(FILTER('Fund Data'!$V:$V, 'Fund Data'!$C:$C = $C1759, 'Fund Data'!$A:$A = $A1759, 'Fund Data'!$B:$B &lt;= 3)) * 'Parameters and Distribution Sum'!$B$4, 0),0)))"),0.0)</f>
        <v>0</v>
      </c>
      <c r="AA1759" s="44">
        <f>IFERROR(__xludf.DUMMYFUNCTION("IFERROR(((IFERROR(SUM(FILTER('Fund Data'!$V:$V, 'Fund Data'!$C:$C = $C1759, 'Fund Data'!$A:$A = $A1759 - 2, 'Fund Data'!$B:$B &gt;= 4)) * 'Parameters and Distribution Sum'!$B$4,0) + IFERROR(SUM(FILTER('Fund Data'!$V:$V, 'Fund Data'!$C:$C = $C1759, 'Fund Data"&amp;"'!$A:$A = $A1759 - 1, 'Fund Data'!$B:$B &lt;= 3)) * 'Parameters and Distribution Sum'!$B$4,0))),0)"),0.0)</f>
        <v>0</v>
      </c>
      <c r="AB1759" s="44">
        <f t="shared" si="141"/>
        <v>0</v>
      </c>
      <c r="AC1759" s="44">
        <f t="shared" si="142"/>
        <v>0</v>
      </c>
      <c r="AD1759" s="44">
        <f t="shared" si="7"/>
        <v>0</v>
      </c>
      <c r="AE1759" s="44"/>
    </row>
    <row r="1760">
      <c r="A1760" s="178"/>
      <c r="B1760" s="179"/>
      <c r="C1760" s="147"/>
      <c r="D1760" s="44"/>
      <c r="E1760" s="44"/>
      <c r="F1760" s="44"/>
      <c r="G1760" s="44"/>
      <c r="H1760" s="44"/>
      <c r="I1760" s="44"/>
      <c r="J1760" s="44"/>
      <c r="K1760" s="44"/>
      <c r="L1760" s="44"/>
      <c r="M1760" s="44"/>
      <c r="N1760" s="44"/>
      <c r="O1760" s="44"/>
      <c r="P1760" s="52">
        <f t="shared" si="23"/>
        <v>0</v>
      </c>
      <c r="Q1760" s="124">
        <f t="shared" si="2"/>
        <v>0</v>
      </c>
      <c r="R1760" s="52">
        <f t="array" ref="R1760">IFERROR(INDEX('Fund YTD Target Values'!$1:$1000, MATCH($C1760,'Fund YTD Target Values'!$A:$A,0), MATCH($A1760,'Fund YTD Target Values'!$1:$1,0)),0)</f>
        <v>0</v>
      </c>
      <c r="S1760" s="52">
        <f>IFERROR(__xludf.DUMMYFUNCTION("IFERROR(sum(FILTER('Fund Data'!$V:$V, 'Fund Data'!$C:$C = $C1760, 'Fund Data'!$A:$A &lt; $A1760)),0) + IFERROR(sum(FILTER('Fund Data'!$V:$V, 'Fund Data'!$C:$C = $C1760, 'Fund Data'!$A:$A = $A1760, 'Fund Data'!$B:$B &lt;= $B1760)),0)"),0.0)</f>
        <v>0</v>
      </c>
      <c r="T1760" s="44"/>
      <c r="U1760" s="44"/>
      <c r="V1760" s="44">
        <f t="shared" si="3"/>
        <v>0</v>
      </c>
      <c r="W1760" s="52">
        <f>IFERROR(__xludf.DUMMYFUNCTION("iFERROR((FILTER('Fund Data'!$Y:$Y, 'Fund Data'!$C:$C = $C1760, 'Fund Data'!$A:$A = $A1760 - 1, 'Fund Data'!$B:$B = 12) + FILTER('Fund Data'!$AA:$AA, 'Fund Data'!$C:$C = $C1760, 'Fund Data'!$A:$A = $A1760 - 1, 'Fund Data'!$B:$B = 12)) * (1 + AVERAGE(FILTER"&amp;"('Inflation Data'!$C:$C,'Inflation Data'!$A:$A = ($A1760 - 2)))) * 'Parameters and Distribution Sum'!$A$4,0)"),0.0)</f>
        <v>0</v>
      </c>
      <c r="X1760" s="52">
        <f>IFERROR(__xludf.DUMMYFUNCTION("IFERROR((IFERROR(FILTER('Fund Data'!$P:$P,'Fund Data'!$C:$C = $C1760,'Fund Data'!$A:$A = ($A1760 - 2), 'Fund Data'!$B:$B = 12),0) - SUM(FILTER('Fund Data'!$V:$V, 'Fund Data'!$C:$C = $C1760, 'Fund Data'!$A:$A = ($A1760 - 2), 'Fund Data'!$B:$B &gt; 3)))  * 'Pa"&amp;"rameters and Distribution Sum'!$B$4 * (1 - 'Parameters and Distribution Sum'!$A$4),0)"),0.0)</f>
        <v>0</v>
      </c>
      <c r="Y1760" s="52">
        <f t="shared" si="140"/>
        <v>0</v>
      </c>
      <c r="Z1760" s="52">
        <f>IFERROR(__xludf.DUMMYFUNCTION("((IFERROR((SUM(FILTER('Fund Data'!$V:$V, 'Fund Data'!$C:$C = $C1760, 'Fund Data'!$A:$A = $A1760 - 1, 'Fund Data'!$B:$B &gt;= 4, 'Fund Data'!$B:$B &lt;= ($B1760 + 5))) / 12) * ($B1760 - 3) * 'Parameters and Distribution Sum'!$B$4, 0) + IF($B1760 &gt;= 9, IFERROR(SU"&amp;"M(FILTER('Fund Data'!$V:$V, 'Fund Data'!$C:$C = $C1760, 'Fund Data'!$A:$A = $A1760, 'Fund Data'!$B:$B &lt;= 3)) * 'Parameters and Distribution Sum'!$B$4, 0),0)))"),0.0)</f>
        <v>0</v>
      </c>
      <c r="AA1760" s="44">
        <f>IFERROR(__xludf.DUMMYFUNCTION("IFERROR(((IFERROR(SUM(FILTER('Fund Data'!$V:$V, 'Fund Data'!$C:$C = $C1760, 'Fund Data'!$A:$A = $A1760 - 2, 'Fund Data'!$B:$B &gt;= 4)) * 'Parameters and Distribution Sum'!$B$4,0) + IFERROR(SUM(FILTER('Fund Data'!$V:$V, 'Fund Data'!$C:$C = $C1760, 'Fund Data"&amp;"'!$A:$A = $A1760 - 1, 'Fund Data'!$B:$B &lt;= 3)) * 'Parameters and Distribution Sum'!$B$4,0))),0)"),0.0)</f>
        <v>0</v>
      </c>
      <c r="AB1760" s="44">
        <f t="shared" si="141"/>
        <v>0</v>
      </c>
      <c r="AC1760" s="44">
        <f t="shared" si="142"/>
        <v>0</v>
      </c>
      <c r="AD1760" s="44">
        <f t="shared" si="7"/>
        <v>0</v>
      </c>
      <c r="AE1760" s="44"/>
    </row>
    <row r="1761">
      <c r="A1761" s="178"/>
      <c r="B1761" s="179"/>
      <c r="C1761" s="147"/>
      <c r="D1761" s="44"/>
      <c r="E1761" s="44"/>
      <c r="F1761" s="44"/>
      <c r="G1761" s="44"/>
      <c r="H1761" s="44"/>
      <c r="I1761" s="44"/>
      <c r="J1761" s="44"/>
      <c r="K1761" s="44"/>
      <c r="L1761" s="44"/>
      <c r="M1761" s="44"/>
      <c r="N1761" s="44"/>
      <c r="O1761" s="44"/>
      <c r="P1761" s="52">
        <f t="shared" si="23"/>
        <v>0</v>
      </c>
      <c r="Q1761" s="124">
        <f t="shared" si="2"/>
        <v>0</v>
      </c>
      <c r="R1761" s="52">
        <f t="array" ref="R1761">IFERROR(INDEX('Fund YTD Target Values'!$1:$1000, MATCH($C1761,'Fund YTD Target Values'!$A:$A,0), MATCH($A1761,'Fund YTD Target Values'!$1:$1,0)),0)</f>
        <v>0</v>
      </c>
      <c r="S1761" s="52">
        <f>IFERROR(__xludf.DUMMYFUNCTION("IFERROR(sum(FILTER('Fund Data'!$V:$V, 'Fund Data'!$C:$C = $C1761, 'Fund Data'!$A:$A &lt; $A1761)),0) + IFERROR(sum(FILTER('Fund Data'!$V:$V, 'Fund Data'!$C:$C = $C1761, 'Fund Data'!$A:$A = $A1761, 'Fund Data'!$B:$B &lt;= $B1761)),0)"),0.0)</f>
        <v>0</v>
      </c>
      <c r="T1761" s="44"/>
      <c r="U1761" s="44"/>
      <c r="V1761" s="44">
        <f t="shared" si="3"/>
        <v>0</v>
      </c>
      <c r="W1761" s="52">
        <f>IFERROR(__xludf.DUMMYFUNCTION("iFERROR((FILTER('Fund Data'!$Y:$Y, 'Fund Data'!$C:$C = $C1761, 'Fund Data'!$A:$A = $A1761 - 1, 'Fund Data'!$B:$B = 12) + FILTER('Fund Data'!$AA:$AA, 'Fund Data'!$C:$C = $C1761, 'Fund Data'!$A:$A = $A1761 - 1, 'Fund Data'!$B:$B = 12)) * (1 + AVERAGE(FILTER"&amp;"('Inflation Data'!$C:$C,'Inflation Data'!$A:$A = ($A1761 - 2)))) * 'Parameters and Distribution Sum'!$A$4,0)"),0.0)</f>
        <v>0</v>
      </c>
      <c r="X1761" s="52">
        <f>IFERROR(__xludf.DUMMYFUNCTION("IFERROR((IFERROR(FILTER('Fund Data'!$P:$P,'Fund Data'!$C:$C = $C1761,'Fund Data'!$A:$A = ($A1761 - 2), 'Fund Data'!$B:$B = 12),0) - SUM(FILTER('Fund Data'!$V:$V, 'Fund Data'!$C:$C = $C1761, 'Fund Data'!$A:$A = ($A1761 - 2), 'Fund Data'!$B:$B &gt; 3)))  * 'Pa"&amp;"rameters and Distribution Sum'!$B$4 * (1 - 'Parameters and Distribution Sum'!$A$4),0)"),0.0)</f>
        <v>0</v>
      </c>
      <c r="Y1761" s="52">
        <f t="shared" si="140"/>
        <v>0</v>
      </c>
      <c r="Z1761" s="52">
        <f>IFERROR(__xludf.DUMMYFUNCTION("((IFERROR((SUM(FILTER('Fund Data'!$V:$V, 'Fund Data'!$C:$C = $C1761, 'Fund Data'!$A:$A = $A1761 - 1, 'Fund Data'!$B:$B &gt;= 4, 'Fund Data'!$B:$B &lt;= ($B1761 + 5))) / 12) * ($B1761 - 3) * 'Parameters and Distribution Sum'!$B$4, 0) + IF($B1761 &gt;= 9, IFERROR(SU"&amp;"M(FILTER('Fund Data'!$V:$V, 'Fund Data'!$C:$C = $C1761, 'Fund Data'!$A:$A = $A1761, 'Fund Data'!$B:$B &lt;= 3)) * 'Parameters and Distribution Sum'!$B$4, 0),0)))"),0.0)</f>
        <v>0</v>
      </c>
      <c r="AA1761" s="44">
        <f>IFERROR(__xludf.DUMMYFUNCTION("IFERROR(((IFERROR(SUM(FILTER('Fund Data'!$V:$V, 'Fund Data'!$C:$C = $C1761, 'Fund Data'!$A:$A = $A1761 - 2, 'Fund Data'!$B:$B &gt;= 4)) * 'Parameters and Distribution Sum'!$B$4,0) + IFERROR(SUM(FILTER('Fund Data'!$V:$V, 'Fund Data'!$C:$C = $C1761, 'Fund Data"&amp;"'!$A:$A = $A1761 - 1, 'Fund Data'!$B:$B &lt;= 3)) * 'Parameters and Distribution Sum'!$B$4,0))),0)"),0.0)</f>
        <v>0</v>
      </c>
      <c r="AB1761" s="44">
        <f t="shared" si="141"/>
        <v>0</v>
      </c>
      <c r="AC1761" s="44">
        <f t="shared" si="142"/>
        <v>0</v>
      </c>
      <c r="AD1761" s="44">
        <f t="shared" si="7"/>
        <v>0</v>
      </c>
      <c r="AE1761" s="44"/>
    </row>
    <row r="1762">
      <c r="A1762" s="178"/>
      <c r="B1762" s="179"/>
      <c r="C1762" s="147"/>
      <c r="D1762" s="44"/>
      <c r="E1762" s="44"/>
      <c r="F1762" s="44"/>
      <c r="G1762" s="44"/>
      <c r="H1762" s="44"/>
      <c r="I1762" s="44"/>
      <c r="J1762" s="44"/>
      <c r="K1762" s="44"/>
      <c r="L1762" s="44"/>
      <c r="M1762" s="44"/>
      <c r="N1762" s="44"/>
      <c r="O1762" s="44"/>
      <c r="P1762" s="52">
        <f t="shared" si="23"/>
        <v>0</v>
      </c>
      <c r="Q1762" s="124">
        <f t="shared" si="2"/>
        <v>0</v>
      </c>
      <c r="R1762" s="52">
        <f t="array" ref="R1762">IFERROR(INDEX('Fund YTD Target Values'!$1:$1000, MATCH($C1762,'Fund YTD Target Values'!$A:$A,0), MATCH($A1762,'Fund YTD Target Values'!$1:$1,0)),0)</f>
        <v>0</v>
      </c>
      <c r="S1762" s="52">
        <f>IFERROR(__xludf.DUMMYFUNCTION("IFERROR(sum(FILTER('Fund Data'!$V:$V, 'Fund Data'!$C:$C = $C1762, 'Fund Data'!$A:$A &lt; $A1762)),0) + IFERROR(sum(FILTER('Fund Data'!$V:$V, 'Fund Data'!$C:$C = $C1762, 'Fund Data'!$A:$A = $A1762, 'Fund Data'!$B:$B &lt;= $B1762)),0)"),0.0)</f>
        <v>0</v>
      </c>
      <c r="T1762" s="44"/>
      <c r="U1762" s="44"/>
      <c r="V1762" s="44">
        <f t="shared" si="3"/>
        <v>0</v>
      </c>
      <c r="W1762" s="52">
        <f>IFERROR(__xludf.DUMMYFUNCTION("iFERROR((FILTER('Fund Data'!$Y:$Y, 'Fund Data'!$C:$C = $C1762, 'Fund Data'!$A:$A = $A1762 - 1, 'Fund Data'!$B:$B = 12) + FILTER('Fund Data'!$AA:$AA, 'Fund Data'!$C:$C = $C1762, 'Fund Data'!$A:$A = $A1762 - 1, 'Fund Data'!$B:$B = 12)) * (1 + AVERAGE(FILTER"&amp;"('Inflation Data'!$C:$C,'Inflation Data'!$A:$A = ($A1762 - 2)))) * 'Parameters and Distribution Sum'!$A$4,0)"),0.0)</f>
        <v>0</v>
      </c>
      <c r="X1762" s="52">
        <f>IFERROR(__xludf.DUMMYFUNCTION("IFERROR((IFERROR(FILTER('Fund Data'!$P:$P,'Fund Data'!$C:$C = $C1762,'Fund Data'!$A:$A = ($A1762 - 2), 'Fund Data'!$B:$B = 12),0) - SUM(FILTER('Fund Data'!$V:$V, 'Fund Data'!$C:$C = $C1762, 'Fund Data'!$A:$A = ($A1762 - 2), 'Fund Data'!$B:$B &gt; 3)))  * 'Pa"&amp;"rameters and Distribution Sum'!$B$4 * (1 - 'Parameters and Distribution Sum'!$A$4),0)"),0.0)</f>
        <v>0</v>
      </c>
      <c r="Y1762" s="52">
        <f t="shared" si="140"/>
        <v>0</v>
      </c>
      <c r="Z1762" s="52">
        <f>IFERROR(__xludf.DUMMYFUNCTION("((IFERROR((SUM(FILTER('Fund Data'!$V:$V, 'Fund Data'!$C:$C = $C1762, 'Fund Data'!$A:$A = $A1762 - 1, 'Fund Data'!$B:$B &gt;= 4, 'Fund Data'!$B:$B &lt;= ($B1762 + 5))) / 12) * ($B1762 - 3) * 'Parameters and Distribution Sum'!$B$4, 0) + IF($B1762 &gt;= 9, IFERROR(SU"&amp;"M(FILTER('Fund Data'!$V:$V, 'Fund Data'!$C:$C = $C1762, 'Fund Data'!$A:$A = $A1762, 'Fund Data'!$B:$B &lt;= 3)) * 'Parameters and Distribution Sum'!$B$4, 0),0)))"),0.0)</f>
        <v>0</v>
      </c>
      <c r="AA1762" s="44">
        <f>IFERROR(__xludf.DUMMYFUNCTION("IFERROR(((IFERROR(SUM(FILTER('Fund Data'!$V:$V, 'Fund Data'!$C:$C = $C1762, 'Fund Data'!$A:$A = $A1762 - 2, 'Fund Data'!$B:$B &gt;= 4)) * 'Parameters and Distribution Sum'!$B$4,0) + IFERROR(SUM(FILTER('Fund Data'!$V:$V, 'Fund Data'!$C:$C = $C1762, 'Fund Data"&amp;"'!$A:$A = $A1762 - 1, 'Fund Data'!$B:$B &lt;= 3)) * 'Parameters and Distribution Sum'!$B$4,0))),0)"),0.0)</f>
        <v>0</v>
      </c>
      <c r="AB1762" s="44">
        <f t="shared" si="141"/>
        <v>0</v>
      </c>
      <c r="AC1762" s="44">
        <f t="shared" si="142"/>
        <v>0</v>
      </c>
      <c r="AD1762" s="44">
        <f t="shared" si="7"/>
        <v>0</v>
      </c>
      <c r="AE1762" s="44"/>
    </row>
    <row r="1763">
      <c r="A1763" s="178"/>
      <c r="B1763" s="179"/>
      <c r="C1763" s="147"/>
      <c r="D1763" s="44"/>
      <c r="E1763" s="44"/>
      <c r="F1763" s="44"/>
      <c r="G1763" s="44"/>
      <c r="H1763" s="44"/>
      <c r="I1763" s="44"/>
      <c r="J1763" s="44"/>
      <c r="K1763" s="44"/>
      <c r="L1763" s="44"/>
      <c r="M1763" s="44"/>
      <c r="N1763" s="44"/>
      <c r="O1763" s="44"/>
      <c r="P1763" s="52">
        <f t="shared" si="23"/>
        <v>0</v>
      </c>
      <c r="Q1763" s="124">
        <f t="shared" si="2"/>
        <v>0</v>
      </c>
      <c r="R1763" s="52">
        <f t="array" ref="R1763">IFERROR(INDEX('Fund YTD Target Values'!$1:$1000, MATCH($C1763,'Fund YTD Target Values'!$A:$A,0), MATCH($A1763,'Fund YTD Target Values'!$1:$1,0)),0)</f>
        <v>0</v>
      </c>
      <c r="S1763" s="52">
        <f>IFERROR(__xludf.DUMMYFUNCTION("IFERROR(sum(FILTER('Fund Data'!$V:$V, 'Fund Data'!$C:$C = $C1763, 'Fund Data'!$A:$A &lt; $A1763)),0) + IFERROR(sum(FILTER('Fund Data'!$V:$V, 'Fund Data'!$C:$C = $C1763, 'Fund Data'!$A:$A = $A1763, 'Fund Data'!$B:$B &lt;= $B1763)),0)"),0.0)</f>
        <v>0</v>
      </c>
      <c r="T1763" s="44"/>
      <c r="U1763" s="44"/>
      <c r="V1763" s="44">
        <f t="shared" si="3"/>
        <v>0</v>
      </c>
      <c r="W1763" s="52">
        <f>IFERROR(__xludf.DUMMYFUNCTION("iFERROR((FILTER('Fund Data'!$Y:$Y, 'Fund Data'!$C:$C = $C1763, 'Fund Data'!$A:$A = $A1763 - 1, 'Fund Data'!$B:$B = 12) + FILTER('Fund Data'!$AA:$AA, 'Fund Data'!$C:$C = $C1763, 'Fund Data'!$A:$A = $A1763 - 1, 'Fund Data'!$B:$B = 12)) * (1 + AVERAGE(FILTER"&amp;"('Inflation Data'!$C:$C,'Inflation Data'!$A:$A = ($A1763 - 2)))) * 'Parameters and Distribution Sum'!$A$4,0)"),0.0)</f>
        <v>0</v>
      </c>
      <c r="X1763" s="52">
        <f>IFERROR(__xludf.DUMMYFUNCTION("IFERROR((IFERROR(FILTER('Fund Data'!$P:$P,'Fund Data'!$C:$C = $C1763,'Fund Data'!$A:$A = ($A1763 - 2), 'Fund Data'!$B:$B = 12),0) - SUM(FILTER('Fund Data'!$V:$V, 'Fund Data'!$C:$C = $C1763, 'Fund Data'!$A:$A = ($A1763 - 2), 'Fund Data'!$B:$B &gt; 3)))  * 'Pa"&amp;"rameters and Distribution Sum'!$B$4 * (1 - 'Parameters and Distribution Sum'!$A$4),0)"),0.0)</f>
        <v>0</v>
      </c>
      <c r="Y1763" s="52">
        <f t="shared" si="140"/>
        <v>0</v>
      </c>
      <c r="Z1763" s="52">
        <f>IFERROR(__xludf.DUMMYFUNCTION("((IFERROR((SUM(FILTER('Fund Data'!$V:$V, 'Fund Data'!$C:$C = $C1763, 'Fund Data'!$A:$A = $A1763 - 1, 'Fund Data'!$B:$B &gt;= 4, 'Fund Data'!$B:$B &lt;= ($B1763 + 5))) / 12) * ($B1763 - 3) * 'Parameters and Distribution Sum'!$B$4, 0) + IF($B1763 &gt;= 9, IFERROR(SU"&amp;"M(FILTER('Fund Data'!$V:$V, 'Fund Data'!$C:$C = $C1763, 'Fund Data'!$A:$A = $A1763, 'Fund Data'!$B:$B &lt;= 3)) * 'Parameters and Distribution Sum'!$B$4, 0),0)))"),0.0)</f>
        <v>0</v>
      </c>
      <c r="AA1763" s="44">
        <f>IFERROR(__xludf.DUMMYFUNCTION("IFERROR(((IFERROR(SUM(FILTER('Fund Data'!$V:$V, 'Fund Data'!$C:$C = $C1763, 'Fund Data'!$A:$A = $A1763 - 2, 'Fund Data'!$B:$B &gt;= 4)) * 'Parameters and Distribution Sum'!$B$4,0) + IFERROR(SUM(FILTER('Fund Data'!$V:$V, 'Fund Data'!$C:$C = $C1763, 'Fund Data"&amp;"'!$A:$A = $A1763 - 1, 'Fund Data'!$B:$B &lt;= 3)) * 'Parameters and Distribution Sum'!$B$4,0))),0)"),0.0)</f>
        <v>0</v>
      </c>
      <c r="AB1763" s="44">
        <f t="shared" si="141"/>
        <v>0</v>
      </c>
      <c r="AC1763" s="44">
        <f t="shared" si="142"/>
        <v>0</v>
      </c>
      <c r="AD1763" s="44">
        <f t="shared" si="7"/>
        <v>0</v>
      </c>
      <c r="AE1763" s="44"/>
    </row>
    <row r="1764">
      <c r="A1764" s="178"/>
      <c r="B1764" s="179"/>
      <c r="C1764" s="147"/>
      <c r="D1764" s="44"/>
      <c r="E1764" s="44"/>
      <c r="F1764" s="44"/>
      <c r="G1764" s="44"/>
      <c r="H1764" s="44"/>
      <c r="I1764" s="44"/>
      <c r="J1764" s="44"/>
      <c r="K1764" s="44"/>
      <c r="L1764" s="44"/>
      <c r="M1764" s="44"/>
      <c r="N1764" s="44"/>
      <c r="O1764" s="44"/>
      <c r="P1764" s="52">
        <f t="shared" si="23"/>
        <v>0</v>
      </c>
      <c r="Q1764" s="124">
        <f t="shared" si="2"/>
        <v>0</v>
      </c>
      <c r="R1764" s="52">
        <f t="array" ref="R1764">IFERROR(INDEX('Fund YTD Target Values'!$1:$1000, MATCH($C1764,'Fund YTD Target Values'!$A:$A,0), MATCH($A1764,'Fund YTD Target Values'!$1:$1,0)),0)</f>
        <v>0</v>
      </c>
      <c r="S1764" s="52">
        <f>IFERROR(__xludf.DUMMYFUNCTION("IFERROR(sum(FILTER('Fund Data'!$V:$V, 'Fund Data'!$C:$C = $C1764, 'Fund Data'!$A:$A &lt; $A1764)),0) + IFERROR(sum(FILTER('Fund Data'!$V:$V, 'Fund Data'!$C:$C = $C1764, 'Fund Data'!$A:$A = $A1764, 'Fund Data'!$B:$B &lt;= $B1764)),0)"),0.0)</f>
        <v>0</v>
      </c>
      <c r="T1764" s="44"/>
      <c r="U1764" s="44"/>
      <c r="V1764" s="44">
        <f t="shared" si="3"/>
        <v>0</v>
      </c>
      <c r="W1764" s="52">
        <f>IFERROR(__xludf.DUMMYFUNCTION("iFERROR((FILTER('Fund Data'!$Y:$Y, 'Fund Data'!$C:$C = $C1764, 'Fund Data'!$A:$A = $A1764 - 1, 'Fund Data'!$B:$B = 12) + FILTER('Fund Data'!$AA:$AA, 'Fund Data'!$C:$C = $C1764, 'Fund Data'!$A:$A = $A1764 - 1, 'Fund Data'!$B:$B = 12)) * (1 + AVERAGE(FILTER"&amp;"('Inflation Data'!$C:$C,'Inflation Data'!$A:$A = ($A1764 - 2)))) * 'Parameters and Distribution Sum'!$A$4,0)"),0.0)</f>
        <v>0</v>
      </c>
      <c r="X1764" s="52">
        <f>IFERROR(__xludf.DUMMYFUNCTION("IFERROR((IFERROR(FILTER('Fund Data'!$P:$P,'Fund Data'!$C:$C = $C1764,'Fund Data'!$A:$A = ($A1764 - 2), 'Fund Data'!$B:$B = 12),0) - SUM(FILTER('Fund Data'!$V:$V, 'Fund Data'!$C:$C = $C1764, 'Fund Data'!$A:$A = ($A1764 - 2), 'Fund Data'!$B:$B &gt; 3)))  * 'Pa"&amp;"rameters and Distribution Sum'!$B$4 * (1 - 'Parameters and Distribution Sum'!$A$4),0)"),0.0)</f>
        <v>0</v>
      </c>
      <c r="Y1764" s="52">
        <f t="shared" si="140"/>
        <v>0</v>
      </c>
      <c r="Z1764" s="52">
        <f>IFERROR(__xludf.DUMMYFUNCTION("((IFERROR((SUM(FILTER('Fund Data'!$V:$V, 'Fund Data'!$C:$C = $C1764, 'Fund Data'!$A:$A = $A1764 - 1, 'Fund Data'!$B:$B &gt;= 4, 'Fund Data'!$B:$B &lt;= ($B1764 + 5))) / 12) * ($B1764 - 3) * 'Parameters and Distribution Sum'!$B$4, 0) + IF($B1764 &gt;= 9, IFERROR(SU"&amp;"M(FILTER('Fund Data'!$V:$V, 'Fund Data'!$C:$C = $C1764, 'Fund Data'!$A:$A = $A1764, 'Fund Data'!$B:$B &lt;= 3)) * 'Parameters and Distribution Sum'!$B$4, 0),0)))"),0.0)</f>
        <v>0</v>
      </c>
      <c r="AA1764" s="44">
        <f>IFERROR(__xludf.DUMMYFUNCTION("IFERROR(((IFERROR(SUM(FILTER('Fund Data'!$V:$V, 'Fund Data'!$C:$C = $C1764, 'Fund Data'!$A:$A = $A1764 - 2, 'Fund Data'!$B:$B &gt;= 4)) * 'Parameters and Distribution Sum'!$B$4,0) + IFERROR(SUM(FILTER('Fund Data'!$V:$V, 'Fund Data'!$C:$C = $C1764, 'Fund Data"&amp;"'!$A:$A = $A1764 - 1, 'Fund Data'!$B:$B &lt;= 3)) * 'Parameters and Distribution Sum'!$B$4,0))),0)"),0.0)</f>
        <v>0</v>
      </c>
      <c r="AB1764" s="44">
        <f t="shared" si="141"/>
        <v>0</v>
      </c>
      <c r="AC1764" s="44">
        <f t="shared" si="142"/>
        <v>0</v>
      </c>
      <c r="AD1764" s="44">
        <f t="shared" si="7"/>
        <v>0</v>
      </c>
      <c r="AE1764" s="44"/>
    </row>
    <row r="1765">
      <c r="A1765" s="178"/>
      <c r="B1765" s="179"/>
      <c r="C1765" s="147"/>
      <c r="D1765" s="44"/>
      <c r="E1765" s="44"/>
      <c r="F1765" s="44"/>
      <c r="G1765" s="44"/>
      <c r="H1765" s="44"/>
      <c r="I1765" s="44"/>
      <c r="J1765" s="44"/>
      <c r="K1765" s="44"/>
      <c r="L1765" s="44"/>
      <c r="M1765" s="44"/>
      <c r="N1765" s="44"/>
      <c r="O1765" s="44"/>
      <c r="P1765" s="52">
        <f t="shared" si="23"/>
        <v>0</v>
      </c>
      <c r="Q1765" s="124">
        <f t="shared" si="2"/>
        <v>0</v>
      </c>
      <c r="R1765" s="52">
        <f t="array" ref="R1765">IFERROR(INDEX('Fund YTD Target Values'!$1:$1000, MATCH($C1765,'Fund YTD Target Values'!$A:$A,0), MATCH($A1765,'Fund YTD Target Values'!$1:$1,0)),0)</f>
        <v>0</v>
      </c>
      <c r="S1765" s="52">
        <f>IFERROR(__xludf.DUMMYFUNCTION("IFERROR(sum(FILTER('Fund Data'!$V:$V, 'Fund Data'!$C:$C = $C1765, 'Fund Data'!$A:$A &lt; $A1765)),0) + IFERROR(sum(FILTER('Fund Data'!$V:$V, 'Fund Data'!$C:$C = $C1765, 'Fund Data'!$A:$A = $A1765, 'Fund Data'!$B:$B &lt;= $B1765)),0)"),0.0)</f>
        <v>0</v>
      </c>
      <c r="T1765" s="44"/>
      <c r="U1765" s="44"/>
      <c r="V1765" s="44">
        <f t="shared" si="3"/>
        <v>0</v>
      </c>
      <c r="W1765" s="52">
        <f>IFERROR(__xludf.DUMMYFUNCTION("iFERROR((FILTER('Fund Data'!$Y:$Y, 'Fund Data'!$C:$C = $C1765, 'Fund Data'!$A:$A = $A1765 - 1, 'Fund Data'!$B:$B = 12) + FILTER('Fund Data'!$AA:$AA, 'Fund Data'!$C:$C = $C1765, 'Fund Data'!$A:$A = $A1765 - 1, 'Fund Data'!$B:$B = 12)) * (1 + AVERAGE(FILTER"&amp;"('Inflation Data'!$C:$C,'Inflation Data'!$A:$A = ($A1765 - 2)))) * 'Parameters and Distribution Sum'!$A$4,0)"),0.0)</f>
        <v>0</v>
      </c>
      <c r="X1765" s="52">
        <f>IFERROR(__xludf.DUMMYFUNCTION("IFERROR((IFERROR(FILTER('Fund Data'!$P:$P,'Fund Data'!$C:$C = $C1765,'Fund Data'!$A:$A = ($A1765 - 2), 'Fund Data'!$B:$B = 12),0) - SUM(FILTER('Fund Data'!$V:$V, 'Fund Data'!$C:$C = $C1765, 'Fund Data'!$A:$A = ($A1765 - 2), 'Fund Data'!$B:$B &gt; 3)))  * 'Pa"&amp;"rameters and Distribution Sum'!$B$4 * (1 - 'Parameters and Distribution Sum'!$A$4),0)"),0.0)</f>
        <v>0</v>
      </c>
      <c r="Y1765" s="52">
        <f t="shared" si="140"/>
        <v>0</v>
      </c>
      <c r="Z1765" s="52">
        <f>IFERROR(__xludf.DUMMYFUNCTION("((IFERROR((SUM(FILTER('Fund Data'!$V:$V, 'Fund Data'!$C:$C = $C1765, 'Fund Data'!$A:$A = $A1765 - 1, 'Fund Data'!$B:$B &gt;= 4, 'Fund Data'!$B:$B &lt;= ($B1765 + 5))) / 12) * ($B1765 - 3) * 'Parameters and Distribution Sum'!$B$4, 0) + IF($B1765 &gt;= 9, IFERROR(SU"&amp;"M(FILTER('Fund Data'!$V:$V, 'Fund Data'!$C:$C = $C1765, 'Fund Data'!$A:$A = $A1765, 'Fund Data'!$B:$B &lt;= 3)) * 'Parameters and Distribution Sum'!$B$4, 0),0)))"),0.0)</f>
        <v>0</v>
      </c>
      <c r="AA1765" s="44">
        <f>IFERROR(__xludf.DUMMYFUNCTION("IFERROR(((IFERROR(SUM(FILTER('Fund Data'!$V:$V, 'Fund Data'!$C:$C = $C1765, 'Fund Data'!$A:$A = $A1765 - 2, 'Fund Data'!$B:$B &gt;= 4)) * 'Parameters and Distribution Sum'!$B$4,0) + IFERROR(SUM(FILTER('Fund Data'!$V:$V, 'Fund Data'!$C:$C = $C1765, 'Fund Data"&amp;"'!$A:$A = $A1765 - 1, 'Fund Data'!$B:$B &lt;= 3)) * 'Parameters and Distribution Sum'!$B$4,0))),0)"),0.0)</f>
        <v>0</v>
      </c>
      <c r="AB1765" s="44">
        <f t="shared" si="141"/>
        <v>0</v>
      </c>
      <c r="AC1765" s="44">
        <f t="shared" si="142"/>
        <v>0</v>
      </c>
      <c r="AD1765" s="44">
        <f t="shared" si="7"/>
        <v>0</v>
      </c>
      <c r="AE1765" s="44"/>
    </row>
    <row r="1766">
      <c r="A1766" s="178"/>
      <c r="B1766" s="179"/>
      <c r="C1766" s="147"/>
      <c r="D1766" s="44"/>
      <c r="E1766" s="44"/>
      <c r="F1766" s="44"/>
      <c r="G1766" s="44"/>
      <c r="H1766" s="44"/>
      <c r="I1766" s="44"/>
      <c r="J1766" s="44"/>
      <c r="K1766" s="44"/>
      <c r="L1766" s="44"/>
      <c r="M1766" s="44"/>
      <c r="N1766" s="44"/>
      <c r="O1766" s="44"/>
      <c r="P1766" s="52">
        <f t="shared" si="23"/>
        <v>0</v>
      </c>
      <c r="Q1766" s="124">
        <f t="shared" si="2"/>
        <v>0</v>
      </c>
      <c r="R1766" s="52">
        <f t="array" ref="R1766">IFERROR(INDEX('Fund YTD Target Values'!$1:$1000, MATCH($C1766,'Fund YTD Target Values'!$A:$A,0), MATCH($A1766,'Fund YTD Target Values'!$1:$1,0)),0)</f>
        <v>0</v>
      </c>
      <c r="S1766" s="52">
        <f>IFERROR(__xludf.DUMMYFUNCTION("IFERROR(sum(FILTER('Fund Data'!$V:$V, 'Fund Data'!$C:$C = $C1766, 'Fund Data'!$A:$A &lt; $A1766)),0) + IFERROR(sum(FILTER('Fund Data'!$V:$V, 'Fund Data'!$C:$C = $C1766, 'Fund Data'!$A:$A = $A1766, 'Fund Data'!$B:$B &lt;= $B1766)),0)"),0.0)</f>
        <v>0</v>
      </c>
      <c r="T1766" s="44"/>
      <c r="U1766" s="44"/>
      <c r="V1766" s="44">
        <f t="shared" si="3"/>
        <v>0</v>
      </c>
      <c r="W1766" s="52">
        <f>IFERROR(__xludf.DUMMYFUNCTION("iFERROR((FILTER('Fund Data'!$Y:$Y, 'Fund Data'!$C:$C = $C1766, 'Fund Data'!$A:$A = $A1766 - 1, 'Fund Data'!$B:$B = 12) + FILTER('Fund Data'!$AA:$AA, 'Fund Data'!$C:$C = $C1766, 'Fund Data'!$A:$A = $A1766 - 1, 'Fund Data'!$B:$B = 12)) * (1 + AVERAGE(FILTER"&amp;"('Inflation Data'!$C:$C,'Inflation Data'!$A:$A = ($A1766 - 2)))) * 'Parameters and Distribution Sum'!$A$4,0)"),0.0)</f>
        <v>0</v>
      </c>
      <c r="X1766" s="52">
        <f>IFERROR(__xludf.DUMMYFUNCTION("IFERROR((IFERROR(FILTER('Fund Data'!$P:$P,'Fund Data'!$C:$C = $C1766,'Fund Data'!$A:$A = ($A1766 - 2), 'Fund Data'!$B:$B = 12),0) - SUM(FILTER('Fund Data'!$V:$V, 'Fund Data'!$C:$C = $C1766, 'Fund Data'!$A:$A = ($A1766 - 2), 'Fund Data'!$B:$B &gt; 3)))  * 'Pa"&amp;"rameters and Distribution Sum'!$B$4 * (1 - 'Parameters and Distribution Sum'!$A$4),0)"),0.0)</f>
        <v>0</v>
      </c>
      <c r="Y1766" s="52">
        <f t="shared" si="140"/>
        <v>0</v>
      </c>
      <c r="Z1766" s="52">
        <f>IFERROR(__xludf.DUMMYFUNCTION("((IFERROR((SUM(FILTER('Fund Data'!$V:$V, 'Fund Data'!$C:$C = $C1766, 'Fund Data'!$A:$A = $A1766 - 1, 'Fund Data'!$B:$B &gt;= 4, 'Fund Data'!$B:$B &lt;= ($B1766 + 5))) / 12) * ($B1766 - 3) * 'Parameters and Distribution Sum'!$B$4, 0) + IF($B1766 &gt;= 9, IFERROR(SU"&amp;"M(FILTER('Fund Data'!$V:$V, 'Fund Data'!$C:$C = $C1766, 'Fund Data'!$A:$A = $A1766, 'Fund Data'!$B:$B &lt;= 3)) * 'Parameters and Distribution Sum'!$B$4, 0),0)))"),0.0)</f>
        <v>0</v>
      </c>
      <c r="AA1766" s="44">
        <f>IFERROR(__xludf.DUMMYFUNCTION("IFERROR(((IFERROR(SUM(FILTER('Fund Data'!$V:$V, 'Fund Data'!$C:$C = $C1766, 'Fund Data'!$A:$A = $A1766 - 2, 'Fund Data'!$B:$B &gt;= 4)) * 'Parameters and Distribution Sum'!$B$4,0) + IFERROR(SUM(FILTER('Fund Data'!$V:$V, 'Fund Data'!$C:$C = $C1766, 'Fund Data"&amp;"'!$A:$A = $A1766 - 1, 'Fund Data'!$B:$B &lt;= 3)) * 'Parameters and Distribution Sum'!$B$4,0))),0)"),0.0)</f>
        <v>0</v>
      </c>
      <c r="AB1766" s="44">
        <f t="shared" si="141"/>
        <v>0</v>
      </c>
      <c r="AC1766" s="44">
        <f t="shared" si="142"/>
        <v>0</v>
      </c>
      <c r="AD1766" s="44">
        <f t="shared" si="7"/>
        <v>0</v>
      </c>
      <c r="AE1766" s="44"/>
    </row>
    <row r="1767">
      <c r="A1767" s="178"/>
      <c r="B1767" s="179"/>
      <c r="C1767" s="147"/>
      <c r="D1767" s="44"/>
      <c r="E1767" s="44"/>
      <c r="F1767" s="44"/>
      <c r="G1767" s="44"/>
      <c r="H1767" s="44"/>
      <c r="I1767" s="44"/>
      <c r="J1767" s="44"/>
      <c r="K1767" s="44"/>
      <c r="L1767" s="44"/>
      <c r="M1767" s="44"/>
      <c r="N1767" s="44"/>
      <c r="O1767" s="44"/>
      <c r="P1767" s="52">
        <f t="shared" si="23"/>
        <v>0</v>
      </c>
      <c r="Q1767" s="124">
        <f t="shared" si="2"/>
        <v>0</v>
      </c>
      <c r="R1767" s="52">
        <f t="array" ref="R1767">IFERROR(INDEX('Fund YTD Target Values'!$1:$1000, MATCH($C1767,'Fund YTD Target Values'!$A:$A,0), MATCH($A1767,'Fund YTD Target Values'!$1:$1,0)),0)</f>
        <v>0</v>
      </c>
      <c r="S1767" s="52">
        <f>IFERROR(__xludf.DUMMYFUNCTION("IFERROR(sum(FILTER('Fund Data'!$V:$V, 'Fund Data'!$C:$C = $C1767, 'Fund Data'!$A:$A &lt; $A1767)),0) + IFERROR(sum(FILTER('Fund Data'!$V:$V, 'Fund Data'!$C:$C = $C1767, 'Fund Data'!$A:$A = $A1767, 'Fund Data'!$B:$B &lt;= $B1767)),0)"),0.0)</f>
        <v>0</v>
      </c>
      <c r="T1767" s="44"/>
      <c r="U1767" s="44"/>
      <c r="V1767" s="44">
        <f t="shared" si="3"/>
        <v>0</v>
      </c>
      <c r="W1767" s="52">
        <f>IFERROR(__xludf.DUMMYFUNCTION("iFERROR((FILTER('Fund Data'!$Y:$Y, 'Fund Data'!$C:$C = $C1767, 'Fund Data'!$A:$A = $A1767 - 1, 'Fund Data'!$B:$B = 12) + FILTER('Fund Data'!$AA:$AA, 'Fund Data'!$C:$C = $C1767, 'Fund Data'!$A:$A = $A1767 - 1, 'Fund Data'!$B:$B = 12)) * (1 + AVERAGE(FILTER"&amp;"('Inflation Data'!$C:$C,'Inflation Data'!$A:$A = ($A1767 - 2)))) * 'Parameters and Distribution Sum'!$A$4,0)"),0.0)</f>
        <v>0</v>
      </c>
      <c r="X1767" s="52">
        <f>IFERROR(__xludf.DUMMYFUNCTION("IFERROR((IFERROR(FILTER('Fund Data'!$P:$P,'Fund Data'!$C:$C = $C1767,'Fund Data'!$A:$A = ($A1767 - 2), 'Fund Data'!$B:$B = 12),0) - SUM(FILTER('Fund Data'!$V:$V, 'Fund Data'!$C:$C = $C1767, 'Fund Data'!$A:$A = ($A1767 - 2), 'Fund Data'!$B:$B &gt; 3)))  * 'Pa"&amp;"rameters and Distribution Sum'!$B$4 * (1 - 'Parameters and Distribution Sum'!$A$4),0)"),0.0)</f>
        <v>0</v>
      </c>
      <c r="Y1767" s="52">
        <f t="shared" si="140"/>
        <v>0</v>
      </c>
      <c r="Z1767" s="52">
        <f>IFERROR(__xludf.DUMMYFUNCTION("((IFERROR((SUM(FILTER('Fund Data'!$V:$V, 'Fund Data'!$C:$C = $C1767, 'Fund Data'!$A:$A = $A1767 - 1, 'Fund Data'!$B:$B &gt;= 4, 'Fund Data'!$B:$B &lt;= ($B1767 + 5))) / 12) * ($B1767 - 3) * 'Parameters and Distribution Sum'!$B$4, 0) + IF($B1767 &gt;= 9, IFERROR(SU"&amp;"M(FILTER('Fund Data'!$V:$V, 'Fund Data'!$C:$C = $C1767, 'Fund Data'!$A:$A = $A1767, 'Fund Data'!$B:$B &lt;= 3)) * 'Parameters and Distribution Sum'!$B$4, 0),0)))"),0.0)</f>
        <v>0</v>
      </c>
      <c r="AA1767" s="44">
        <f>IFERROR(__xludf.DUMMYFUNCTION("IFERROR(((IFERROR(SUM(FILTER('Fund Data'!$V:$V, 'Fund Data'!$C:$C = $C1767, 'Fund Data'!$A:$A = $A1767 - 2, 'Fund Data'!$B:$B &gt;= 4)) * 'Parameters and Distribution Sum'!$B$4,0) + IFERROR(SUM(FILTER('Fund Data'!$V:$V, 'Fund Data'!$C:$C = $C1767, 'Fund Data"&amp;"'!$A:$A = $A1767 - 1, 'Fund Data'!$B:$B &lt;= 3)) * 'Parameters and Distribution Sum'!$B$4,0))),0)"),0.0)</f>
        <v>0</v>
      </c>
      <c r="AB1767" s="44">
        <f t="shared" si="141"/>
        <v>0</v>
      </c>
      <c r="AC1767" s="44">
        <f t="shared" si="142"/>
        <v>0</v>
      </c>
      <c r="AD1767" s="44">
        <f t="shared" si="7"/>
        <v>0</v>
      </c>
      <c r="AE1767" s="44"/>
    </row>
    <row r="1768">
      <c r="A1768" s="178"/>
      <c r="B1768" s="179"/>
      <c r="C1768" s="147"/>
      <c r="D1768" s="44"/>
      <c r="E1768" s="44"/>
      <c r="F1768" s="44"/>
      <c r="G1768" s="44"/>
      <c r="H1768" s="44"/>
      <c r="I1768" s="44"/>
      <c r="J1768" s="44"/>
      <c r="K1768" s="44"/>
      <c r="L1768" s="44"/>
      <c r="M1768" s="44"/>
      <c r="N1768" s="44"/>
      <c r="O1768" s="44"/>
      <c r="P1768" s="52">
        <f t="shared" si="23"/>
        <v>0</v>
      </c>
      <c r="Q1768" s="124">
        <f t="shared" si="2"/>
        <v>0</v>
      </c>
      <c r="R1768" s="52">
        <f t="array" ref="R1768">IFERROR(INDEX('Fund YTD Target Values'!$1:$1000, MATCH($C1768,'Fund YTD Target Values'!$A:$A,0), MATCH($A1768,'Fund YTD Target Values'!$1:$1,0)),0)</f>
        <v>0</v>
      </c>
      <c r="S1768" s="52">
        <f>IFERROR(__xludf.DUMMYFUNCTION("IFERROR(sum(FILTER('Fund Data'!$V:$V, 'Fund Data'!$C:$C = $C1768, 'Fund Data'!$A:$A &lt; $A1768)),0) + IFERROR(sum(FILTER('Fund Data'!$V:$V, 'Fund Data'!$C:$C = $C1768, 'Fund Data'!$A:$A = $A1768, 'Fund Data'!$B:$B &lt;= $B1768)),0)"),0.0)</f>
        <v>0</v>
      </c>
      <c r="T1768" s="44"/>
      <c r="U1768" s="44"/>
      <c r="V1768" s="44">
        <f t="shared" si="3"/>
        <v>0</v>
      </c>
      <c r="W1768" s="52">
        <f>IFERROR(__xludf.DUMMYFUNCTION("iFERROR((FILTER('Fund Data'!$Y:$Y, 'Fund Data'!$C:$C = $C1768, 'Fund Data'!$A:$A = $A1768 - 1, 'Fund Data'!$B:$B = 12) + FILTER('Fund Data'!$AA:$AA, 'Fund Data'!$C:$C = $C1768, 'Fund Data'!$A:$A = $A1768 - 1, 'Fund Data'!$B:$B = 12)) * (1 + AVERAGE(FILTER"&amp;"('Inflation Data'!$C:$C,'Inflation Data'!$A:$A = ($A1768 - 2)))) * 'Parameters and Distribution Sum'!$A$4,0)"),0.0)</f>
        <v>0</v>
      </c>
      <c r="X1768" s="52">
        <f>IFERROR(__xludf.DUMMYFUNCTION("IFERROR((IFERROR(FILTER('Fund Data'!$P:$P,'Fund Data'!$C:$C = $C1768,'Fund Data'!$A:$A = ($A1768 - 2), 'Fund Data'!$B:$B = 12),0) - SUM(FILTER('Fund Data'!$V:$V, 'Fund Data'!$C:$C = $C1768, 'Fund Data'!$A:$A = ($A1768 - 2), 'Fund Data'!$B:$B &gt; 3)))  * 'Pa"&amp;"rameters and Distribution Sum'!$B$4 * (1 - 'Parameters and Distribution Sum'!$A$4),0)"),0.0)</f>
        <v>0</v>
      </c>
      <c r="Y1768" s="52">
        <f t="shared" si="140"/>
        <v>0</v>
      </c>
      <c r="Z1768" s="52">
        <f>IFERROR(__xludf.DUMMYFUNCTION("((IFERROR((SUM(FILTER('Fund Data'!$V:$V, 'Fund Data'!$C:$C = $C1768, 'Fund Data'!$A:$A = $A1768 - 1, 'Fund Data'!$B:$B &gt;= 4, 'Fund Data'!$B:$B &lt;= ($B1768 + 5))) / 12) * ($B1768 - 3) * 'Parameters and Distribution Sum'!$B$4, 0) + IF($B1768 &gt;= 9, IFERROR(SU"&amp;"M(FILTER('Fund Data'!$V:$V, 'Fund Data'!$C:$C = $C1768, 'Fund Data'!$A:$A = $A1768, 'Fund Data'!$B:$B &lt;= 3)) * 'Parameters and Distribution Sum'!$B$4, 0),0)))"),0.0)</f>
        <v>0</v>
      </c>
      <c r="AA1768" s="44">
        <f>IFERROR(__xludf.DUMMYFUNCTION("IFERROR(((IFERROR(SUM(FILTER('Fund Data'!$V:$V, 'Fund Data'!$C:$C = $C1768, 'Fund Data'!$A:$A = $A1768 - 2, 'Fund Data'!$B:$B &gt;= 4)) * 'Parameters and Distribution Sum'!$B$4,0) + IFERROR(SUM(FILTER('Fund Data'!$V:$V, 'Fund Data'!$C:$C = $C1768, 'Fund Data"&amp;"'!$A:$A = $A1768 - 1, 'Fund Data'!$B:$B &lt;= 3)) * 'Parameters and Distribution Sum'!$B$4,0))),0)"),0.0)</f>
        <v>0</v>
      </c>
      <c r="AB1768" s="44">
        <f t="shared" si="141"/>
        <v>0</v>
      </c>
      <c r="AC1768" s="44">
        <f t="shared" si="142"/>
        <v>0</v>
      </c>
      <c r="AD1768" s="44">
        <f t="shared" si="7"/>
        <v>0</v>
      </c>
      <c r="AE1768" s="44"/>
    </row>
    <row r="1769">
      <c r="A1769" s="178"/>
      <c r="B1769" s="179"/>
      <c r="C1769" s="147"/>
      <c r="D1769" s="44"/>
      <c r="E1769" s="44"/>
      <c r="F1769" s="44"/>
      <c r="G1769" s="44"/>
      <c r="H1769" s="44"/>
      <c r="I1769" s="44"/>
      <c r="J1769" s="44"/>
      <c r="K1769" s="44"/>
      <c r="L1769" s="44"/>
      <c r="M1769" s="44"/>
      <c r="N1769" s="44"/>
      <c r="O1769" s="44"/>
      <c r="P1769" s="52">
        <f t="shared" si="23"/>
        <v>0</v>
      </c>
      <c r="Q1769" s="124">
        <f t="shared" si="2"/>
        <v>0</v>
      </c>
      <c r="R1769" s="52">
        <f t="array" ref="R1769">IFERROR(INDEX('Fund YTD Target Values'!$1:$1000, MATCH($C1769,'Fund YTD Target Values'!$A:$A,0), MATCH($A1769,'Fund YTD Target Values'!$1:$1,0)),0)</f>
        <v>0</v>
      </c>
      <c r="S1769" s="52">
        <f>IFERROR(__xludf.DUMMYFUNCTION("IFERROR(sum(FILTER('Fund Data'!$V:$V, 'Fund Data'!$C:$C = $C1769, 'Fund Data'!$A:$A &lt; $A1769)),0) + IFERROR(sum(FILTER('Fund Data'!$V:$V, 'Fund Data'!$C:$C = $C1769, 'Fund Data'!$A:$A = $A1769, 'Fund Data'!$B:$B &lt;= $B1769)),0)"),0.0)</f>
        <v>0</v>
      </c>
      <c r="T1769" s="44"/>
      <c r="U1769" s="44"/>
      <c r="V1769" s="44">
        <f t="shared" si="3"/>
        <v>0</v>
      </c>
      <c r="W1769" s="52">
        <f>IFERROR(__xludf.DUMMYFUNCTION("iFERROR((FILTER('Fund Data'!$Y:$Y, 'Fund Data'!$C:$C = $C1769, 'Fund Data'!$A:$A = $A1769 - 1, 'Fund Data'!$B:$B = 12) + FILTER('Fund Data'!$AA:$AA, 'Fund Data'!$C:$C = $C1769, 'Fund Data'!$A:$A = $A1769 - 1, 'Fund Data'!$B:$B = 12)) * (1 + AVERAGE(FILTER"&amp;"('Inflation Data'!$C:$C,'Inflation Data'!$A:$A = ($A1769 - 2)))) * 'Parameters and Distribution Sum'!$A$4,0)"),0.0)</f>
        <v>0</v>
      </c>
      <c r="X1769" s="52">
        <f>IFERROR(__xludf.DUMMYFUNCTION("IFERROR((IFERROR(FILTER('Fund Data'!$P:$P,'Fund Data'!$C:$C = $C1769,'Fund Data'!$A:$A = ($A1769 - 2), 'Fund Data'!$B:$B = 12),0) - SUM(FILTER('Fund Data'!$V:$V, 'Fund Data'!$C:$C = $C1769, 'Fund Data'!$A:$A = ($A1769 - 2), 'Fund Data'!$B:$B &gt; 3)))  * 'Pa"&amp;"rameters and Distribution Sum'!$B$4 * (1 - 'Parameters and Distribution Sum'!$A$4),0)"),0.0)</f>
        <v>0</v>
      </c>
      <c r="Y1769" s="52">
        <f t="shared" si="140"/>
        <v>0</v>
      </c>
      <c r="Z1769" s="52">
        <f>IFERROR(__xludf.DUMMYFUNCTION("((IFERROR((SUM(FILTER('Fund Data'!$V:$V, 'Fund Data'!$C:$C = $C1769, 'Fund Data'!$A:$A = $A1769 - 1, 'Fund Data'!$B:$B &gt;= 4, 'Fund Data'!$B:$B &lt;= ($B1769 + 5))) / 12) * ($B1769 - 3) * 'Parameters and Distribution Sum'!$B$4, 0) + IF($B1769 &gt;= 9, IFERROR(SU"&amp;"M(FILTER('Fund Data'!$V:$V, 'Fund Data'!$C:$C = $C1769, 'Fund Data'!$A:$A = $A1769, 'Fund Data'!$B:$B &lt;= 3)) * 'Parameters and Distribution Sum'!$B$4, 0),0)))"),0.0)</f>
        <v>0</v>
      </c>
      <c r="AA1769" s="44">
        <f>IFERROR(__xludf.DUMMYFUNCTION("IFERROR(((IFERROR(SUM(FILTER('Fund Data'!$V:$V, 'Fund Data'!$C:$C = $C1769, 'Fund Data'!$A:$A = $A1769 - 2, 'Fund Data'!$B:$B &gt;= 4)) * 'Parameters and Distribution Sum'!$B$4,0) + IFERROR(SUM(FILTER('Fund Data'!$V:$V, 'Fund Data'!$C:$C = $C1769, 'Fund Data"&amp;"'!$A:$A = $A1769 - 1, 'Fund Data'!$B:$B &lt;= 3)) * 'Parameters and Distribution Sum'!$B$4,0))),0)"),0.0)</f>
        <v>0</v>
      </c>
      <c r="AB1769" s="44">
        <f t="shared" si="141"/>
        <v>0</v>
      </c>
      <c r="AC1769" s="44">
        <f t="shared" si="142"/>
        <v>0</v>
      </c>
      <c r="AD1769" s="44">
        <f t="shared" si="7"/>
        <v>0</v>
      </c>
      <c r="AE1769" s="44"/>
    </row>
    <row r="1770">
      <c r="A1770" s="178"/>
      <c r="B1770" s="179"/>
      <c r="C1770" s="147"/>
      <c r="D1770" s="44"/>
      <c r="E1770" s="44"/>
      <c r="F1770" s="44"/>
      <c r="G1770" s="44"/>
      <c r="H1770" s="44"/>
      <c r="I1770" s="44"/>
      <c r="J1770" s="44"/>
      <c r="K1770" s="44"/>
      <c r="L1770" s="44"/>
      <c r="M1770" s="44"/>
      <c r="N1770" s="44"/>
      <c r="O1770" s="44"/>
      <c r="P1770" s="52">
        <f t="shared" si="23"/>
        <v>0</v>
      </c>
      <c r="Q1770" s="124">
        <f t="shared" si="2"/>
        <v>0</v>
      </c>
      <c r="R1770" s="52">
        <f t="array" ref="R1770">IFERROR(INDEX('Fund YTD Target Values'!$1:$1000, MATCH($C1770,'Fund YTD Target Values'!$A:$A,0), MATCH($A1770,'Fund YTD Target Values'!$1:$1,0)),0)</f>
        <v>0</v>
      </c>
      <c r="S1770" s="52">
        <f>IFERROR(__xludf.DUMMYFUNCTION("IFERROR(sum(FILTER('Fund Data'!$V:$V, 'Fund Data'!$C:$C = $C1770, 'Fund Data'!$A:$A &lt; $A1770)),0) + IFERROR(sum(FILTER('Fund Data'!$V:$V, 'Fund Data'!$C:$C = $C1770, 'Fund Data'!$A:$A = $A1770, 'Fund Data'!$B:$B &lt;= $B1770)),0)"),0.0)</f>
        <v>0</v>
      </c>
      <c r="T1770" s="44"/>
      <c r="U1770" s="44"/>
      <c r="V1770" s="44">
        <f t="shared" si="3"/>
        <v>0</v>
      </c>
      <c r="W1770" s="52">
        <f>IFERROR(__xludf.DUMMYFUNCTION("iFERROR((FILTER('Fund Data'!$Y:$Y, 'Fund Data'!$C:$C = $C1770, 'Fund Data'!$A:$A = $A1770 - 1, 'Fund Data'!$B:$B = 12) + FILTER('Fund Data'!$AA:$AA, 'Fund Data'!$C:$C = $C1770, 'Fund Data'!$A:$A = $A1770 - 1, 'Fund Data'!$B:$B = 12)) * (1 + AVERAGE(FILTER"&amp;"('Inflation Data'!$C:$C,'Inflation Data'!$A:$A = ($A1770 - 2)))) * 'Parameters and Distribution Sum'!$A$4,0)"),0.0)</f>
        <v>0</v>
      </c>
      <c r="X1770" s="52">
        <f>IFERROR(__xludf.DUMMYFUNCTION("IFERROR((IFERROR(FILTER('Fund Data'!$P:$P,'Fund Data'!$C:$C = $C1770,'Fund Data'!$A:$A = ($A1770 - 2), 'Fund Data'!$B:$B = 12),0) - SUM(FILTER('Fund Data'!$V:$V, 'Fund Data'!$C:$C = $C1770, 'Fund Data'!$A:$A = ($A1770 - 2), 'Fund Data'!$B:$B &gt; 3)))  * 'Pa"&amp;"rameters and Distribution Sum'!$B$4 * (1 - 'Parameters and Distribution Sum'!$A$4),0)"),0.0)</f>
        <v>0</v>
      </c>
      <c r="Y1770" s="52">
        <f t="shared" si="140"/>
        <v>0</v>
      </c>
      <c r="Z1770" s="52">
        <f>IFERROR(__xludf.DUMMYFUNCTION("((IFERROR((SUM(FILTER('Fund Data'!$V:$V, 'Fund Data'!$C:$C = $C1770, 'Fund Data'!$A:$A = $A1770 - 1, 'Fund Data'!$B:$B &gt;= 4, 'Fund Data'!$B:$B &lt;= ($B1770 + 5))) / 12) * ($B1770 - 3) * 'Parameters and Distribution Sum'!$B$4, 0) + IF($B1770 &gt;= 9, IFERROR(SU"&amp;"M(FILTER('Fund Data'!$V:$V, 'Fund Data'!$C:$C = $C1770, 'Fund Data'!$A:$A = $A1770, 'Fund Data'!$B:$B &lt;= 3)) * 'Parameters and Distribution Sum'!$B$4, 0),0)))"),0.0)</f>
        <v>0</v>
      </c>
      <c r="AA1770" s="44">
        <f>IFERROR(__xludf.DUMMYFUNCTION("IFERROR(((IFERROR(SUM(FILTER('Fund Data'!$V:$V, 'Fund Data'!$C:$C = $C1770, 'Fund Data'!$A:$A = $A1770 - 2, 'Fund Data'!$B:$B &gt;= 4)) * 'Parameters and Distribution Sum'!$B$4,0) + IFERROR(SUM(FILTER('Fund Data'!$V:$V, 'Fund Data'!$C:$C = $C1770, 'Fund Data"&amp;"'!$A:$A = $A1770 - 1, 'Fund Data'!$B:$B &lt;= 3)) * 'Parameters and Distribution Sum'!$B$4,0))),0)"),0.0)</f>
        <v>0</v>
      </c>
      <c r="AB1770" s="44">
        <f t="shared" si="141"/>
        <v>0</v>
      </c>
      <c r="AC1770" s="44">
        <f t="shared" si="142"/>
        <v>0</v>
      </c>
      <c r="AD1770" s="44">
        <f t="shared" si="7"/>
        <v>0</v>
      </c>
      <c r="AE1770" s="44"/>
    </row>
    <row r="1771">
      <c r="A1771" s="178"/>
      <c r="B1771" s="179"/>
      <c r="C1771" s="147"/>
      <c r="D1771" s="44"/>
      <c r="E1771" s="44"/>
      <c r="F1771" s="44"/>
      <c r="G1771" s="44"/>
      <c r="H1771" s="44"/>
      <c r="I1771" s="44"/>
      <c r="J1771" s="44"/>
      <c r="K1771" s="44"/>
      <c r="L1771" s="44"/>
      <c r="M1771" s="44"/>
      <c r="N1771" s="44"/>
      <c r="O1771" s="44"/>
      <c r="P1771" s="52">
        <f t="shared" si="23"/>
        <v>0</v>
      </c>
      <c r="Q1771" s="124">
        <f t="shared" si="2"/>
        <v>0</v>
      </c>
      <c r="R1771" s="52">
        <f t="array" ref="R1771">IFERROR(INDEX('Fund YTD Target Values'!$1:$1000, MATCH($C1771,'Fund YTD Target Values'!$A:$A,0), MATCH($A1771,'Fund YTD Target Values'!$1:$1,0)),0)</f>
        <v>0</v>
      </c>
      <c r="S1771" s="52">
        <f>IFERROR(__xludf.DUMMYFUNCTION("IFERROR(sum(FILTER('Fund Data'!$V:$V, 'Fund Data'!$C:$C = $C1771, 'Fund Data'!$A:$A &lt; $A1771)),0) + IFERROR(sum(FILTER('Fund Data'!$V:$V, 'Fund Data'!$C:$C = $C1771, 'Fund Data'!$A:$A = $A1771, 'Fund Data'!$B:$B &lt;= $B1771)),0)"),0.0)</f>
        <v>0</v>
      </c>
      <c r="T1771" s="44"/>
      <c r="U1771" s="44"/>
      <c r="V1771" s="44">
        <f t="shared" si="3"/>
        <v>0</v>
      </c>
      <c r="W1771" s="52">
        <f>IFERROR(__xludf.DUMMYFUNCTION("iFERROR((FILTER('Fund Data'!$Y:$Y, 'Fund Data'!$C:$C = $C1771, 'Fund Data'!$A:$A = $A1771 - 1, 'Fund Data'!$B:$B = 12) + FILTER('Fund Data'!$AA:$AA, 'Fund Data'!$C:$C = $C1771, 'Fund Data'!$A:$A = $A1771 - 1, 'Fund Data'!$B:$B = 12)) * (1 + AVERAGE(FILTER"&amp;"('Inflation Data'!$C:$C,'Inflation Data'!$A:$A = ($A1771 - 2)))) * 'Parameters and Distribution Sum'!$A$4,0)"),0.0)</f>
        <v>0</v>
      </c>
      <c r="X1771" s="52">
        <f>IFERROR(__xludf.DUMMYFUNCTION("IFERROR((IFERROR(FILTER('Fund Data'!$P:$P,'Fund Data'!$C:$C = $C1771,'Fund Data'!$A:$A = ($A1771 - 2), 'Fund Data'!$B:$B = 12),0) - SUM(FILTER('Fund Data'!$V:$V, 'Fund Data'!$C:$C = $C1771, 'Fund Data'!$A:$A = ($A1771 - 2), 'Fund Data'!$B:$B &gt; 3)))  * 'Pa"&amp;"rameters and Distribution Sum'!$B$4 * (1 - 'Parameters and Distribution Sum'!$A$4),0)"),0.0)</f>
        <v>0</v>
      </c>
      <c r="Y1771" s="52">
        <f t="shared" si="140"/>
        <v>0</v>
      </c>
      <c r="Z1771" s="52">
        <f>IFERROR(__xludf.DUMMYFUNCTION("((IFERROR((SUM(FILTER('Fund Data'!$V:$V, 'Fund Data'!$C:$C = $C1771, 'Fund Data'!$A:$A = $A1771 - 1, 'Fund Data'!$B:$B &gt;= 4, 'Fund Data'!$B:$B &lt;= ($B1771 + 5))) / 12) * ($B1771 - 3) * 'Parameters and Distribution Sum'!$B$4, 0) + IF($B1771 &gt;= 9, IFERROR(SU"&amp;"M(FILTER('Fund Data'!$V:$V, 'Fund Data'!$C:$C = $C1771, 'Fund Data'!$A:$A = $A1771, 'Fund Data'!$B:$B &lt;= 3)) * 'Parameters and Distribution Sum'!$B$4, 0),0)))"),0.0)</f>
        <v>0</v>
      </c>
      <c r="AA1771" s="44">
        <f>IFERROR(__xludf.DUMMYFUNCTION("IFERROR(((IFERROR(SUM(FILTER('Fund Data'!$V:$V, 'Fund Data'!$C:$C = $C1771, 'Fund Data'!$A:$A = $A1771 - 2, 'Fund Data'!$B:$B &gt;= 4)) * 'Parameters and Distribution Sum'!$B$4,0) + IFERROR(SUM(FILTER('Fund Data'!$V:$V, 'Fund Data'!$C:$C = $C1771, 'Fund Data"&amp;"'!$A:$A = $A1771 - 1, 'Fund Data'!$B:$B &lt;= 3)) * 'Parameters and Distribution Sum'!$B$4,0))),0)"),0.0)</f>
        <v>0</v>
      </c>
      <c r="AB1771" s="44">
        <f t="shared" si="141"/>
        <v>0</v>
      </c>
      <c r="AC1771" s="44">
        <f t="shared" si="142"/>
        <v>0</v>
      </c>
      <c r="AD1771" s="44">
        <f t="shared" si="7"/>
        <v>0</v>
      </c>
      <c r="AE1771" s="44"/>
    </row>
    <row r="1772">
      <c r="A1772" s="178"/>
      <c r="B1772" s="179"/>
      <c r="C1772" s="147"/>
      <c r="D1772" s="44"/>
      <c r="E1772" s="44"/>
      <c r="F1772" s="44"/>
      <c r="G1772" s="44"/>
      <c r="H1772" s="44"/>
      <c r="I1772" s="44"/>
      <c r="J1772" s="44"/>
      <c r="K1772" s="44"/>
      <c r="L1772" s="44"/>
      <c r="M1772" s="44"/>
      <c r="N1772" s="44"/>
      <c r="O1772" s="44"/>
      <c r="P1772" s="52">
        <f t="shared" si="23"/>
        <v>0</v>
      </c>
      <c r="Q1772" s="124">
        <f t="shared" si="2"/>
        <v>0</v>
      </c>
      <c r="R1772" s="52">
        <f t="array" ref="R1772">IFERROR(INDEX('Fund YTD Target Values'!$1:$1000, MATCH($C1772,'Fund YTD Target Values'!$A:$A,0), MATCH($A1772,'Fund YTD Target Values'!$1:$1,0)),0)</f>
        <v>0</v>
      </c>
      <c r="S1772" s="52">
        <f>IFERROR(__xludf.DUMMYFUNCTION("IFERROR(sum(FILTER('Fund Data'!$V:$V, 'Fund Data'!$C:$C = $C1772, 'Fund Data'!$A:$A &lt; $A1772)),0) + IFERROR(sum(FILTER('Fund Data'!$V:$V, 'Fund Data'!$C:$C = $C1772, 'Fund Data'!$A:$A = $A1772, 'Fund Data'!$B:$B &lt;= $B1772)),0)"),0.0)</f>
        <v>0</v>
      </c>
      <c r="T1772" s="44"/>
      <c r="U1772" s="44"/>
      <c r="V1772" s="44">
        <f t="shared" si="3"/>
        <v>0</v>
      </c>
      <c r="W1772" s="52">
        <f>IFERROR(__xludf.DUMMYFUNCTION("iFERROR((FILTER('Fund Data'!$Y:$Y, 'Fund Data'!$C:$C = $C1772, 'Fund Data'!$A:$A = $A1772 - 1, 'Fund Data'!$B:$B = 12) + FILTER('Fund Data'!$AA:$AA, 'Fund Data'!$C:$C = $C1772, 'Fund Data'!$A:$A = $A1772 - 1, 'Fund Data'!$B:$B = 12)) * (1 + AVERAGE(FILTER"&amp;"('Inflation Data'!$C:$C,'Inflation Data'!$A:$A = ($A1772 - 2)))) * 'Parameters and Distribution Sum'!$A$4,0)"),0.0)</f>
        <v>0</v>
      </c>
      <c r="X1772" s="52">
        <f>IFERROR(__xludf.DUMMYFUNCTION("IFERROR((IFERROR(FILTER('Fund Data'!$P:$P,'Fund Data'!$C:$C = $C1772,'Fund Data'!$A:$A = ($A1772 - 2), 'Fund Data'!$B:$B = 12),0) - SUM(FILTER('Fund Data'!$V:$V, 'Fund Data'!$C:$C = $C1772, 'Fund Data'!$A:$A = ($A1772 - 2), 'Fund Data'!$B:$B &gt; 3)))  * 'Pa"&amp;"rameters and Distribution Sum'!$B$4 * (1 - 'Parameters and Distribution Sum'!$A$4),0)"),0.0)</f>
        <v>0</v>
      </c>
      <c r="Y1772" s="52">
        <f t="shared" si="140"/>
        <v>0</v>
      </c>
      <c r="Z1772" s="52">
        <f>IFERROR(__xludf.DUMMYFUNCTION("((IFERROR((SUM(FILTER('Fund Data'!$V:$V, 'Fund Data'!$C:$C = $C1772, 'Fund Data'!$A:$A = $A1772 - 1, 'Fund Data'!$B:$B &gt;= 4, 'Fund Data'!$B:$B &lt;= ($B1772 + 5))) / 12) * ($B1772 - 3) * 'Parameters and Distribution Sum'!$B$4, 0) + IF($B1772 &gt;= 9, IFERROR(SU"&amp;"M(FILTER('Fund Data'!$V:$V, 'Fund Data'!$C:$C = $C1772, 'Fund Data'!$A:$A = $A1772, 'Fund Data'!$B:$B &lt;= 3)) * 'Parameters and Distribution Sum'!$B$4, 0),0)))"),0.0)</f>
        <v>0</v>
      </c>
      <c r="AA1772" s="44">
        <f>IFERROR(__xludf.DUMMYFUNCTION("IFERROR(((IFERROR(SUM(FILTER('Fund Data'!$V:$V, 'Fund Data'!$C:$C = $C1772, 'Fund Data'!$A:$A = $A1772 - 2, 'Fund Data'!$B:$B &gt;= 4)) * 'Parameters and Distribution Sum'!$B$4,0) + IFERROR(SUM(FILTER('Fund Data'!$V:$V, 'Fund Data'!$C:$C = $C1772, 'Fund Data"&amp;"'!$A:$A = $A1772 - 1, 'Fund Data'!$B:$B &lt;= 3)) * 'Parameters and Distribution Sum'!$B$4,0))),0)"),0.0)</f>
        <v>0</v>
      </c>
      <c r="AB1772" s="44">
        <f t="shared" si="141"/>
        <v>0</v>
      </c>
      <c r="AC1772" s="44">
        <f t="shared" si="142"/>
        <v>0</v>
      </c>
      <c r="AD1772" s="44">
        <f t="shared" si="7"/>
        <v>0</v>
      </c>
      <c r="AE1772" s="44"/>
    </row>
    <row r="1773">
      <c r="A1773" s="178"/>
      <c r="B1773" s="179"/>
      <c r="C1773" s="147"/>
      <c r="D1773" s="44"/>
      <c r="E1773" s="44"/>
      <c r="F1773" s="44"/>
      <c r="G1773" s="44"/>
      <c r="H1773" s="44"/>
      <c r="I1773" s="44"/>
      <c r="J1773" s="44"/>
      <c r="K1773" s="44"/>
      <c r="L1773" s="44"/>
      <c r="M1773" s="44"/>
      <c r="N1773" s="44"/>
      <c r="O1773" s="44"/>
      <c r="P1773" s="52">
        <f t="shared" si="23"/>
        <v>0</v>
      </c>
      <c r="Q1773" s="124">
        <f t="shared" si="2"/>
        <v>0</v>
      </c>
      <c r="R1773" s="52">
        <f t="array" ref="R1773">IFERROR(INDEX('Fund YTD Target Values'!$1:$1000, MATCH($C1773,'Fund YTD Target Values'!$A:$A,0), MATCH($A1773,'Fund YTD Target Values'!$1:$1,0)),0)</f>
        <v>0</v>
      </c>
      <c r="S1773" s="52">
        <f>IFERROR(__xludf.DUMMYFUNCTION("IFERROR(sum(FILTER('Fund Data'!$V:$V, 'Fund Data'!$C:$C = $C1773, 'Fund Data'!$A:$A &lt; $A1773)),0) + IFERROR(sum(FILTER('Fund Data'!$V:$V, 'Fund Data'!$C:$C = $C1773, 'Fund Data'!$A:$A = $A1773, 'Fund Data'!$B:$B &lt;= $B1773)),0)"),0.0)</f>
        <v>0</v>
      </c>
      <c r="T1773" s="44"/>
      <c r="U1773" s="44"/>
      <c r="V1773" s="44">
        <f t="shared" si="3"/>
        <v>0</v>
      </c>
      <c r="W1773" s="52">
        <f>IFERROR(__xludf.DUMMYFUNCTION("iFERROR((FILTER('Fund Data'!$Y:$Y, 'Fund Data'!$C:$C = $C1773, 'Fund Data'!$A:$A = $A1773 - 1, 'Fund Data'!$B:$B = 12) + FILTER('Fund Data'!$AA:$AA, 'Fund Data'!$C:$C = $C1773, 'Fund Data'!$A:$A = $A1773 - 1, 'Fund Data'!$B:$B = 12)) * (1 + AVERAGE(FILTER"&amp;"('Inflation Data'!$C:$C,'Inflation Data'!$A:$A = ($A1773 - 2)))) * 'Parameters and Distribution Sum'!$A$4,0)"),0.0)</f>
        <v>0</v>
      </c>
      <c r="X1773" s="52">
        <f>IFERROR(__xludf.DUMMYFUNCTION("IFERROR((IFERROR(FILTER('Fund Data'!$P:$P,'Fund Data'!$C:$C = $C1773,'Fund Data'!$A:$A = ($A1773 - 2), 'Fund Data'!$B:$B = 12),0) - SUM(FILTER('Fund Data'!$V:$V, 'Fund Data'!$C:$C = $C1773, 'Fund Data'!$A:$A = ($A1773 - 2), 'Fund Data'!$B:$B &gt; 3)))  * 'Pa"&amp;"rameters and Distribution Sum'!$B$4 * (1 - 'Parameters and Distribution Sum'!$A$4),0)"),0.0)</f>
        <v>0</v>
      </c>
      <c r="Y1773" s="52">
        <f t="shared" si="140"/>
        <v>0</v>
      </c>
      <c r="Z1773" s="52">
        <f>IFERROR(__xludf.DUMMYFUNCTION("((IFERROR((SUM(FILTER('Fund Data'!$V:$V, 'Fund Data'!$C:$C = $C1773, 'Fund Data'!$A:$A = $A1773 - 1, 'Fund Data'!$B:$B &gt;= 4, 'Fund Data'!$B:$B &lt;= ($B1773 + 5))) / 12) * ($B1773 - 3) * 'Parameters and Distribution Sum'!$B$4, 0) + IF($B1773 &gt;= 9, IFERROR(SU"&amp;"M(FILTER('Fund Data'!$V:$V, 'Fund Data'!$C:$C = $C1773, 'Fund Data'!$A:$A = $A1773, 'Fund Data'!$B:$B &lt;= 3)) * 'Parameters and Distribution Sum'!$B$4, 0),0)))"),0.0)</f>
        <v>0</v>
      </c>
      <c r="AA1773" s="44">
        <f>IFERROR(__xludf.DUMMYFUNCTION("IFERROR(((IFERROR(SUM(FILTER('Fund Data'!$V:$V, 'Fund Data'!$C:$C = $C1773, 'Fund Data'!$A:$A = $A1773 - 2, 'Fund Data'!$B:$B &gt;= 4)) * 'Parameters and Distribution Sum'!$B$4,0) + IFERROR(SUM(FILTER('Fund Data'!$V:$V, 'Fund Data'!$C:$C = $C1773, 'Fund Data"&amp;"'!$A:$A = $A1773 - 1, 'Fund Data'!$B:$B &lt;= 3)) * 'Parameters and Distribution Sum'!$B$4,0))),0)"),0.0)</f>
        <v>0</v>
      </c>
      <c r="AB1773" s="44">
        <f t="shared" si="141"/>
        <v>0</v>
      </c>
      <c r="AC1773" s="44">
        <f t="shared" si="142"/>
        <v>0</v>
      </c>
      <c r="AD1773" s="44">
        <f t="shared" si="7"/>
        <v>0</v>
      </c>
      <c r="AE1773" s="44"/>
    </row>
    <row r="1774">
      <c r="A1774" s="178"/>
      <c r="B1774" s="179"/>
      <c r="C1774" s="147"/>
      <c r="D1774" s="44"/>
      <c r="E1774" s="44"/>
      <c r="F1774" s="44"/>
      <c r="G1774" s="44"/>
      <c r="H1774" s="44"/>
      <c r="I1774" s="44"/>
      <c r="J1774" s="44"/>
      <c r="K1774" s="44"/>
      <c r="L1774" s="44"/>
      <c r="M1774" s="44"/>
      <c r="N1774" s="44"/>
      <c r="O1774" s="44"/>
      <c r="P1774" s="52">
        <f t="shared" si="23"/>
        <v>0</v>
      </c>
      <c r="Q1774" s="124">
        <f t="shared" si="2"/>
        <v>0</v>
      </c>
      <c r="R1774" s="52">
        <f t="array" ref="R1774">IFERROR(INDEX('Fund YTD Target Values'!$1:$1000, MATCH($C1774,'Fund YTD Target Values'!$A:$A,0), MATCH($A1774,'Fund YTD Target Values'!$1:$1,0)),0)</f>
        <v>0</v>
      </c>
      <c r="S1774" s="52">
        <f>IFERROR(__xludf.DUMMYFUNCTION("IFERROR(sum(FILTER('Fund Data'!$V:$V, 'Fund Data'!$C:$C = $C1774, 'Fund Data'!$A:$A &lt; $A1774)),0) + IFERROR(sum(FILTER('Fund Data'!$V:$V, 'Fund Data'!$C:$C = $C1774, 'Fund Data'!$A:$A = $A1774, 'Fund Data'!$B:$B &lt;= $B1774)),0)"),0.0)</f>
        <v>0</v>
      </c>
      <c r="T1774" s="44"/>
      <c r="U1774" s="44"/>
      <c r="V1774" s="44">
        <f t="shared" si="3"/>
        <v>0</v>
      </c>
      <c r="W1774" s="52">
        <f>IFERROR(__xludf.DUMMYFUNCTION("iFERROR((FILTER('Fund Data'!$Y:$Y, 'Fund Data'!$C:$C = $C1774, 'Fund Data'!$A:$A = $A1774 - 1, 'Fund Data'!$B:$B = 12) + FILTER('Fund Data'!$AA:$AA, 'Fund Data'!$C:$C = $C1774, 'Fund Data'!$A:$A = $A1774 - 1, 'Fund Data'!$B:$B = 12)) * (1 + AVERAGE(FILTER"&amp;"('Inflation Data'!$C:$C,'Inflation Data'!$A:$A = ($A1774 - 2)))) * 'Parameters and Distribution Sum'!$A$4,0)"),0.0)</f>
        <v>0</v>
      </c>
      <c r="X1774" s="52">
        <f>IFERROR(__xludf.DUMMYFUNCTION("IFERROR((IFERROR(FILTER('Fund Data'!$P:$P,'Fund Data'!$C:$C = $C1774,'Fund Data'!$A:$A = ($A1774 - 2), 'Fund Data'!$B:$B = 12),0) - SUM(FILTER('Fund Data'!$V:$V, 'Fund Data'!$C:$C = $C1774, 'Fund Data'!$A:$A = ($A1774 - 2), 'Fund Data'!$B:$B &gt; 3)))  * 'Pa"&amp;"rameters and Distribution Sum'!$B$4 * (1 - 'Parameters and Distribution Sum'!$A$4),0)"),0.0)</f>
        <v>0</v>
      </c>
      <c r="Y1774" s="52">
        <f t="shared" si="140"/>
        <v>0</v>
      </c>
      <c r="Z1774" s="52">
        <f>IFERROR(__xludf.DUMMYFUNCTION("((IFERROR((SUM(FILTER('Fund Data'!$V:$V, 'Fund Data'!$C:$C = $C1774, 'Fund Data'!$A:$A = $A1774 - 1, 'Fund Data'!$B:$B &gt;= 4, 'Fund Data'!$B:$B &lt;= ($B1774 + 5))) / 12) * ($B1774 - 3) * 'Parameters and Distribution Sum'!$B$4, 0) + IF($B1774 &gt;= 9, IFERROR(SU"&amp;"M(FILTER('Fund Data'!$V:$V, 'Fund Data'!$C:$C = $C1774, 'Fund Data'!$A:$A = $A1774, 'Fund Data'!$B:$B &lt;= 3)) * 'Parameters and Distribution Sum'!$B$4, 0),0)))"),0.0)</f>
        <v>0</v>
      </c>
      <c r="AA1774" s="44">
        <f>IFERROR(__xludf.DUMMYFUNCTION("IFERROR(((IFERROR(SUM(FILTER('Fund Data'!$V:$V, 'Fund Data'!$C:$C = $C1774, 'Fund Data'!$A:$A = $A1774 - 2, 'Fund Data'!$B:$B &gt;= 4)) * 'Parameters and Distribution Sum'!$B$4,0) + IFERROR(SUM(FILTER('Fund Data'!$V:$V, 'Fund Data'!$C:$C = $C1774, 'Fund Data"&amp;"'!$A:$A = $A1774 - 1, 'Fund Data'!$B:$B &lt;= 3)) * 'Parameters and Distribution Sum'!$B$4,0))),0)"),0.0)</f>
        <v>0</v>
      </c>
      <c r="AB1774" s="44">
        <f t="shared" si="141"/>
        <v>0</v>
      </c>
      <c r="AC1774" s="44">
        <f t="shared" si="142"/>
        <v>0</v>
      </c>
      <c r="AD1774" s="44">
        <f t="shared" si="7"/>
        <v>0</v>
      </c>
      <c r="AE1774" s="44"/>
    </row>
    <row r="1775">
      <c r="A1775" s="178"/>
      <c r="B1775" s="179"/>
      <c r="C1775" s="147"/>
      <c r="D1775" s="44"/>
      <c r="E1775" s="44"/>
      <c r="F1775" s="44"/>
      <c r="G1775" s="44"/>
      <c r="H1775" s="44"/>
      <c r="I1775" s="44"/>
      <c r="J1775" s="44"/>
      <c r="K1775" s="44"/>
      <c r="L1775" s="44"/>
      <c r="M1775" s="44"/>
      <c r="N1775" s="44"/>
      <c r="O1775" s="44"/>
      <c r="P1775" s="52">
        <f t="shared" si="23"/>
        <v>0</v>
      </c>
      <c r="Q1775" s="124">
        <f t="shared" si="2"/>
        <v>0</v>
      </c>
      <c r="R1775" s="52">
        <f t="array" ref="R1775">IFERROR(INDEX('Fund YTD Target Values'!$1:$1000, MATCH($C1775,'Fund YTD Target Values'!$A:$A,0), MATCH($A1775,'Fund YTD Target Values'!$1:$1,0)),0)</f>
        <v>0</v>
      </c>
      <c r="S1775" s="52">
        <f>IFERROR(__xludf.DUMMYFUNCTION("IFERROR(sum(FILTER('Fund Data'!$V:$V, 'Fund Data'!$C:$C = $C1775, 'Fund Data'!$A:$A &lt; $A1775)),0) + IFERROR(sum(FILTER('Fund Data'!$V:$V, 'Fund Data'!$C:$C = $C1775, 'Fund Data'!$A:$A = $A1775, 'Fund Data'!$B:$B &lt;= $B1775)),0)"),0.0)</f>
        <v>0</v>
      </c>
      <c r="T1775" s="44"/>
      <c r="U1775" s="44"/>
      <c r="V1775" s="44">
        <f t="shared" si="3"/>
        <v>0</v>
      </c>
      <c r="W1775" s="52">
        <f>IFERROR(__xludf.DUMMYFUNCTION("iFERROR((FILTER('Fund Data'!$Y:$Y, 'Fund Data'!$C:$C = $C1775, 'Fund Data'!$A:$A = $A1775 - 1, 'Fund Data'!$B:$B = 12) + FILTER('Fund Data'!$AA:$AA, 'Fund Data'!$C:$C = $C1775, 'Fund Data'!$A:$A = $A1775 - 1, 'Fund Data'!$B:$B = 12)) * (1 + AVERAGE(FILTER"&amp;"('Inflation Data'!$C:$C,'Inflation Data'!$A:$A = ($A1775 - 2)))) * 'Parameters and Distribution Sum'!$A$4,0)"),0.0)</f>
        <v>0</v>
      </c>
      <c r="X1775" s="52">
        <f>IFERROR(__xludf.DUMMYFUNCTION("IFERROR((IFERROR(FILTER('Fund Data'!$P:$P,'Fund Data'!$C:$C = $C1775,'Fund Data'!$A:$A = ($A1775 - 2), 'Fund Data'!$B:$B = 12),0) - SUM(FILTER('Fund Data'!$V:$V, 'Fund Data'!$C:$C = $C1775, 'Fund Data'!$A:$A = ($A1775 - 2), 'Fund Data'!$B:$B &gt; 3)))  * 'Pa"&amp;"rameters and Distribution Sum'!$B$4 * (1 - 'Parameters and Distribution Sum'!$A$4),0)"),0.0)</f>
        <v>0</v>
      </c>
      <c r="Y1775" s="52">
        <f t="shared" si="140"/>
        <v>0</v>
      </c>
      <c r="Z1775" s="52">
        <f>IFERROR(__xludf.DUMMYFUNCTION("((IFERROR((SUM(FILTER('Fund Data'!$V:$V, 'Fund Data'!$C:$C = $C1775, 'Fund Data'!$A:$A = $A1775 - 1, 'Fund Data'!$B:$B &gt;= 4, 'Fund Data'!$B:$B &lt;= ($B1775 + 5))) / 12) * ($B1775 - 3) * 'Parameters and Distribution Sum'!$B$4, 0) + IF($B1775 &gt;= 9, IFERROR(SU"&amp;"M(FILTER('Fund Data'!$V:$V, 'Fund Data'!$C:$C = $C1775, 'Fund Data'!$A:$A = $A1775, 'Fund Data'!$B:$B &lt;= 3)) * 'Parameters and Distribution Sum'!$B$4, 0),0)))"),0.0)</f>
        <v>0</v>
      </c>
      <c r="AA1775" s="44">
        <f>IFERROR(__xludf.DUMMYFUNCTION("IFERROR(((IFERROR(SUM(FILTER('Fund Data'!$V:$V, 'Fund Data'!$C:$C = $C1775, 'Fund Data'!$A:$A = $A1775 - 2, 'Fund Data'!$B:$B &gt;= 4)) * 'Parameters and Distribution Sum'!$B$4,0) + IFERROR(SUM(FILTER('Fund Data'!$V:$V, 'Fund Data'!$C:$C = $C1775, 'Fund Data"&amp;"'!$A:$A = $A1775 - 1, 'Fund Data'!$B:$B &lt;= 3)) * 'Parameters and Distribution Sum'!$B$4,0))),0)"),0.0)</f>
        <v>0</v>
      </c>
      <c r="AB1775" s="44">
        <f t="shared" si="141"/>
        <v>0</v>
      </c>
      <c r="AC1775" s="44">
        <f t="shared" si="142"/>
        <v>0</v>
      </c>
      <c r="AD1775" s="44">
        <f t="shared" si="7"/>
        <v>0</v>
      </c>
      <c r="AE1775" s="44"/>
    </row>
  </sheetData>
  <dataValidations>
    <dataValidation type="list" allowBlank="1" showErrorMessage="1" sqref="C2:C1775">
      <formula1>'Endowed Funds'!$B$2:$B1775</formula1>
    </dataValidation>
    <dataValidation type="decimal" operator="greaterThanOrEqual" allowBlank="1" showDropDown="1" showErrorMessage="1" sqref="A2:A1775">
      <formula1>1990.0</formula1>
    </dataValidation>
    <dataValidation type="list" allowBlank="1" showErrorMessage="1" sqref="B2:B1775">
      <formula1>"1,2,3,4,5,6,7,8,9,10,11,12"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77.29"/>
    <col customWidth="1" min="3" max="3" width="31.14"/>
  </cols>
  <sheetData>
    <row r="1">
      <c r="A1" s="130" t="s">
        <v>9</v>
      </c>
      <c r="B1" s="130" t="s">
        <v>124</v>
      </c>
      <c r="C1" s="130" t="s">
        <v>125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>
      <c r="A2" s="132" t="s">
        <v>26</v>
      </c>
      <c r="B2" s="133" t="s">
        <v>126</v>
      </c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>
      <c r="A3" s="132" t="s">
        <v>27</v>
      </c>
      <c r="B3" s="134" t="s">
        <v>127</v>
      </c>
      <c r="C3" s="133" t="s">
        <v>128</v>
      </c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>
      <c r="A4" s="132" t="s">
        <v>25</v>
      </c>
      <c r="B4" s="133" t="s">
        <v>126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>
      <c r="A5" s="132" t="s">
        <v>47</v>
      </c>
      <c r="B5" s="133" t="s">
        <v>126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>
      <c r="A6" s="132" t="s">
        <v>28</v>
      </c>
      <c r="B6" s="133" t="s">
        <v>129</v>
      </c>
      <c r="C6" s="133" t="s">
        <v>130</v>
      </c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>
      <c r="A7" s="132" t="s">
        <v>66</v>
      </c>
      <c r="B7" s="133" t="s">
        <v>126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>
      <c r="A8" s="132" t="s">
        <v>48</v>
      </c>
      <c r="B8" s="133" t="s">
        <v>131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>
      <c r="A9" s="132" t="s">
        <v>29</v>
      </c>
      <c r="B9" s="133" t="s">
        <v>126</v>
      </c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>
      <c r="A10" s="132" t="s">
        <v>70</v>
      </c>
      <c r="B10" s="134" t="s">
        <v>132</v>
      </c>
      <c r="C10" s="133" t="s">
        <v>133</v>
      </c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>
      <c r="A11" s="132" t="s">
        <v>49</v>
      </c>
      <c r="B11" s="133" t="s">
        <v>134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>
      <c r="A12" s="132" t="s">
        <v>30</v>
      </c>
      <c r="B12" s="134" t="s">
        <v>135</v>
      </c>
      <c r="C12" s="133" t="s">
        <v>136</v>
      </c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>
      <c r="A13" s="132" t="s">
        <v>50</v>
      </c>
      <c r="B13" s="134" t="s">
        <v>137</v>
      </c>
      <c r="C13" s="133" t="s">
        <v>138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>
      <c r="A14" s="132" t="s">
        <v>67</v>
      </c>
      <c r="B14" s="133" t="s">
        <v>139</v>
      </c>
      <c r="C14" s="133" t="s">
        <v>140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>
      <c r="A15" s="132" t="s">
        <v>31</v>
      </c>
      <c r="B15" s="133" t="s">
        <v>141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>
      <c r="A16" s="132" t="s">
        <v>51</v>
      </c>
      <c r="B16" s="133" t="s">
        <v>126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>
      <c r="A17" s="132" t="s">
        <v>71</v>
      </c>
      <c r="B17" s="133" t="s">
        <v>142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>
      <c r="A18" s="132" t="s">
        <v>32</v>
      </c>
      <c r="B18" s="134" t="s">
        <v>143</v>
      </c>
      <c r="C18" s="133" t="s">
        <v>144</v>
      </c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>
      <c r="A19" s="132" t="s">
        <v>54</v>
      </c>
      <c r="B19" s="133" t="s">
        <v>145</v>
      </c>
      <c r="C19" s="133" t="s">
        <v>146</v>
      </c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>
      <c r="A20" s="132" t="s">
        <v>72</v>
      </c>
      <c r="B20" s="133" t="s">
        <v>147</v>
      </c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>
      <c r="A21" s="132" t="s">
        <v>68</v>
      </c>
      <c r="B21" s="134" t="s">
        <v>148</v>
      </c>
      <c r="C21" s="133" t="s">
        <v>149</v>
      </c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>
      <c r="A22" s="132" t="s">
        <v>69</v>
      </c>
      <c r="B22" s="133" t="s">
        <v>126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>
      <c r="A23" s="132" t="s">
        <v>61</v>
      </c>
      <c r="B23" s="133" t="s">
        <v>150</v>
      </c>
      <c r="C23" s="133" t="s">
        <v>151</v>
      </c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>
      <c r="A24" s="132" t="s">
        <v>62</v>
      </c>
      <c r="B24" s="133" t="s">
        <v>126</v>
      </c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>
      <c r="A25" s="132" t="s">
        <v>63</v>
      </c>
      <c r="B25" s="133" t="s">
        <v>126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>
      <c r="A26" s="132" t="s">
        <v>43</v>
      </c>
      <c r="B26" s="133" t="s">
        <v>152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>
      <c r="A27" s="132" t="s">
        <v>38</v>
      </c>
      <c r="B27" s="133" t="s">
        <v>153</v>
      </c>
      <c r="C27" s="133" t="s">
        <v>151</v>
      </c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>
      <c r="A28" s="132" t="s">
        <v>73</v>
      </c>
      <c r="B28" s="133" t="s">
        <v>126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>
      <c r="A29" s="132" t="s">
        <v>45</v>
      </c>
      <c r="B29" s="133" t="s">
        <v>154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>
      <c r="A30" s="132" t="s">
        <v>78</v>
      </c>
      <c r="B30" s="133" t="s">
        <v>155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>
      <c r="A31" s="132" t="s">
        <v>64</v>
      </c>
      <c r="B31" s="133" t="s">
        <v>126</v>
      </c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>
      <c r="A32" s="132" t="s">
        <v>65</v>
      </c>
      <c r="B32" s="133" t="s">
        <v>126</v>
      </c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>
      <c r="A33" s="132" t="s">
        <v>46</v>
      </c>
      <c r="B33" s="133" t="s">
        <v>156</v>
      </c>
      <c r="C33" s="133" t="s">
        <v>151</v>
      </c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>
      <c r="A34" s="132" t="s">
        <v>79</v>
      </c>
      <c r="B34" s="133" t="s">
        <v>126</v>
      </c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>
      <c r="A35" s="4" t="s">
        <v>80</v>
      </c>
      <c r="B35" s="133" t="s">
        <v>126</v>
      </c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>
      <c r="A36" s="4" t="s">
        <v>81</v>
      </c>
      <c r="B36" s="133" t="s">
        <v>126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</row>
    <row r="223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</row>
    <row r="224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  <row r="1000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43.71"/>
    <col customWidth="1" min="3" max="3" width="23.86"/>
    <col customWidth="1" min="4" max="4" width="16.14"/>
    <col customWidth="1" min="5" max="5" width="14.14"/>
    <col customWidth="1" min="6" max="6" width="17.57"/>
    <col customWidth="1" min="7" max="7" width="18.0"/>
  </cols>
  <sheetData>
    <row r="1">
      <c r="A1" s="139" t="s">
        <v>157</v>
      </c>
      <c r="B1" s="140" t="s">
        <v>9</v>
      </c>
      <c r="C1" s="140" t="s">
        <v>158</v>
      </c>
      <c r="D1" s="140" t="s">
        <v>159</v>
      </c>
      <c r="E1" s="140" t="s">
        <v>160</v>
      </c>
      <c r="F1" s="140" t="s">
        <v>161</v>
      </c>
      <c r="G1" s="140" t="s">
        <v>162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41" t="s">
        <v>163</v>
      </c>
      <c r="B2" s="132" t="s">
        <v>26</v>
      </c>
      <c r="C2" s="142" t="s">
        <v>39</v>
      </c>
      <c r="D2" s="143" t="s">
        <v>164</v>
      </c>
      <c r="E2" s="143">
        <v>233.0</v>
      </c>
      <c r="F2" s="143">
        <v>333.0</v>
      </c>
      <c r="G2" s="143">
        <v>120145.0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41" t="s">
        <v>165</v>
      </c>
      <c r="B3" s="132" t="s">
        <v>27</v>
      </c>
      <c r="C3" s="142" t="s">
        <v>39</v>
      </c>
      <c r="D3" s="143" t="s">
        <v>164</v>
      </c>
      <c r="E3" s="143">
        <v>270.0</v>
      </c>
      <c r="F3" s="143">
        <v>370.0</v>
      </c>
      <c r="G3" s="143">
        <v>120120.0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41" t="s">
        <v>166</v>
      </c>
      <c r="B4" s="132" t="s">
        <v>25</v>
      </c>
      <c r="C4" s="142" t="s">
        <v>37</v>
      </c>
      <c r="D4" s="143" t="s">
        <v>164</v>
      </c>
      <c r="E4" s="144">
        <v>230.0</v>
      </c>
      <c r="F4" s="143">
        <v>330.0</v>
      </c>
      <c r="G4" s="143">
        <v>120130.0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41" t="s">
        <v>167</v>
      </c>
      <c r="B5" s="132" t="s">
        <v>47</v>
      </c>
      <c r="C5" s="142" t="s">
        <v>40</v>
      </c>
      <c r="D5" s="143" t="s">
        <v>168</v>
      </c>
      <c r="E5" s="16"/>
      <c r="F5" s="16"/>
      <c r="G5" s="143">
        <v>120118.0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41" t="s">
        <v>169</v>
      </c>
      <c r="B6" s="132" t="s">
        <v>28</v>
      </c>
      <c r="C6" s="142" t="s">
        <v>39</v>
      </c>
      <c r="D6" s="143" t="s">
        <v>164</v>
      </c>
      <c r="E6" s="143">
        <v>289.0</v>
      </c>
      <c r="F6" s="143">
        <v>389.0</v>
      </c>
      <c r="G6" s="143">
        <v>120142.0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41" t="s">
        <v>170</v>
      </c>
      <c r="B7" s="132" t="s">
        <v>66</v>
      </c>
      <c r="C7" s="142" t="s">
        <v>42</v>
      </c>
      <c r="D7" s="143" t="s">
        <v>164</v>
      </c>
      <c r="E7" s="143">
        <v>249.0</v>
      </c>
      <c r="F7" s="143">
        <v>349.0</v>
      </c>
      <c r="G7" s="145">
        <v>120149.0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41" t="s">
        <v>171</v>
      </c>
      <c r="B8" s="132" t="s">
        <v>48</v>
      </c>
      <c r="C8" s="142" t="s">
        <v>41</v>
      </c>
      <c r="D8" s="143" t="s">
        <v>164</v>
      </c>
      <c r="E8" s="143">
        <v>275.0</v>
      </c>
      <c r="F8" s="143">
        <v>375.0</v>
      </c>
      <c r="G8" s="143">
        <v>120122.0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41" t="s">
        <v>172</v>
      </c>
      <c r="B9" s="132" t="s">
        <v>29</v>
      </c>
      <c r="C9" s="142" t="s">
        <v>39</v>
      </c>
      <c r="D9" s="143" t="s">
        <v>164</v>
      </c>
      <c r="E9" s="143">
        <v>290.0</v>
      </c>
      <c r="F9" s="143">
        <v>385.0</v>
      </c>
      <c r="G9" s="143">
        <v>120133.0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41" t="s">
        <v>173</v>
      </c>
      <c r="B10" s="132" t="s">
        <v>70</v>
      </c>
      <c r="C10" s="142" t="s">
        <v>43</v>
      </c>
      <c r="D10" s="143" t="s">
        <v>164</v>
      </c>
      <c r="E10" s="121">
        <v>274.0</v>
      </c>
      <c r="F10" s="143">
        <v>374.0</v>
      </c>
      <c r="G10" s="143">
        <v>120124.0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1" t="s">
        <v>174</v>
      </c>
      <c r="B11" s="132" t="s">
        <v>49</v>
      </c>
      <c r="C11" s="142" t="s">
        <v>41</v>
      </c>
      <c r="D11" s="143" t="s">
        <v>164</v>
      </c>
      <c r="E11" s="143">
        <v>244.0</v>
      </c>
      <c r="F11" s="143">
        <v>344.0</v>
      </c>
      <c r="G11" s="143">
        <v>120144.0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1" t="s">
        <v>175</v>
      </c>
      <c r="B12" s="132" t="s">
        <v>30</v>
      </c>
      <c r="C12" s="142" t="s">
        <v>39</v>
      </c>
      <c r="D12" s="143" t="s">
        <v>164</v>
      </c>
      <c r="E12" s="143">
        <v>276.0</v>
      </c>
      <c r="F12" s="143">
        <v>376.0</v>
      </c>
      <c r="G12" s="143">
        <v>120126.0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41" t="s">
        <v>176</v>
      </c>
      <c r="B13" s="132" t="s">
        <v>50</v>
      </c>
      <c r="C13" s="142" t="s">
        <v>41</v>
      </c>
      <c r="D13" s="143" t="s">
        <v>164</v>
      </c>
      <c r="E13" s="143">
        <v>271.0</v>
      </c>
      <c r="F13" s="143">
        <v>371.0</v>
      </c>
      <c r="G13" s="143">
        <v>120121.0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1" t="s">
        <v>177</v>
      </c>
      <c r="B14" s="132" t="s">
        <v>67</v>
      </c>
      <c r="C14" s="142" t="s">
        <v>42</v>
      </c>
      <c r="D14" s="143" t="s">
        <v>164</v>
      </c>
      <c r="E14" s="143">
        <v>288.0</v>
      </c>
      <c r="F14" s="143">
        <v>388.0</v>
      </c>
      <c r="G14" s="143">
        <v>120136.0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41" t="s">
        <v>178</v>
      </c>
      <c r="B15" s="132" t="s">
        <v>31</v>
      </c>
      <c r="C15" s="142" t="s">
        <v>39</v>
      </c>
      <c r="D15" s="143" t="s">
        <v>164</v>
      </c>
      <c r="E15" s="143">
        <v>281.0</v>
      </c>
      <c r="F15" s="143">
        <v>380.0</v>
      </c>
      <c r="G15" s="143">
        <v>120138.0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41" t="s">
        <v>179</v>
      </c>
      <c r="B16" s="132" t="s">
        <v>51</v>
      </c>
      <c r="C16" s="142" t="s">
        <v>41</v>
      </c>
      <c r="D16" s="143" t="s">
        <v>164</v>
      </c>
      <c r="E16" s="143">
        <v>279.0</v>
      </c>
      <c r="F16" s="143">
        <v>379.0</v>
      </c>
      <c r="G16" s="143">
        <v>120151.0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1" t="s">
        <v>180</v>
      </c>
      <c r="B17" s="132" t="s">
        <v>71</v>
      </c>
      <c r="C17" s="142" t="s">
        <v>43</v>
      </c>
      <c r="D17" s="143" t="s">
        <v>164</v>
      </c>
      <c r="E17" s="121">
        <v>291.0</v>
      </c>
      <c r="F17" s="143">
        <v>391.0</v>
      </c>
      <c r="G17" s="143">
        <v>120143.0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41" t="s">
        <v>181</v>
      </c>
      <c r="B18" s="132" t="s">
        <v>32</v>
      </c>
      <c r="C18" s="142" t="s">
        <v>39</v>
      </c>
      <c r="D18" s="143" t="s">
        <v>164</v>
      </c>
      <c r="E18" s="143">
        <v>273.0</v>
      </c>
      <c r="F18" s="143">
        <v>373.0</v>
      </c>
      <c r="G18" s="143">
        <v>120123.0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41" t="s">
        <v>182</v>
      </c>
      <c r="B19" s="132" t="s">
        <v>54</v>
      </c>
      <c r="C19" s="142" t="s">
        <v>41</v>
      </c>
      <c r="D19" s="143" t="s">
        <v>164</v>
      </c>
      <c r="E19" s="143">
        <v>296.0</v>
      </c>
      <c r="F19" s="143">
        <v>396.0</v>
      </c>
      <c r="G19" s="143">
        <v>120150.0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41" t="s">
        <v>183</v>
      </c>
      <c r="B20" s="132" t="s">
        <v>72</v>
      </c>
      <c r="C20" s="142" t="s">
        <v>43</v>
      </c>
      <c r="D20" s="143" t="s">
        <v>164</v>
      </c>
      <c r="E20" s="121">
        <v>284.0</v>
      </c>
      <c r="F20" s="143">
        <v>384.0</v>
      </c>
      <c r="G20" s="143">
        <v>120131.0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41" t="s">
        <v>184</v>
      </c>
      <c r="B21" s="132" t="s">
        <v>68</v>
      </c>
      <c r="C21" s="142" t="s">
        <v>42</v>
      </c>
      <c r="D21" s="143" t="s">
        <v>164</v>
      </c>
      <c r="E21" s="143">
        <v>277.0</v>
      </c>
      <c r="F21" s="143">
        <v>377.0</v>
      </c>
      <c r="G21" s="143">
        <v>120127.0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41" t="s">
        <v>185</v>
      </c>
      <c r="B22" s="132" t="s">
        <v>69</v>
      </c>
      <c r="C22" s="142" t="s">
        <v>42</v>
      </c>
      <c r="D22" s="143" t="s">
        <v>164</v>
      </c>
      <c r="E22" s="143">
        <v>237.0</v>
      </c>
      <c r="F22" s="143">
        <v>337.0</v>
      </c>
      <c r="G22" s="143">
        <v>120137.0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41" t="s">
        <v>186</v>
      </c>
      <c r="B23" s="132" t="s">
        <v>61</v>
      </c>
      <c r="C23" s="142" t="s">
        <v>41</v>
      </c>
      <c r="D23" s="143" t="s">
        <v>164</v>
      </c>
      <c r="E23" s="143">
        <v>287.0</v>
      </c>
      <c r="F23" s="143">
        <v>387.0</v>
      </c>
      <c r="G23" s="143">
        <v>120135.0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41" t="s">
        <v>187</v>
      </c>
      <c r="B24" s="132" t="s">
        <v>62</v>
      </c>
      <c r="C24" s="142" t="s">
        <v>41</v>
      </c>
      <c r="D24" s="143" t="s">
        <v>164</v>
      </c>
      <c r="E24" s="143">
        <v>248.0</v>
      </c>
      <c r="F24" s="143">
        <v>348.0</v>
      </c>
      <c r="G24" s="143">
        <v>120148.0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41" t="s">
        <v>188</v>
      </c>
      <c r="B25" s="132" t="s">
        <v>63</v>
      </c>
      <c r="C25" s="142" t="s">
        <v>41</v>
      </c>
      <c r="D25" s="143" t="s">
        <v>164</v>
      </c>
      <c r="E25" s="143">
        <v>282.0</v>
      </c>
      <c r="F25" s="143">
        <v>390.0</v>
      </c>
      <c r="G25" s="143">
        <v>120139.0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41" t="s">
        <v>189</v>
      </c>
      <c r="B26" s="132" t="s">
        <v>43</v>
      </c>
      <c r="C26" s="142" t="s">
        <v>43</v>
      </c>
      <c r="D26" s="143" t="s">
        <v>164</v>
      </c>
      <c r="E26" s="121">
        <v>283.0</v>
      </c>
      <c r="F26" s="143">
        <v>382.0</v>
      </c>
      <c r="G26" s="143">
        <v>120132.0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41" t="s">
        <v>190</v>
      </c>
      <c r="B27" s="132" t="s">
        <v>38</v>
      </c>
      <c r="C27" s="142" t="s">
        <v>39</v>
      </c>
      <c r="D27" s="143" t="s">
        <v>164</v>
      </c>
      <c r="E27" s="121">
        <v>269.0</v>
      </c>
      <c r="F27" s="143">
        <v>369.0</v>
      </c>
      <c r="G27" s="143">
        <v>120141.0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41" t="s">
        <v>191</v>
      </c>
      <c r="B28" s="132" t="s">
        <v>73</v>
      </c>
      <c r="C28" s="142" t="s">
        <v>43</v>
      </c>
      <c r="D28" s="143" t="s">
        <v>164</v>
      </c>
      <c r="E28" s="121">
        <v>252.0</v>
      </c>
      <c r="F28" s="143">
        <v>352.0</v>
      </c>
      <c r="G28" s="143">
        <v>120152.0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41" t="s">
        <v>192</v>
      </c>
      <c r="B29" s="132" t="s">
        <v>45</v>
      </c>
      <c r="C29" s="142" t="s">
        <v>39</v>
      </c>
      <c r="D29" s="143" t="s">
        <v>164</v>
      </c>
      <c r="E29" s="143">
        <v>268.0</v>
      </c>
      <c r="F29" s="143">
        <v>368.0</v>
      </c>
      <c r="G29" s="143">
        <v>120153.0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41" t="s">
        <v>193</v>
      </c>
      <c r="B30" s="132" t="s">
        <v>78</v>
      </c>
      <c r="C30" s="142" t="s">
        <v>43</v>
      </c>
      <c r="D30" s="143" t="s">
        <v>164</v>
      </c>
      <c r="E30" s="121">
        <v>254.0</v>
      </c>
      <c r="F30" s="143">
        <v>354.0</v>
      </c>
      <c r="G30" s="143">
        <v>120155.0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41" t="s">
        <v>194</v>
      </c>
      <c r="B31" s="132" t="s">
        <v>64</v>
      </c>
      <c r="C31" s="142" t="s">
        <v>41</v>
      </c>
      <c r="D31" s="143" t="s">
        <v>164</v>
      </c>
      <c r="E31" s="143">
        <v>293.0</v>
      </c>
      <c r="F31" s="143">
        <v>393.0</v>
      </c>
      <c r="G31" s="143">
        <v>120146.0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41" t="s">
        <v>195</v>
      </c>
      <c r="B32" s="132" t="s">
        <v>65</v>
      </c>
      <c r="C32" s="142" t="s">
        <v>41</v>
      </c>
      <c r="D32" s="143" t="s">
        <v>164</v>
      </c>
      <c r="E32" s="143">
        <v>295.0</v>
      </c>
      <c r="F32" s="143">
        <v>395.0</v>
      </c>
      <c r="G32" s="143">
        <v>120147.0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41" t="s">
        <v>196</v>
      </c>
      <c r="B33" s="132" t="s">
        <v>46</v>
      </c>
      <c r="C33" s="142" t="s">
        <v>39</v>
      </c>
      <c r="D33" s="143" t="s">
        <v>164</v>
      </c>
      <c r="E33" s="143">
        <v>278.0</v>
      </c>
      <c r="F33" s="143">
        <v>378.0</v>
      </c>
      <c r="G33" s="143">
        <v>120128.0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41" t="s">
        <v>197</v>
      </c>
      <c r="B34" s="132" t="s">
        <v>79</v>
      </c>
      <c r="C34" s="142" t="s">
        <v>43</v>
      </c>
      <c r="D34" s="143" t="s">
        <v>164</v>
      </c>
      <c r="E34" s="121">
        <v>251.0</v>
      </c>
      <c r="F34" s="143">
        <v>351.0</v>
      </c>
      <c r="G34" s="143">
        <v>120154.0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41" t="s">
        <v>198</v>
      </c>
      <c r="B35" s="4" t="s">
        <v>80</v>
      </c>
      <c r="C35" s="142" t="s">
        <v>43</v>
      </c>
      <c r="D35" s="143" t="s">
        <v>164</v>
      </c>
      <c r="E35" s="146">
        <v>264.0</v>
      </c>
      <c r="F35" s="143">
        <v>364.0</v>
      </c>
      <c r="G35" s="143">
        <v>120156.0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41" t="s">
        <v>199</v>
      </c>
      <c r="B36" s="4" t="s">
        <v>81</v>
      </c>
      <c r="C36" s="142" t="s">
        <v>43</v>
      </c>
      <c r="D36" s="143" t="s">
        <v>164</v>
      </c>
      <c r="E36" s="146">
        <v>265.0</v>
      </c>
      <c r="F36" s="143">
        <v>365.0</v>
      </c>
      <c r="G36" s="143">
        <v>120157.0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22"/>
      <c r="B37" s="14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4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4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4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4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4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4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4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4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4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47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47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47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4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4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47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47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47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47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47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47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47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47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47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47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4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47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47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47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47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47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47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47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47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47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47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47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47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47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4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47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47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47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47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47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47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47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47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47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47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47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47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47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4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47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47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4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4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47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47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47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47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47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47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47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47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47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47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47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47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47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47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47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47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47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47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47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47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47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47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47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47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47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47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47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47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47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47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47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47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47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47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47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47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47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47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47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47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47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47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47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47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47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47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47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47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47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47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47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47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47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47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47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47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47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47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47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47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47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47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47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47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47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47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47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47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47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47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47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47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47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47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47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47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47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47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47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47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47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47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47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47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47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47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47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47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47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47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47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47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47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47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47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47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47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47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47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47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47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47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47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47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47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47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47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47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47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47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47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47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47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47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47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47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47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47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47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47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47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47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47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47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47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47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47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47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47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47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47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47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47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47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47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47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47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47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47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47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47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47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47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47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47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47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47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47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47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47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47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47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47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47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47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47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47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47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47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47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47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47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47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47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47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47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47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47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47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47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47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47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47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47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47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47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47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47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47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47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47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47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47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47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47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47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47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47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47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47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47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47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47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47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47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47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47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47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47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47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47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47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47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47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47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47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47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47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47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47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47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47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47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47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47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47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47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47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47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47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47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47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47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47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47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47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47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47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47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47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47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47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47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47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47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47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47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47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47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47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47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47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47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47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47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47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47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47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47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47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47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47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47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47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47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47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47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47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47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47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47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47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47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47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47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47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47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47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47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47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47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47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47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47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47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47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47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47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47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47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47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47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47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47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47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47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47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47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47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47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47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47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47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47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47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47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47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47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47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47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47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47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47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47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47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47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47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47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47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47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47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47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47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47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47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47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47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47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47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47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47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47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47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47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47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47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47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47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47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47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47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47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47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47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47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47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47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47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47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47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47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47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47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47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47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47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47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47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47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47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47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47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47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47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47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47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47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47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47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47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47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47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47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47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47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47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47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47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47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47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47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47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47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47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47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47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47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47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47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47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47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47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47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47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47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47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47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47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47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47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47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47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47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47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47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47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47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47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47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47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47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47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47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47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47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47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47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47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47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47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47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47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47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47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47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47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47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47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47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47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47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47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47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47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47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47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47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47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47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47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47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47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47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47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47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47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47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47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47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47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47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47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47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47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47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47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47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47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47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47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47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47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47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47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47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47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47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47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47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47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47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47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47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47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47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47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47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47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47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47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47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47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47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47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47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47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47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47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47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47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47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47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47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47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47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47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47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47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47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47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47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47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47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47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47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47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47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47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47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47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47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47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47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47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47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47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47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47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47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47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47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47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47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47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47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47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47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47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47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47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47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47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47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47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47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47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47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47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47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47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47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47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47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47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47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47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47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47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47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47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47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47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47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47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47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47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47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47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47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47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47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47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47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47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47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47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47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47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47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47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47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47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47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47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47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47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47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47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47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47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47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47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47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47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47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47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47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47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47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47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47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47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47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47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47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47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47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47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47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47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47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47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47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47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47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47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47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47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47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47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47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47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47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47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47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47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47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47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47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47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47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47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47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47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47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47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47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47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47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47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47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47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47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47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47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47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47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47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47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47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47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47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47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47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47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47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47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47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47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47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47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47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47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47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47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47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47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47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47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47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47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47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47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47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47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47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47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47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47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47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47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47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47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47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47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47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47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47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47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47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47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47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47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47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47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47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47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47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47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47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47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47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47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47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47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47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47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47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47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47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47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47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47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47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47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47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47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47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47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47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47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47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47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47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47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47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47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47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47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47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47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47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47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47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47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47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47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47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47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47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47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47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47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47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47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47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47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47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47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47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47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47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47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47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47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47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47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47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47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47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47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47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47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47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47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47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47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47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47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47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47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47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47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47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47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47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47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47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47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47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47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47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47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47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47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47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47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47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47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47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47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47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47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47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47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47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47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47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47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47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47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47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47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47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47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47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47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47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47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47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47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47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47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47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47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47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47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47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47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47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47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47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47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47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47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47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47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47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47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47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47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47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47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47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47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47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47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47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47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47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47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47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47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47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47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47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47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47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47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47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47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47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47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47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47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47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47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47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47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47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47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47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47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47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47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47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47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47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47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47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47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47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47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47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47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47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47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47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47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47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47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47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47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47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47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47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47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47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47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47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47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47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47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47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47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47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47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47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47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47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47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47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47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47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47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47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47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47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47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47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47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47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47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47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47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47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47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47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47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47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47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47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47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47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147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147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6.71"/>
    <col customWidth="1" min="3" max="3" width="13.0"/>
  </cols>
  <sheetData>
    <row r="1">
      <c r="A1" s="148" t="s">
        <v>7</v>
      </c>
      <c r="B1" s="148" t="s">
        <v>96</v>
      </c>
      <c r="C1" s="149" t="str">
        <f>HYPERLINK("https://download.bls.gov/pub/time.series/cu/cu.data.1.AllItems","Inflation")</f>
        <v>Inflation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>
      <c r="A2" s="145">
        <v>1990.0</v>
      </c>
      <c r="B2" s="145">
        <v>1.0</v>
      </c>
      <c r="C2" s="151">
        <v>0.052023121</v>
      </c>
    </row>
    <row r="3">
      <c r="A3" s="145">
        <v>1990.0</v>
      </c>
      <c r="B3" s="145">
        <v>2.0</v>
      </c>
      <c r="C3" s="151">
        <v>0.052631579</v>
      </c>
    </row>
    <row r="4">
      <c r="A4" s="145">
        <v>1990.0</v>
      </c>
      <c r="B4" s="145">
        <v>3.0</v>
      </c>
      <c r="C4" s="151">
        <v>0.052330335</v>
      </c>
    </row>
    <row r="5">
      <c r="A5" s="145">
        <v>1990.0</v>
      </c>
      <c r="B5" s="145">
        <v>4.0</v>
      </c>
      <c r="C5" s="151">
        <v>0.047116166</v>
      </c>
    </row>
    <row r="6">
      <c r="A6" s="145">
        <v>1990.0</v>
      </c>
      <c r="B6" s="145">
        <v>5.0</v>
      </c>
      <c r="C6" s="151">
        <v>0.04361874</v>
      </c>
    </row>
    <row r="7">
      <c r="A7" s="145">
        <v>1990.0</v>
      </c>
      <c r="B7" s="145">
        <v>6.0</v>
      </c>
      <c r="C7" s="151">
        <v>0.046736503</v>
      </c>
    </row>
    <row r="8">
      <c r="A8" s="145">
        <v>1990.0</v>
      </c>
      <c r="B8" s="145">
        <v>7.0</v>
      </c>
      <c r="C8" s="151">
        <v>0.048231511</v>
      </c>
    </row>
    <row r="9">
      <c r="A9" s="145">
        <v>1990.0</v>
      </c>
      <c r="B9" s="145">
        <v>8.0</v>
      </c>
      <c r="C9" s="151">
        <v>0.056179775</v>
      </c>
    </row>
    <row r="10">
      <c r="A10" s="145">
        <v>1990.0</v>
      </c>
      <c r="B10" s="145">
        <v>9.0</v>
      </c>
      <c r="C10" s="151">
        <v>0.0616</v>
      </c>
    </row>
    <row r="11">
      <c r="A11" s="145">
        <v>1990.0</v>
      </c>
      <c r="B11" s="145">
        <v>10.0</v>
      </c>
      <c r="C11" s="151">
        <v>0.062898089</v>
      </c>
    </row>
    <row r="12">
      <c r="A12" s="145">
        <v>1990.0</v>
      </c>
      <c r="B12" s="145">
        <v>11.0</v>
      </c>
      <c r="C12" s="151">
        <v>0.062748213</v>
      </c>
    </row>
    <row r="13">
      <c r="A13" s="145">
        <v>1990.0</v>
      </c>
      <c r="B13" s="145">
        <v>12.0</v>
      </c>
      <c r="C13" s="151">
        <v>0.061062649</v>
      </c>
    </row>
    <row r="14">
      <c r="A14" s="145">
        <v>1991.0</v>
      </c>
      <c r="B14" s="145">
        <v>1.0</v>
      </c>
      <c r="C14" s="151">
        <v>0.056514914</v>
      </c>
    </row>
    <row r="15">
      <c r="A15" s="145">
        <v>1991.0</v>
      </c>
      <c r="B15" s="145">
        <v>2.0</v>
      </c>
      <c r="C15" s="151">
        <v>0.053125</v>
      </c>
    </row>
    <row r="16">
      <c r="A16" s="145">
        <v>1991.0</v>
      </c>
      <c r="B16" s="145">
        <v>3.0</v>
      </c>
      <c r="C16" s="151">
        <v>0.048951049</v>
      </c>
    </row>
    <row r="17">
      <c r="A17" s="145">
        <v>1991.0</v>
      </c>
      <c r="B17" s="145">
        <v>4.0</v>
      </c>
      <c r="C17" s="151">
        <v>0.048875097</v>
      </c>
    </row>
    <row r="18">
      <c r="A18" s="145">
        <v>1991.0</v>
      </c>
      <c r="B18" s="145">
        <v>5.0</v>
      </c>
      <c r="C18" s="151">
        <v>0.049535604</v>
      </c>
    </row>
    <row r="19">
      <c r="A19" s="145">
        <v>1991.0</v>
      </c>
      <c r="B19" s="145">
        <v>6.0</v>
      </c>
      <c r="C19" s="151">
        <v>0.046959199</v>
      </c>
    </row>
    <row r="20">
      <c r="A20" s="145">
        <v>1991.0</v>
      </c>
      <c r="B20" s="145">
        <v>7.0</v>
      </c>
      <c r="C20" s="151">
        <v>0.044478528</v>
      </c>
    </row>
    <row r="21">
      <c r="A21" s="145">
        <v>1991.0</v>
      </c>
      <c r="B21" s="145">
        <v>8.0</v>
      </c>
      <c r="C21" s="151">
        <v>0.037993921</v>
      </c>
    </row>
    <row r="22">
      <c r="A22" s="145">
        <v>1991.0</v>
      </c>
      <c r="B22" s="145">
        <v>9.0</v>
      </c>
      <c r="C22" s="151">
        <v>0.033911078</v>
      </c>
    </row>
    <row r="23">
      <c r="A23" s="145">
        <v>1991.0</v>
      </c>
      <c r="B23" s="145">
        <v>10.0</v>
      </c>
      <c r="C23" s="151">
        <v>0.029213483</v>
      </c>
    </row>
    <row r="24">
      <c r="A24" s="145">
        <v>1991.0</v>
      </c>
      <c r="B24" s="145">
        <v>11.0</v>
      </c>
      <c r="C24" s="151">
        <v>0.029895366</v>
      </c>
    </row>
    <row r="25">
      <c r="A25" s="145">
        <v>1991.0</v>
      </c>
      <c r="B25" s="145">
        <v>12.0</v>
      </c>
      <c r="C25" s="151">
        <v>0.03064275</v>
      </c>
    </row>
    <row r="26">
      <c r="A26" s="145">
        <v>1992.0</v>
      </c>
      <c r="B26" s="145">
        <v>1.0</v>
      </c>
      <c r="C26" s="151">
        <v>0.026002972</v>
      </c>
    </row>
    <row r="27">
      <c r="A27" s="145">
        <v>1992.0</v>
      </c>
      <c r="B27" s="145">
        <v>2.0</v>
      </c>
      <c r="C27" s="151">
        <v>0.028189911</v>
      </c>
    </row>
    <row r="28">
      <c r="A28" s="145">
        <v>1992.0</v>
      </c>
      <c r="B28" s="145">
        <v>3.0</v>
      </c>
      <c r="C28" s="151">
        <v>0.031851852</v>
      </c>
    </row>
    <row r="29">
      <c r="A29" s="145">
        <v>1992.0</v>
      </c>
      <c r="B29" s="145">
        <v>4.0</v>
      </c>
      <c r="C29" s="151">
        <v>0.031804734</v>
      </c>
    </row>
    <row r="30">
      <c r="A30" s="145">
        <v>1992.0</v>
      </c>
      <c r="B30" s="145">
        <v>5.0</v>
      </c>
      <c r="C30" s="151">
        <v>0.030235988</v>
      </c>
    </row>
    <row r="31">
      <c r="A31" s="145">
        <v>1992.0</v>
      </c>
      <c r="B31" s="145">
        <v>6.0</v>
      </c>
      <c r="C31" s="151">
        <v>0.030882353</v>
      </c>
    </row>
    <row r="32">
      <c r="A32" s="145">
        <v>1992.0</v>
      </c>
      <c r="B32" s="145">
        <v>7.0</v>
      </c>
      <c r="C32" s="151">
        <v>0.031571219</v>
      </c>
    </row>
    <row r="33">
      <c r="A33" s="145">
        <v>1992.0</v>
      </c>
      <c r="B33" s="145">
        <v>8.0</v>
      </c>
      <c r="C33" s="151">
        <v>0.03147877</v>
      </c>
    </row>
    <row r="34">
      <c r="A34" s="145">
        <v>1992.0</v>
      </c>
      <c r="B34" s="145">
        <v>9.0</v>
      </c>
      <c r="C34" s="151">
        <v>0.029883382</v>
      </c>
    </row>
    <row r="35">
      <c r="A35" s="145">
        <v>1992.0</v>
      </c>
      <c r="B35" s="145">
        <v>10.0</v>
      </c>
      <c r="C35" s="151">
        <v>0.03202329</v>
      </c>
    </row>
    <row r="36">
      <c r="A36" s="145">
        <v>1992.0</v>
      </c>
      <c r="B36" s="145">
        <v>11.0</v>
      </c>
      <c r="C36" s="151">
        <v>0.030478955</v>
      </c>
    </row>
    <row r="37">
      <c r="A37" s="145">
        <v>1992.0</v>
      </c>
      <c r="B37" s="145">
        <v>12.0</v>
      </c>
      <c r="C37" s="151">
        <v>0.029006526</v>
      </c>
    </row>
    <row r="38">
      <c r="A38" s="145">
        <v>1993.0</v>
      </c>
      <c r="B38" s="145">
        <v>1.0</v>
      </c>
      <c r="C38" s="151">
        <v>0.032585083</v>
      </c>
    </row>
    <row r="39">
      <c r="A39" s="145">
        <v>1993.0</v>
      </c>
      <c r="B39" s="145">
        <v>2.0</v>
      </c>
      <c r="C39" s="151">
        <v>0.032467532</v>
      </c>
    </row>
    <row r="40">
      <c r="A40" s="145">
        <v>1993.0</v>
      </c>
      <c r="B40" s="145">
        <v>3.0</v>
      </c>
      <c r="C40" s="151">
        <v>0.030868629</v>
      </c>
    </row>
    <row r="41">
      <c r="A41" s="145">
        <v>1993.0</v>
      </c>
      <c r="B41" s="145">
        <v>4.0</v>
      </c>
      <c r="C41" s="151">
        <v>0.032258065</v>
      </c>
    </row>
    <row r="42">
      <c r="A42" s="145">
        <v>1993.0</v>
      </c>
      <c r="B42" s="145">
        <v>5.0</v>
      </c>
      <c r="C42" s="151">
        <v>0.032211883</v>
      </c>
    </row>
    <row r="43">
      <c r="A43" s="145">
        <v>1993.0</v>
      </c>
      <c r="B43" s="145">
        <v>6.0</v>
      </c>
      <c r="C43" s="151">
        <v>0.029957204</v>
      </c>
    </row>
    <row r="44">
      <c r="A44" s="145">
        <v>1993.0</v>
      </c>
      <c r="B44" s="145">
        <v>7.0</v>
      </c>
      <c r="C44" s="151">
        <v>0.027758007</v>
      </c>
    </row>
    <row r="45">
      <c r="A45" s="145">
        <v>1993.0</v>
      </c>
      <c r="B45" s="145">
        <v>8.0</v>
      </c>
      <c r="C45" s="151">
        <v>0.027679205</v>
      </c>
    </row>
    <row r="46">
      <c r="A46" s="145">
        <v>1993.0</v>
      </c>
      <c r="B46" s="145">
        <v>9.0</v>
      </c>
      <c r="C46" s="151">
        <v>0.026893135</v>
      </c>
    </row>
    <row r="47">
      <c r="A47" s="145">
        <v>1993.0</v>
      </c>
      <c r="B47" s="145">
        <v>10.0</v>
      </c>
      <c r="C47" s="151">
        <v>0.027503526</v>
      </c>
    </row>
    <row r="48">
      <c r="A48" s="145">
        <v>1993.0</v>
      </c>
      <c r="B48" s="145">
        <v>11.0</v>
      </c>
      <c r="C48" s="151">
        <v>0.026760563</v>
      </c>
    </row>
    <row r="49">
      <c r="A49" s="145">
        <v>1993.0</v>
      </c>
      <c r="B49" s="145">
        <v>12.0</v>
      </c>
      <c r="C49" s="151">
        <v>0.027484144</v>
      </c>
    </row>
    <row r="50">
      <c r="A50" s="145">
        <v>1994.0</v>
      </c>
      <c r="B50" s="145">
        <v>1.0</v>
      </c>
      <c r="C50" s="145">
        <v>0.025245442</v>
      </c>
    </row>
    <row r="51">
      <c r="A51" s="145">
        <v>1994.0</v>
      </c>
      <c r="B51" s="145">
        <v>2.0</v>
      </c>
      <c r="C51" s="145">
        <v>0.025157233</v>
      </c>
    </row>
    <row r="52">
      <c r="A52" s="145">
        <v>1994.0</v>
      </c>
      <c r="B52" s="145">
        <v>3.0</v>
      </c>
      <c r="C52" s="145">
        <v>0.025069638</v>
      </c>
    </row>
    <row r="53">
      <c r="A53" s="145">
        <v>1994.0</v>
      </c>
      <c r="B53" s="145">
        <v>4.0</v>
      </c>
      <c r="C53" s="145">
        <v>0.023611111</v>
      </c>
    </row>
    <row r="54">
      <c r="A54" s="145">
        <v>1994.0</v>
      </c>
      <c r="B54" s="145">
        <v>5.0</v>
      </c>
      <c r="C54" s="145">
        <v>0.022884882</v>
      </c>
    </row>
    <row r="55">
      <c r="A55" s="145">
        <v>1994.0</v>
      </c>
      <c r="B55" s="145">
        <v>6.0</v>
      </c>
      <c r="C55" s="145">
        <v>0.024930748</v>
      </c>
    </row>
    <row r="56">
      <c r="A56" s="145">
        <v>1994.0</v>
      </c>
      <c r="B56" s="145">
        <v>7.0</v>
      </c>
      <c r="C56" s="145">
        <v>0.027700831</v>
      </c>
    </row>
    <row r="57">
      <c r="A57" s="145">
        <v>1994.0</v>
      </c>
      <c r="B57" s="145">
        <v>8.0</v>
      </c>
      <c r="C57" s="145">
        <v>0.029005525</v>
      </c>
    </row>
    <row r="58">
      <c r="A58" s="145">
        <v>1994.0</v>
      </c>
      <c r="B58" s="145">
        <v>9.0</v>
      </c>
      <c r="C58" s="145">
        <v>0.029634735</v>
      </c>
    </row>
    <row r="59">
      <c r="A59" s="145">
        <v>1994.0</v>
      </c>
      <c r="B59" s="145">
        <v>10.0</v>
      </c>
      <c r="C59" s="145">
        <v>0.026080988</v>
      </c>
    </row>
    <row r="60">
      <c r="A60" s="145">
        <v>1994.0</v>
      </c>
      <c r="B60" s="145">
        <v>11.0</v>
      </c>
      <c r="C60" s="145">
        <v>0.026748971</v>
      </c>
    </row>
    <row r="61">
      <c r="A61" s="145">
        <v>1994.0</v>
      </c>
      <c r="B61" s="145">
        <v>12.0</v>
      </c>
      <c r="C61" s="145">
        <v>0.026748971</v>
      </c>
    </row>
    <row r="62">
      <c r="A62" s="145">
        <v>1995.0</v>
      </c>
      <c r="B62" s="145">
        <v>1.0</v>
      </c>
      <c r="C62" s="145">
        <v>0.028043776</v>
      </c>
    </row>
    <row r="63">
      <c r="A63" s="145">
        <v>1995.0</v>
      </c>
      <c r="B63" s="145">
        <v>2.0</v>
      </c>
      <c r="C63" s="145">
        <v>0.028629857</v>
      </c>
    </row>
    <row r="64">
      <c r="A64" s="145">
        <v>1995.0</v>
      </c>
      <c r="B64" s="145">
        <v>3.0</v>
      </c>
      <c r="C64" s="145">
        <v>0.028532609</v>
      </c>
    </row>
    <row r="65">
      <c r="A65" s="145">
        <v>1995.0</v>
      </c>
      <c r="B65" s="145">
        <v>4.0</v>
      </c>
      <c r="C65" s="145">
        <v>0.030529172</v>
      </c>
    </row>
    <row r="66">
      <c r="A66" s="145">
        <v>1995.0</v>
      </c>
      <c r="B66" s="145">
        <v>5.0</v>
      </c>
      <c r="C66" s="145">
        <v>0.031864407</v>
      </c>
    </row>
    <row r="67">
      <c r="A67" s="145">
        <v>1995.0</v>
      </c>
      <c r="B67" s="145">
        <v>6.0</v>
      </c>
      <c r="C67" s="145">
        <v>0.030405405</v>
      </c>
    </row>
    <row r="68">
      <c r="A68" s="145">
        <v>1995.0</v>
      </c>
      <c r="B68" s="145">
        <v>7.0</v>
      </c>
      <c r="C68" s="145">
        <v>0.027628032</v>
      </c>
    </row>
    <row r="69">
      <c r="A69" s="145">
        <v>1995.0</v>
      </c>
      <c r="B69" s="145">
        <v>8.0</v>
      </c>
      <c r="C69" s="145">
        <v>0.026174497</v>
      </c>
    </row>
    <row r="70">
      <c r="A70" s="145">
        <v>1995.0</v>
      </c>
      <c r="B70" s="145">
        <v>9.0</v>
      </c>
      <c r="C70" s="145">
        <v>0.025435074</v>
      </c>
    </row>
    <row r="71">
      <c r="A71" s="145">
        <v>1995.0</v>
      </c>
      <c r="B71" s="145">
        <v>10.0</v>
      </c>
      <c r="C71" s="145">
        <v>0.028093645</v>
      </c>
    </row>
    <row r="72">
      <c r="A72" s="145">
        <v>1995.0</v>
      </c>
      <c r="B72" s="145">
        <v>11.0</v>
      </c>
      <c r="C72" s="145">
        <v>0.026052104</v>
      </c>
    </row>
    <row r="73">
      <c r="A73" s="145">
        <v>1995.0</v>
      </c>
      <c r="B73" s="145">
        <v>12.0</v>
      </c>
      <c r="C73" s="145">
        <v>0.025384102</v>
      </c>
    </row>
    <row r="74">
      <c r="A74" s="145">
        <v>1996.0</v>
      </c>
      <c r="B74" s="145">
        <v>1.0</v>
      </c>
      <c r="C74" s="145">
        <v>0.027278776</v>
      </c>
    </row>
    <row r="75">
      <c r="A75" s="145">
        <v>1996.0</v>
      </c>
      <c r="B75" s="145">
        <v>2.0</v>
      </c>
      <c r="C75" s="145">
        <v>0.026507621</v>
      </c>
    </row>
    <row r="76">
      <c r="A76" s="145">
        <v>1996.0</v>
      </c>
      <c r="B76" s="145">
        <v>3.0</v>
      </c>
      <c r="C76" s="145">
        <v>0.028401585</v>
      </c>
    </row>
    <row r="77">
      <c r="A77" s="145">
        <v>1996.0</v>
      </c>
      <c r="B77" s="145">
        <v>4.0</v>
      </c>
      <c r="C77" s="145">
        <v>0.028966425</v>
      </c>
    </row>
    <row r="78">
      <c r="A78" s="145">
        <v>1996.0</v>
      </c>
      <c r="B78" s="145">
        <v>5.0</v>
      </c>
      <c r="C78" s="145">
        <v>0.02890933</v>
      </c>
    </row>
    <row r="79">
      <c r="A79" s="145">
        <v>1996.0</v>
      </c>
      <c r="B79" s="145">
        <v>6.0</v>
      </c>
      <c r="C79" s="145">
        <v>0.027540984</v>
      </c>
    </row>
    <row r="80">
      <c r="A80" s="145">
        <v>1996.0</v>
      </c>
      <c r="B80" s="145">
        <v>7.0</v>
      </c>
      <c r="C80" s="145">
        <v>0.029508197</v>
      </c>
    </row>
    <row r="81">
      <c r="A81" s="145">
        <v>1996.0</v>
      </c>
      <c r="B81" s="145">
        <v>8.0</v>
      </c>
      <c r="C81" s="145">
        <v>0.028776978</v>
      </c>
    </row>
    <row r="82">
      <c r="A82" s="145">
        <v>1996.0</v>
      </c>
      <c r="B82" s="145">
        <v>9.0</v>
      </c>
      <c r="C82" s="145">
        <v>0.03002611</v>
      </c>
    </row>
    <row r="83">
      <c r="A83" s="145">
        <v>1996.0</v>
      </c>
      <c r="B83" s="145">
        <v>10.0</v>
      </c>
      <c r="C83" s="145">
        <v>0.029928432</v>
      </c>
    </row>
    <row r="84">
      <c r="A84" s="145">
        <v>1996.0</v>
      </c>
      <c r="B84" s="145">
        <v>11.0</v>
      </c>
      <c r="C84" s="145">
        <v>0.032552083</v>
      </c>
    </row>
    <row r="85">
      <c r="A85" s="145">
        <v>1996.0</v>
      </c>
      <c r="B85" s="145">
        <v>12.0</v>
      </c>
      <c r="C85" s="145">
        <v>0.033224756</v>
      </c>
    </row>
    <row r="86">
      <c r="A86" s="145">
        <v>1997.0</v>
      </c>
      <c r="B86" s="145">
        <v>1.0</v>
      </c>
      <c r="C86" s="145">
        <v>0.030440415</v>
      </c>
    </row>
    <row r="87">
      <c r="A87" s="145">
        <v>1997.0</v>
      </c>
      <c r="B87" s="145">
        <v>2.0</v>
      </c>
      <c r="C87" s="145">
        <v>0.030342156</v>
      </c>
    </row>
    <row r="88">
      <c r="A88" s="145">
        <v>1997.0</v>
      </c>
      <c r="B88" s="145">
        <v>3.0</v>
      </c>
      <c r="C88" s="145">
        <v>0.027617213</v>
      </c>
    </row>
    <row r="89">
      <c r="A89" s="145">
        <v>1997.0</v>
      </c>
      <c r="B89" s="145">
        <v>4.0</v>
      </c>
      <c r="C89" s="145">
        <v>0.024952015</v>
      </c>
    </row>
    <row r="90">
      <c r="A90" s="145">
        <v>1997.0</v>
      </c>
      <c r="B90" s="145">
        <v>5.0</v>
      </c>
      <c r="C90" s="145">
        <v>0.022349936</v>
      </c>
    </row>
    <row r="91">
      <c r="A91" s="145">
        <v>1997.0</v>
      </c>
      <c r="B91" s="145">
        <v>6.0</v>
      </c>
      <c r="C91" s="145">
        <v>0.022973835</v>
      </c>
    </row>
    <row r="92">
      <c r="A92" s="145">
        <v>1997.0</v>
      </c>
      <c r="B92" s="145">
        <v>7.0</v>
      </c>
      <c r="C92" s="145">
        <v>0.022292994</v>
      </c>
    </row>
    <row r="93">
      <c r="A93" s="145">
        <v>1997.0</v>
      </c>
      <c r="B93" s="145">
        <v>8.0</v>
      </c>
      <c r="C93" s="145">
        <v>0.022250477</v>
      </c>
    </row>
    <row r="94">
      <c r="A94" s="145">
        <v>1997.0</v>
      </c>
      <c r="B94" s="145">
        <v>9.0</v>
      </c>
      <c r="C94" s="145">
        <v>0.021546261</v>
      </c>
    </row>
    <row r="95">
      <c r="A95" s="145">
        <v>1997.0</v>
      </c>
      <c r="B95" s="145">
        <v>10.0</v>
      </c>
      <c r="C95" s="145">
        <v>0.020846494</v>
      </c>
    </row>
    <row r="96">
      <c r="A96" s="145">
        <v>1997.0</v>
      </c>
      <c r="B96" s="145">
        <v>11.0</v>
      </c>
      <c r="C96" s="145">
        <v>0.018284994</v>
      </c>
    </row>
    <row r="97">
      <c r="A97" s="145">
        <v>1997.0</v>
      </c>
      <c r="B97" s="145">
        <v>12.0</v>
      </c>
      <c r="C97" s="145">
        <v>0.01702396</v>
      </c>
    </row>
    <row r="98">
      <c r="A98" s="145">
        <v>1998.0</v>
      </c>
      <c r="B98" s="145">
        <v>1.0</v>
      </c>
      <c r="C98" s="145">
        <v>0.015713388</v>
      </c>
    </row>
    <row r="99">
      <c r="A99" s="145">
        <v>1998.0</v>
      </c>
      <c r="B99" s="145">
        <v>2.0</v>
      </c>
      <c r="C99" s="145">
        <v>0.014411028</v>
      </c>
    </row>
    <row r="100">
      <c r="A100" s="145">
        <v>1998.0</v>
      </c>
      <c r="B100" s="145">
        <v>3.0</v>
      </c>
      <c r="C100" s="145">
        <v>0.01375</v>
      </c>
    </row>
    <row r="101">
      <c r="A101" s="145">
        <v>1998.0</v>
      </c>
      <c r="B101" s="145">
        <v>4.0</v>
      </c>
      <c r="C101" s="145">
        <v>0.014357054</v>
      </c>
    </row>
    <row r="102">
      <c r="A102" s="145">
        <v>1998.0</v>
      </c>
      <c r="B102" s="145">
        <v>5.0</v>
      </c>
      <c r="C102" s="145">
        <v>0.01686446</v>
      </c>
    </row>
    <row r="103">
      <c r="A103" s="145">
        <v>1998.0</v>
      </c>
      <c r="B103" s="145">
        <v>6.0</v>
      </c>
      <c r="C103" s="145">
        <v>0.016843419</v>
      </c>
    </row>
    <row r="104">
      <c r="A104" s="145">
        <v>1998.0</v>
      </c>
      <c r="B104" s="145">
        <v>7.0</v>
      </c>
      <c r="C104" s="145">
        <v>0.01682243</v>
      </c>
    </row>
    <row r="105">
      <c r="A105" s="145">
        <v>1998.0</v>
      </c>
      <c r="B105" s="145">
        <v>8.0</v>
      </c>
      <c r="C105" s="145">
        <v>0.016169154</v>
      </c>
    </row>
    <row r="106">
      <c r="A106" s="145">
        <v>1998.0</v>
      </c>
      <c r="B106" s="145">
        <v>9.0</v>
      </c>
      <c r="C106" s="145">
        <v>0.014888337</v>
      </c>
    </row>
    <row r="107">
      <c r="A107" s="145">
        <v>1998.0</v>
      </c>
      <c r="B107" s="145">
        <v>10.0</v>
      </c>
      <c r="C107" s="145">
        <v>0.014851485</v>
      </c>
    </row>
    <row r="108">
      <c r="A108" s="145">
        <v>1998.0</v>
      </c>
      <c r="B108" s="145">
        <v>11.0</v>
      </c>
      <c r="C108" s="145">
        <v>0.015479876</v>
      </c>
    </row>
    <row r="109">
      <c r="A109" s="145">
        <v>1998.0</v>
      </c>
      <c r="B109" s="145">
        <v>12.0</v>
      </c>
      <c r="C109" s="145">
        <v>0.016119033</v>
      </c>
    </row>
    <row r="110">
      <c r="A110" s="145">
        <v>1999.0</v>
      </c>
      <c r="B110" s="145">
        <v>1.0</v>
      </c>
      <c r="C110" s="145">
        <v>0.016707921</v>
      </c>
    </row>
    <row r="111">
      <c r="A111" s="145">
        <v>1999.0</v>
      </c>
      <c r="B111" s="145">
        <v>2.0</v>
      </c>
      <c r="C111" s="145">
        <v>0.016059296</v>
      </c>
    </row>
    <row r="112">
      <c r="A112" s="145">
        <v>1999.0</v>
      </c>
      <c r="B112" s="145">
        <v>3.0</v>
      </c>
      <c r="C112" s="145">
        <v>0.017262639</v>
      </c>
    </row>
    <row r="113">
      <c r="A113" s="145">
        <v>1999.0</v>
      </c>
      <c r="B113" s="145">
        <v>4.0</v>
      </c>
      <c r="C113" s="145">
        <v>0.022769231</v>
      </c>
    </row>
    <row r="114">
      <c r="A114" s="145">
        <v>1999.0</v>
      </c>
      <c r="B114" s="145">
        <v>5.0</v>
      </c>
      <c r="C114" s="145">
        <v>0.020884521</v>
      </c>
    </row>
    <row r="115">
      <c r="A115" s="145">
        <v>1999.0</v>
      </c>
      <c r="B115" s="145">
        <v>6.0</v>
      </c>
      <c r="C115" s="145">
        <v>0.019631902</v>
      </c>
    </row>
    <row r="116">
      <c r="A116" s="145">
        <v>1999.0</v>
      </c>
      <c r="B116" s="145">
        <v>7.0</v>
      </c>
      <c r="C116" s="145">
        <v>0.021446078</v>
      </c>
    </row>
    <row r="117">
      <c r="A117" s="145">
        <v>1999.0</v>
      </c>
      <c r="B117" s="145">
        <v>8.0</v>
      </c>
      <c r="C117" s="145">
        <v>0.022643819</v>
      </c>
    </row>
    <row r="118">
      <c r="A118" s="145">
        <v>1999.0</v>
      </c>
      <c r="B118" s="145">
        <v>9.0</v>
      </c>
      <c r="C118" s="145">
        <v>0.026283619</v>
      </c>
    </row>
    <row r="119">
      <c r="A119" s="145">
        <v>1999.0</v>
      </c>
      <c r="B119" s="145">
        <v>10.0</v>
      </c>
      <c r="C119" s="145">
        <v>0.025609756</v>
      </c>
    </row>
    <row r="120">
      <c r="A120" s="145">
        <v>1999.0</v>
      </c>
      <c r="B120" s="145">
        <v>11.0</v>
      </c>
      <c r="C120" s="145">
        <v>0.026219512</v>
      </c>
    </row>
    <row r="121">
      <c r="A121" s="145">
        <v>1999.0</v>
      </c>
      <c r="B121" s="145">
        <v>12.0</v>
      </c>
      <c r="C121" s="145">
        <v>0.026845638</v>
      </c>
    </row>
    <row r="122">
      <c r="A122" s="145">
        <v>2000.0</v>
      </c>
      <c r="B122" s="145">
        <v>1.0</v>
      </c>
      <c r="C122" s="145">
        <v>0.027388923</v>
      </c>
    </row>
    <row r="123">
      <c r="A123" s="145">
        <v>2000.0</v>
      </c>
      <c r="B123" s="145">
        <v>2.0</v>
      </c>
      <c r="C123" s="145">
        <v>0.032218845</v>
      </c>
    </row>
    <row r="124">
      <c r="A124" s="145">
        <v>2000.0</v>
      </c>
      <c r="B124" s="145">
        <v>3.0</v>
      </c>
      <c r="C124" s="145">
        <v>0.037575758</v>
      </c>
    </row>
    <row r="125">
      <c r="A125" s="145">
        <v>2000.0</v>
      </c>
      <c r="B125" s="145">
        <v>4.0</v>
      </c>
      <c r="C125" s="145">
        <v>0.030685921</v>
      </c>
    </row>
    <row r="126">
      <c r="A126" s="145">
        <v>2000.0</v>
      </c>
      <c r="B126" s="145">
        <v>5.0</v>
      </c>
      <c r="C126" s="145">
        <v>0.03188929</v>
      </c>
    </row>
    <row r="127">
      <c r="A127" s="145">
        <v>2000.0</v>
      </c>
      <c r="B127" s="145">
        <v>6.0</v>
      </c>
      <c r="C127" s="145">
        <v>0.037304452</v>
      </c>
    </row>
    <row r="128">
      <c r="A128" s="145">
        <v>2000.0</v>
      </c>
      <c r="B128" s="145">
        <v>7.0</v>
      </c>
      <c r="C128" s="145">
        <v>0.036592681</v>
      </c>
    </row>
    <row r="129">
      <c r="A129" s="145">
        <v>2000.0</v>
      </c>
      <c r="B129" s="145">
        <v>8.0</v>
      </c>
      <c r="C129" s="145">
        <v>0.034111311</v>
      </c>
    </row>
    <row r="130">
      <c r="A130" s="145">
        <v>2000.0</v>
      </c>
      <c r="B130" s="145">
        <v>9.0</v>
      </c>
      <c r="C130" s="145">
        <v>0.034544372</v>
      </c>
    </row>
    <row r="131">
      <c r="A131" s="145">
        <v>2000.0</v>
      </c>
      <c r="B131" s="145">
        <v>10.0</v>
      </c>
      <c r="C131" s="145">
        <v>0.034482759</v>
      </c>
    </row>
    <row r="132">
      <c r="A132" s="145">
        <v>2000.0</v>
      </c>
      <c r="B132" s="145">
        <v>11.0</v>
      </c>
      <c r="C132" s="145">
        <v>0.03446227</v>
      </c>
    </row>
    <row r="133">
      <c r="A133" s="145">
        <v>2000.0</v>
      </c>
      <c r="B133" s="145">
        <v>12.0</v>
      </c>
      <c r="C133" s="145">
        <v>0.033868093</v>
      </c>
    </row>
    <row r="134">
      <c r="A134" s="145">
        <v>2001.0</v>
      </c>
      <c r="B134" s="145">
        <v>1.0</v>
      </c>
      <c r="C134" s="145">
        <v>0.037322275</v>
      </c>
    </row>
    <row r="135">
      <c r="A135" s="145">
        <v>2001.0</v>
      </c>
      <c r="B135" s="145">
        <v>2.0</v>
      </c>
      <c r="C135" s="145">
        <v>0.035335689</v>
      </c>
    </row>
    <row r="136">
      <c r="A136" s="145">
        <v>2001.0</v>
      </c>
      <c r="B136" s="145">
        <v>3.0</v>
      </c>
      <c r="C136" s="145">
        <v>0.029205607</v>
      </c>
    </row>
    <row r="137">
      <c r="A137" s="145">
        <v>2001.0</v>
      </c>
      <c r="B137" s="145">
        <v>4.0</v>
      </c>
      <c r="C137" s="145">
        <v>0.032691185</v>
      </c>
    </row>
    <row r="138">
      <c r="A138" s="145">
        <v>2001.0</v>
      </c>
      <c r="B138" s="145">
        <v>5.0</v>
      </c>
      <c r="C138" s="145">
        <v>0.036151603</v>
      </c>
    </row>
    <row r="139">
      <c r="A139" s="145">
        <v>2001.0</v>
      </c>
      <c r="B139" s="145">
        <v>6.0</v>
      </c>
      <c r="C139" s="145">
        <v>0.032482599</v>
      </c>
    </row>
    <row r="140">
      <c r="A140" s="145">
        <v>2001.0</v>
      </c>
      <c r="B140" s="145">
        <v>7.0</v>
      </c>
      <c r="C140" s="145">
        <v>0.027199074</v>
      </c>
    </row>
    <row r="141">
      <c r="A141" s="145">
        <v>2001.0</v>
      </c>
      <c r="B141" s="145">
        <v>8.0</v>
      </c>
      <c r="C141" s="145">
        <v>0.027199074</v>
      </c>
    </row>
    <row r="142">
      <c r="A142" s="145">
        <v>2001.0</v>
      </c>
      <c r="B142" s="145">
        <v>9.0</v>
      </c>
      <c r="C142" s="145">
        <v>0.026482441</v>
      </c>
    </row>
    <row r="143">
      <c r="A143" s="145">
        <v>2001.0</v>
      </c>
      <c r="B143" s="145">
        <v>10.0</v>
      </c>
      <c r="C143" s="145">
        <v>0.021264368</v>
      </c>
    </row>
    <row r="144">
      <c r="A144" s="145">
        <v>2001.0</v>
      </c>
      <c r="B144" s="145">
        <v>11.0</v>
      </c>
      <c r="C144" s="145">
        <v>0.018954624</v>
      </c>
    </row>
    <row r="145">
      <c r="A145" s="145">
        <v>2001.0</v>
      </c>
      <c r="B145" s="145">
        <v>12.0</v>
      </c>
      <c r="C145" s="145">
        <v>0.015517241</v>
      </c>
    </row>
    <row r="146">
      <c r="A146" s="145">
        <v>2002.0</v>
      </c>
      <c r="B146" s="145">
        <v>1.0</v>
      </c>
      <c r="C146" s="145">
        <v>0.011422045</v>
      </c>
    </row>
    <row r="147">
      <c r="A147" s="145">
        <v>2002.0</v>
      </c>
      <c r="B147" s="145">
        <v>2.0</v>
      </c>
      <c r="C147" s="145">
        <v>0.011376564</v>
      </c>
    </row>
    <row r="148">
      <c r="A148" s="145">
        <v>2002.0</v>
      </c>
      <c r="B148" s="145">
        <v>3.0</v>
      </c>
      <c r="C148" s="145">
        <v>0.014755959</v>
      </c>
    </row>
    <row r="149">
      <c r="A149" s="145">
        <v>2002.0</v>
      </c>
      <c r="B149" s="145">
        <v>4.0</v>
      </c>
      <c r="C149" s="145">
        <v>0.016393443</v>
      </c>
    </row>
    <row r="150">
      <c r="A150" s="145">
        <v>2002.0</v>
      </c>
      <c r="B150" s="145">
        <v>5.0</v>
      </c>
      <c r="C150" s="145">
        <v>0.01181767</v>
      </c>
    </row>
    <row r="151">
      <c r="A151" s="145">
        <v>2002.0</v>
      </c>
      <c r="B151" s="145">
        <v>6.0</v>
      </c>
      <c r="C151" s="145">
        <v>0.010674157</v>
      </c>
    </row>
    <row r="152">
      <c r="A152" s="145">
        <v>2002.0</v>
      </c>
      <c r="B152" s="145">
        <v>7.0</v>
      </c>
      <c r="C152" s="145">
        <v>0.014647887</v>
      </c>
    </row>
    <row r="153">
      <c r="A153" s="145">
        <v>2002.0</v>
      </c>
      <c r="B153" s="145">
        <v>8.0</v>
      </c>
      <c r="C153" s="145">
        <v>0.018028169</v>
      </c>
    </row>
    <row r="154">
      <c r="A154" s="145">
        <v>2002.0</v>
      </c>
      <c r="B154" s="145">
        <v>9.0</v>
      </c>
      <c r="C154" s="145">
        <v>0.015143017</v>
      </c>
    </row>
    <row r="155">
      <c r="A155" s="145">
        <v>2002.0</v>
      </c>
      <c r="B155" s="145">
        <v>10.0</v>
      </c>
      <c r="C155" s="145">
        <v>0.020258863</v>
      </c>
    </row>
    <row r="156">
      <c r="A156" s="145">
        <v>2002.0</v>
      </c>
      <c r="B156" s="145">
        <v>11.0</v>
      </c>
      <c r="C156" s="145">
        <v>0.021984216</v>
      </c>
    </row>
    <row r="157">
      <c r="A157" s="145">
        <v>2002.0</v>
      </c>
      <c r="B157" s="145">
        <v>12.0</v>
      </c>
      <c r="C157" s="145">
        <v>0.0237691</v>
      </c>
    </row>
    <row r="158">
      <c r="A158" s="145">
        <v>2003.0</v>
      </c>
      <c r="B158" s="145">
        <v>1.0</v>
      </c>
      <c r="C158" s="145">
        <v>0.025974026</v>
      </c>
    </row>
    <row r="159">
      <c r="A159" s="145">
        <v>2003.0</v>
      </c>
      <c r="B159" s="145">
        <v>2.0</v>
      </c>
      <c r="C159" s="145">
        <v>0.029808774</v>
      </c>
    </row>
    <row r="160">
      <c r="A160" s="145">
        <v>2003.0</v>
      </c>
      <c r="B160" s="145">
        <v>3.0</v>
      </c>
      <c r="C160" s="145">
        <v>0.030201342</v>
      </c>
    </row>
    <row r="161">
      <c r="A161" s="145">
        <v>2003.0</v>
      </c>
      <c r="B161" s="145">
        <v>4.0</v>
      </c>
      <c r="C161" s="145">
        <v>0.022246941</v>
      </c>
    </row>
    <row r="162">
      <c r="A162" s="145">
        <v>2003.0</v>
      </c>
      <c r="B162" s="145">
        <v>5.0</v>
      </c>
      <c r="C162" s="145">
        <v>0.02057842</v>
      </c>
    </row>
    <row r="163">
      <c r="A163" s="145">
        <v>2003.0</v>
      </c>
      <c r="B163" s="145">
        <v>6.0</v>
      </c>
      <c r="C163" s="145">
        <v>0.021122846</v>
      </c>
    </row>
    <row r="164">
      <c r="A164" s="145">
        <v>2003.0</v>
      </c>
      <c r="B164" s="145">
        <v>7.0</v>
      </c>
      <c r="C164" s="145">
        <v>0.021099389</v>
      </c>
    </row>
    <row r="165">
      <c r="A165" s="145">
        <v>2003.0</v>
      </c>
      <c r="B165" s="145">
        <v>8.0</v>
      </c>
      <c r="C165" s="145">
        <v>0.021582734</v>
      </c>
    </row>
    <row r="166">
      <c r="A166" s="145">
        <v>2003.0</v>
      </c>
      <c r="B166" s="145">
        <v>9.0</v>
      </c>
      <c r="C166" s="145">
        <v>0.02320442</v>
      </c>
    </row>
    <row r="167">
      <c r="A167" s="145">
        <v>2003.0</v>
      </c>
      <c r="B167" s="145">
        <v>10.0</v>
      </c>
      <c r="C167" s="145">
        <v>0.020408163</v>
      </c>
    </row>
    <row r="168">
      <c r="A168" s="145">
        <v>2003.0</v>
      </c>
      <c r="B168" s="145">
        <v>11.0</v>
      </c>
      <c r="C168" s="145">
        <v>0.017650303</v>
      </c>
    </row>
    <row r="169">
      <c r="A169" s="145">
        <v>2003.0</v>
      </c>
      <c r="B169" s="145">
        <v>12.0</v>
      </c>
      <c r="C169" s="145">
        <v>0.018794914</v>
      </c>
    </row>
    <row r="170">
      <c r="A170" s="145">
        <v>2004.0</v>
      </c>
      <c r="B170" s="145">
        <v>1.0</v>
      </c>
      <c r="C170" s="145">
        <v>0.019262521</v>
      </c>
    </row>
    <row r="171">
      <c r="A171" s="145">
        <v>2004.0</v>
      </c>
      <c r="B171" s="145">
        <v>2.0</v>
      </c>
      <c r="C171" s="145">
        <v>0.016930639</v>
      </c>
    </row>
    <row r="172">
      <c r="A172" s="145">
        <v>2004.0</v>
      </c>
      <c r="B172" s="145">
        <v>3.0</v>
      </c>
      <c r="C172" s="145">
        <v>0.017372421</v>
      </c>
    </row>
    <row r="173">
      <c r="A173" s="145">
        <v>2004.0</v>
      </c>
      <c r="B173" s="145">
        <v>4.0</v>
      </c>
      <c r="C173" s="145">
        <v>0.022850925</v>
      </c>
    </row>
    <row r="174">
      <c r="A174" s="145">
        <v>2004.0</v>
      </c>
      <c r="B174" s="145">
        <v>5.0</v>
      </c>
      <c r="C174" s="145">
        <v>0.030517711</v>
      </c>
    </row>
    <row r="175">
      <c r="A175" s="145">
        <v>2004.0</v>
      </c>
      <c r="B175" s="145">
        <v>6.0</v>
      </c>
      <c r="C175" s="145">
        <v>0.032661949</v>
      </c>
    </row>
    <row r="176">
      <c r="A176" s="145">
        <v>2004.0</v>
      </c>
      <c r="B176" s="145">
        <v>7.0</v>
      </c>
      <c r="C176" s="145">
        <v>0.029907558</v>
      </c>
    </row>
    <row r="177">
      <c r="A177" s="145">
        <v>2004.0</v>
      </c>
      <c r="B177" s="145">
        <v>8.0</v>
      </c>
      <c r="C177" s="145">
        <v>0.026543879</v>
      </c>
    </row>
    <row r="178">
      <c r="A178" s="145">
        <v>2004.0</v>
      </c>
      <c r="B178" s="145">
        <v>9.0</v>
      </c>
      <c r="C178" s="145">
        <v>0.02537797</v>
      </c>
    </row>
    <row r="179">
      <c r="A179" s="145">
        <v>2004.0</v>
      </c>
      <c r="B179" s="145">
        <v>10.0</v>
      </c>
      <c r="C179" s="145">
        <v>0.031891892</v>
      </c>
    </row>
    <row r="180">
      <c r="A180" s="145">
        <v>2004.0</v>
      </c>
      <c r="B180" s="145">
        <v>11.0</v>
      </c>
      <c r="C180" s="145">
        <v>0.035230352</v>
      </c>
    </row>
    <row r="181">
      <c r="A181" s="145">
        <v>2004.0</v>
      </c>
      <c r="B181" s="145">
        <v>12.0</v>
      </c>
      <c r="C181" s="145">
        <v>0.032555616</v>
      </c>
    </row>
    <row r="182">
      <c r="A182" s="145">
        <v>2005.0</v>
      </c>
      <c r="B182" s="145">
        <v>1.0</v>
      </c>
      <c r="C182" s="145">
        <v>0.029697624</v>
      </c>
    </row>
    <row r="183">
      <c r="A183" s="145">
        <v>2005.0</v>
      </c>
      <c r="B183" s="145">
        <v>2.0</v>
      </c>
      <c r="C183" s="145">
        <v>0.030075188</v>
      </c>
    </row>
    <row r="184">
      <c r="A184" s="145">
        <v>2005.0</v>
      </c>
      <c r="B184" s="145">
        <v>3.0</v>
      </c>
      <c r="C184" s="145">
        <v>0.031483458</v>
      </c>
    </row>
    <row r="185">
      <c r="A185" s="145">
        <v>2005.0</v>
      </c>
      <c r="B185" s="145">
        <v>4.0</v>
      </c>
      <c r="C185" s="145">
        <v>0.035106383</v>
      </c>
    </row>
    <row r="186">
      <c r="A186" s="145">
        <v>2005.0</v>
      </c>
      <c r="B186" s="145">
        <v>5.0</v>
      </c>
      <c r="C186" s="145">
        <v>0.028027499</v>
      </c>
    </row>
    <row r="187">
      <c r="A187" s="145">
        <v>2005.0</v>
      </c>
      <c r="B187" s="145">
        <v>6.0</v>
      </c>
      <c r="C187" s="145">
        <v>0.02530311</v>
      </c>
    </row>
    <row r="188">
      <c r="A188" s="145">
        <v>2005.0</v>
      </c>
      <c r="B188" s="145">
        <v>7.0</v>
      </c>
      <c r="C188" s="145">
        <v>0.031678986</v>
      </c>
    </row>
    <row r="189">
      <c r="A189" s="145">
        <v>2005.0</v>
      </c>
      <c r="B189" s="145">
        <v>8.0</v>
      </c>
      <c r="C189" s="145">
        <v>0.036411609</v>
      </c>
    </row>
    <row r="190">
      <c r="A190" s="145">
        <v>2005.0</v>
      </c>
      <c r="B190" s="145">
        <v>9.0</v>
      </c>
      <c r="C190" s="145">
        <v>0.046866772</v>
      </c>
    </row>
    <row r="191">
      <c r="A191" s="145">
        <v>2005.0</v>
      </c>
      <c r="B191" s="145">
        <v>10.0</v>
      </c>
      <c r="C191" s="145">
        <v>0.043478261</v>
      </c>
    </row>
    <row r="192">
      <c r="A192" s="145">
        <v>2005.0</v>
      </c>
      <c r="B192" s="145">
        <v>11.0</v>
      </c>
      <c r="C192" s="145">
        <v>0.034554974</v>
      </c>
    </row>
    <row r="193">
      <c r="A193" s="145">
        <v>2005.0</v>
      </c>
      <c r="B193" s="145">
        <v>12.0</v>
      </c>
      <c r="C193" s="145">
        <v>0.034156595</v>
      </c>
    </row>
    <row r="194">
      <c r="A194" s="145">
        <v>2006.0</v>
      </c>
      <c r="B194" s="145">
        <v>1.0</v>
      </c>
      <c r="C194" s="145">
        <v>0.039853173</v>
      </c>
    </row>
    <row r="195">
      <c r="A195" s="145">
        <v>2006.0</v>
      </c>
      <c r="B195" s="145">
        <v>2.0</v>
      </c>
      <c r="C195" s="145">
        <v>0.035974974</v>
      </c>
    </row>
    <row r="196">
      <c r="A196" s="145">
        <v>2006.0</v>
      </c>
      <c r="B196" s="145">
        <v>3.0</v>
      </c>
      <c r="C196" s="145">
        <v>0.033626487</v>
      </c>
    </row>
    <row r="197">
      <c r="A197" s="145">
        <v>2006.0</v>
      </c>
      <c r="B197" s="145">
        <v>4.0</v>
      </c>
      <c r="C197" s="145">
        <v>0.035457348</v>
      </c>
    </row>
    <row r="198">
      <c r="A198" s="145">
        <v>2006.0</v>
      </c>
      <c r="B198" s="145">
        <v>5.0</v>
      </c>
      <c r="C198" s="145">
        <v>0.041666667</v>
      </c>
    </row>
    <row r="199">
      <c r="A199" s="145">
        <v>2006.0</v>
      </c>
      <c r="B199" s="145">
        <v>6.0</v>
      </c>
      <c r="C199" s="145">
        <v>0.043187661</v>
      </c>
    </row>
    <row r="200">
      <c r="A200" s="145">
        <v>2006.0</v>
      </c>
      <c r="B200" s="145">
        <v>7.0</v>
      </c>
      <c r="C200" s="145">
        <v>0.041453429</v>
      </c>
    </row>
    <row r="201">
      <c r="A201" s="145">
        <v>2006.0</v>
      </c>
      <c r="B201" s="145">
        <v>8.0</v>
      </c>
      <c r="C201" s="145">
        <v>0.038187373</v>
      </c>
    </row>
    <row r="202">
      <c r="A202" s="145">
        <v>2006.0</v>
      </c>
      <c r="B202" s="145">
        <v>9.0</v>
      </c>
      <c r="C202" s="145">
        <v>0.020623742</v>
      </c>
    </row>
    <row r="203">
      <c r="A203" s="145">
        <v>2006.0</v>
      </c>
      <c r="B203" s="145">
        <v>10.0</v>
      </c>
      <c r="C203" s="145">
        <v>0.013052209</v>
      </c>
    </row>
    <row r="204">
      <c r="A204" s="145">
        <v>2006.0</v>
      </c>
      <c r="B204" s="145">
        <v>11.0</v>
      </c>
      <c r="C204" s="145">
        <v>0.019736842</v>
      </c>
    </row>
    <row r="205">
      <c r="A205" s="145">
        <v>2006.0</v>
      </c>
      <c r="B205" s="145">
        <v>12.0</v>
      </c>
      <c r="C205" s="145">
        <v>0.025406504</v>
      </c>
    </row>
    <row r="206">
      <c r="A206" s="145">
        <v>2007.0</v>
      </c>
      <c r="B206" s="145">
        <v>1.0</v>
      </c>
      <c r="C206" s="145">
        <v>0.02075643</v>
      </c>
    </row>
    <row r="207">
      <c r="A207" s="145">
        <v>2007.0</v>
      </c>
      <c r="B207" s="145">
        <v>2.0</v>
      </c>
      <c r="C207" s="145">
        <v>0.024151988</v>
      </c>
    </row>
    <row r="208">
      <c r="A208" s="145">
        <v>2007.0</v>
      </c>
      <c r="B208" s="145">
        <v>3.0</v>
      </c>
      <c r="C208" s="145">
        <v>0.027787788</v>
      </c>
    </row>
    <row r="209">
      <c r="A209" s="145">
        <v>2007.0</v>
      </c>
      <c r="B209" s="145">
        <v>4.0</v>
      </c>
      <c r="C209" s="145">
        <v>0.025736973</v>
      </c>
    </row>
    <row r="210">
      <c r="A210" s="145">
        <v>2007.0</v>
      </c>
      <c r="B210" s="145">
        <v>5.0</v>
      </c>
      <c r="C210" s="145">
        <v>0.026908642</v>
      </c>
    </row>
    <row r="211">
      <c r="A211" s="145">
        <v>2007.0</v>
      </c>
      <c r="B211" s="145">
        <v>6.0</v>
      </c>
      <c r="C211" s="145">
        <v>0.026870379</v>
      </c>
    </row>
    <row r="212">
      <c r="A212" s="145">
        <v>2007.0</v>
      </c>
      <c r="B212" s="145">
        <v>7.0</v>
      </c>
      <c r="C212" s="145">
        <v>0.02358231</v>
      </c>
    </row>
    <row r="213">
      <c r="A213" s="145">
        <v>2007.0</v>
      </c>
      <c r="B213" s="145">
        <v>8.0</v>
      </c>
      <c r="C213" s="145">
        <v>0.019700834</v>
      </c>
    </row>
    <row r="214">
      <c r="A214" s="145">
        <v>2007.0</v>
      </c>
      <c r="B214" s="145">
        <v>9.0</v>
      </c>
      <c r="C214" s="145">
        <v>0.027550517</v>
      </c>
    </row>
    <row r="215">
      <c r="A215" s="145">
        <v>2007.0</v>
      </c>
      <c r="B215" s="145">
        <v>10.0</v>
      </c>
      <c r="C215" s="145">
        <v>0.035361744</v>
      </c>
    </row>
    <row r="216">
      <c r="A216" s="145">
        <v>2007.0</v>
      </c>
      <c r="B216" s="145">
        <v>11.0</v>
      </c>
      <c r="C216" s="145">
        <v>0.043062035</v>
      </c>
    </row>
    <row r="217">
      <c r="A217" s="145">
        <v>2007.0</v>
      </c>
      <c r="B217" s="145">
        <v>12.0</v>
      </c>
      <c r="C217" s="145">
        <v>0.040812686</v>
      </c>
    </row>
    <row r="218">
      <c r="A218" s="145">
        <v>2008.0</v>
      </c>
      <c r="B218" s="145">
        <v>1.0</v>
      </c>
      <c r="C218" s="145">
        <v>0.04280294</v>
      </c>
    </row>
    <row r="219">
      <c r="A219" s="145">
        <v>2008.0</v>
      </c>
      <c r="B219" s="145">
        <v>2.0</v>
      </c>
      <c r="C219" s="145">
        <v>0.040265554</v>
      </c>
    </row>
    <row r="220">
      <c r="A220" s="145">
        <v>2008.0</v>
      </c>
      <c r="B220" s="145">
        <v>3.0</v>
      </c>
      <c r="C220" s="145">
        <v>0.039814562</v>
      </c>
    </row>
    <row r="221">
      <c r="A221" s="145">
        <v>2008.0</v>
      </c>
      <c r="B221" s="145">
        <v>4.0</v>
      </c>
      <c r="C221" s="145">
        <v>0.039368898</v>
      </c>
    </row>
    <row r="222">
      <c r="A222" s="145">
        <v>2008.0</v>
      </c>
      <c r="B222" s="145">
        <v>5.0</v>
      </c>
      <c r="C222" s="145">
        <v>0.04175543</v>
      </c>
    </row>
    <row r="223">
      <c r="A223" s="145">
        <v>2008.0</v>
      </c>
      <c r="B223" s="145">
        <v>6.0</v>
      </c>
      <c r="C223" s="145">
        <v>0.0502179</v>
      </c>
    </row>
    <row r="224">
      <c r="A224" s="145">
        <v>2008.0</v>
      </c>
      <c r="B224" s="145">
        <v>7.0</v>
      </c>
      <c r="C224" s="145">
        <v>0.056001229</v>
      </c>
    </row>
    <row r="225">
      <c r="A225" s="145">
        <v>2008.0</v>
      </c>
      <c r="B225" s="145">
        <v>8.0</v>
      </c>
      <c r="C225" s="145">
        <v>0.053718551</v>
      </c>
    </row>
    <row r="226">
      <c r="A226" s="145">
        <v>2008.0</v>
      </c>
      <c r="B226" s="145">
        <v>9.0</v>
      </c>
      <c r="C226" s="145">
        <v>0.049369274</v>
      </c>
    </row>
    <row r="227">
      <c r="A227" s="145">
        <v>2008.0</v>
      </c>
      <c r="B227" s="145">
        <v>10.0</v>
      </c>
      <c r="C227" s="145">
        <v>0.036551863</v>
      </c>
    </row>
    <row r="228">
      <c r="A228" s="145">
        <v>2008.0</v>
      </c>
      <c r="B228" s="145">
        <v>11.0</v>
      </c>
      <c r="C228" s="145">
        <v>0.010695747</v>
      </c>
    </row>
    <row r="229">
      <c r="A229" s="145">
        <v>2008.0</v>
      </c>
      <c r="B229" s="145">
        <v>12.0</v>
      </c>
      <c r="C229" s="152">
        <v>9.14E-4</v>
      </c>
    </row>
    <row r="230">
      <c r="A230" s="145">
        <v>2009.0</v>
      </c>
      <c r="B230" s="145">
        <v>1.0</v>
      </c>
      <c r="C230" s="152">
        <v>2.98E-4</v>
      </c>
    </row>
    <row r="231">
      <c r="A231" s="145">
        <v>2009.0</v>
      </c>
      <c r="B231" s="145">
        <v>2.0</v>
      </c>
      <c r="C231" s="145">
        <v>0.002361911</v>
      </c>
    </row>
    <row r="232">
      <c r="A232" s="145">
        <v>2009.0</v>
      </c>
      <c r="B232" s="145">
        <v>3.0</v>
      </c>
      <c r="C232" s="145">
        <v>-0.003835563</v>
      </c>
    </row>
    <row r="233">
      <c r="A233" s="145">
        <v>2009.0</v>
      </c>
      <c r="B233" s="145">
        <v>4.0</v>
      </c>
      <c r="C233" s="145">
        <v>-0.007368857</v>
      </c>
    </row>
    <row r="234">
      <c r="A234" s="145">
        <v>2009.0</v>
      </c>
      <c r="B234" s="145">
        <v>5.0</v>
      </c>
      <c r="C234" s="145">
        <v>-0.012814358</v>
      </c>
    </row>
    <row r="235">
      <c r="A235" s="145">
        <v>2009.0</v>
      </c>
      <c r="B235" s="145">
        <v>6.0</v>
      </c>
      <c r="C235" s="145">
        <v>-0.01426776</v>
      </c>
    </row>
    <row r="236">
      <c r="A236" s="145">
        <v>2009.0</v>
      </c>
      <c r="B236" s="145">
        <v>7.0</v>
      </c>
      <c r="C236" s="145">
        <v>-0.020971614</v>
      </c>
    </row>
    <row r="237">
      <c r="A237" s="145">
        <v>2009.0</v>
      </c>
      <c r="B237" s="145">
        <v>8.0</v>
      </c>
      <c r="C237" s="145">
        <v>-0.014843486</v>
      </c>
    </row>
    <row r="238">
      <c r="A238" s="145">
        <v>2009.0</v>
      </c>
      <c r="B238" s="145">
        <v>9.0</v>
      </c>
      <c r="C238" s="145">
        <v>-0.01286206</v>
      </c>
    </row>
    <row r="239">
      <c r="A239" s="145">
        <v>2009.0</v>
      </c>
      <c r="B239" s="145">
        <v>10.0</v>
      </c>
      <c r="C239" s="145">
        <v>-0.001828483</v>
      </c>
    </row>
    <row r="240">
      <c r="A240" s="145">
        <v>2009.0</v>
      </c>
      <c r="B240" s="145">
        <v>11.0</v>
      </c>
      <c r="C240" s="145">
        <v>0.018382959</v>
      </c>
    </row>
    <row r="241">
      <c r="A241" s="145">
        <v>2009.0</v>
      </c>
      <c r="B241" s="145">
        <v>12.0</v>
      </c>
      <c r="C241" s="145">
        <v>0.027213311</v>
      </c>
    </row>
    <row r="242">
      <c r="A242" s="145">
        <v>2010.0</v>
      </c>
      <c r="B242" s="145">
        <v>1.0</v>
      </c>
      <c r="C242" s="145">
        <v>0.026257086</v>
      </c>
    </row>
    <row r="243">
      <c r="A243" s="145">
        <v>2010.0</v>
      </c>
      <c r="B243" s="145">
        <v>2.0</v>
      </c>
      <c r="C243" s="145">
        <v>0.021433318</v>
      </c>
    </row>
    <row r="244">
      <c r="A244" s="145">
        <v>2010.0</v>
      </c>
      <c r="B244" s="145">
        <v>3.0</v>
      </c>
      <c r="C244" s="145">
        <v>0.023139594</v>
      </c>
    </row>
    <row r="245">
      <c r="A245" s="145">
        <v>2010.0</v>
      </c>
      <c r="B245" s="145">
        <v>4.0</v>
      </c>
      <c r="C245" s="145">
        <v>0.022364472</v>
      </c>
    </row>
    <row r="246">
      <c r="A246" s="145">
        <v>2010.0</v>
      </c>
      <c r="B246" s="145">
        <v>5.0</v>
      </c>
      <c r="C246" s="145">
        <v>0.020209861</v>
      </c>
    </row>
    <row r="247">
      <c r="A247" s="145">
        <v>2010.0</v>
      </c>
      <c r="B247" s="145">
        <v>6.0</v>
      </c>
      <c r="C247" s="145">
        <v>0.01053349</v>
      </c>
    </row>
    <row r="248">
      <c r="A248" s="145">
        <v>2010.0</v>
      </c>
      <c r="B248" s="145">
        <v>7.0</v>
      </c>
      <c r="C248" s="145">
        <v>0.012351928</v>
      </c>
    </row>
    <row r="249">
      <c r="A249" s="145">
        <v>2010.0</v>
      </c>
      <c r="B249" s="145">
        <v>8.0</v>
      </c>
      <c r="C249" s="145">
        <v>0.011481046</v>
      </c>
    </row>
    <row r="250">
      <c r="A250" s="145">
        <v>2010.0</v>
      </c>
      <c r="B250" s="145">
        <v>9.0</v>
      </c>
      <c r="C250" s="145">
        <v>0.011436827</v>
      </c>
    </row>
    <row r="251">
      <c r="A251" s="145">
        <v>2010.0</v>
      </c>
      <c r="B251" s="145">
        <v>10.0</v>
      </c>
      <c r="C251" s="145">
        <v>0.011721876</v>
      </c>
    </row>
    <row r="252">
      <c r="A252" s="145">
        <v>2010.0</v>
      </c>
      <c r="B252" s="145">
        <v>11.0</v>
      </c>
      <c r="C252" s="145">
        <v>0.011431609</v>
      </c>
    </row>
    <row r="253">
      <c r="A253" s="145">
        <v>2010.0</v>
      </c>
      <c r="B253" s="145">
        <v>12.0</v>
      </c>
      <c r="C253" s="145">
        <v>0.014957235</v>
      </c>
    </row>
    <row r="254">
      <c r="A254" s="145">
        <v>2011.0</v>
      </c>
      <c r="B254" s="145">
        <v>1.0</v>
      </c>
      <c r="C254" s="145">
        <v>0.016318469</v>
      </c>
    </row>
    <row r="255">
      <c r="A255" s="145">
        <v>2011.0</v>
      </c>
      <c r="B255" s="145">
        <v>2.0</v>
      </c>
      <c r="C255" s="145">
        <v>0.021075846</v>
      </c>
    </row>
    <row r="256">
      <c r="A256" s="145">
        <v>2011.0</v>
      </c>
      <c r="B256" s="145">
        <v>3.0</v>
      </c>
      <c r="C256" s="145">
        <v>0.026816033</v>
      </c>
    </row>
    <row r="257">
      <c r="A257" s="145">
        <v>2011.0</v>
      </c>
      <c r="B257" s="145">
        <v>4.0</v>
      </c>
      <c r="C257" s="145">
        <v>0.031636309</v>
      </c>
    </row>
    <row r="258">
      <c r="A258" s="145">
        <v>2011.0</v>
      </c>
      <c r="B258" s="145">
        <v>5.0</v>
      </c>
      <c r="C258" s="145">
        <v>0.035686458</v>
      </c>
    </row>
    <row r="259">
      <c r="A259" s="145">
        <v>2011.0</v>
      </c>
      <c r="B259" s="145">
        <v>6.0</v>
      </c>
      <c r="C259" s="145">
        <v>0.035588283</v>
      </c>
    </row>
    <row r="260">
      <c r="A260" s="145">
        <v>2011.0</v>
      </c>
      <c r="B260" s="145">
        <v>7.0</v>
      </c>
      <c r="C260" s="145">
        <v>0.03628716</v>
      </c>
    </row>
    <row r="261">
      <c r="A261" s="145">
        <v>2011.0</v>
      </c>
      <c r="B261" s="145">
        <v>8.0</v>
      </c>
      <c r="C261" s="145">
        <v>0.037712082</v>
      </c>
    </row>
    <row r="262">
      <c r="A262" s="145">
        <v>2011.0</v>
      </c>
      <c r="B262" s="145">
        <v>9.0</v>
      </c>
      <c r="C262" s="145">
        <v>0.038683568</v>
      </c>
    </row>
    <row r="263">
      <c r="A263" s="145">
        <v>2011.0</v>
      </c>
      <c r="B263" s="145">
        <v>10.0</v>
      </c>
      <c r="C263" s="145">
        <v>0.035251999</v>
      </c>
    </row>
    <row r="264">
      <c r="A264" s="145">
        <v>2011.0</v>
      </c>
      <c r="B264" s="145">
        <v>11.0</v>
      </c>
      <c r="C264" s="145">
        <v>0.033943776</v>
      </c>
    </row>
    <row r="265">
      <c r="A265" s="145">
        <v>2011.0</v>
      </c>
      <c r="B265" s="145">
        <v>12.0</v>
      </c>
      <c r="C265" s="145">
        <v>0.029624188</v>
      </c>
    </row>
    <row r="266">
      <c r="A266" s="145">
        <v>2012.0</v>
      </c>
      <c r="B266" s="145">
        <v>1.0</v>
      </c>
      <c r="C266" s="145">
        <v>0.029252167</v>
      </c>
    </row>
    <row r="267">
      <c r="A267" s="145">
        <v>2012.0</v>
      </c>
      <c r="B267" s="145">
        <v>2.0</v>
      </c>
      <c r="C267" s="145">
        <v>0.028710988</v>
      </c>
    </row>
    <row r="268">
      <c r="A268" s="145">
        <v>2012.0</v>
      </c>
      <c r="B268" s="145">
        <v>3.0</v>
      </c>
      <c r="C268" s="145">
        <v>0.026513982</v>
      </c>
    </row>
    <row r="269">
      <c r="A269" s="145">
        <v>2012.0</v>
      </c>
      <c r="B269" s="145">
        <v>4.0</v>
      </c>
      <c r="C269" s="145">
        <v>0.023027398</v>
      </c>
    </row>
    <row r="270">
      <c r="A270" s="145">
        <v>2012.0</v>
      </c>
      <c r="B270" s="145">
        <v>5.0</v>
      </c>
      <c r="C270" s="145">
        <v>0.017042538</v>
      </c>
    </row>
    <row r="271">
      <c r="A271" s="145">
        <v>2012.0</v>
      </c>
      <c r="B271" s="145">
        <v>6.0</v>
      </c>
      <c r="C271" s="145">
        <v>0.016639938</v>
      </c>
    </row>
    <row r="272">
      <c r="A272" s="145">
        <v>2012.0</v>
      </c>
      <c r="B272" s="145">
        <v>7.0</v>
      </c>
      <c r="C272" s="145">
        <v>0.014084507</v>
      </c>
    </row>
    <row r="273">
      <c r="A273" s="145">
        <v>2012.0</v>
      </c>
      <c r="B273" s="145">
        <v>8.0</v>
      </c>
      <c r="C273" s="145">
        <v>0.01692379</v>
      </c>
    </row>
    <row r="274">
      <c r="A274" s="145">
        <v>2012.0</v>
      </c>
      <c r="B274" s="145">
        <v>9.0</v>
      </c>
      <c r="C274" s="145">
        <v>0.019912821</v>
      </c>
    </row>
    <row r="275">
      <c r="A275" s="145">
        <v>2012.0</v>
      </c>
      <c r="B275" s="145">
        <v>10.0</v>
      </c>
      <c r="C275" s="145">
        <v>0.021623436</v>
      </c>
    </row>
    <row r="276">
      <c r="A276" s="145">
        <v>2012.0</v>
      </c>
      <c r="B276" s="145">
        <v>11.0</v>
      </c>
      <c r="C276" s="145">
        <v>0.017641338</v>
      </c>
    </row>
    <row r="277">
      <c r="A277" s="145">
        <v>2012.0</v>
      </c>
      <c r="B277" s="145">
        <v>12.0</v>
      </c>
      <c r="C277" s="145">
        <v>0.017410224</v>
      </c>
    </row>
    <row r="278">
      <c r="A278" s="145">
        <v>2013.0</v>
      </c>
      <c r="B278" s="145">
        <v>1.0</v>
      </c>
      <c r="C278" s="145">
        <v>0.015948647</v>
      </c>
    </row>
    <row r="279">
      <c r="A279" s="145">
        <v>2013.0</v>
      </c>
      <c r="B279" s="145">
        <v>2.0</v>
      </c>
      <c r="C279" s="145">
        <v>0.019779235</v>
      </c>
    </row>
    <row r="280">
      <c r="A280" s="145">
        <v>2013.0</v>
      </c>
      <c r="B280" s="145">
        <v>3.0</v>
      </c>
      <c r="C280" s="145">
        <v>0.014738962</v>
      </c>
    </row>
    <row r="281">
      <c r="A281" s="145">
        <v>2013.0</v>
      </c>
      <c r="B281" s="145">
        <v>4.0</v>
      </c>
      <c r="C281" s="145">
        <v>0.010630854</v>
      </c>
    </row>
    <row r="282">
      <c r="A282" s="145">
        <v>2013.0</v>
      </c>
      <c r="B282" s="145">
        <v>5.0</v>
      </c>
      <c r="C282" s="145">
        <v>0.013619651</v>
      </c>
    </row>
    <row r="283">
      <c r="A283" s="145">
        <v>2013.0</v>
      </c>
      <c r="B283" s="145">
        <v>6.0</v>
      </c>
      <c r="C283" s="145">
        <v>0.017544165</v>
      </c>
    </row>
    <row r="284">
      <c r="A284" s="145">
        <v>2013.0</v>
      </c>
      <c r="B284" s="145">
        <v>7.0</v>
      </c>
      <c r="C284" s="145">
        <v>0.019606816</v>
      </c>
    </row>
    <row r="285">
      <c r="A285" s="145">
        <v>2013.0</v>
      </c>
      <c r="B285" s="145">
        <v>8.0</v>
      </c>
      <c r="C285" s="145">
        <v>0.015183676</v>
      </c>
    </row>
    <row r="286">
      <c r="A286" s="145">
        <v>2013.0</v>
      </c>
      <c r="B286" s="145">
        <v>9.0</v>
      </c>
      <c r="C286" s="145">
        <v>0.011849253</v>
      </c>
    </row>
    <row r="287">
      <c r="A287" s="145">
        <v>2013.0</v>
      </c>
      <c r="B287" s="145">
        <v>10.0</v>
      </c>
      <c r="C287" s="145">
        <v>0.009636127</v>
      </c>
    </row>
    <row r="288">
      <c r="A288" s="145">
        <v>2013.0</v>
      </c>
      <c r="B288" s="145">
        <v>11.0</v>
      </c>
      <c r="C288" s="145">
        <v>0.012370722</v>
      </c>
    </row>
    <row r="289">
      <c r="A289" s="145">
        <v>2013.0</v>
      </c>
      <c r="B289" s="145">
        <v>12.0</v>
      </c>
      <c r="C289" s="145">
        <v>0.015017356</v>
      </c>
    </row>
    <row r="290">
      <c r="A290" s="145">
        <v>2014.0</v>
      </c>
      <c r="B290" s="145">
        <v>1.0</v>
      </c>
      <c r="C290" s="145">
        <v>0.015789474</v>
      </c>
    </row>
    <row r="291">
      <c r="A291" s="145">
        <v>2014.0</v>
      </c>
      <c r="B291" s="145">
        <v>2.0</v>
      </c>
      <c r="C291" s="145">
        <v>0.011263493</v>
      </c>
    </row>
    <row r="292">
      <c r="A292" s="145">
        <v>2014.0</v>
      </c>
      <c r="B292" s="145">
        <v>3.0</v>
      </c>
      <c r="C292" s="145">
        <v>0.015122029</v>
      </c>
    </row>
    <row r="293">
      <c r="A293" s="145">
        <v>2014.0</v>
      </c>
      <c r="B293" s="145">
        <v>4.0</v>
      </c>
      <c r="C293" s="145">
        <v>0.019528579</v>
      </c>
    </row>
    <row r="294">
      <c r="A294" s="145">
        <v>2014.0</v>
      </c>
      <c r="B294" s="145">
        <v>5.0</v>
      </c>
      <c r="C294" s="145">
        <v>0.021271115</v>
      </c>
    </row>
    <row r="295">
      <c r="A295" s="145">
        <v>2014.0</v>
      </c>
      <c r="B295" s="145">
        <v>6.0</v>
      </c>
      <c r="C295" s="145">
        <v>0.020723414</v>
      </c>
    </row>
    <row r="296">
      <c r="A296" s="145">
        <v>2014.0</v>
      </c>
      <c r="B296" s="145">
        <v>7.0</v>
      </c>
      <c r="C296" s="145">
        <v>0.019923286</v>
      </c>
    </row>
    <row r="297">
      <c r="A297" s="145">
        <v>2014.0</v>
      </c>
      <c r="B297" s="145">
        <v>8.0</v>
      </c>
      <c r="C297" s="145">
        <v>0.016996113</v>
      </c>
    </row>
    <row r="298">
      <c r="A298" s="145">
        <v>2014.0</v>
      </c>
      <c r="B298" s="145">
        <v>9.0</v>
      </c>
      <c r="C298" s="145">
        <v>0.016579187</v>
      </c>
    </row>
    <row r="299">
      <c r="A299" s="145">
        <v>2014.0</v>
      </c>
      <c r="B299" s="145">
        <v>10.0</v>
      </c>
      <c r="C299" s="145">
        <v>0.016643402</v>
      </c>
    </row>
    <row r="300">
      <c r="A300" s="145">
        <v>2014.0</v>
      </c>
      <c r="B300" s="145">
        <v>11.0</v>
      </c>
      <c r="C300" s="145">
        <v>0.013223552</v>
      </c>
    </row>
    <row r="301">
      <c r="A301" s="145">
        <v>2014.0</v>
      </c>
      <c r="B301" s="145">
        <v>12.0</v>
      </c>
      <c r="C301" s="145">
        <v>0.007564933</v>
      </c>
    </row>
    <row r="302">
      <c r="A302" s="145">
        <v>2015.0</v>
      </c>
      <c r="B302" s="145">
        <v>1.0</v>
      </c>
      <c r="C302" s="152">
        <v>-8.93E-4</v>
      </c>
    </row>
    <row r="303">
      <c r="A303" s="145">
        <v>2015.0</v>
      </c>
      <c r="B303" s="145">
        <v>2.0</v>
      </c>
      <c r="C303" s="152">
        <v>-2.51E-4</v>
      </c>
    </row>
    <row r="304">
      <c r="A304" s="145">
        <v>2015.0</v>
      </c>
      <c r="B304" s="145">
        <v>3.0</v>
      </c>
      <c r="C304" s="152">
        <v>-7.36E-4</v>
      </c>
    </row>
    <row r="305">
      <c r="A305" s="145">
        <v>2015.0</v>
      </c>
      <c r="B305" s="145">
        <v>4.0</v>
      </c>
      <c r="C305" s="145">
        <v>-0.001995174</v>
      </c>
    </row>
    <row r="306">
      <c r="A306" s="145">
        <v>2015.0</v>
      </c>
      <c r="B306" s="145">
        <v>5.0</v>
      </c>
      <c r="C306" s="152">
        <v>-3.99E-4</v>
      </c>
    </row>
    <row r="307">
      <c r="A307" s="145">
        <v>2015.0</v>
      </c>
      <c r="B307" s="145">
        <v>6.0</v>
      </c>
      <c r="C307" s="145">
        <v>0.001237712</v>
      </c>
    </row>
    <row r="308">
      <c r="A308" s="145">
        <v>2015.0</v>
      </c>
      <c r="B308" s="145">
        <v>7.0</v>
      </c>
      <c r="C308" s="145">
        <v>0.001695698</v>
      </c>
    </row>
    <row r="309">
      <c r="A309" s="145">
        <v>2015.0</v>
      </c>
      <c r="B309" s="145">
        <v>8.0</v>
      </c>
      <c r="C309" s="145">
        <v>0.001950793</v>
      </c>
    </row>
    <row r="310">
      <c r="A310" s="145">
        <v>2015.0</v>
      </c>
      <c r="B310" s="145">
        <v>9.0</v>
      </c>
      <c r="C310" s="152">
        <v>-3.61E-4</v>
      </c>
    </row>
    <row r="311">
      <c r="A311" s="145">
        <v>2015.0</v>
      </c>
      <c r="B311" s="145">
        <v>10.0</v>
      </c>
      <c r="C311" s="145">
        <v>0.001705744</v>
      </c>
    </row>
    <row r="312">
      <c r="A312" s="145">
        <v>2015.0</v>
      </c>
      <c r="B312" s="145">
        <v>11.0</v>
      </c>
      <c r="C312" s="145">
        <v>0.005017976</v>
      </c>
    </row>
    <row r="313">
      <c r="A313" s="145">
        <v>2015.0</v>
      </c>
      <c r="B313" s="145">
        <v>12.0</v>
      </c>
      <c r="C313" s="145">
        <v>0.007295198</v>
      </c>
    </row>
    <row r="314">
      <c r="A314" s="145">
        <v>2016.0</v>
      </c>
      <c r="B314" s="145">
        <v>1.0</v>
      </c>
      <c r="C314" s="145">
        <v>0.013730868</v>
      </c>
    </row>
    <row r="315">
      <c r="A315" s="145">
        <v>2016.0</v>
      </c>
      <c r="B315" s="145">
        <v>2.0</v>
      </c>
      <c r="C315" s="145">
        <v>0.010177998</v>
      </c>
    </row>
    <row r="316">
      <c r="A316" s="145">
        <v>2016.0</v>
      </c>
      <c r="B316" s="145">
        <v>3.0</v>
      </c>
      <c r="C316" s="145">
        <v>0.008525362</v>
      </c>
    </row>
    <row r="317">
      <c r="A317" s="145">
        <v>2016.0</v>
      </c>
      <c r="B317" s="145">
        <v>4.0</v>
      </c>
      <c r="C317" s="145">
        <v>0.011251104</v>
      </c>
    </row>
    <row r="318">
      <c r="A318" s="145">
        <v>2016.0</v>
      </c>
      <c r="B318" s="145">
        <v>5.0</v>
      </c>
      <c r="C318" s="145">
        <v>0.010193226</v>
      </c>
    </row>
    <row r="319">
      <c r="A319" s="145">
        <v>2016.0</v>
      </c>
      <c r="B319" s="145">
        <v>6.0</v>
      </c>
      <c r="C319" s="145">
        <v>0.009973265</v>
      </c>
    </row>
    <row r="320">
      <c r="A320" s="145">
        <v>2016.0</v>
      </c>
      <c r="B320" s="145">
        <v>7.0</v>
      </c>
      <c r="C320" s="145">
        <v>0.008271389</v>
      </c>
    </row>
    <row r="321">
      <c r="A321" s="145">
        <v>2016.0</v>
      </c>
      <c r="B321" s="145">
        <v>8.0</v>
      </c>
      <c r="C321" s="145">
        <v>0.010628745</v>
      </c>
    </row>
    <row r="322">
      <c r="A322" s="145">
        <v>2016.0</v>
      </c>
      <c r="B322" s="145">
        <v>9.0</v>
      </c>
      <c r="C322" s="145">
        <v>0.014637836</v>
      </c>
    </row>
    <row r="323">
      <c r="A323" s="145">
        <v>2016.0</v>
      </c>
      <c r="B323" s="145">
        <v>10.0</v>
      </c>
      <c r="C323" s="145">
        <v>0.016359875</v>
      </c>
    </row>
    <row r="324">
      <c r="A324" s="145">
        <v>2016.0</v>
      </c>
      <c r="B324" s="145">
        <v>11.0</v>
      </c>
      <c r="C324" s="145">
        <v>0.016925372</v>
      </c>
    </row>
    <row r="325">
      <c r="A325" s="145">
        <v>2016.0</v>
      </c>
      <c r="B325" s="145">
        <v>12.0</v>
      </c>
      <c r="C325" s="145">
        <v>0.020746221</v>
      </c>
    </row>
    <row r="326">
      <c r="A326" s="145">
        <v>2017.0</v>
      </c>
      <c r="B326" s="145">
        <v>1.0</v>
      </c>
      <c r="C326" s="145">
        <v>0.025000422</v>
      </c>
    </row>
    <row r="327">
      <c r="A327" s="145">
        <v>2017.0</v>
      </c>
      <c r="B327" s="145">
        <v>2.0</v>
      </c>
      <c r="C327" s="145">
        <v>0.027379582</v>
      </c>
    </row>
    <row r="328">
      <c r="A328" s="145">
        <v>2017.0</v>
      </c>
      <c r="B328" s="145">
        <v>3.0</v>
      </c>
      <c r="C328" s="145">
        <v>0.023806124</v>
      </c>
    </row>
    <row r="329">
      <c r="A329" s="145">
        <v>2017.0</v>
      </c>
      <c r="B329" s="145">
        <v>4.0</v>
      </c>
      <c r="C329" s="145">
        <v>0.021996899</v>
      </c>
    </row>
    <row r="330">
      <c r="A330" s="145">
        <v>2017.0</v>
      </c>
      <c r="B330" s="145">
        <v>5.0</v>
      </c>
      <c r="C330" s="145">
        <v>0.018748777</v>
      </c>
    </row>
    <row r="331">
      <c r="A331" s="145">
        <v>2017.0</v>
      </c>
      <c r="B331" s="145">
        <v>6.0</v>
      </c>
      <c r="C331" s="145">
        <v>0.01633488</v>
      </c>
    </row>
    <row r="332">
      <c r="A332" s="145">
        <v>2017.0</v>
      </c>
      <c r="B332" s="145">
        <v>7.0</v>
      </c>
      <c r="C332" s="145">
        <v>0.017279785</v>
      </c>
    </row>
    <row r="333">
      <c r="A333" s="145">
        <v>2017.0</v>
      </c>
      <c r="B333" s="145">
        <v>8.0</v>
      </c>
      <c r="C333" s="145">
        <v>0.019389742</v>
      </c>
    </row>
    <row r="334">
      <c r="A334" s="145">
        <v>2017.0</v>
      </c>
      <c r="B334" s="145">
        <v>9.0</v>
      </c>
      <c r="C334" s="145">
        <v>0.022329639</v>
      </c>
    </row>
    <row r="335">
      <c r="A335" s="145">
        <v>2017.0</v>
      </c>
      <c r="B335" s="145">
        <v>10.0</v>
      </c>
      <c r="C335" s="145">
        <v>0.020411287</v>
      </c>
    </row>
    <row r="336">
      <c r="A336" s="145">
        <v>2017.0</v>
      </c>
      <c r="B336" s="145">
        <v>11.0</v>
      </c>
      <c r="C336" s="145">
        <v>0.022025829</v>
      </c>
    </row>
    <row r="337">
      <c r="A337" s="145">
        <v>2017.0</v>
      </c>
      <c r="B337" s="145">
        <v>12.0</v>
      </c>
      <c r="C337" s="145">
        <v>0.021090825</v>
      </c>
    </row>
    <row r="338">
      <c r="A338" s="145">
        <v>2018.0</v>
      </c>
      <c r="B338" s="145">
        <v>1.0</v>
      </c>
      <c r="C338" s="145">
        <v>0.020705076</v>
      </c>
    </row>
    <row r="339">
      <c r="A339" s="145">
        <v>2018.0</v>
      </c>
      <c r="B339" s="145">
        <v>2.0</v>
      </c>
      <c r="C339" s="145">
        <v>0.022117954</v>
      </c>
    </row>
    <row r="340">
      <c r="A340" s="145">
        <v>2018.0</v>
      </c>
      <c r="B340" s="145">
        <v>3.0</v>
      </c>
      <c r="C340" s="145">
        <v>0.023597114</v>
      </c>
    </row>
    <row r="341">
      <c r="A341" s="145">
        <v>2018.0</v>
      </c>
      <c r="B341" s="145">
        <v>4.0</v>
      </c>
      <c r="C341" s="145">
        <v>0.024627439</v>
      </c>
    </row>
    <row r="342">
      <c r="A342" s="145">
        <v>2018.0</v>
      </c>
      <c r="B342" s="145">
        <v>5.0</v>
      </c>
      <c r="C342" s="145">
        <v>0.028010117</v>
      </c>
    </row>
    <row r="343">
      <c r="A343" s="145">
        <v>2018.0</v>
      </c>
      <c r="B343" s="145">
        <v>6.0</v>
      </c>
      <c r="C343" s="145">
        <v>0.028715478</v>
      </c>
    </row>
    <row r="344">
      <c r="A344" s="145">
        <v>2018.0</v>
      </c>
      <c r="B344" s="145">
        <v>7.0</v>
      </c>
      <c r="C344" s="145">
        <v>0.029495151</v>
      </c>
    </row>
    <row r="345">
      <c r="A345" s="145">
        <v>2018.0</v>
      </c>
      <c r="B345" s="145">
        <v>8.0</v>
      </c>
      <c r="C345" s="145">
        <v>0.026991801</v>
      </c>
    </row>
    <row r="346">
      <c r="A346" s="145">
        <v>2018.0</v>
      </c>
      <c r="B346" s="145">
        <v>9.0</v>
      </c>
      <c r="C346" s="145">
        <v>0.022769722</v>
      </c>
    </row>
    <row r="347">
      <c r="A347" s="145">
        <v>2018.0</v>
      </c>
      <c r="B347" s="145">
        <v>10.0</v>
      </c>
      <c r="C347" s="145">
        <v>0.025224699</v>
      </c>
    </row>
    <row r="348">
      <c r="A348" s="145">
        <v>2018.0</v>
      </c>
      <c r="B348" s="145">
        <v>11.0</v>
      </c>
      <c r="C348" s="145">
        <v>0.02176601</v>
      </c>
    </row>
    <row r="349">
      <c r="A349" s="145">
        <v>2018.0</v>
      </c>
      <c r="B349" s="145">
        <v>12.0</v>
      </c>
      <c r="C349" s="145">
        <v>0.019101588</v>
      </c>
    </row>
    <row r="350">
      <c r="A350" s="145">
        <v>2019.0</v>
      </c>
      <c r="B350" s="145">
        <v>1.0</v>
      </c>
      <c r="C350" s="145">
        <v>0.015512351</v>
      </c>
    </row>
    <row r="351">
      <c r="A351" s="145">
        <v>2019.0</v>
      </c>
      <c r="B351" s="145">
        <v>2.0</v>
      </c>
      <c r="C351" s="145">
        <v>0.015201353</v>
      </c>
    </row>
    <row r="352">
      <c r="A352" s="145">
        <v>2019.0</v>
      </c>
      <c r="B352" s="145">
        <v>3.0</v>
      </c>
      <c r="C352" s="145">
        <v>0.018625227</v>
      </c>
    </row>
    <row r="353">
      <c r="A353" s="145">
        <v>2019.0</v>
      </c>
      <c r="B353" s="145">
        <v>4.0</v>
      </c>
      <c r="C353" s="145">
        <v>0.019964398</v>
      </c>
    </row>
    <row r="354">
      <c r="A354" s="145">
        <v>2019.0</v>
      </c>
      <c r="B354" s="145">
        <v>5.0</v>
      </c>
      <c r="C354" s="145">
        <v>0.017902285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5.0"/>
  </cols>
  <sheetData>
    <row r="1">
      <c r="A1" s="145" t="str">
        <f>'Endowed Funds'!B:B</f>
        <v>Fund</v>
      </c>
      <c r="B1" s="145">
        <v>1990.0</v>
      </c>
      <c r="C1" s="145">
        <v>1991.0</v>
      </c>
      <c r="D1" s="145">
        <v>1992.0</v>
      </c>
      <c r="E1" s="145">
        <v>1993.0</v>
      </c>
      <c r="F1" s="145">
        <v>1994.0</v>
      </c>
      <c r="G1" s="145">
        <v>1995.0</v>
      </c>
      <c r="H1" s="145">
        <v>1996.0</v>
      </c>
      <c r="I1" s="145">
        <v>1997.0</v>
      </c>
      <c r="J1" s="145">
        <v>1998.0</v>
      </c>
      <c r="K1" s="145">
        <v>1999.0</v>
      </c>
      <c r="L1" s="145">
        <v>2000.0</v>
      </c>
      <c r="M1" s="145">
        <v>2001.0</v>
      </c>
      <c r="N1" s="145">
        <v>2002.0</v>
      </c>
      <c r="O1" s="145">
        <v>2003.0</v>
      </c>
      <c r="P1" s="145">
        <v>2004.0</v>
      </c>
      <c r="Q1" s="145">
        <v>2005.0</v>
      </c>
      <c r="R1" s="145">
        <v>2006.0</v>
      </c>
      <c r="S1" s="145">
        <v>2007.0</v>
      </c>
      <c r="T1" s="145">
        <v>2008.0</v>
      </c>
      <c r="U1" s="145">
        <v>2009.0</v>
      </c>
      <c r="V1" s="145">
        <v>2010.0</v>
      </c>
      <c r="W1" s="145">
        <v>2011.0</v>
      </c>
      <c r="X1" s="145">
        <v>2012.0</v>
      </c>
      <c r="Y1" s="145">
        <v>2013.0</v>
      </c>
      <c r="Z1" s="145">
        <v>2014.0</v>
      </c>
      <c r="AA1" s="145">
        <v>2015.0</v>
      </c>
      <c r="AB1" s="145">
        <v>2016.0</v>
      </c>
      <c r="AC1" s="145">
        <v>2017.0</v>
      </c>
      <c r="AD1" s="145">
        <v>2018.0</v>
      </c>
      <c r="AE1" s="145">
        <v>2019.0</v>
      </c>
    </row>
    <row r="2">
      <c r="A2" s="153" t="str">
        <f>'Endowed Funds'!B:B</f>
        <v>Albert G. Boyce, Jr. Family Fund</v>
      </c>
      <c r="B2" t="str">
        <f>IFERROR(__xludf.DUMMYFUNCTION("IFERROR(FILTER('Fund Data'!$D:$D, 'Fund Data'!$C:$C = $A2, 'Fund Data'!$A:$A = B$1, 'Fund Data'!$B:$B = 12),"""")"),"")</f>
        <v/>
      </c>
      <c r="C2" t="str">
        <f>IFERROR(__xludf.DUMMYFUNCTION("IFERROR(FILTER('Fund Data'!$D:$D, 'Fund Data'!$C:$C = $A2, 'Fund Data'!$A:$A = C$1, 'Fund Data'!$B:$B = 12),"""")"),"")</f>
        <v/>
      </c>
      <c r="D2" t="str">
        <f>IFERROR(__xludf.DUMMYFUNCTION("IFERROR(FILTER('Fund Data'!$D:$D, 'Fund Data'!$C:$C = $A2, 'Fund Data'!$A:$A = D$1, 'Fund Data'!$B:$B = 12),"""")"),"")</f>
        <v/>
      </c>
      <c r="E2" t="str">
        <f>IFERROR(__xludf.DUMMYFUNCTION("IFERROR(FILTER('Fund Data'!$D:$D, 'Fund Data'!$C:$C = $A2, 'Fund Data'!$A:$A = E$1, 'Fund Data'!$B:$B = 12),"""")"),"")</f>
        <v/>
      </c>
      <c r="F2" t="str">
        <f>IFERROR(__xludf.DUMMYFUNCTION("IFERROR(FILTER('Fund Data'!$D:$D, 'Fund Data'!$C:$C = $A2, 'Fund Data'!$A:$A = F$1, 'Fund Data'!$B:$B = 12),"""")"),"")</f>
        <v/>
      </c>
      <c r="G2" t="str">
        <f>IFERROR(__xludf.DUMMYFUNCTION("IFERROR(FILTER('Fund Data'!$D:$D, 'Fund Data'!$C:$C = $A2, 'Fund Data'!$A:$A = G$1, 'Fund Data'!$B:$B = 12),"""")"),"")</f>
        <v/>
      </c>
      <c r="H2" t="str">
        <f>IFERROR(__xludf.DUMMYFUNCTION("IFERROR(FILTER('Fund Data'!$D:$D, 'Fund Data'!$C:$C = $A2, 'Fund Data'!$A:$A = H$1, 'Fund Data'!$B:$B = 12),"""")"),"")</f>
        <v/>
      </c>
      <c r="I2" t="str">
        <f>IFERROR(__xludf.DUMMYFUNCTION("IFERROR(FILTER('Fund Data'!$D:$D, 'Fund Data'!$C:$C = $A2, 'Fund Data'!$A:$A = I$1, 'Fund Data'!$B:$B = 12),"""")"),"")</f>
        <v/>
      </c>
      <c r="J2" t="str">
        <f>IFERROR(__xludf.DUMMYFUNCTION("IFERROR(FILTER('Fund Data'!$D:$D, 'Fund Data'!$C:$C = $A2, 'Fund Data'!$A:$A = J$1, 'Fund Data'!$B:$B = 12),"""")"),"")</f>
        <v/>
      </c>
      <c r="K2" t="str">
        <f>IFERROR(__xludf.DUMMYFUNCTION("IFERROR(FILTER('Fund Data'!$D:$D, 'Fund Data'!$C:$C = $A2, 'Fund Data'!$A:$A = K$1, 'Fund Data'!$B:$B = 12),"""")"),"")</f>
        <v/>
      </c>
      <c r="L2" t="str">
        <f>IFERROR(__xludf.DUMMYFUNCTION("IFERROR(FILTER('Fund Data'!$D:$D, 'Fund Data'!$C:$C = $A2, 'Fund Data'!$A:$A = L$1, 'Fund Data'!$B:$B = 12),"""")"),"")</f>
        <v/>
      </c>
      <c r="M2" t="str">
        <f>IFERROR(__xludf.DUMMYFUNCTION("IFERROR(FILTER('Fund Data'!$D:$D, 'Fund Data'!$C:$C = $A2, 'Fund Data'!$A:$A = M$1, 'Fund Data'!$B:$B = 12),"""")"),"")</f>
        <v/>
      </c>
      <c r="N2" t="str">
        <f>IFERROR(__xludf.DUMMYFUNCTION("IFERROR(FILTER('Fund Data'!$D:$D, 'Fund Data'!$C:$C = $A2, 'Fund Data'!$A:$A = N$1, 'Fund Data'!$B:$B = 12),"""")"),"")</f>
        <v/>
      </c>
      <c r="O2" t="str">
        <f>IFERROR(__xludf.DUMMYFUNCTION("IFERROR(FILTER('Fund Data'!$D:$D, 'Fund Data'!$C:$C = $A2, 'Fund Data'!$A:$A = O$1, 'Fund Data'!$B:$B = 12),"""")"),"")</f>
        <v/>
      </c>
      <c r="P2">
        <f>IFERROR(__xludf.DUMMYFUNCTION("IFERROR(FILTER('Fund Data'!$D:$D, 'Fund Data'!$C:$C = $A2, 'Fund Data'!$A:$A = P$1, 'Fund Data'!$B:$B = 12),"""")"),30000.0)</f>
        <v>30000</v>
      </c>
      <c r="Q2">
        <f>IFERROR(__xludf.DUMMYFUNCTION("IFERROR(FILTER('Fund Data'!$D:$D, 'Fund Data'!$C:$C = $A2, 'Fund Data'!$A:$A = Q$1, 'Fund Data'!$B:$B = 12),"""")"),130000.0)</f>
        <v>130000</v>
      </c>
      <c r="R2">
        <f>IFERROR(__xludf.DUMMYFUNCTION("IFERROR(FILTER('Fund Data'!$D:$D, 'Fund Data'!$C:$C = $A2, 'Fund Data'!$A:$A = R$1, 'Fund Data'!$B:$B = 12),"""")"),30000.0)</f>
        <v>30000</v>
      </c>
      <c r="S2">
        <f>IFERROR(__xludf.DUMMYFUNCTION("IFERROR(FILTER('Fund Data'!$D:$D, 'Fund Data'!$C:$C = $A2, 'Fund Data'!$A:$A = S$1, 'Fund Data'!$B:$B = 12),"""")"),30000.0)</f>
        <v>30000</v>
      </c>
      <c r="T2">
        <f>IFERROR(__xludf.DUMMYFUNCTION("IFERROR(FILTER('Fund Data'!$D:$D, 'Fund Data'!$C:$C = $A2, 'Fund Data'!$A:$A = T$1, 'Fund Data'!$B:$B = 12),"""")"),30000.0)</f>
        <v>30000</v>
      </c>
      <c r="U2" t="str">
        <f>IFERROR(__xludf.DUMMYFUNCTION("IFERROR(FILTER('Fund Data'!$D:$D, 'Fund Data'!$C:$C = $A2, 'Fund Data'!$A:$A = U$1, 'Fund Data'!$B:$B = 12),"""")"),"")</f>
        <v/>
      </c>
      <c r="V2" t="str">
        <f>IFERROR(__xludf.DUMMYFUNCTION("IFERROR(FILTER('Fund Data'!$D:$D, 'Fund Data'!$C:$C = $A2, 'Fund Data'!$A:$A = V$1, 'Fund Data'!$B:$B = 12),"""")"),"")</f>
        <v/>
      </c>
      <c r="W2" t="str">
        <f>IFERROR(__xludf.DUMMYFUNCTION("IFERROR(FILTER('Fund Data'!$D:$D, 'Fund Data'!$C:$C = $A2, 'Fund Data'!$A:$A = W$1, 'Fund Data'!$B:$B = 12),"""")"),"")</f>
        <v/>
      </c>
      <c r="X2" t="str">
        <f>IFERROR(__xludf.DUMMYFUNCTION("IFERROR(FILTER('Fund Data'!$D:$D, 'Fund Data'!$C:$C = $A2, 'Fund Data'!$A:$A = X$1, 'Fund Data'!$B:$B = 12),"""")"),"")</f>
        <v/>
      </c>
      <c r="Y2" t="str">
        <f>IFERROR(__xludf.DUMMYFUNCTION("IFERROR(FILTER('Fund Data'!$D:$D, 'Fund Data'!$C:$C = $A2, 'Fund Data'!$A:$A = Y$1, 'Fund Data'!$B:$B = 12),"""")"),"")</f>
        <v/>
      </c>
      <c r="Z2">
        <f>IFERROR(__xludf.DUMMYFUNCTION("IFERROR(FILTER('Fund Data'!$D:$D, 'Fund Data'!$C:$C = $A2, 'Fund Data'!$A:$A = Z$1, 'Fund Data'!$B:$B = 12),"""")"),10061.0)</f>
        <v>10061</v>
      </c>
      <c r="AA2">
        <f>IFERROR(__xludf.DUMMYFUNCTION("IFERROR(FILTER('Fund Data'!$D:$D, 'Fund Data'!$C:$C = $A2, 'Fund Data'!$A:$A = AA$1, 'Fund Data'!$B:$B = 12),"""")"),10861.0)</f>
        <v>10861</v>
      </c>
      <c r="AB2">
        <f>IFERROR(__xludf.DUMMYFUNCTION("IFERROR(FILTER('Fund Data'!$D:$D, 'Fund Data'!$C:$C = $A2, 'Fund Data'!$A:$A = AB$1, 'Fund Data'!$B:$B = 12),"""")"),11045.0)</f>
        <v>11045</v>
      </c>
      <c r="AC2">
        <f>IFERROR(__xludf.DUMMYFUNCTION("IFERROR(FILTER('Fund Data'!$D:$D, 'Fund Data'!$C:$C = $A2, 'Fund Data'!$A:$A = AC$1, 'Fund Data'!$B:$B = 12),"""")"),10093.0)</f>
        <v>10093</v>
      </c>
      <c r="AD2">
        <f>IFERROR(__xludf.DUMMYFUNCTION("IFERROR(FILTER('Fund Data'!$D:$D, 'Fund Data'!$C:$C = $A2, 'Fund Data'!$A:$A = AD$1, 'Fund Data'!$B:$B = 12),"""")"),18189.0)</f>
        <v>18189</v>
      </c>
      <c r="AE2" t="str">
        <f>IFERROR(__xludf.DUMMYFUNCTION("IFERROR(FILTER('Fund Data'!$D:$D, 'Fund Data'!$C:$C = $A2, 'Fund Data'!$A:$A = AE$1, 'Fund Data'!$B:$B = 12),"""")"),"")</f>
        <v/>
      </c>
    </row>
    <row r="3">
      <c r="A3" s="153" t="str">
        <f>'Endowed Funds'!B:B</f>
        <v>Alden C. Hayes Research Fund</v>
      </c>
      <c r="B3" t="str">
        <f>IFERROR(__xludf.DUMMYFUNCTION("IFERROR(FILTER('Fund Data'!$D:$D, 'Fund Data'!$C:$C = $A3, 'Fund Data'!$A:$A = B$1, 'Fund Data'!$B:$B = 12),"""")"),"")</f>
        <v/>
      </c>
      <c r="C3" t="str">
        <f>IFERROR(__xludf.DUMMYFUNCTION("IFERROR(FILTER('Fund Data'!$D:$D, 'Fund Data'!$C:$C = $A3, 'Fund Data'!$A:$A = C$1, 'Fund Data'!$B:$B = 12),"""")"),"")</f>
        <v/>
      </c>
      <c r="D3" t="str">
        <f>IFERROR(__xludf.DUMMYFUNCTION("IFERROR(FILTER('Fund Data'!$D:$D, 'Fund Data'!$C:$C = $A3, 'Fund Data'!$A:$A = D$1, 'Fund Data'!$B:$B = 12),"""")"),"")</f>
        <v/>
      </c>
      <c r="E3" t="str">
        <f>IFERROR(__xludf.DUMMYFUNCTION("IFERROR(FILTER('Fund Data'!$D:$D, 'Fund Data'!$C:$C = $A3, 'Fund Data'!$A:$A = E$1, 'Fund Data'!$B:$B = 12),"""")"),"")</f>
        <v/>
      </c>
      <c r="F3" t="str">
        <f>IFERROR(__xludf.DUMMYFUNCTION("IFERROR(FILTER('Fund Data'!$D:$D, 'Fund Data'!$C:$C = $A3, 'Fund Data'!$A:$A = F$1, 'Fund Data'!$B:$B = 12),"""")"),"")</f>
        <v/>
      </c>
      <c r="G3" t="str">
        <f>IFERROR(__xludf.DUMMYFUNCTION("IFERROR(FILTER('Fund Data'!$D:$D, 'Fund Data'!$C:$C = $A3, 'Fund Data'!$A:$A = G$1, 'Fund Data'!$B:$B = 12),"""")"),"")</f>
        <v/>
      </c>
      <c r="H3">
        <f>IFERROR(__xludf.DUMMYFUNCTION("IFERROR(FILTER('Fund Data'!$D:$D, 'Fund Data'!$C:$C = $A3, 'Fund Data'!$A:$A = H$1, 'Fund Data'!$B:$B = 12),"""")"),80299.0)</f>
        <v>80299</v>
      </c>
      <c r="I3" t="str">
        <f>IFERROR(__xludf.DUMMYFUNCTION("IFERROR(FILTER('Fund Data'!$D:$D, 'Fund Data'!$C:$C = $A3, 'Fund Data'!$A:$A = I$1, 'Fund Data'!$B:$B = 12),"""")"),"")</f>
        <v/>
      </c>
      <c r="J3">
        <f>IFERROR(__xludf.DUMMYFUNCTION("IFERROR(FILTER('Fund Data'!$D:$D, 'Fund Data'!$C:$C = $A3, 'Fund Data'!$A:$A = J$1, 'Fund Data'!$B:$B = 12),"""")"),22714.87)</f>
        <v>22714.87</v>
      </c>
      <c r="K3">
        <f>IFERROR(__xludf.DUMMYFUNCTION("IFERROR(FILTER('Fund Data'!$D:$D, 'Fund Data'!$C:$C = $A3, 'Fund Data'!$A:$A = K$1, 'Fund Data'!$B:$B = 12),"""")"),8100.0)</f>
        <v>8100</v>
      </c>
      <c r="L3">
        <f>IFERROR(__xludf.DUMMYFUNCTION("IFERROR(FILTER('Fund Data'!$D:$D, 'Fund Data'!$C:$C = $A3, 'Fund Data'!$A:$A = L$1, 'Fund Data'!$B:$B = 12),"""")"),20617.0)</f>
        <v>20617</v>
      </c>
      <c r="M3">
        <f>IFERROR(__xludf.DUMMYFUNCTION("IFERROR(FILTER('Fund Data'!$D:$D, 'Fund Data'!$C:$C = $A3, 'Fund Data'!$A:$A = M$1, 'Fund Data'!$B:$B = 12),"""")"),21805.53)</f>
        <v>21805.53</v>
      </c>
      <c r="N3">
        <f>IFERROR(__xludf.DUMMYFUNCTION("IFERROR(FILTER('Fund Data'!$D:$D, 'Fund Data'!$C:$C = $A3, 'Fund Data'!$A:$A = N$1, 'Fund Data'!$B:$B = 12),"""")"),16477.55)</f>
        <v>16477.55</v>
      </c>
      <c r="O3">
        <f>IFERROR(__xludf.DUMMYFUNCTION("IFERROR(FILTER('Fund Data'!$D:$D, 'Fund Data'!$C:$C = $A3, 'Fund Data'!$A:$A = O$1, 'Fund Data'!$B:$B = 12),"""")"),3000.0)</f>
        <v>3000</v>
      </c>
      <c r="P3">
        <f>IFERROR(__xludf.DUMMYFUNCTION("IFERROR(FILTER('Fund Data'!$D:$D, 'Fund Data'!$C:$C = $A3, 'Fund Data'!$A:$A = P$1, 'Fund Data'!$B:$B = 12),"""")"),9114.66)</f>
        <v>9114.66</v>
      </c>
      <c r="Q3">
        <f>IFERROR(__xludf.DUMMYFUNCTION("IFERROR(FILTER('Fund Data'!$D:$D, 'Fund Data'!$C:$C = $A3, 'Fund Data'!$A:$A = Q$1, 'Fund Data'!$B:$B = 12),"""")"),11101.0)</f>
        <v>11101</v>
      </c>
      <c r="R3">
        <f>IFERROR(__xludf.DUMMYFUNCTION("IFERROR(FILTER('Fund Data'!$D:$D, 'Fund Data'!$C:$C = $A3, 'Fund Data'!$A:$A = R$1, 'Fund Data'!$B:$B = 12),"""")"),74893.09)</f>
        <v>74893.09</v>
      </c>
      <c r="S3">
        <f>IFERROR(__xludf.DUMMYFUNCTION("IFERROR(FILTER('Fund Data'!$D:$D, 'Fund Data'!$C:$C = $A3, 'Fund Data'!$A:$A = S$1, 'Fund Data'!$B:$B = 12),"""")"),4842.0)</f>
        <v>4842</v>
      </c>
      <c r="T3">
        <f>IFERROR(__xludf.DUMMYFUNCTION("IFERROR(FILTER('Fund Data'!$D:$D, 'Fund Data'!$C:$C = $A3, 'Fund Data'!$A:$A = T$1, 'Fund Data'!$B:$B = 12),"""")"),999.0)</f>
        <v>999</v>
      </c>
      <c r="U3">
        <f>IFERROR(__xludf.DUMMYFUNCTION("IFERROR(FILTER('Fund Data'!$D:$D, 'Fund Data'!$C:$C = $A3, 'Fund Data'!$A:$A = U$1, 'Fund Data'!$B:$B = 12),"""")"),1000.0)</f>
        <v>1000</v>
      </c>
      <c r="V3">
        <f>IFERROR(__xludf.DUMMYFUNCTION("IFERROR(FILTER('Fund Data'!$D:$D, 'Fund Data'!$C:$C = $A3, 'Fund Data'!$A:$A = V$1, 'Fund Data'!$B:$B = 12),"""")"),750.0)</f>
        <v>750</v>
      </c>
      <c r="W3">
        <f>IFERROR(__xludf.DUMMYFUNCTION("IFERROR(FILTER('Fund Data'!$D:$D, 'Fund Data'!$C:$C = $A3, 'Fund Data'!$A:$A = W$1, 'Fund Data'!$B:$B = 12),"""")"),250.0)</f>
        <v>250</v>
      </c>
      <c r="X3">
        <f>IFERROR(__xludf.DUMMYFUNCTION("IFERROR(FILTER('Fund Data'!$D:$D, 'Fund Data'!$C:$C = $A3, 'Fund Data'!$A:$A = X$1, 'Fund Data'!$B:$B = 12),"""")"),250.0)</f>
        <v>250</v>
      </c>
      <c r="Y3" t="str">
        <f>IFERROR(__xludf.DUMMYFUNCTION("IFERROR(FILTER('Fund Data'!$D:$D, 'Fund Data'!$C:$C = $A3, 'Fund Data'!$A:$A = Y$1, 'Fund Data'!$B:$B = 12),"""")"),"")</f>
        <v/>
      </c>
      <c r="Z3" t="str">
        <f>IFERROR(__xludf.DUMMYFUNCTION("IFERROR(FILTER('Fund Data'!$D:$D, 'Fund Data'!$C:$C = $A3, 'Fund Data'!$A:$A = Z$1, 'Fund Data'!$B:$B = 12),"""")"),"")</f>
        <v/>
      </c>
      <c r="AA3" t="str">
        <f>IFERROR(__xludf.DUMMYFUNCTION("IFERROR(FILTER('Fund Data'!$D:$D, 'Fund Data'!$C:$C = $A3, 'Fund Data'!$A:$A = AA$1, 'Fund Data'!$B:$B = 12),"""")"),"")</f>
        <v/>
      </c>
      <c r="AB3" t="str">
        <f>IFERROR(__xludf.DUMMYFUNCTION("IFERROR(FILTER('Fund Data'!$D:$D, 'Fund Data'!$C:$C = $A3, 'Fund Data'!$A:$A = AB$1, 'Fund Data'!$B:$B = 12),"""")"),"")</f>
        <v/>
      </c>
      <c r="AC3" t="str">
        <f>IFERROR(__xludf.DUMMYFUNCTION("IFERROR(FILTER('Fund Data'!$D:$D, 'Fund Data'!$C:$C = $A3, 'Fund Data'!$A:$A = AC$1, 'Fund Data'!$B:$B = 12),"""")"),"")</f>
        <v/>
      </c>
      <c r="AD3" t="str">
        <f>IFERROR(__xludf.DUMMYFUNCTION("IFERROR(FILTER('Fund Data'!$D:$D, 'Fund Data'!$C:$C = $A3, 'Fund Data'!$A:$A = AD$1, 'Fund Data'!$B:$B = 12),"""")"),"")</f>
        <v/>
      </c>
      <c r="AE3" t="str">
        <f>IFERROR(__xludf.DUMMYFUNCTION("IFERROR(FILTER('Fund Data'!$D:$D, 'Fund Data'!$C:$C = $A3, 'Fund Data'!$A:$A = AE$1, 'Fund Data'!$B:$B = 12),"""")"),"")</f>
        <v/>
      </c>
    </row>
    <row r="4">
      <c r="A4" s="153" t="str">
        <f>'Endowed Funds'!B:B</f>
        <v>American Indian Initiatives Fund</v>
      </c>
      <c r="B4" t="str">
        <f>IFERROR(__xludf.DUMMYFUNCTION("IFERROR(FILTER('Fund Data'!$D:$D, 'Fund Data'!$C:$C = $A4, 'Fund Data'!$A:$A = B$1, 'Fund Data'!$B:$B = 12),"""")"),"")</f>
        <v/>
      </c>
      <c r="C4" t="str">
        <f>IFERROR(__xludf.DUMMYFUNCTION("IFERROR(FILTER('Fund Data'!$D:$D, 'Fund Data'!$C:$C = $A4, 'Fund Data'!$A:$A = C$1, 'Fund Data'!$B:$B = 12),"""")"),"")</f>
        <v/>
      </c>
      <c r="D4" t="str">
        <f>IFERROR(__xludf.DUMMYFUNCTION("IFERROR(FILTER('Fund Data'!$D:$D, 'Fund Data'!$C:$C = $A4, 'Fund Data'!$A:$A = D$1, 'Fund Data'!$B:$B = 12),"""")"),"")</f>
        <v/>
      </c>
      <c r="E4" t="str">
        <f>IFERROR(__xludf.DUMMYFUNCTION("IFERROR(FILTER('Fund Data'!$D:$D, 'Fund Data'!$C:$C = $A4, 'Fund Data'!$A:$A = E$1, 'Fund Data'!$B:$B = 12),"""")"),"")</f>
        <v/>
      </c>
      <c r="F4" t="str">
        <f>IFERROR(__xludf.DUMMYFUNCTION("IFERROR(FILTER('Fund Data'!$D:$D, 'Fund Data'!$C:$C = $A4, 'Fund Data'!$A:$A = F$1, 'Fund Data'!$B:$B = 12),"""")"),"")</f>
        <v/>
      </c>
      <c r="G4" t="str">
        <f>IFERROR(__xludf.DUMMYFUNCTION("IFERROR(FILTER('Fund Data'!$D:$D, 'Fund Data'!$C:$C = $A4, 'Fund Data'!$A:$A = G$1, 'Fund Data'!$B:$B = 12),"""")"),"")</f>
        <v/>
      </c>
      <c r="H4" t="str">
        <f>IFERROR(__xludf.DUMMYFUNCTION("IFERROR(FILTER('Fund Data'!$D:$D, 'Fund Data'!$C:$C = $A4, 'Fund Data'!$A:$A = H$1, 'Fund Data'!$B:$B = 12),"""")"),"")</f>
        <v/>
      </c>
      <c r="I4" t="str">
        <f>IFERROR(__xludf.DUMMYFUNCTION("IFERROR(FILTER('Fund Data'!$D:$D, 'Fund Data'!$C:$C = $A4, 'Fund Data'!$A:$A = I$1, 'Fund Data'!$B:$B = 12),"""")"),"")</f>
        <v/>
      </c>
      <c r="J4" t="str">
        <f>IFERROR(__xludf.DUMMYFUNCTION("IFERROR(FILTER('Fund Data'!$D:$D, 'Fund Data'!$C:$C = $A4, 'Fund Data'!$A:$A = J$1, 'Fund Data'!$B:$B = 12),"""")"),"")</f>
        <v/>
      </c>
      <c r="K4" t="str">
        <f>IFERROR(__xludf.DUMMYFUNCTION("IFERROR(FILTER('Fund Data'!$D:$D, 'Fund Data'!$C:$C = $A4, 'Fund Data'!$A:$A = K$1, 'Fund Data'!$B:$B = 12),"""")"),"")</f>
        <v/>
      </c>
      <c r="L4">
        <f>IFERROR(__xludf.DUMMYFUNCTION("IFERROR(FILTER('Fund Data'!$D:$D, 'Fund Data'!$C:$C = $A4, 'Fund Data'!$A:$A = L$1, 'Fund Data'!$B:$B = 12),"""")"),20000.0)</f>
        <v>20000</v>
      </c>
      <c r="M4">
        <f>IFERROR(__xludf.DUMMYFUNCTION("IFERROR(FILTER('Fund Data'!$D:$D, 'Fund Data'!$C:$C = $A4, 'Fund Data'!$A:$A = M$1, 'Fund Data'!$B:$B = 12),"""")"),11000.0)</f>
        <v>11000</v>
      </c>
      <c r="N4">
        <f>IFERROR(__xludf.DUMMYFUNCTION("IFERROR(FILTER('Fund Data'!$D:$D, 'Fund Data'!$C:$C = $A4, 'Fund Data'!$A:$A = N$1, 'Fund Data'!$B:$B = 12),"""")"),10000.0)</f>
        <v>10000</v>
      </c>
      <c r="O4">
        <f>IFERROR(__xludf.DUMMYFUNCTION("IFERROR(FILTER('Fund Data'!$D:$D, 'Fund Data'!$C:$C = $A4, 'Fund Data'!$A:$A = O$1, 'Fund Data'!$B:$B = 12),"""")"),10000.0)</f>
        <v>10000</v>
      </c>
      <c r="P4">
        <f>IFERROR(__xludf.DUMMYFUNCTION("IFERROR(FILTER('Fund Data'!$D:$D, 'Fund Data'!$C:$C = $A4, 'Fund Data'!$A:$A = P$1, 'Fund Data'!$B:$B = 12),"""")"),10000.0)</f>
        <v>10000</v>
      </c>
      <c r="Q4">
        <f>IFERROR(__xludf.DUMMYFUNCTION("IFERROR(FILTER('Fund Data'!$D:$D, 'Fund Data'!$C:$C = $A4, 'Fund Data'!$A:$A = Q$1, 'Fund Data'!$B:$B = 12),"""")"),10000.0)</f>
        <v>10000</v>
      </c>
      <c r="R4" t="str">
        <f>IFERROR(__xludf.DUMMYFUNCTION("IFERROR(FILTER('Fund Data'!$D:$D, 'Fund Data'!$C:$C = $A4, 'Fund Data'!$A:$A = R$1, 'Fund Data'!$B:$B = 12),"""")"),"")</f>
        <v/>
      </c>
      <c r="S4" t="str">
        <f>IFERROR(__xludf.DUMMYFUNCTION("IFERROR(FILTER('Fund Data'!$D:$D, 'Fund Data'!$C:$C = $A4, 'Fund Data'!$A:$A = S$1, 'Fund Data'!$B:$B = 12),"""")"),"")</f>
        <v/>
      </c>
      <c r="T4" t="str">
        <f>IFERROR(__xludf.DUMMYFUNCTION("IFERROR(FILTER('Fund Data'!$D:$D, 'Fund Data'!$C:$C = $A4, 'Fund Data'!$A:$A = T$1, 'Fund Data'!$B:$B = 12),"""")"),"")</f>
        <v/>
      </c>
      <c r="U4" t="str">
        <f>IFERROR(__xludf.DUMMYFUNCTION("IFERROR(FILTER('Fund Data'!$D:$D, 'Fund Data'!$C:$C = $A4, 'Fund Data'!$A:$A = U$1, 'Fund Data'!$B:$B = 12),"""")"),"")</f>
        <v/>
      </c>
      <c r="V4" t="str">
        <f>IFERROR(__xludf.DUMMYFUNCTION("IFERROR(FILTER('Fund Data'!$D:$D, 'Fund Data'!$C:$C = $A4, 'Fund Data'!$A:$A = V$1, 'Fund Data'!$B:$B = 12),"""")"),"")</f>
        <v/>
      </c>
      <c r="W4" t="str">
        <f>IFERROR(__xludf.DUMMYFUNCTION("IFERROR(FILTER('Fund Data'!$D:$D, 'Fund Data'!$C:$C = $A4, 'Fund Data'!$A:$A = W$1, 'Fund Data'!$B:$B = 12),"""")"),"")</f>
        <v/>
      </c>
      <c r="X4" t="str">
        <f>IFERROR(__xludf.DUMMYFUNCTION("IFERROR(FILTER('Fund Data'!$D:$D, 'Fund Data'!$C:$C = $A4, 'Fund Data'!$A:$A = X$1, 'Fund Data'!$B:$B = 12),"""")"),"")</f>
        <v/>
      </c>
      <c r="Y4" t="str">
        <f>IFERROR(__xludf.DUMMYFUNCTION("IFERROR(FILTER('Fund Data'!$D:$D, 'Fund Data'!$C:$C = $A4, 'Fund Data'!$A:$A = Y$1, 'Fund Data'!$B:$B = 12),"""")"),"")</f>
        <v/>
      </c>
      <c r="Z4">
        <f>IFERROR(__xludf.DUMMYFUNCTION("IFERROR(FILTER('Fund Data'!$D:$D, 'Fund Data'!$C:$C = $A4, 'Fund Data'!$A:$A = Z$1, 'Fund Data'!$B:$B = 12),"""")"),10000.0)</f>
        <v>10000</v>
      </c>
      <c r="AA4" t="str">
        <f>IFERROR(__xludf.DUMMYFUNCTION("IFERROR(FILTER('Fund Data'!$D:$D, 'Fund Data'!$C:$C = $A4, 'Fund Data'!$A:$A = AA$1, 'Fund Data'!$B:$B = 12),"""")"),"")</f>
        <v/>
      </c>
      <c r="AB4" t="str">
        <f>IFERROR(__xludf.DUMMYFUNCTION("IFERROR(FILTER('Fund Data'!$D:$D, 'Fund Data'!$C:$C = $A4, 'Fund Data'!$A:$A = AB$1, 'Fund Data'!$B:$B = 12),"""")"),"")</f>
        <v/>
      </c>
      <c r="AC4" t="str">
        <f>IFERROR(__xludf.DUMMYFUNCTION("IFERROR(FILTER('Fund Data'!$D:$D, 'Fund Data'!$C:$C = $A4, 'Fund Data'!$A:$A = AC$1, 'Fund Data'!$B:$B = 12),"""")"),"")</f>
        <v/>
      </c>
      <c r="AD4" t="str">
        <f>IFERROR(__xludf.DUMMYFUNCTION("IFERROR(FILTER('Fund Data'!$D:$D, 'Fund Data'!$C:$C = $A4, 'Fund Data'!$A:$A = AD$1, 'Fund Data'!$B:$B = 12),"""")"),"")</f>
        <v/>
      </c>
      <c r="AE4" t="str">
        <f>IFERROR(__xludf.DUMMYFUNCTION("IFERROR(FILTER('Fund Data'!$D:$D, 'Fund Data'!$C:$C = $A4, 'Fund Data'!$A:$A = AE$1, 'Fund Data'!$B:$B = 12),"""")"),"")</f>
        <v/>
      </c>
    </row>
    <row r="5">
      <c r="A5" s="153" t="str">
        <f>'Endowed Funds'!B:B</f>
        <v>Board Designated Fund</v>
      </c>
      <c r="B5" t="str">
        <f>IFERROR(__xludf.DUMMYFUNCTION("IFERROR(FILTER('Fund Data'!$D:$D, 'Fund Data'!$C:$C = $A5, 'Fund Data'!$A:$A = B$1, 'Fund Data'!$B:$B = 12),"""")"),"")</f>
        <v/>
      </c>
      <c r="C5" t="str">
        <f>IFERROR(__xludf.DUMMYFUNCTION("IFERROR(FILTER('Fund Data'!$D:$D, 'Fund Data'!$C:$C = $A5, 'Fund Data'!$A:$A = C$1, 'Fund Data'!$B:$B = 12),"""")"),"")</f>
        <v/>
      </c>
      <c r="D5" t="str">
        <f>IFERROR(__xludf.DUMMYFUNCTION("IFERROR(FILTER('Fund Data'!$D:$D, 'Fund Data'!$C:$C = $A5, 'Fund Data'!$A:$A = D$1, 'Fund Data'!$B:$B = 12),"""")"),"")</f>
        <v/>
      </c>
      <c r="E5" t="str">
        <f>IFERROR(__xludf.DUMMYFUNCTION("IFERROR(FILTER('Fund Data'!$D:$D, 'Fund Data'!$C:$C = $A5, 'Fund Data'!$A:$A = E$1, 'Fund Data'!$B:$B = 12),"""")"),"")</f>
        <v/>
      </c>
      <c r="F5" t="str">
        <f>IFERROR(__xludf.DUMMYFUNCTION("IFERROR(FILTER('Fund Data'!$D:$D, 'Fund Data'!$C:$C = $A5, 'Fund Data'!$A:$A = F$1, 'Fund Data'!$B:$B = 12),"""")"),"")</f>
        <v/>
      </c>
      <c r="G5" t="str">
        <f>IFERROR(__xludf.DUMMYFUNCTION("IFERROR(FILTER('Fund Data'!$D:$D, 'Fund Data'!$C:$C = $A5, 'Fund Data'!$A:$A = G$1, 'Fund Data'!$B:$B = 12),"""")"),"")</f>
        <v/>
      </c>
      <c r="H5" t="str">
        <f>IFERROR(__xludf.DUMMYFUNCTION("IFERROR(FILTER('Fund Data'!$D:$D, 'Fund Data'!$C:$C = $A5, 'Fund Data'!$A:$A = H$1, 'Fund Data'!$B:$B = 12),"""")"),"")</f>
        <v/>
      </c>
      <c r="I5" t="str">
        <f>IFERROR(__xludf.DUMMYFUNCTION("IFERROR(FILTER('Fund Data'!$D:$D, 'Fund Data'!$C:$C = $A5, 'Fund Data'!$A:$A = I$1, 'Fund Data'!$B:$B = 12),"""")"),"")</f>
        <v/>
      </c>
      <c r="J5" t="str">
        <f>IFERROR(__xludf.DUMMYFUNCTION("IFERROR(FILTER('Fund Data'!$D:$D, 'Fund Data'!$C:$C = $A5, 'Fund Data'!$A:$A = J$1, 'Fund Data'!$B:$B = 12),"""")"),"")</f>
        <v/>
      </c>
      <c r="K5" t="str">
        <f>IFERROR(__xludf.DUMMYFUNCTION("IFERROR(FILTER('Fund Data'!$D:$D, 'Fund Data'!$C:$C = $A5, 'Fund Data'!$A:$A = K$1, 'Fund Data'!$B:$B = 12),"""")"),"")</f>
        <v/>
      </c>
      <c r="L5" t="str">
        <f>IFERROR(__xludf.DUMMYFUNCTION("IFERROR(FILTER('Fund Data'!$D:$D, 'Fund Data'!$C:$C = $A5, 'Fund Data'!$A:$A = L$1, 'Fund Data'!$B:$B = 12),"""")"),"")</f>
        <v/>
      </c>
      <c r="M5" t="str">
        <f>IFERROR(__xludf.DUMMYFUNCTION("IFERROR(FILTER('Fund Data'!$D:$D, 'Fund Data'!$C:$C = $A5, 'Fund Data'!$A:$A = M$1, 'Fund Data'!$B:$B = 12),"""")"),"")</f>
        <v/>
      </c>
      <c r="N5" t="str">
        <f>IFERROR(__xludf.DUMMYFUNCTION("IFERROR(FILTER('Fund Data'!$D:$D, 'Fund Data'!$C:$C = $A5, 'Fund Data'!$A:$A = N$1, 'Fund Data'!$B:$B = 12),"""")"),"")</f>
        <v/>
      </c>
      <c r="O5" t="str">
        <f>IFERROR(__xludf.DUMMYFUNCTION("IFERROR(FILTER('Fund Data'!$D:$D, 'Fund Data'!$C:$C = $A5, 'Fund Data'!$A:$A = O$1, 'Fund Data'!$B:$B = 12),"""")"),"")</f>
        <v/>
      </c>
      <c r="P5" t="str">
        <f>IFERROR(__xludf.DUMMYFUNCTION("IFERROR(FILTER('Fund Data'!$D:$D, 'Fund Data'!$C:$C = $A5, 'Fund Data'!$A:$A = P$1, 'Fund Data'!$B:$B = 12),"""")"),"")</f>
        <v/>
      </c>
      <c r="Q5" t="str">
        <f>IFERROR(__xludf.DUMMYFUNCTION("IFERROR(FILTER('Fund Data'!$D:$D, 'Fund Data'!$C:$C = $A5, 'Fund Data'!$A:$A = Q$1, 'Fund Data'!$B:$B = 12),"""")"),"")</f>
        <v/>
      </c>
      <c r="R5" t="str">
        <f>IFERROR(__xludf.DUMMYFUNCTION("IFERROR(FILTER('Fund Data'!$D:$D, 'Fund Data'!$C:$C = $A5, 'Fund Data'!$A:$A = R$1, 'Fund Data'!$B:$B = 12),"""")"),"")</f>
        <v/>
      </c>
      <c r="S5" t="str">
        <f>IFERROR(__xludf.DUMMYFUNCTION("IFERROR(FILTER('Fund Data'!$D:$D, 'Fund Data'!$C:$C = $A5, 'Fund Data'!$A:$A = S$1, 'Fund Data'!$B:$B = 12),"""")"),"")</f>
        <v/>
      </c>
      <c r="T5" t="str">
        <f>IFERROR(__xludf.DUMMYFUNCTION("IFERROR(FILTER('Fund Data'!$D:$D, 'Fund Data'!$C:$C = $A5, 'Fund Data'!$A:$A = T$1, 'Fund Data'!$B:$B = 12),"""")"),"")</f>
        <v/>
      </c>
      <c r="U5" t="str">
        <f>IFERROR(__xludf.DUMMYFUNCTION("IFERROR(FILTER('Fund Data'!$D:$D, 'Fund Data'!$C:$C = $A5, 'Fund Data'!$A:$A = U$1, 'Fund Data'!$B:$B = 12),"""")"),"")</f>
        <v/>
      </c>
      <c r="V5" t="str">
        <f>IFERROR(__xludf.DUMMYFUNCTION("IFERROR(FILTER('Fund Data'!$D:$D, 'Fund Data'!$C:$C = $A5, 'Fund Data'!$A:$A = V$1, 'Fund Data'!$B:$B = 12),"""")"),"")</f>
        <v/>
      </c>
      <c r="W5" t="str">
        <f>IFERROR(__xludf.DUMMYFUNCTION("IFERROR(FILTER('Fund Data'!$D:$D, 'Fund Data'!$C:$C = $A5, 'Fund Data'!$A:$A = W$1, 'Fund Data'!$B:$B = 12),"""")"),"")</f>
        <v/>
      </c>
      <c r="X5">
        <f>IFERROR(__xludf.DUMMYFUNCTION("IFERROR(FILTER('Fund Data'!$D:$D, 'Fund Data'!$C:$C = $A5, 'Fund Data'!$A:$A = X$1, 'Fund Data'!$B:$B = 12),"""")"),946968.0)</f>
        <v>946968</v>
      </c>
      <c r="Y5" t="str">
        <f>IFERROR(__xludf.DUMMYFUNCTION("IFERROR(FILTER('Fund Data'!$D:$D, 'Fund Data'!$C:$C = $A5, 'Fund Data'!$A:$A = Y$1, 'Fund Data'!$B:$B = 12),"""")"),"")</f>
        <v/>
      </c>
      <c r="Z5" t="str">
        <f>IFERROR(__xludf.DUMMYFUNCTION("IFERROR(FILTER('Fund Data'!$D:$D, 'Fund Data'!$C:$C = $A5, 'Fund Data'!$A:$A = Z$1, 'Fund Data'!$B:$B = 12),"""")"),"")</f>
        <v/>
      </c>
      <c r="AA5">
        <f>IFERROR(__xludf.DUMMYFUNCTION("IFERROR(FILTER('Fund Data'!$D:$D, 'Fund Data'!$C:$C = $A5, 'Fund Data'!$A:$A = AA$1, 'Fund Data'!$B:$B = 12),"""")"),424200.0)</f>
        <v>424200</v>
      </c>
      <c r="AB5" t="str">
        <f>IFERROR(__xludf.DUMMYFUNCTION("IFERROR(FILTER('Fund Data'!$D:$D, 'Fund Data'!$C:$C = $A5, 'Fund Data'!$A:$A = AB$1, 'Fund Data'!$B:$B = 12),"""")"),"")</f>
        <v/>
      </c>
      <c r="AC5" t="str">
        <f>IFERROR(__xludf.DUMMYFUNCTION("IFERROR(FILTER('Fund Data'!$D:$D, 'Fund Data'!$C:$C = $A5, 'Fund Data'!$A:$A = AC$1, 'Fund Data'!$B:$B = 12),"""")"),"")</f>
        <v/>
      </c>
      <c r="AD5" t="str">
        <f>IFERROR(__xludf.DUMMYFUNCTION("IFERROR(FILTER('Fund Data'!$D:$D, 'Fund Data'!$C:$C = $A5, 'Fund Data'!$A:$A = AD$1, 'Fund Data'!$B:$B = 12),"""")"),"")</f>
        <v/>
      </c>
      <c r="AE5" t="str">
        <f>IFERROR(__xludf.DUMMYFUNCTION("IFERROR(FILTER('Fund Data'!$D:$D, 'Fund Data'!$C:$C = $A5, 'Fund Data'!$A:$A = AE$1, 'Fund Data'!$B:$B = 12),"""")"),"")</f>
        <v/>
      </c>
    </row>
    <row r="6">
      <c r="A6" s="153" t="str">
        <f>'Endowed Funds'!B:B</f>
        <v>C. Paul Johnson Family Fund</v>
      </c>
      <c r="B6" t="str">
        <f>IFERROR(__xludf.DUMMYFUNCTION("IFERROR(FILTER('Fund Data'!$D:$D, 'Fund Data'!$C:$C = $A6, 'Fund Data'!$A:$A = B$1, 'Fund Data'!$B:$B = 12),"""")"),"")</f>
        <v/>
      </c>
      <c r="C6" t="str">
        <f>IFERROR(__xludf.DUMMYFUNCTION("IFERROR(FILTER('Fund Data'!$D:$D, 'Fund Data'!$C:$C = $A6, 'Fund Data'!$A:$A = C$1, 'Fund Data'!$B:$B = 12),"""")"),"")</f>
        <v/>
      </c>
      <c r="D6" t="str">
        <f>IFERROR(__xludf.DUMMYFUNCTION("IFERROR(FILTER('Fund Data'!$D:$D, 'Fund Data'!$C:$C = $A6, 'Fund Data'!$A:$A = D$1, 'Fund Data'!$B:$B = 12),"""")"),"")</f>
        <v/>
      </c>
      <c r="E6" t="str">
        <f>IFERROR(__xludf.DUMMYFUNCTION("IFERROR(FILTER('Fund Data'!$D:$D, 'Fund Data'!$C:$C = $A6, 'Fund Data'!$A:$A = E$1, 'Fund Data'!$B:$B = 12),"""")"),"")</f>
        <v/>
      </c>
      <c r="F6" t="str">
        <f>IFERROR(__xludf.DUMMYFUNCTION("IFERROR(FILTER('Fund Data'!$D:$D, 'Fund Data'!$C:$C = $A6, 'Fund Data'!$A:$A = F$1, 'Fund Data'!$B:$B = 12),"""")"),"")</f>
        <v/>
      </c>
      <c r="G6" t="str">
        <f>IFERROR(__xludf.DUMMYFUNCTION("IFERROR(FILTER('Fund Data'!$D:$D, 'Fund Data'!$C:$C = $A6, 'Fund Data'!$A:$A = G$1, 'Fund Data'!$B:$B = 12),"""")"),"")</f>
        <v/>
      </c>
      <c r="H6" t="str">
        <f>IFERROR(__xludf.DUMMYFUNCTION("IFERROR(FILTER('Fund Data'!$D:$D, 'Fund Data'!$C:$C = $A6, 'Fund Data'!$A:$A = H$1, 'Fund Data'!$B:$B = 12),"""")"),"")</f>
        <v/>
      </c>
      <c r="I6" t="str">
        <f>IFERROR(__xludf.DUMMYFUNCTION("IFERROR(FILTER('Fund Data'!$D:$D, 'Fund Data'!$C:$C = $A6, 'Fund Data'!$A:$A = I$1, 'Fund Data'!$B:$B = 12),"""")"),"")</f>
        <v/>
      </c>
      <c r="J6" t="str">
        <f>IFERROR(__xludf.DUMMYFUNCTION("IFERROR(FILTER('Fund Data'!$D:$D, 'Fund Data'!$C:$C = $A6, 'Fund Data'!$A:$A = J$1, 'Fund Data'!$B:$B = 12),"""")"),"")</f>
        <v/>
      </c>
      <c r="K6" t="str">
        <f>IFERROR(__xludf.DUMMYFUNCTION("IFERROR(FILTER('Fund Data'!$D:$D, 'Fund Data'!$C:$C = $A6, 'Fund Data'!$A:$A = K$1, 'Fund Data'!$B:$B = 12),"""")"),"")</f>
        <v/>
      </c>
      <c r="L6">
        <f>IFERROR(__xludf.DUMMYFUNCTION("IFERROR(FILTER('Fund Data'!$D:$D, 'Fund Data'!$C:$C = $A6, 'Fund Data'!$A:$A = L$1, 'Fund Data'!$B:$B = 12),"""")"),174527.73)</f>
        <v>174527.73</v>
      </c>
      <c r="M6">
        <f>IFERROR(__xludf.DUMMYFUNCTION("IFERROR(FILTER('Fund Data'!$D:$D, 'Fund Data'!$C:$C = $A6, 'Fund Data'!$A:$A = M$1, 'Fund Data'!$B:$B = 12),"""")"),181319.5)</f>
        <v>181319.5</v>
      </c>
      <c r="N6">
        <f>IFERROR(__xludf.DUMMYFUNCTION("IFERROR(FILTER('Fund Data'!$D:$D, 'Fund Data'!$C:$C = $A6, 'Fund Data'!$A:$A = N$1, 'Fund Data'!$B:$B = 12),"""")"),300046.84)</f>
        <v>300046.84</v>
      </c>
      <c r="O6">
        <f>IFERROR(__xludf.DUMMYFUNCTION("IFERROR(FILTER('Fund Data'!$D:$D, 'Fund Data'!$C:$C = $A6, 'Fund Data'!$A:$A = O$1, 'Fund Data'!$B:$B = 12),"""")"),296089.0)</f>
        <v>296089</v>
      </c>
      <c r="P6">
        <f>IFERROR(__xludf.DUMMYFUNCTION("IFERROR(FILTER('Fund Data'!$D:$D, 'Fund Data'!$C:$C = $A6, 'Fund Data'!$A:$A = P$1, 'Fund Data'!$B:$B = 12),"""")"),509358.07)</f>
        <v>509358.07</v>
      </c>
      <c r="Q6" t="str">
        <f>IFERROR(__xludf.DUMMYFUNCTION("IFERROR(FILTER('Fund Data'!$D:$D, 'Fund Data'!$C:$C = $A6, 'Fund Data'!$A:$A = Q$1, 'Fund Data'!$B:$B = 12),"""")"),"")</f>
        <v/>
      </c>
      <c r="R6">
        <f>IFERROR(__xludf.DUMMYFUNCTION("IFERROR(FILTER('Fund Data'!$D:$D, 'Fund Data'!$C:$C = $A6, 'Fund Data'!$A:$A = R$1, 'Fund Data'!$B:$B = 12),"""")"),744697.59)</f>
        <v>744697.59</v>
      </c>
      <c r="S6">
        <f>IFERROR(__xludf.DUMMYFUNCTION("IFERROR(FILTER('Fund Data'!$D:$D, 'Fund Data'!$C:$C = $A6, 'Fund Data'!$A:$A = S$1, 'Fund Data'!$B:$B = 12),"""")"),451052.52)</f>
        <v>451052.52</v>
      </c>
      <c r="T6">
        <f>IFERROR(__xludf.DUMMYFUNCTION("IFERROR(FILTER('Fund Data'!$D:$D, 'Fund Data'!$C:$C = $A6, 'Fund Data'!$A:$A = T$1, 'Fund Data'!$B:$B = 12),"""")"),303000.0)</f>
        <v>303000</v>
      </c>
      <c r="U6" t="str">
        <f>IFERROR(__xludf.DUMMYFUNCTION("IFERROR(FILTER('Fund Data'!$D:$D, 'Fund Data'!$C:$C = $A6, 'Fund Data'!$A:$A = U$1, 'Fund Data'!$B:$B = 12),"""")"),"")</f>
        <v/>
      </c>
      <c r="V6" t="str">
        <f>IFERROR(__xludf.DUMMYFUNCTION("IFERROR(FILTER('Fund Data'!$D:$D, 'Fund Data'!$C:$C = $A6, 'Fund Data'!$A:$A = V$1, 'Fund Data'!$B:$B = 12),"""")"),"")</f>
        <v/>
      </c>
      <c r="W6" t="str">
        <f>IFERROR(__xludf.DUMMYFUNCTION("IFERROR(FILTER('Fund Data'!$D:$D, 'Fund Data'!$C:$C = $A6, 'Fund Data'!$A:$A = W$1, 'Fund Data'!$B:$B = 12),"""")"),"")</f>
        <v/>
      </c>
      <c r="X6" t="str">
        <f>IFERROR(__xludf.DUMMYFUNCTION("IFERROR(FILTER('Fund Data'!$D:$D, 'Fund Data'!$C:$C = $A6, 'Fund Data'!$A:$A = X$1, 'Fund Data'!$B:$B = 12),"""")"),"")</f>
        <v/>
      </c>
      <c r="Y6" t="str">
        <f>IFERROR(__xludf.DUMMYFUNCTION("IFERROR(FILTER('Fund Data'!$D:$D, 'Fund Data'!$C:$C = $A6, 'Fund Data'!$A:$A = Y$1, 'Fund Data'!$B:$B = 12),"""")"),"")</f>
        <v/>
      </c>
      <c r="Z6" t="str">
        <f>IFERROR(__xludf.DUMMYFUNCTION("IFERROR(FILTER('Fund Data'!$D:$D, 'Fund Data'!$C:$C = $A6, 'Fund Data'!$A:$A = Z$1, 'Fund Data'!$B:$B = 12),"""")"),"")</f>
        <v/>
      </c>
      <c r="AA6" t="str">
        <f>IFERROR(__xludf.DUMMYFUNCTION("IFERROR(FILTER('Fund Data'!$D:$D, 'Fund Data'!$C:$C = $A6, 'Fund Data'!$A:$A = AA$1, 'Fund Data'!$B:$B = 12),"""")"),"")</f>
        <v/>
      </c>
      <c r="AB6" t="str">
        <f>IFERROR(__xludf.DUMMYFUNCTION("IFERROR(FILTER('Fund Data'!$D:$D, 'Fund Data'!$C:$C = $A6, 'Fund Data'!$A:$A = AB$1, 'Fund Data'!$B:$B = 12),"""")"),"")</f>
        <v/>
      </c>
      <c r="AC6" t="str">
        <f>IFERROR(__xludf.DUMMYFUNCTION("IFERROR(FILTER('Fund Data'!$D:$D, 'Fund Data'!$C:$C = $A6, 'Fund Data'!$A:$A = AC$1, 'Fund Data'!$B:$B = 12),"""")"),"")</f>
        <v/>
      </c>
      <c r="AD6" t="str">
        <f>IFERROR(__xludf.DUMMYFUNCTION("IFERROR(FILTER('Fund Data'!$D:$D, 'Fund Data'!$C:$C = $A6, 'Fund Data'!$A:$A = AD$1, 'Fund Data'!$B:$B = 12),"""")"),"")</f>
        <v/>
      </c>
      <c r="AE6" t="str">
        <f>IFERROR(__xludf.DUMMYFUNCTION("IFERROR(FILTER('Fund Data'!$D:$D, 'Fund Data'!$C:$C = $A6, 'Fund Data'!$A:$A = AE$1, 'Fund Data'!$B:$B = 12),"""")"),"")</f>
        <v/>
      </c>
    </row>
    <row r="7">
      <c r="A7" s="153" t="str">
        <f>'Endowed Funds'!B:B</f>
        <v>Dorothy Warner McEachren Memorial Trust</v>
      </c>
      <c r="B7" t="str">
        <f>IFERROR(__xludf.DUMMYFUNCTION("IFERROR(FILTER('Fund Data'!$D:$D, 'Fund Data'!$C:$C = $A7, 'Fund Data'!$A:$A = B$1, 'Fund Data'!$B:$B = 12),"""")"),"")</f>
        <v/>
      </c>
      <c r="C7" t="str">
        <f>IFERROR(__xludf.DUMMYFUNCTION("IFERROR(FILTER('Fund Data'!$D:$D, 'Fund Data'!$C:$C = $A7, 'Fund Data'!$A:$A = C$1, 'Fund Data'!$B:$B = 12),"""")"),"")</f>
        <v/>
      </c>
      <c r="D7" t="str">
        <f>IFERROR(__xludf.DUMMYFUNCTION("IFERROR(FILTER('Fund Data'!$D:$D, 'Fund Data'!$C:$C = $A7, 'Fund Data'!$A:$A = D$1, 'Fund Data'!$B:$B = 12),"""")"),"")</f>
        <v/>
      </c>
      <c r="E7" t="str">
        <f>IFERROR(__xludf.DUMMYFUNCTION("IFERROR(FILTER('Fund Data'!$D:$D, 'Fund Data'!$C:$C = $A7, 'Fund Data'!$A:$A = E$1, 'Fund Data'!$B:$B = 12),"""")"),"")</f>
        <v/>
      </c>
      <c r="F7" t="str">
        <f>IFERROR(__xludf.DUMMYFUNCTION("IFERROR(FILTER('Fund Data'!$D:$D, 'Fund Data'!$C:$C = $A7, 'Fund Data'!$A:$A = F$1, 'Fund Data'!$B:$B = 12),"""")"),"")</f>
        <v/>
      </c>
      <c r="G7" t="str">
        <f>IFERROR(__xludf.DUMMYFUNCTION("IFERROR(FILTER('Fund Data'!$D:$D, 'Fund Data'!$C:$C = $A7, 'Fund Data'!$A:$A = G$1, 'Fund Data'!$B:$B = 12),"""")"),"")</f>
        <v/>
      </c>
      <c r="H7" t="str">
        <f>IFERROR(__xludf.DUMMYFUNCTION("IFERROR(FILTER('Fund Data'!$D:$D, 'Fund Data'!$C:$C = $A7, 'Fund Data'!$A:$A = H$1, 'Fund Data'!$B:$B = 12),"""")"),"")</f>
        <v/>
      </c>
      <c r="I7" t="str">
        <f>IFERROR(__xludf.DUMMYFUNCTION("IFERROR(FILTER('Fund Data'!$D:$D, 'Fund Data'!$C:$C = $A7, 'Fund Data'!$A:$A = I$1, 'Fund Data'!$B:$B = 12),"""")"),"")</f>
        <v/>
      </c>
      <c r="J7" t="str">
        <f>IFERROR(__xludf.DUMMYFUNCTION("IFERROR(FILTER('Fund Data'!$D:$D, 'Fund Data'!$C:$C = $A7, 'Fund Data'!$A:$A = J$1, 'Fund Data'!$B:$B = 12),"""")"),"")</f>
        <v/>
      </c>
      <c r="K7" t="str">
        <f>IFERROR(__xludf.DUMMYFUNCTION("IFERROR(FILTER('Fund Data'!$D:$D, 'Fund Data'!$C:$C = $A7, 'Fund Data'!$A:$A = K$1, 'Fund Data'!$B:$B = 12),"""")"),"")</f>
        <v/>
      </c>
      <c r="L7" t="str">
        <f>IFERROR(__xludf.DUMMYFUNCTION("IFERROR(FILTER('Fund Data'!$D:$D, 'Fund Data'!$C:$C = $A7, 'Fund Data'!$A:$A = L$1, 'Fund Data'!$B:$B = 12),"""")"),"")</f>
        <v/>
      </c>
      <c r="M7" t="str">
        <f>IFERROR(__xludf.DUMMYFUNCTION("IFERROR(FILTER('Fund Data'!$D:$D, 'Fund Data'!$C:$C = $A7, 'Fund Data'!$A:$A = M$1, 'Fund Data'!$B:$B = 12),"""")"),"")</f>
        <v/>
      </c>
      <c r="N7" t="str">
        <f>IFERROR(__xludf.DUMMYFUNCTION("IFERROR(FILTER('Fund Data'!$D:$D, 'Fund Data'!$C:$C = $A7, 'Fund Data'!$A:$A = N$1, 'Fund Data'!$B:$B = 12),"""")"),"")</f>
        <v/>
      </c>
      <c r="O7" t="str">
        <f>IFERROR(__xludf.DUMMYFUNCTION("IFERROR(FILTER('Fund Data'!$D:$D, 'Fund Data'!$C:$C = $A7, 'Fund Data'!$A:$A = O$1, 'Fund Data'!$B:$B = 12),"""")"),"")</f>
        <v/>
      </c>
      <c r="P7" t="str">
        <f>IFERROR(__xludf.DUMMYFUNCTION("IFERROR(FILTER('Fund Data'!$D:$D, 'Fund Data'!$C:$C = $A7, 'Fund Data'!$A:$A = P$1, 'Fund Data'!$B:$B = 12),"""")"),"")</f>
        <v/>
      </c>
      <c r="Q7" t="str">
        <f>IFERROR(__xludf.DUMMYFUNCTION("IFERROR(FILTER('Fund Data'!$D:$D, 'Fund Data'!$C:$C = $A7, 'Fund Data'!$A:$A = Q$1, 'Fund Data'!$B:$B = 12),"""")"),"")</f>
        <v/>
      </c>
      <c r="R7">
        <f>IFERROR(__xludf.DUMMYFUNCTION("IFERROR(FILTER('Fund Data'!$D:$D, 'Fund Data'!$C:$C = $A7, 'Fund Data'!$A:$A = R$1, 'Fund Data'!$B:$B = 12),"""")"),366400.0)</f>
        <v>366400</v>
      </c>
      <c r="S7" t="str">
        <f>IFERROR(__xludf.DUMMYFUNCTION("IFERROR(FILTER('Fund Data'!$D:$D, 'Fund Data'!$C:$C = $A7, 'Fund Data'!$A:$A = S$1, 'Fund Data'!$B:$B = 12),"""")"),"")</f>
        <v/>
      </c>
      <c r="T7" t="str">
        <f>IFERROR(__xludf.DUMMYFUNCTION("IFERROR(FILTER('Fund Data'!$D:$D, 'Fund Data'!$C:$C = $A7, 'Fund Data'!$A:$A = T$1, 'Fund Data'!$B:$B = 12),"""")"),"")</f>
        <v/>
      </c>
      <c r="U7" t="str">
        <f>IFERROR(__xludf.DUMMYFUNCTION("IFERROR(FILTER('Fund Data'!$D:$D, 'Fund Data'!$C:$C = $A7, 'Fund Data'!$A:$A = U$1, 'Fund Data'!$B:$B = 12),"""")"),"")</f>
        <v/>
      </c>
      <c r="V7" t="str">
        <f>IFERROR(__xludf.DUMMYFUNCTION("IFERROR(FILTER('Fund Data'!$D:$D, 'Fund Data'!$C:$C = $A7, 'Fund Data'!$A:$A = V$1, 'Fund Data'!$B:$B = 12),"""")"),"")</f>
        <v/>
      </c>
      <c r="W7" t="str">
        <f>IFERROR(__xludf.DUMMYFUNCTION("IFERROR(FILTER('Fund Data'!$D:$D, 'Fund Data'!$C:$C = $A7, 'Fund Data'!$A:$A = W$1, 'Fund Data'!$B:$B = 12),"""")"),"")</f>
        <v/>
      </c>
      <c r="X7" t="str">
        <f>IFERROR(__xludf.DUMMYFUNCTION("IFERROR(FILTER('Fund Data'!$D:$D, 'Fund Data'!$C:$C = $A7, 'Fund Data'!$A:$A = X$1, 'Fund Data'!$B:$B = 12),"""")"),"")</f>
        <v/>
      </c>
      <c r="Y7" t="str">
        <f>IFERROR(__xludf.DUMMYFUNCTION("IFERROR(FILTER('Fund Data'!$D:$D, 'Fund Data'!$C:$C = $A7, 'Fund Data'!$A:$A = Y$1, 'Fund Data'!$B:$B = 12),"""")"),"")</f>
        <v/>
      </c>
      <c r="Z7" t="str">
        <f>IFERROR(__xludf.DUMMYFUNCTION("IFERROR(FILTER('Fund Data'!$D:$D, 'Fund Data'!$C:$C = $A7, 'Fund Data'!$A:$A = Z$1, 'Fund Data'!$B:$B = 12),"""")"),"")</f>
        <v/>
      </c>
      <c r="AA7" t="str">
        <f>IFERROR(__xludf.DUMMYFUNCTION("IFERROR(FILTER('Fund Data'!$D:$D, 'Fund Data'!$C:$C = $A7, 'Fund Data'!$A:$A = AA$1, 'Fund Data'!$B:$B = 12),"""")"),"")</f>
        <v/>
      </c>
      <c r="AB7" t="str">
        <f>IFERROR(__xludf.DUMMYFUNCTION("IFERROR(FILTER('Fund Data'!$D:$D, 'Fund Data'!$C:$C = $A7, 'Fund Data'!$A:$A = AB$1, 'Fund Data'!$B:$B = 12),"""")"),"")</f>
        <v/>
      </c>
      <c r="AC7" t="str">
        <f>IFERROR(__xludf.DUMMYFUNCTION("IFERROR(FILTER('Fund Data'!$D:$D, 'Fund Data'!$C:$C = $A7, 'Fund Data'!$A:$A = AC$1, 'Fund Data'!$B:$B = 12),"""")"),"")</f>
        <v/>
      </c>
      <c r="AD7" t="str">
        <f>IFERROR(__xludf.DUMMYFUNCTION("IFERROR(FILTER('Fund Data'!$D:$D, 'Fund Data'!$C:$C = $A7, 'Fund Data'!$A:$A = AD$1, 'Fund Data'!$B:$B = 12),"""")"),"")</f>
        <v/>
      </c>
      <c r="AE7" t="str">
        <f>IFERROR(__xludf.DUMMYFUNCTION("IFERROR(FILTER('Fund Data'!$D:$D, 'Fund Data'!$C:$C = $A7, 'Fund Data'!$A:$A = AE$1, 'Fund Data'!$B:$B = 12),"""")"),"")</f>
        <v/>
      </c>
    </row>
    <row r="8">
      <c r="A8" s="153" t="str">
        <f>'Endowed Funds'!B:B</f>
        <v>Eleanor &amp; Robert A. McClevey Jr., Chair in Education</v>
      </c>
      <c r="B8" t="str">
        <f>IFERROR(__xludf.DUMMYFUNCTION("IFERROR(FILTER('Fund Data'!$D:$D, 'Fund Data'!$C:$C = $A8, 'Fund Data'!$A:$A = B$1, 'Fund Data'!$B:$B = 12),"""")"),"")</f>
        <v/>
      </c>
      <c r="C8" t="str">
        <f>IFERROR(__xludf.DUMMYFUNCTION("IFERROR(FILTER('Fund Data'!$D:$D, 'Fund Data'!$C:$C = $A8, 'Fund Data'!$A:$A = C$1, 'Fund Data'!$B:$B = 12),"""")"),"")</f>
        <v/>
      </c>
      <c r="D8" t="str">
        <f>IFERROR(__xludf.DUMMYFUNCTION("IFERROR(FILTER('Fund Data'!$D:$D, 'Fund Data'!$C:$C = $A8, 'Fund Data'!$A:$A = D$1, 'Fund Data'!$B:$B = 12),"""")"),"")</f>
        <v/>
      </c>
      <c r="E8" t="str">
        <f>IFERROR(__xludf.DUMMYFUNCTION("IFERROR(FILTER('Fund Data'!$D:$D, 'Fund Data'!$C:$C = $A8, 'Fund Data'!$A:$A = E$1, 'Fund Data'!$B:$B = 12),"""")"),"")</f>
        <v/>
      </c>
      <c r="F8" t="str">
        <f>IFERROR(__xludf.DUMMYFUNCTION("IFERROR(FILTER('Fund Data'!$D:$D, 'Fund Data'!$C:$C = $A8, 'Fund Data'!$A:$A = F$1, 'Fund Data'!$B:$B = 12),"""")"),"")</f>
        <v/>
      </c>
      <c r="G8" t="str">
        <f>IFERROR(__xludf.DUMMYFUNCTION("IFERROR(FILTER('Fund Data'!$D:$D, 'Fund Data'!$C:$C = $A8, 'Fund Data'!$A:$A = G$1, 'Fund Data'!$B:$B = 12),"""")"),"")</f>
        <v/>
      </c>
      <c r="H8" t="str">
        <f>IFERROR(__xludf.DUMMYFUNCTION("IFERROR(FILTER('Fund Data'!$D:$D, 'Fund Data'!$C:$C = $A8, 'Fund Data'!$A:$A = H$1, 'Fund Data'!$B:$B = 12),"""")"),"")</f>
        <v/>
      </c>
      <c r="I8" t="str">
        <f>IFERROR(__xludf.DUMMYFUNCTION("IFERROR(FILTER('Fund Data'!$D:$D, 'Fund Data'!$C:$C = $A8, 'Fund Data'!$A:$A = I$1, 'Fund Data'!$B:$B = 12),"""")"),"")</f>
        <v/>
      </c>
      <c r="J8" t="str">
        <f>IFERROR(__xludf.DUMMYFUNCTION("IFERROR(FILTER('Fund Data'!$D:$D, 'Fund Data'!$C:$C = $A8, 'Fund Data'!$A:$A = J$1, 'Fund Data'!$B:$B = 12),"""")"),"")</f>
        <v/>
      </c>
      <c r="K8" t="str">
        <f>IFERROR(__xludf.DUMMYFUNCTION("IFERROR(FILTER('Fund Data'!$D:$D, 'Fund Data'!$C:$C = $A8, 'Fund Data'!$A:$A = K$1, 'Fund Data'!$B:$B = 12),"""")"),"")</f>
        <v/>
      </c>
      <c r="L8" t="str">
        <f>IFERROR(__xludf.DUMMYFUNCTION("IFERROR(FILTER('Fund Data'!$D:$D, 'Fund Data'!$C:$C = $A8, 'Fund Data'!$A:$A = L$1, 'Fund Data'!$B:$B = 12),"""")"),"")</f>
        <v/>
      </c>
      <c r="M8" t="str">
        <f>IFERROR(__xludf.DUMMYFUNCTION("IFERROR(FILTER('Fund Data'!$D:$D, 'Fund Data'!$C:$C = $A8, 'Fund Data'!$A:$A = M$1, 'Fund Data'!$B:$B = 12),"""")"),"")</f>
        <v/>
      </c>
      <c r="N8" t="str">
        <f>IFERROR(__xludf.DUMMYFUNCTION("IFERROR(FILTER('Fund Data'!$D:$D, 'Fund Data'!$C:$C = $A8, 'Fund Data'!$A:$A = N$1, 'Fund Data'!$B:$B = 12),"""")"),"")</f>
        <v/>
      </c>
      <c r="O8" t="str">
        <f>IFERROR(__xludf.DUMMYFUNCTION("IFERROR(FILTER('Fund Data'!$D:$D, 'Fund Data'!$C:$C = $A8, 'Fund Data'!$A:$A = O$1, 'Fund Data'!$B:$B = 12),"""")"),"")</f>
        <v/>
      </c>
      <c r="P8" t="str">
        <f>IFERROR(__xludf.DUMMYFUNCTION("IFERROR(FILTER('Fund Data'!$D:$D, 'Fund Data'!$C:$C = $A8, 'Fund Data'!$A:$A = P$1, 'Fund Data'!$B:$B = 12),"""")"),"")</f>
        <v/>
      </c>
      <c r="Q8" t="str">
        <f>IFERROR(__xludf.DUMMYFUNCTION("IFERROR(FILTER('Fund Data'!$D:$D, 'Fund Data'!$C:$C = $A8, 'Fund Data'!$A:$A = Q$1, 'Fund Data'!$B:$B = 12),"""")"),"")</f>
        <v/>
      </c>
      <c r="R8" t="str">
        <f>IFERROR(__xludf.DUMMYFUNCTION("IFERROR(FILTER('Fund Data'!$D:$D, 'Fund Data'!$C:$C = $A8, 'Fund Data'!$A:$A = R$1, 'Fund Data'!$B:$B = 12),"""")"),"")</f>
        <v/>
      </c>
      <c r="S8" t="str">
        <f>IFERROR(__xludf.DUMMYFUNCTION("IFERROR(FILTER('Fund Data'!$D:$D, 'Fund Data'!$C:$C = $A8, 'Fund Data'!$A:$A = S$1, 'Fund Data'!$B:$B = 12),"""")"),"")</f>
        <v/>
      </c>
      <c r="T8" t="str">
        <f>IFERROR(__xludf.DUMMYFUNCTION("IFERROR(FILTER('Fund Data'!$D:$D, 'Fund Data'!$C:$C = $A8, 'Fund Data'!$A:$A = T$1, 'Fund Data'!$B:$B = 12),"""")"),"")</f>
        <v/>
      </c>
      <c r="U8" t="str">
        <f>IFERROR(__xludf.DUMMYFUNCTION("IFERROR(FILTER('Fund Data'!$D:$D, 'Fund Data'!$C:$C = $A8, 'Fund Data'!$A:$A = U$1, 'Fund Data'!$B:$B = 12),"""")"),"")</f>
        <v/>
      </c>
      <c r="V8" t="str">
        <f>IFERROR(__xludf.DUMMYFUNCTION("IFERROR(FILTER('Fund Data'!$D:$D, 'Fund Data'!$C:$C = $A8, 'Fund Data'!$A:$A = V$1, 'Fund Data'!$B:$B = 12),"""")"),"")</f>
        <v/>
      </c>
      <c r="W8">
        <f>IFERROR(__xludf.DUMMYFUNCTION("IFERROR(FILTER('Fund Data'!$D:$D, 'Fund Data'!$C:$C = $A8, 'Fund Data'!$A:$A = W$1, 'Fund Data'!$B:$B = 12),"""")"),738137.86)</f>
        <v>738137.86</v>
      </c>
      <c r="X8" t="str">
        <f>IFERROR(__xludf.DUMMYFUNCTION("IFERROR(FILTER('Fund Data'!$D:$D, 'Fund Data'!$C:$C = $A8, 'Fund Data'!$A:$A = X$1, 'Fund Data'!$B:$B = 12),"""")"),"")</f>
        <v/>
      </c>
      <c r="Y8">
        <f>IFERROR(__xludf.DUMMYFUNCTION("IFERROR(FILTER('Fund Data'!$D:$D, 'Fund Data'!$C:$C = $A8, 'Fund Data'!$A:$A = Y$1, 'Fund Data'!$B:$B = 12),"""")"),20000.0)</f>
        <v>20000</v>
      </c>
      <c r="Z8" t="str">
        <f>IFERROR(__xludf.DUMMYFUNCTION("IFERROR(FILTER('Fund Data'!$D:$D, 'Fund Data'!$C:$C = $A8, 'Fund Data'!$A:$A = Z$1, 'Fund Data'!$B:$B = 12),"""")"),"")</f>
        <v/>
      </c>
      <c r="AA8" t="str">
        <f>IFERROR(__xludf.DUMMYFUNCTION("IFERROR(FILTER('Fund Data'!$D:$D, 'Fund Data'!$C:$C = $A8, 'Fund Data'!$A:$A = AA$1, 'Fund Data'!$B:$B = 12),"""")"),"")</f>
        <v/>
      </c>
      <c r="AB8" t="str">
        <f>IFERROR(__xludf.DUMMYFUNCTION("IFERROR(FILTER('Fund Data'!$D:$D, 'Fund Data'!$C:$C = $A8, 'Fund Data'!$A:$A = AB$1, 'Fund Data'!$B:$B = 12),"""")"),"")</f>
        <v/>
      </c>
      <c r="AC8" t="str">
        <f>IFERROR(__xludf.DUMMYFUNCTION("IFERROR(FILTER('Fund Data'!$D:$D, 'Fund Data'!$C:$C = $A8, 'Fund Data'!$A:$A = AC$1, 'Fund Data'!$B:$B = 12),"""")"),"")</f>
        <v/>
      </c>
      <c r="AD8" t="str">
        <f>IFERROR(__xludf.DUMMYFUNCTION("IFERROR(FILTER('Fund Data'!$D:$D, 'Fund Data'!$C:$C = $A8, 'Fund Data'!$A:$A = AD$1, 'Fund Data'!$B:$B = 12),"""")"),"")</f>
        <v/>
      </c>
      <c r="AE8" t="str">
        <f>IFERROR(__xludf.DUMMYFUNCTION("IFERROR(FILTER('Fund Data'!$D:$D, 'Fund Data'!$C:$C = $A8, 'Fund Data'!$A:$A = AE$1, 'Fund Data'!$B:$B = 12),"""")"),"")</f>
        <v/>
      </c>
    </row>
    <row r="9">
      <c r="A9" s="153" t="str">
        <f>'Endowed Funds'!B:B</f>
        <v>Flora W. Minium Memorial Fund</v>
      </c>
      <c r="B9" t="str">
        <f>IFERROR(__xludf.DUMMYFUNCTION("IFERROR(FILTER('Fund Data'!$D:$D, 'Fund Data'!$C:$C = $A9, 'Fund Data'!$A:$A = B$1, 'Fund Data'!$B:$B = 12),"""")"),"")</f>
        <v/>
      </c>
      <c r="C9" t="str">
        <f>IFERROR(__xludf.DUMMYFUNCTION("IFERROR(FILTER('Fund Data'!$D:$D, 'Fund Data'!$C:$C = $A9, 'Fund Data'!$A:$A = C$1, 'Fund Data'!$B:$B = 12),"""")"),"")</f>
        <v/>
      </c>
      <c r="D9" t="str">
        <f>IFERROR(__xludf.DUMMYFUNCTION("IFERROR(FILTER('Fund Data'!$D:$D, 'Fund Data'!$C:$C = $A9, 'Fund Data'!$A:$A = D$1, 'Fund Data'!$B:$B = 12),"""")"),"")</f>
        <v/>
      </c>
      <c r="E9" t="str">
        <f>IFERROR(__xludf.DUMMYFUNCTION("IFERROR(FILTER('Fund Data'!$D:$D, 'Fund Data'!$C:$C = $A9, 'Fund Data'!$A:$A = E$1, 'Fund Data'!$B:$B = 12),"""")"),"")</f>
        <v/>
      </c>
      <c r="F9" t="str">
        <f>IFERROR(__xludf.DUMMYFUNCTION("IFERROR(FILTER('Fund Data'!$D:$D, 'Fund Data'!$C:$C = $A9, 'Fund Data'!$A:$A = F$1, 'Fund Data'!$B:$B = 12),"""")"),"")</f>
        <v/>
      </c>
      <c r="G9" t="str">
        <f>IFERROR(__xludf.DUMMYFUNCTION("IFERROR(FILTER('Fund Data'!$D:$D, 'Fund Data'!$C:$C = $A9, 'Fund Data'!$A:$A = G$1, 'Fund Data'!$B:$B = 12),"""")"),"")</f>
        <v/>
      </c>
      <c r="H9" t="str">
        <f>IFERROR(__xludf.DUMMYFUNCTION("IFERROR(FILTER('Fund Data'!$D:$D, 'Fund Data'!$C:$C = $A9, 'Fund Data'!$A:$A = H$1, 'Fund Data'!$B:$B = 12),"""")"),"")</f>
        <v/>
      </c>
      <c r="I9" t="str">
        <f>IFERROR(__xludf.DUMMYFUNCTION("IFERROR(FILTER('Fund Data'!$D:$D, 'Fund Data'!$C:$C = $A9, 'Fund Data'!$A:$A = I$1, 'Fund Data'!$B:$B = 12),"""")"),"")</f>
        <v/>
      </c>
      <c r="J9">
        <f>IFERROR(__xludf.DUMMYFUNCTION("IFERROR(FILTER('Fund Data'!$D:$D, 'Fund Data'!$C:$C = $A9, 'Fund Data'!$A:$A = J$1, 'Fund Data'!$B:$B = 12),"""")"),50000.0)</f>
        <v>50000</v>
      </c>
      <c r="K9" t="str">
        <f>IFERROR(__xludf.DUMMYFUNCTION("IFERROR(FILTER('Fund Data'!$D:$D, 'Fund Data'!$C:$C = $A9, 'Fund Data'!$A:$A = K$1, 'Fund Data'!$B:$B = 12),"""")"),"")</f>
        <v/>
      </c>
      <c r="L9" t="str">
        <f>IFERROR(__xludf.DUMMYFUNCTION("IFERROR(FILTER('Fund Data'!$D:$D, 'Fund Data'!$C:$C = $A9, 'Fund Data'!$A:$A = L$1, 'Fund Data'!$B:$B = 12),"""")"),"")</f>
        <v/>
      </c>
      <c r="M9" t="str">
        <f>IFERROR(__xludf.DUMMYFUNCTION("IFERROR(FILTER('Fund Data'!$D:$D, 'Fund Data'!$C:$C = $A9, 'Fund Data'!$A:$A = M$1, 'Fund Data'!$B:$B = 12),"""")"),"")</f>
        <v/>
      </c>
      <c r="N9" t="str">
        <f>IFERROR(__xludf.DUMMYFUNCTION("IFERROR(FILTER('Fund Data'!$D:$D, 'Fund Data'!$C:$C = $A9, 'Fund Data'!$A:$A = N$1, 'Fund Data'!$B:$B = 12),"""")"),"")</f>
        <v/>
      </c>
      <c r="O9" t="str">
        <f>IFERROR(__xludf.DUMMYFUNCTION("IFERROR(FILTER('Fund Data'!$D:$D, 'Fund Data'!$C:$C = $A9, 'Fund Data'!$A:$A = O$1, 'Fund Data'!$B:$B = 12),"""")"),"")</f>
        <v/>
      </c>
      <c r="P9" t="str">
        <f>IFERROR(__xludf.DUMMYFUNCTION("IFERROR(FILTER('Fund Data'!$D:$D, 'Fund Data'!$C:$C = $A9, 'Fund Data'!$A:$A = P$1, 'Fund Data'!$B:$B = 12),"""")"),"")</f>
        <v/>
      </c>
      <c r="Q9" t="str">
        <f>IFERROR(__xludf.DUMMYFUNCTION("IFERROR(FILTER('Fund Data'!$D:$D, 'Fund Data'!$C:$C = $A9, 'Fund Data'!$A:$A = Q$1, 'Fund Data'!$B:$B = 12),"""")"),"")</f>
        <v/>
      </c>
      <c r="R9" t="str">
        <f>IFERROR(__xludf.DUMMYFUNCTION("IFERROR(FILTER('Fund Data'!$D:$D, 'Fund Data'!$C:$C = $A9, 'Fund Data'!$A:$A = R$1, 'Fund Data'!$B:$B = 12),"""")"),"")</f>
        <v/>
      </c>
      <c r="S9" t="str">
        <f>IFERROR(__xludf.DUMMYFUNCTION("IFERROR(FILTER('Fund Data'!$D:$D, 'Fund Data'!$C:$C = $A9, 'Fund Data'!$A:$A = S$1, 'Fund Data'!$B:$B = 12),"""")"),"")</f>
        <v/>
      </c>
      <c r="T9" t="str">
        <f>IFERROR(__xludf.DUMMYFUNCTION("IFERROR(FILTER('Fund Data'!$D:$D, 'Fund Data'!$C:$C = $A9, 'Fund Data'!$A:$A = T$1, 'Fund Data'!$B:$B = 12),"""")"),"")</f>
        <v/>
      </c>
      <c r="U9" t="str">
        <f>IFERROR(__xludf.DUMMYFUNCTION("IFERROR(FILTER('Fund Data'!$D:$D, 'Fund Data'!$C:$C = $A9, 'Fund Data'!$A:$A = U$1, 'Fund Data'!$B:$B = 12),"""")"),"")</f>
        <v/>
      </c>
      <c r="V9" t="str">
        <f>IFERROR(__xludf.DUMMYFUNCTION("IFERROR(FILTER('Fund Data'!$D:$D, 'Fund Data'!$C:$C = $A9, 'Fund Data'!$A:$A = V$1, 'Fund Data'!$B:$B = 12),"""")"),"")</f>
        <v/>
      </c>
      <c r="W9" t="str">
        <f>IFERROR(__xludf.DUMMYFUNCTION("IFERROR(FILTER('Fund Data'!$D:$D, 'Fund Data'!$C:$C = $A9, 'Fund Data'!$A:$A = W$1, 'Fund Data'!$B:$B = 12),"""")"),"")</f>
        <v/>
      </c>
      <c r="X9" t="str">
        <f>IFERROR(__xludf.DUMMYFUNCTION("IFERROR(FILTER('Fund Data'!$D:$D, 'Fund Data'!$C:$C = $A9, 'Fund Data'!$A:$A = X$1, 'Fund Data'!$B:$B = 12),"""")"),"")</f>
        <v/>
      </c>
      <c r="Y9" t="str">
        <f>IFERROR(__xludf.DUMMYFUNCTION("IFERROR(FILTER('Fund Data'!$D:$D, 'Fund Data'!$C:$C = $A9, 'Fund Data'!$A:$A = Y$1, 'Fund Data'!$B:$B = 12),"""")"),"")</f>
        <v/>
      </c>
      <c r="Z9" t="str">
        <f>IFERROR(__xludf.DUMMYFUNCTION("IFERROR(FILTER('Fund Data'!$D:$D, 'Fund Data'!$C:$C = $A9, 'Fund Data'!$A:$A = Z$1, 'Fund Data'!$B:$B = 12),"""")"),"")</f>
        <v/>
      </c>
      <c r="AA9" t="str">
        <f>IFERROR(__xludf.DUMMYFUNCTION("IFERROR(FILTER('Fund Data'!$D:$D, 'Fund Data'!$C:$C = $A9, 'Fund Data'!$A:$A = AA$1, 'Fund Data'!$B:$B = 12),"""")"),"")</f>
        <v/>
      </c>
      <c r="AB9" t="str">
        <f>IFERROR(__xludf.DUMMYFUNCTION("IFERROR(FILTER('Fund Data'!$D:$D, 'Fund Data'!$C:$C = $A9, 'Fund Data'!$A:$A = AB$1, 'Fund Data'!$B:$B = 12),"""")"),"")</f>
        <v/>
      </c>
      <c r="AC9" t="str">
        <f>IFERROR(__xludf.DUMMYFUNCTION("IFERROR(FILTER('Fund Data'!$D:$D, 'Fund Data'!$C:$C = $A9, 'Fund Data'!$A:$A = AC$1, 'Fund Data'!$B:$B = 12),"""")"),"")</f>
        <v/>
      </c>
      <c r="AD9" t="str">
        <f>IFERROR(__xludf.DUMMYFUNCTION("IFERROR(FILTER('Fund Data'!$D:$D, 'Fund Data'!$C:$C = $A9, 'Fund Data'!$A:$A = AD$1, 'Fund Data'!$B:$B = 12),"""")"),"")</f>
        <v/>
      </c>
      <c r="AE9" t="str">
        <f>IFERROR(__xludf.DUMMYFUNCTION("IFERROR(FILTER('Fund Data'!$D:$D, 'Fund Data'!$C:$C = $A9, 'Fund Data'!$A:$A = AE$1, 'Fund Data'!$B:$B = 12),"""")"),"")</f>
        <v/>
      </c>
    </row>
    <row r="10">
      <c r="A10" s="153" t="str">
        <f>'Endowed Funds'!B:B</f>
        <v>Florence C. and Robert H. Lister Fellowship</v>
      </c>
      <c r="B10" t="str">
        <f>IFERROR(__xludf.DUMMYFUNCTION("IFERROR(FILTER('Fund Data'!$D:$D, 'Fund Data'!$C:$C = $A10, 'Fund Data'!$A:$A = B$1, 'Fund Data'!$B:$B = 12),"""")"),"")</f>
        <v/>
      </c>
      <c r="C10" t="str">
        <f>IFERROR(__xludf.DUMMYFUNCTION("IFERROR(FILTER('Fund Data'!$D:$D, 'Fund Data'!$C:$C = $A10, 'Fund Data'!$A:$A = C$1, 'Fund Data'!$B:$B = 12),"""")"),"")</f>
        <v/>
      </c>
      <c r="D10" t="str">
        <f>IFERROR(__xludf.DUMMYFUNCTION("IFERROR(FILTER('Fund Data'!$D:$D, 'Fund Data'!$C:$C = $A10, 'Fund Data'!$A:$A = D$1, 'Fund Data'!$B:$B = 12),"""")"),"")</f>
        <v/>
      </c>
      <c r="E10" t="str">
        <f>IFERROR(__xludf.DUMMYFUNCTION("IFERROR(FILTER('Fund Data'!$D:$D, 'Fund Data'!$C:$C = $A10, 'Fund Data'!$A:$A = E$1, 'Fund Data'!$B:$B = 12),"""")"),"")</f>
        <v/>
      </c>
      <c r="F10" t="str">
        <f>IFERROR(__xludf.DUMMYFUNCTION("IFERROR(FILTER('Fund Data'!$D:$D, 'Fund Data'!$C:$C = $A10, 'Fund Data'!$A:$A = F$1, 'Fund Data'!$B:$B = 12),"""")"),"")</f>
        <v/>
      </c>
      <c r="G10" t="str">
        <f>IFERROR(__xludf.DUMMYFUNCTION("IFERROR(FILTER('Fund Data'!$D:$D, 'Fund Data'!$C:$C = $A10, 'Fund Data'!$A:$A = G$1, 'Fund Data'!$B:$B = 12),"""")"),"")</f>
        <v/>
      </c>
      <c r="H10">
        <f>IFERROR(__xludf.DUMMYFUNCTION("IFERROR(FILTER('Fund Data'!$D:$D, 'Fund Data'!$C:$C = $A10, 'Fund Data'!$A:$A = H$1, 'Fund Data'!$B:$B = 12),"""")"),38360.45)</f>
        <v>38360.45</v>
      </c>
      <c r="I10">
        <f>IFERROR(__xludf.DUMMYFUNCTION("IFERROR(FILTER('Fund Data'!$D:$D, 'Fund Data'!$C:$C = $A10, 'Fund Data'!$A:$A = I$1, 'Fund Data'!$B:$B = 12),"""")"),8355.0)</f>
        <v>8355</v>
      </c>
      <c r="J10">
        <f>IFERROR(__xludf.DUMMYFUNCTION("IFERROR(FILTER('Fund Data'!$D:$D, 'Fund Data'!$C:$C = $A10, 'Fund Data'!$A:$A = J$1, 'Fund Data'!$B:$B = 12),"""")"),336.0)</f>
        <v>336</v>
      </c>
      <c r="K10">
        <f>IFERROR(__xludf.DUMMYFUNCTION("IFERROR(FILTER('Fund Data'!$D:$D, 'Fund Data'!$C:$C = $A10, 'Fund Data'!$A:$A = K$1, 'Fund Data'!$B:$B = 12),"""")"),1775.0)</f>
        <v>1775</v>
      </c>
      <c r="L10">
        <f>IFERROR(__xludf.DUMMYFUNCTION("IFERROR(FILTER('Fund Data'!$D:$D, 'Fund Data'!$C:$C = $A10, 'Fund Data'!$A:$A = L$1, 'Fund Data'!$B:$B = 12),"""")"),2750.0)</f>
        <v>2750</v>
      </c>
      <c r="M10">
        <f>IFERROR(__xludf.DUMMYFUNCTION("IFERROR(FILTER('Fund Data'!$D:$D, 'Fund Data'!$C:$C = $A10, 'Fund Data'!$A:$A = M$1, 'Fund Data'!$B:$B = 12),"""")"),1300.0)</f>
        <v>1300</v>
      </c>
      <c r="N10">
        <f>IFERROR(__xludf.DUMMYFUNCTION("IFERROR(FILTER('Fund Data'!$D:$D, 'Fund Data'!$C:$C = $A10, 'Fund Data'!$A:$A = N$1, 'Fund Data'!$B:$B = 12),"""")"),2250.0)</f>
        <v>2250</v>
      </c>
      <c r="O10">
        <f>IFERROR(__xludf.DUMMYFUNCTION("IFERROR(FILTER('Fund Data'!$D:$D, 'Fund Data'!$C:$C = $A10, 'Fund Data'!$A:$A = O$1, 'Fund Data'!$B:$B = 12),"""")"),5200.0)</f>
        <v>5200</v>
      </c>
      <c r="P10">
        <f>IFERROR(__xludf.DUMMYFUNCTION("IFERROR(FILTER('Fund Data'!$D:$D, 'Fund Data'!$C:$C = $A10, 'Fund Data'!$A:$A = P$1, 'Fund Data'!$B:$B = 12),"""")"),1950.0)</f>
        <v>1950</v>
      </c>
      <c r="Q10">
        <f>IFERROR(__xludf.DUMMYFUNCTION("IFERROR(FILTER('Fund Data'!$D:$D, 'Fund Data'!$C:$C = $A10, 'Fund Data'!$A:$A = Q$1, 'Fund Data'!$B:$B = 12),"""")"),2809.0)</f>
        <v>2809</v>
      </c>
      <c r="R10">
        <f>IFERROR(__xludf.DUMMYFUNCTION("IFERROR(FILTER('Fund Data'!$D:$D, 'Fund Data'!$C:$C = $A10, 'Fund Data'!$A:$A = R$1, 'Fund Data'!$B:$B = 12),"""")"),23933.0)</f>
        <v>23933</v>
      </c>
      <c r="S10">
        <f>IFERROR(__xludf.DUMMYFUNCTION("IFERROR(FILTER('Fund Data'!$D:$D, 'Fund Data'!$C:$C = $A10, 'Fund Data'!$A:$A = S$1, 'Fund Data'!$B:$B = 12),"""")"),1042.62)</f>
        <v>1042.62</v>
      </c>
      <c r="T10">
        <f>IFERROR(__xludf.DUMMYFUNCTION("IFERROR(FILTER('Fund Data'!$D:$D, 'Fund Data'!$C:$C = $A10, 'Fund Data'!$A:$A = T$1, 'Fund Data'!$B:$B = 12),"""")"),1185.04)</f>
        <v>1185.04</v>
      </c>
      <c r="U10">
        <f>IFERROR(__xludf.DUMMYFUNCTION("IFERROR(FILTER('Fund Data'!$D:$D, 'Fund Data'!$C:$C = $A10, 'Fund Data'!$A:$A = U$1, 'Fund Data'!$B:$B = 12),"""")"),1084.0)</f>
        <v>1084</v>
      </c>
      <c r="V10">
        <f>IFERROR(__xludf.DUMMYFUNCTION("IFERROR(FILTER('Fund Data'!$D:$D, 'Fund Data'!$C:$C = $A10, 'Fund Data'!$A:$A = V$1, 'Fund Data'!$B:$B = 12),"""")"),2510.0)</f>
        <v>2510</v>
      </c>
      <c r="W10">
        <f>IFERROR(__xludf.DUMMYFUNCTION("IFERROR(FILTER('Fund Data'!$D:$D, 'Fund Data'!$C:$C = $A10, 'Fund Data'!$A:$A = W$1, 'Fund Data'!$B:$B = 12),"""")"),450.0)</f>
        <v>450</v>
      </c>
      <c r="X10">
        <f>IFERROR(__xludf.DUMMYFUNCTION("IFERROR(FILTER('Fund Data'!$D:$D, 'Fund Data'!$C:$C = $A10, 'Fund Data'!$A:$A = X$1, 'Fund Data'!$B:$B = 12),"""")"),1000.0)</f>
        <v>1000</v>
      </c>
      <c r="Y10">
        <f>IFERROR(__xludf.DUMMYFUNCTION("IFERROR(FILTER('Fund Data'!$D:$D, 'Fund Data'!$C:$C = $A10, 'Fund Data'!$A:$A = Y$1, 'Fund Data'!$B:$B = 12),"""")"),500.0)</f>
        <v>500</v>
      </c>
      <c r="Z10">
        <f>IFERROR(__xludf.DUMMYFUNCTION("IFERROR(FILTER('Fund Data'!$D:$D, 'Fund Data'!$C:$C = $A10, 'Fund Data'!$A:$A = Z$1, 'Fund Data'!$B:$B = 12),"""")"),200.0)</f>
        <v>200</v>
      </c>
      <c r="AA10">
        <f>IFERROR(__xludf.DUMMYFUNCTION("IFERROR(FILTER('Fund Data'!$D:$D, 'Fund Data'!$C:$C = $A10, 'Fund Data'!$A:$A = AA$1, 'Fund Data'!$B:$B = 12),"""")"),1361.0)</f>
        <v>1361</v>
      </c>
      <c r="AB10">
        <f>IFERROR(__xludf.DUMMYFUNCTION("IFERROR(FILTER('Fund Data'!$D:$D, 'Fund Data'!$C:$C = $A10, 'Fund Data'!$A:$A = AB$1, 'Fund Data'!$B:$B = 12),"""")"),12994.0)</f>
        <v>12994</v>
      </c>
      <c r="AC10">
        <f>IFERROR(__xludf.DUMMYFUNCTION("IFERROR(FILTER('Fund Data'!$D:$D, 'Fund Data'!$C:$C = $A10, 'Fund Data'!$A:$A = AC$1, 'Fund Data'!$B:$B = 12),"""")"),1087.0)</f>
        <v>1087</v>
      </c>
      <c r="AD10">
        <f>IFERROR(__xludf.DUMMYFUNCTION("IFERROR(FILTER('Fund Data'!$D:$D, 'Fund Data'!$C:$C = $A10, 'Fund Data'!$A:$A = AD$1, 'Fund Data'!$B:$B = 12),"""")"),35.0)</f>
        <v>35</v>
      </c>
      <c r="AE10" t="str">
        <f>IFERROR(__xludf.DUMMYFUNCTION("IFERROR(FILTER('Fund Data'!$D:$D, 'Fund Data'!$C:$C = $A10, 'Fund Data'!$A:$A = AE$1, 'Fund Data'!$B:$B = 12),"""")"),"")</f>
        <v/>
      </c>
    </row>
    <row r="11">
      <c r="A11" s="153" t="str">
        <f>'Endowed Funds'!B:B</f>
        <v>Four Corners Children's Education Fund</v>
      </c>
      <c r="B11" t="str">
        <f>IFERROR(__xludf.DUMMYFUNCTION("IFERROR(FILTER('Fund Data'!$D:$D, 'Fund Data'!$C:$C = $A11, 'Fund Data'!$A:$A = B$1, 'Fund Data'!$B:$B = 12),"""")"),"")</f>
        <v/>
      </c>
      <c r="C11" t="str">
        <f>IFERROR(__xludf.DUMMYFUNCTION("IFERROR(FILTER('Fund Data'!$D:$D, 'Fund Data'!$C:$C = $A11, 'Fund Data'!$A:$A = C$1, 'Fund Data'!$B:$B = 12),"""")"),"")</f>
        <v/>
      </c>
      <c r="D11" t="str">
        <f>IFERROR(__xludf.DUMMYFUNCTION("IFERROR(FILTER('Fund Data'!$D:$D, 'Fund Data'!$C:$C = $A11, 'Fund Data'!$A:$A = D$1, 'Fund Data'!$B:$B = 12),"""")"),"")</f>
        <v/>
      </c>
      <c r="E11" t="str">
        <f>IFERROR(__xludf.DUMMYFUNCTION("IFERROR(FILTER('Fund Data'!$D:$D, 'Fund Data'!$C:$C = $A11, 'Fund Data'!$A:$A = E$1, 'Fund Data'!$B:$B = 12),"""")"),"")</f>
        <v/>
      </c>
      <c r="F11" t="str">
        <f>IFERROR(__xludf.DUMMYFUNCTION("IFERROR(FILTER('Fund Data'!$D:$D, 'Fund Data'!$C:$C = $A11, 'Fund Data'!$A:$A = F$1, 'Fund Data'!$B:$B = 12),"""")"),"")</f>
        <v/>
      </c>
      <c r="G11" t="str">
        <f>IFERROR(__xludf.DUMMYFUNCTION("IFERROR(FILTER('Fund Data'!$D:$D, 'Fund Data'!$C:$C = $A11, 'Fund Data'!$A:$A = G$1, 'Fund Data'!$B:$B = 12),"""")"),"")</f>
        <v/>
      </c>
      <c r="H11" t="str">
        <f>IFERROR(__xludf.DUMMYFUNCTION("IFERROR(FILTER('Fund Data'!$D:$D, 'Fund Data'!$C:$C = $A11, 'Fund Data'!$A:$A = H$1, 'Fund Data'!$B:$B = 12),"""")"),"")</f>
        <v/>
      </c>
      <c r="I11" t="str">
        <f>IFERROR(__xludf.DUMMYFUNCTION("IFERROR(FILTER('Fund Data'!$D:$D, 'Fund Data'!$C:$C = $A11, 'Fund Data'!$A:$A = I$1, 'Fund Data'!$B:$B = 12),"""")"),"")</f>
        <v/>
      </c>
      <c r="J11" t="str">
        <f>IFERROR(__xludf.DUMMYFUNCTION("IFERROR(FILTER('Fund Data'!$D:$D, 'Fund Data'!$C:$C = $A11, 'Fund Data'!$A:$A = J$1, 'Fund Data'!$B:$B = 12),"""")"),"")</f>
        <v/>
      </c>
      <c r="K11" t="str">
        <f>IFERROR(__xludf.DUMMYFUNCTION("IFERROR(FILTER('Fund Data'!$D:$D, 'Fund Data'!$C:$C = $A11, 'Fund Data'!$A:$A = K$1, 'Fund Data'!$B:$B = 12),"""")"),"")</f>
        <v/>
      </c>
      <c r="L11" t="str">
        <f>IFERROR(__xludf.DUMMYFUNCTION("IFERROR(FILTER('Fund Data'!$D:$D, 'Fund Data'!$C:$C = $A11, 'Fund Data'!$A:$A = L$1, 'Fund Data'!$B:$B = 12),"""")"),"")</f>
        <v/>
      </c>
      <c r="M11" t="str">
        <f>IFERROR(__xludf.DUMMYFUNCTION("IFERROR(FILTER('Fund Data'!$D:$D, 'Fund Data'!$C:$C = $A11, 'Fund Data'!$A:$A = M$1, 'Fund Data'!$B:$B = 12),"""")"),"")</f>
        <v/>
      </c>
      <c r="N11" t="str">
        <f>IFERROR(__xludf.DUMMYFUNCTION("IFERROR(FILTER('Fund Data'!$D:$D, 'Fund Data'!$C:$C = $A11, 'Fund Data'!$A:$A = N$1, 'Fund Data'!$B:$B = 12),"""")"),"")</f>
        <v/>
      </c>
      <c r="O11" t="str">
        <f>IFERROR(__xludf.DUMMYFUNCTION("IFERROR(FILTER('Fund Data'!$D:$D, 'Fund Data'!$C:$C = $A11, 'Fund Data'!$A:$A = O$1, 'Fund Data'!$B:$B = 12),"""")"),"")</f>
        <v/>
      </c>
      <c r="P11">
        <f>IFERROR(__xludf.DUMMYFUNCTION("IFERROR(FILTER('Fund Data'!$D:$D, 'Fund Data'!$C:$C = $A11, 'Fund Data'!$A:$A = P$1, 'Fund Data'!$B:$B = 12),"""")"),104901.77)</f>
        <v>104901.77</v>
      </c>
      <c r="Q11">
        <f>IFERROR(__xludf.DUMMYFUNCTION("IFERROR(FILTER('Fund Data'!$D:$D, 'Fund Data'!$C:$C = $A11, 'Fund Data'!$A:$A = Q$1, 'Fund Data'!$B:$B = 12),"""")"),119000.0)</f>
        <v>119000</v>
      </c>
      <c r="R11">
        <f>IFERROR(__xludf.DUMMYFUNCTION("IFERROR(FILTER('Fund Data'!$D:$D, 'Fund Data'!$C:$C = $A11, 'Fund Data'!$A:$A = R$1, 'Fund Data'!$B:$B = 12),"""")"),255446.45)</f>
        <v>255446.45</v>
      </c>
      <c r="S11">
        <f>IFERROR(__xludf.DUMMYFUNCTION("IFERROR(FILTER('Fund Data'!$D:$D, 'Fund Data'!$C:$C = $A11, 'Fund Data'!$A:$A = S$1, 'Fund Data'!$B:$B = 12),"""")"),45843.42)</f>
        <v>45843.42</v>
      </c>
      <c r="T11">
        <f>IFERROR(__xludf.DUMMYFUNCTION("IFERROR(FILTER('Fund Data'!$D:$D, 'Fund Data'!$C:$C = $A11, 'Fund Data'!$A:$A = T$1, 'Fund Data'!$B:$B = 12),"""")"),10000.0)</f>
        <v>10000</v>
      </c>
      <c r="U11">
        <f>IFERROR(__xludf.DUMMYFUNCTION("IFERROR(FILTER('Fund Data'!$D:$D, 'Fund Data'!$C:$C = $A11, 'Fund Data'!$A:$A = U$1, 'Fund Data'!$B:$B = 12),"""")"),5000.0)</f>
        <v>5000</v>
      </c>
      <c r="V11">
        <f>IFERROR(__xludf.DUMMYFUNCTION("IFERROR(FILTER('Fund Data'!$D:$D, 'Fund Data'!$C:$C = $A11, 'Fund Data'!$A:$A = V$1, 'Fund Data'!$B:$B = 12),"""")"),10000.0)</f>
        <v>10000</v>
      </c>
      <c r="W11">
        <f>IFERROR(__xludf.DUMMYFUNCTION("IFERROR(FILTER('Fund Data'!$D:$D, 'Fund Data'!$C:$C = $A11, 'Fund Data'!$A:$A = W$1, 'Fund Data'!$B:$B = 12),"""")"),2000.0)</f>
        <v>2000</v>
      </c>
      <c r="X11">
        <f>IFERROR(__xludf.DUMMYFUNCTION("IFERROR(FILTER('Fund Data'!$D:$D, 'Fund Data'!$C:$C = $A11, 'Fund Data'!$A:$A = X$1, 'Fund Data'!$B:$B = 12),"""")"),4410.0)</f>
        <v>4410</v>
      </c>
      <c r="Y11" t="str">
        <f>IFERROR(__xludf.DUMMYFUNCTION("IFERROR(FILTER('Fund Data'!$D:$D, 'Fund Data'!$C:$C = $A11, 'Fund Data'!$A:$A = Y$1, 'Fund Data'!$B:$B = 12),"""")"),"")</f>
        <v/>
      </c>
      <c r="Z11" t="str">
        <f>IFERROR(__xludf.DUMMYFUNCTION("IFERROR(FILTER('Fund Data'!$D:$D, 'Fund Data'!$C:$C = $A11, 'Fund Data'!$A:$A = Z$1, 'Fund Data'!$B:$B = 12),"""")"),"")</f>
        <v/>
      </c>
      <c r="AA11" t="str">
        <f>IFERROR(__xludf.DUMMYFUNCTION("IFERROR(FILTER('Fund Data'!$D:$D, 'Fund Data'!$C:$C = $A11, 'Fund Data'!$A:$A = AA$1, 'Fund Data'!$B:$B = 12),"""")"),"")</f>
        <v/>
      </c>
      <c r="AB11" t="str">
        <f>IFERROR(__xludf.DUMMYFUNCTION("IFERROR(FILTER('Fund Data'!$D:$D, 'Fund Data'!$C:$C = $A11, 'Fund Data'!$A:$A = AB$1, 'Fund Data'!$B:$B = 12),"""")"),"")</f>
        <v/>
      </c>
      <c r="AC11" t="str">
        <f>IFERROR(__xludf.DUMMYFUNCTION("IFERROR(FILTER('Fund Data'!$D:$D, 'Fund Data'!$C:$C = $A11, 'Fund Data'!$A:$A = AC$1, 'Fund Data'!$B:$B = 12),"""")"),"")</f>
        <v/>
      </c>
      <c r="AD11" t="str">
        <f>IFERROR(__xludf.DUMMYFUNCTION("IFERROR(FILTER('Fund Data'!$D:$D, 'Fund Data'!$C:$C = $A11, 'Fund Data'!$A:$A = AD$1, 'Fund Data'!$B:$B = 12),"""")"),"")</f>
        <v/>
      </c>
      <c r="AE11" t="str">
        <f>IFERROR(__xludf.DUMMYFUNCTION("IFERROR(FILTER('Fund Data'!$D:$D, 'Fund Data'!$C:$C = $A11, 'Fund Data'!$A:$A = AE$1, 'Fund Data'!$B:$B = 12),"""")"),"")</f>
        <v/>
      </c>
    </row>
    <row r="12">
      <c r="A12" s="153" t="str">
        <f>'Endowed Funds'!B:B</f>
        <v>Fred G. Myers Research Fellowship</v>
      </c>
      <c r="B12" t="str">
        <f>IFERROR(__xludf.DUMMYFUNCTION("IFERROR(FILTER('Fund Data'!$D:$D, 'Fund Data'!$C:$C = $A12, 'Fund Data'!$A:$A = B$1, 'Fund Data'!$B:$B = 12),"""")"),"")</f>
        <v/>
      </c>
      <c r="C12" t="str">
        <f>IFERROR(__xludf.DUMMYFUNCTION("IFERROR(FILTER('Fund Data'!$D:$D, 'Fund Data'!$C:$C = $A12, 'Fund Data'!$A:$A = C$1, 'Fund Data'!$B:$B = 12),"""")"),"")</f>
        <v/>
      </c>
      <c r="D12" t="str">
        <f>IFERROR(__xludf.DUMMYFUNCTION("IFERROR(FILTER('Fund Data'!$D:$D, 'Fund Data'!$C:$C = $A12, 'Fund Data'!$A:$A = D$1, 'Fund Data'!$B:$B = 12),"""")"),"")</f>
        <v/>
      </c>
      <c r="E12" t="str">
        <f>IFERROR(__xludf.DUMMYFUNCTION("IFERROR(FILTER('Fund Data'!$D:$D, 'Fund Data'!$C:$C = $A12, 'Fund Data'!$A:$A = E$1, 'Fund Data'!$B:$B = 12),"""")"),"")</f>
        <v/>
      </c>
      <c r="F12" t="str">
        <f>IFERROR(__xludf.DUMMYFUNCTION("IFERROR(FILTER('Fund Data'!$D:$D, 'Fund Data'!$C:$C = $A12, 'Fund Data'!$A:$A = F$1, 'Fund Data'!$B:$B = 12),"""")"),"")</f>
        <v/>
      </c>
      <c r="G12" t="str">
        <f>IFERROR(__xludf.DUMMYFUNCTION("IFERROR(FILTER('Fund Data'!$D:$D, 'Fund Data'!$C:$C = $A12, 'Fund Data'!$A:$A = G$1, 'Fund Data'!$B:$B = 12),"""")"),"")</f>
        <v/>
      </c>
      <c r="H12">
        <f>IFERROR(__xludf.DUMMYFUNCTION("IFERROR(FILTER('Fund Data'!$D:$D, 'Fund Data'!$C:$C = $A12, 'Fund Data'!$A:$A = H$1, 'Fund Data'!$B:$B = 12),"""")"),11540.75)</f>
        <v>11540.75</v>
      </c>
      <c r="I12" t="str">
        <f>IFERROR(__xludf.DUMMYFUNCTION("IFERROR(FILTER('Fund Data'!$D:$D, 'Fund Data'!$C:$C = $A12, 'Fund Data'!$A:$A = I$1, 'Fund Data'!$B:$B = 12),"""")"),"")</f>
        <v/>
      </c>
      <c r="J12" t="str">
        <f>IFERROR(__xludf.DUMMYFUNCTION("IFERROR(FILTER('Fund Data'!$D:$D, 'Fund Data'!$C:$C = $A12, 'Fund Data'!$A:$A = J$1, 'Fund Data'!$B:$B = 12),"""")"),"")</f>
        <v/>
      </c>
      <c r="K12" t="str">
        <f>IFERROR(__xludf.DUMMYFUNCTION("IFERROR(FILTER('Fund Data'!$D:$D, 'Fund Data'!$C:$C = $A12, 'Fund Data'!$A:$A = K$1, 'Fund Data'!$B:$B = 12),"""")"),"")</f>
        <v/>
      </c>
      <c r="L12" t="str">
        <f>IFERROR(__xludf.DUMMYFUNCTION("IFERROR(FILTER('Fund Data'!$D:$D, 'Fund Data'!$C:$C = $A12, 'Fund Data'!$A:$A = L$1, 'Fund Data'!$B:$B = 12),"""")"),"")</f>
        <v/>
      </c>
      <c r="M12" t="str">
        <f>IFERROR(__xludf.DUMMYFUNCTION("IFERROR(FILTER('Fund Data'!$D:$D, 'Fund Data'!$C:$C = $A12, 'Fund Data'!$A:$A = M$1, 'Fund Data'!$B:$B = 12),"""")"),"")</f>
        <v/>
      </c>
      <c r="N12" t="str">
        <f>IFERROR(__xludf.DUMMYFUNCTION("IFERROR(FILTER('Fund Data'!$D:$D, 'Fund Data'!$C:$C = $A12, 'Fund Data'!$A:$A = N$1, 'Fund Data'!$B:$B = 12),"""")"),"")</f>
        <v/>
      </c>
      <c r="O12" t="str">
        <f>IFERROR(__xludf.DUMMYFUNCTION("IFERROR(FILTER('Fund Data'!$D:$D, 'Fund Data'!$C:$C = $A12, 'Fund Data'!$A:$A = O$1, 'Fund Data'!$B:$B = 12),"""")"),"")</f>
        <v/>
      </c>
      <c r="P12" t="str">
        <f>IFERROR(__xludf.DUMMYFUNCTION("IFERROR(FILTER('Fund Data'!$D:$D, 'Fund Data'!$C:$C = $A12, 'Fund Data'!$A:$A = P$1, 'Fund Data'!$B:$B = 12),"""")"),"")</f>
        <v/>
      </c>
      <c r="Q12" t="str">
        <f>IFERROR(__xludf.DUMMYFUNCTION("IFERROR(FILTER('Fund Data'!$D:$D, 'Fund Data'!$C:$C = $A12, 'Fund Data'!$A:$A = Q$1, 'Fund Data'!$B:$B = 12),"""")"),"")</f>
        <v/>
      </c>
      <c r="R12" t="str">
        <f>IFERROR(__xludf.DUMMYFUNCTION("IFERROR(FILTER('Fund Data'!$D:$D, 'Fund Data'!$C:$C = $A12, 'Fund Data'!$A:$A = R$1, 'Fund Data'!$B:$B = 12),"""")"),"")</f>
        <v/>
      </c>
      <c r="S12" t="str">
        <f>IFERROR(__xludf.DUMMYFUNCTION("IFERROR(FILTER('Fund Data'!$D:$D, 'Fund Data'!$C:$C = $A12, 'Fund Data'!$A:$A = S$1, 'Fund Data'!$B:$B = 12),"""")"),"")</f>
        <v/>
      </c>
      <c r="T12" t="str">
        <f>IFERROR(__xludf.DUMMYFUNCTION("IFERROR(FILTER('Fund Data'!$D:$D, 'Fund Data'!$C:$C = $A12, 'Fund Data'!$A:$A = T$1, 'Fund Data'!$B:$B = 12),"""")"),"")</f>
        <v/>
      </c>
      <c r="U12" t="str">
        <f>IFERROR(__xludf.DUMMYFUNCTION("IFERROR(FILTER('Fund Data'!$D:$D, 'Fund Data'!$C:$C = $A12, 'Fund Data'!$A:$A = U$1, 'Fund Data'!$B:$B = 12),"""")"),"")</f>
        <v/>
      </c>
      <c r="V12" t="str">
        <f>IFERROR(__xludf.DUMMYFUNCTION("IFERROR(FILTER('Fund Data'!$D:$D, 'Fund Data'!$C:$C = $A12, 'Fund Data'!$A:$A = V$1, 'Fund Data'!$B:$B = 12),"""")"),"")</f>
        <v/>
      </c>
      <c r="W12" t="str">
        <f>IFERROR(__xludf.DUMMYFUNCTION("IFERROR(FILTER('Fund Data'!$D:$D, 'Fund Data'!$C:$C = $A12, 'Fund Data'!$A:$A = W$1, 'Fund Data'!$B:$B = 12),"""")"),"")</f>
        <v/>
      </c>
      <c r="X12" t="str">
        <f>IFERROR(__xludf.DUMMYFUNCTION("IFERROR(FILTER('Fund Data'!$D:$D, 'Fund Data'!$C:$C = $A12, 'Fund Data'!$A:$A = X$1, 'Fund Data'!$B:$B = 12),"""")"),"")</f>
        <v/>
      </c>
      <c r="Y12" t="str">
        <f>IFERROR(__xludf.DUMMYFUNCTION("IFERROR(FILTER('Fund Data'!$D:$D, 'Fund Data'!$C:$C = $A12, 'Fund Data'!$A:$A = Y$1, 'Fund Data'!$B:$B = 12),"""")"),"")</f>
        <v/>
      </c>
      <c r="Z12" t="str">
        <f>IFERROR(__xludf.DUMMYFUNCTION("IFERROR(FILTER('Fund Data'!$D:$D, 'Fund Data'!$C:$C = $A12, 'Fund Data'!$A:$A = Z$1, 'Fund Data'!$B:$B = 12),"""")"),"")</f>
        <v/>
      </c>
      <c r="AA12" t="str">
        <f>IFERROR(__xludf.DUMMYFUNCTION("IFERROR(FILTER('Fund Data'!$D:$D, 'Fund Data'!$C:$C = $A12, 'Fund Data'!$A:$A = AA$1, 'Fund Data'!$B:$B = 12),"""")"),"")</f>
        <v/>
      </c>
      <c r="AB12" t="str">
        <f>IFERROR(__xludf.DUMMYFUNCTION("IFERROR(FILTER('Fund Data'!$D:$D, 'Fund Data'!$C:$C = $A12, 'Fund Data'!$A:$A = AB$1, 'Fund Data'!$B:$B = 12),"""")"),"")</f>
        <v/>
      </c>
      <c r="AC12" t="str">
        <f>IFERROR(__xludf.DUMMYFUNCTION("IFERROR(FILTER('Fund Data'!$D:$D, 'Fund Data'!$C:$C = $A12, 'Fund Data'!$A:$A = AC$1, 'Fund Data'!$B:$B = 12),"""")"),"")</f>
        <v/>
      </c>
      <c r="AD12" t="str">
        <f>IFERROR(__xludf.DUMMYFUNCTION("IFERROR(FILTER('Fund Data'!$D:$D, 'Fund Data'!$C:$C = $A12, 'Fund Data'!$A:$A = AD$1, 'Fund Data'!$B:$B = 12),"""")"),"")</f>
        <v/>
      </c>
      <c r="AE12" t="str">
        <f>IFERROR(__xludf.DUMMYFUNCTION("IFERROR(FILTER('Fund Data'!$D:$D, 'Fund Data'!$C:$C = $A12, 'Fund Data'!$A:$A = AE$1, 'Fund Data'!$B:$B = 12),"""")"),"")</f>
        <v/>
      </c>
    </row>
    <row r="13">
      <c r="A13" s="153" t="str">
        <f>'Endowed Funds'!B:B</f>
        <v>General Education Fund</v>
      </c>
      <c r="B13" t="str">
        <f>IFERROR(__xludf.DUMMYFUNCTION("IFERROR(FILTER('Fund Data'!$D:$D, 'Fund Data'!$C:$C = $A13, 'Fund Data'!$A:$A = B$1, 'Fund Data'!$B:$B = 12),"""")"),"")</f>
        <v/>
      </c>
      <c r="C13" t="str">
        <f>IFERROR(__xludf.DUMMYFUNCTION("IFERROR(FILTER('Fund Data'!$D:$D, 'Fund Data'!$C:$C = $A13, 'Fund Data'!$A:$A = C$1, 'Fund Data'!$B:$B = 12),"""")"),"")</f>
        <v/>
      </c>
      <c r="D13" t="str">
        <f>IFERROR(__xludf.DUMMYFUNCTION("IFERROR(FILTER('Fund Data'!$D:$D, 'Fund Data'!$C:$C = $A13, 'Fund Data'!$A:$A = D$1, 'Fund Data'!$B:$B = 12),"""")"),"")</f>
        <v/>
      </c>
      <c r="E13" t="str">
        <f>IFERROR(__xludf.DUMMYFUNCTION("IFERROR(FILTER('Fund Data'!$D:$D, 'Fund Data'!$C:$C = $A13, 'Fund Data'!$A:$A = E$1, 'Fund Data'!$B:$B = 12),"""")"),"")</f>
        <v/>
      </c>
      <c r="F13" t="str">
        <f>IFERROR(__xludf.DUMMYFUNCTION("IFERROR(FILTER('Fund Data'!$D:$D, 'Fund Data'!$C:$C = $A13, 'Fund Data'!$A:$A = F$1, 'Fund Data'!$B:$B = 12),"""")"),"")</f>
        <v/>
      </c>
      <c r="G13" t="str">
        <f>IFERROR(__xludf.DUMMYFUNCTION("IFERROR(FILTER('Fund Data'!$D:$D, 'Fund Data'!$C:$C = $A13, 'Fund Data'!$A:$A = G$1, 'Fund Data'!$B:$B = 12),"""")"),"")</f>
        <v/>
      </c>
      <c r="H13">
        <f>IFERROR(__xludf.DUMMYFUNCTION("IFERROR(FILTER('Fund Data'!$D:$D, 'Fund Data'!$C:$C = $A13, 'Fund Data'!$A:$A = H$1, 'Fund Data'!$B:$B = 12),"""")"),268867.24)</f>
        <v>268867.24</v>
      </c>
      <c r="I13" t="str">
        <f>IFERROR(__xludf.DUMMYFUNCTION("IFERROR(FILTER('Fund Data'!$D:$D, 'Fund Data'!$C:$C = $A13, 'Fund Data'!$A:$A = I$1, 'Fund Data'!$B:$B = 12),"""")"),"")</f>
        <v/>
      </c>
      <c r="J13" t="str">
        <f>IFERROR(__xludf.DUMMYFUNCTION("IFERROR(FILTER('Fund Data'!$D:$D, 'Fund Data'!$C:$C = $A13, 'Fund Data'!$A:$A = J$1, 'Fund Data'!$B:$B = 12),"""")"),"")</f>
        <v/>
      </c>
      <c r="K13" t="str">
        <f>IFERROR(__xludf.DUMMYFUNCTION("IFERROR(FILTER('Fund Data'!$D:$D, 'Fund Data'!$C:$C = $A13, 'Fund Data'!$A:$A = K$1, 'Fund Data'!$B:$B = 12),"""")"),"")</f>
        <v/>
      </c>
      <c r="L13">
        <f>IFERROR(__xludf.DUMMYFUNCTION("IFERROR(FILTER('Fund Data'!$D:$D, 'Fund Data'!$C:$C = $A13, 'Fund Data'!$A:$A = L$1, 'Fund Data'!$B:$B = 12),"""")"),100.0)</f>
        <v>100</v>
      </c>
      <c r="M13">
        <f>IFERROR(__xludf.DUMMYFUNCTION("IFERROR(FILTER('Fund Data'!$D:$D, 'Fund Data'!$C:$C = $A13, 'Fund Data'!$A:$A = M$1, 'Fund Data'!$B:$B = 12),"""")"),10100.0)</f>
        <v>10100</v>
      </c>
      <c r="N13">
        <f>IFERROR(__xludf.DUMMYFUNCTION("IFERROR(FILTER('Fund Data'!$D:$D, 'Fund Data'!$C:$C = $A13, 'Fund Data'!$A:$A = N$1, 'Fund Data'!$B:$B = 12),"""")"),10000.0)</f>
        <v>10000</v>
      </c>
      <c r="O13">
        <f>IFERROR(__xludf.DUMMYFUNCTION("IFERROR(FILTER('Fund Data'!$D:$D, 'Fund Data'!$C:$C = $A13, 'Fund Data'!$A:$A = O$1, 'Fund Data'!$B:$B = 12),"""")"),10000.0)</f>
        <v>10000</v>
      </c>
      <c r="P13">
        <f>IFERROR(__xludf.DUMMYFUNCTION("IFERROR(FILTER('Fund Data'!$D:$D, 'Fund Data'!$C:$C = $A13, 'Fund Data'!$A:$A = P$1, 'Fund Data'!$B:$B = 12),"""")"),20000.0)</f>
        <v>20000</v>
      </c>
      <c r="Q13">
        <f>IFERROR(__xludf.DUMMYFUNCTION("IFERROR(FILTER('Fund Data'!$D:$D, 'Fund Data'!$C:$C = $A13, 'Fund Data'!$A:$A = Q$1, 'Fund Data'!$B:$B = 12),"""")"),30000.0)</f>
        <v>30000</v>
      </c>
      <c r="R13">
        <f>IFERROR(__xludf.DUMMYFUNCTION("IFERROR(FILTER('Fund Data'!$D:$D, 'Fund Data'!$C:$C = $A13, 'Fund Data'!$A:$A = R$1, 'Fund Data'!$B:$B = 12),"""")"),42000.0)</f>
        <v>42000</v>
      </c>
      <c r="S13">
        <f>IFERROR(__xludf.DUMMYFUNCTION("IFERROR(FILTER('Fund Data'!$D:$D, 'Fund Data'!$C:$C = $A13, 'Fund Data'!$A:$A = S$1, 'Fund Data'!$B:$B = 12),"""")"),20000.0)</f>
        <v>20000</v>
      </c>
      <c r="T13">
        <f>IFERROR(__xludf.DUMMYFUNCTION("IFERROR(FILTER('Fund Data'!$D:$D, 'Fund Data'!$C:$C = $A13, 'Fund Data'!$A:$A = T$1, 'Fund Data'!$B:$B = 12),"""")"),18000.0)</f>
        <v>18000</v>
      </c>
      <c r="U13" t="str">
        <f>IFERROR(__xludf.DUMMYFUNCTION("IFERROR(FILTER('Fund Data'!$D:$D, 'Fund Data'!$C:$C = $A13, 'Fund Data'!$A:$A = U$1, 'Fund Data'!$B:$B = 12),"""")"),"")</f>
        <v/>
      </c>
      <c r="V13" t="str">
        <f>IFERROR(__xludf.DUMMYFUNCTION("IFERROR(FILTER('Fund Data'!$D:$D, 'Fund Data'!$C:$C = $A13, 'Fund Data'!$A:$A = V$1, 'Fund Data'!$B:$B = 12),"""")"),"")</f>
        <v/>
      </c>
      <c r="W13" t="str">
        <f>IFERROR(__xludf.DUMMYFUNCTION("IFERROR(FILTER('Fund Data'!$D:$D, 'Fund Data'!$C:$C = $A13, 'Fund Data'!$A:$A = W$1, 'Fund Data'!$B:$B = 12),"""")"),"")</f>
        <v/>
      </c>
      <c r="X13" t="str">
        <f>IFERROR(__xludf.DUMMYFUNCTION("IFERROR(FILTER('Fund Data'!$D:$D, 'Fund Data'!$C:$C = $A13, 'Fund Data'!$A:$A = X$1, 'Fund Data'!$B:$B = 12),"""")"),"")</f>
        <v/>
      </c>
      <c r="Y13" t="str">
        <f>IFERROR(__xludf.DUMMYFUNCTION("IFERROR(FILTER('Fund Data'!$D:$D, 'Fund Data'!$C:$C = $A13, 'Fund Data'!$A:$A = Y$1, 'Fund Data'!$B:$B = 12),"""")"),"")</f>
        <v/>
      </c>
      <c r="Z13" t="str">
        <f>IFERROR(__xludf.DUMMYFUNCTION("IFERROR(FILTER('Fund Data'!$D:$D, 'Fund Data'!$C:$C = $A13, 'Fund Data'!$A:$A = Z$1, 'Fund Data'!$B:$B = 12),"""")"),"")</f>
        <v/>
      </c>
      <c r="AA13" t="str">
        <f>IFERROR(__xludf.DUMMYFUNCTION("IFERROR(FILTER('Fund Data'!$D:$D, 'Fund Data'!$C:$C = $A13, 'Fund Data'!$A:$A = AA$1, 'Fund Data'!$B:$B = 12),"""")"),"")</f>
        <v/>
      </c>
      <c r="AB13" t="str">
        <f>IFERROR(__xludf.DUMMYFUNCTION("IFERROR(FILTER('Fund Data'!$D:$D, 'Fund Data'!$C:$C = $A13, 'Fund Data'!$A:$A = AB$1, 'Fund Data'!$B:$B = 12),"""")"),"")</f>
        <v/>
      </c>
      <c r="AC13" t="str">
        <f>IFERROR(__xludf.DUMMYFUNCTION("IFERROR(FILTER('Fund Data'!$D:$D, 'Fund Data'!$C:$C = $A13, 'Fund Data'!$A:$A = AC$1, 'Fund Data'!$B:$B = 12),"""")"),"")</f>
        <v/>
      </c>
      <c r="AD13" t="str">
        <f>IFERROR(__xludf.DUMMYFUNCTION("IFERROR(FILTER('Fund Data'!$D:$D, 'Fund Data'!$C:$C = $A13, 'Fund Data'!$A:$A = AD$1, 'Fund Data'!$B:$B = 12),"""")"),"")</f>
        <v/>
      </c>
      <c r="AE13" t="str">
        <f>IFERROR(__xludf.DUMMYFUNCTION("IFERROR(FILTER('Fund Data'!$D:$D, 'Fund Data'!$C:$C = $A13, 'Fund Data'!$A:$A = AE$1, 'Fund Data'!$B:$B = 12),"""")"),"")</f>
        <v/>
      </c>
    </row>
    <row r="14">
      <c r="A14" s="153" t="str">
        <f>'Endowed Funds'!B:B</f>
        <v>General Endowment</v>
      </c>
      <c r="B14" t="str">
        <f>IFERROR(__xludf.DUMMYFUNCTION("IFERROR(FILTER('Fund Data'!$D:$D, 'Fund Data'!$C:$C = $A14, 'Fund Data'!$A:$A = B$1, 'Fund Data'!$B:$B = 12),"""")"),"")</f>
        <v/>
      </c>
      <c r="C14" t="str">
        <f>IFERROR(__xludf.DUMMYFUNCTION("IFERROR(FILTER('Fund Data'!$D:$D, 'Fund Data'!$C:$C = $A14, 'Fund Data'!$A:$A = C$1, 'Fund Data'!$B:$B = 12),"""")"),"")</f>
        <v/>
      </c>
      <c r="D14" t="str">
        <f>IFERROR(__xludf.DUMMYFUNCTION("IFERROR(FILTER('Fund Data'!$D:$D, 'Fund Data'!$C:$C = $A14, 'Fund Data'!$A:$A = D$1, 'Fund Data'!$B:$B = 12),"""")"),"")</f>
        <v/>
      </c>
      <c r="E14" t="str">
        <f>IFERROR(__xludf.DUMMYFUNCTION("IFERROR(FILTER('Fund Data'!$D:$D, 'Fund Data'!$C:$C = $A14, 'Fund Data'!$A:$A = E$1, 'Fund Data'!$B:$B = 12),"""")"),"")</f>
        <v/>
      </c>
      <c r="F14" t="str">
        <f>IFERROR(__xludf.DUMMYFUNCTION("IFERROR(FILTER('Fund Data'!$D:$D, 'Fund Data'!$C:$C = $A14, 'Fund Data'!$A:$A = F$1, 'Fund Data'!$B:$B = 12),"""")"),"")</f>
        <v/>
      </c>
      <c r="G14" t="str">
        <f>IFERROR(__xludf.DUMMYFUNCTION("IFERROR(FILTER('Fund Data'!$D:$D, 'Fund Data'!$C:$C = $A14, 'Fund Data'!$A:$A = G$1, 'Fund Data'!$B:$B = 12),"""")"),"")</f>
        <v/>
      </c>
      <c r="H14" t="str">
        <f>IFERROR(__xludf.DUMMYFUNCTION("IFERROR(FILTER('Fund Data'!$D:$D, 'Fund Data'!$C:$C = $A14, 'Fund Data'!$A:$A = H$1, 'Fund Data'!$B:$B = 12),"""")"),"")</f>
        <v/>
      </c>
      <c r="I14" t="str">
        <f>IFERROR(__xludf.DUMMYFUNCTION("IFERROR(FILTER('Fund Data'!$D:$D, 'Fund Data'!$C:$C = $A14, 'Fund Data'!$A:$A = I$1, 'Fund Data'!$B:$B = 12),"""")"),"")</f>
        <v/>
      </c>
      <c r="J14" t="str">
        <f>IFERROR(__xludf.DUMMYFUNCTION("IFERROR(FILTER('Fund Data'!$D:$D, 'Fund Data'!$C:$C = $A14, 'Fund Data'!$A:$A = J$1, 'Fund Data'!$B:$B = 12),"""")"),"")</f>
        <v/>
      </c>
      <c r="K14">
        <f>IFERROR(__xludf.DUMMYFUNCTION("IFERROR(FILTER('Fund Data'!$D:$D, 'Fund Data'!$C:$C = $A14, 'Fund Data'!$A:$A = K$1, 'Fund Data'!$B:$B = 12),"""")"),55000.0)</f>
        <v>55000</v>
      </c>
      <c r="L14">
        <f>IFERROR(__xludf.DUMMYFUNCTION("IFERROR(FILTER('Fund Data'!$D:$D, 'Fund Data'!$C:$C = $A14, 'Fund Data'!$A:$A = L$1, 'Fund Data'!$B:$B = 12),"""")"),149960.64)</f>
        <v>149960.64</v>
      </c>
      <c r="M14">
        <f>IFERROR(__xludf.DUMMYFUNCTION("IFERROR(FILTER('Fund Data'!$D:$D, 'Fund Data'!$C:$C = $A14, 'Fund Data'!$A:$A = M$1, 'Fund Data'!$B:$B = 12),"""")"),276485.17)</f>
        <v>276485.17</v>
      </c>
      <c r="N14">
        <f>IFERROR(__xludf.DUMMYFUNCTION("IFERROR(FILTER('Fund Data'!$D:$D, 'Fund Data'!$C:$C = $A14, 'Fund Data'!$A:$A = N$1, 'Fund Data'!$B:$B = 12),"""")"),304321.65)</f>
        <v>304321.65</v>
      </c>
      <c r="O14">
        <f>IFERROR(__xludf.DUMMYFUNCTION("IFERROR(FILTER('Fund Data'!$D:$D, 'Fund Data'!$C:$C = $A14, 'Fund Data'!$A:$A = O$1, 'Fund Data'!$B:$B = 12),"""")"),230000.0)</f>
        <v>230000</v>
      </c>
      <c r="P14">
        <f>IFERROR(__xludf.DUMMYFUNCTION("IFERROR(FILTER('Fund Data'!$D:$D, 'Fund Data'!$C:$C = $A14, 'Fund Data'!$A:$A = P$1, 'Fund Data'!$B:$B = 12),"""")"),240000.0)</f>
        <v>240000</v>
      </c>
      <c r="Q14">
        <f>IFERROR(__xludf.DUMMYFUNCTION("IFERROR(FILTER('Fund Data'!$D:$D, 'Fund Data'!$C:$C = $A14, 'Fund Data'!$A:$A = Q$1, 'Fund Data'!$B:$B = 12),"""")"),36000.0)</f>
        <v>36000</v>
      </c>
      <c r="R14">
        <f>IFERROR(__xludf.DUMMYFUNCTION("IFERROR(FILTER('Fund Data'!$D:$D, 'Fund Data'!$C:$C = $A14, 'Fund Data'!$A:$A = R$1, 'Fund Data'!$B:$B = 12),"""")"),76100.0)</f>
        <v>76100</v>
      </c>
      <c r="S14">
        <f>IFERROR(__xludf.DUMMYFUNCTION("IFERROR(FILTER('Fund Data'!$D:$D, 'Fund Data'!$C:$C = $A14, 'Fund Data'!$A:$A = S$1, 'Fund Data'!$B:$B = 12),"""")"),78500.0)</f>
        <v>78500</v>
      </c>
      <c r="T14" t="str">
        <f>IFERROR(__xludf.DUMMYFUNCTION("IFERROR(FILTER('Fund Data'!$D:$D, 'Fund Data'!$C:$C = $A14, 'Fund Data'!$A:$A = T$1, 'Fund Data'!$B:$B = 12),"""")"),"")</f>
        <v/>
      </c>
      <c r="U14" t="str">
        <f>IFERROR(__xludf.DUMMYFUNCTION("IFERROR(FILTER('Fund Data'!$D:$D, 'Fund Data'!$C:$C = $A14, 'Fund Data'!$A:$A = U$1, 'Fund Data'!$B:$B = 12),"""")"),"")</f>
        <v/>
      </c>
      <c r="V14" t="str">
        <f>IFERROR(__xludf.DUMMYFUNCTION("IFERROR(FILTER('Fund Data'!$D:$D, 'Fund Data'!$C:$C = $A14, 'Fund Data'!$A:$A = V$1, 'Fund Data'!$B:$B = 12),"""")"),"")</f>
        <v/>
      </c>
      <c r="W14" t="str">
        <f>IFERROR(__xludf.DUMMYFUNCTION("IFERROR(FILTER('Fund Data'!$D:$D, 'Fund Data'!$C:$C = $A14, 'Fund Data'!$A:$A = W$1, 'Fund Data'!$B:$B = 12),"""")"),"")</f>
        <v/>
      </c>
      <c r="X14" t="str">
        <f>IFERROR(__xludf.DUMMYFUNCTION("IFERROR(FILTER('Fund Data'!$D:$D, 'Fund Data'!$C:$C = $A14, 'Fund Data'!$A:$A = X$1, 'Fund Data'!$B:$B = 12),"""")"),"")</f>
        <v/>
      </c>
      <c r="Y14" t="str">
        <f>IFERROR(__xludf.DUMMYFUNCTION("IFERROR(FILTER('Fund Data'!$D:$D, 'Fund Data'!$C:$C = $A14, 'Fund Data'!$A:$A = Y$1, 'Fund Data'!$B:$B = 12),"""")"),"")</f>
        <v/>
      </c>
      <c r="Z14" t="str">
        <f>IFERROR(__xludf.DUMMYFUNCTION("IFERROR(FILTER('Fund Data'!$D:$D, 'Fund Data'!$C:$C = $A14, 'Fund Data'!$A:$A = Z$1, 'Fund Data'!$B:$B = 12),"""")"),"")</f>
        <v/>
      </c>
      <c r="AA14" t="str">
        <f>IFERROR(__xludf.DUMMYFUNCTION("IFERROR(FILTER('Fund Data'!$D:$D, 'Fund Data'!$C:$C = $A14, 'Fund Data'!$A:$A = AA$1, 'Fund Data'!$B:$B = 12),"""")"),"")</f>
        <v/>
      </c>
      <c r="AB14" t="str">
        <f>IFERROR(__xludf.DUMMYFUNCTION("IFERROR(FILTER('Fund Data'!$D:$D, 'Fund Data'!$C:$C = $A14, 'Fund Data'!$A:$A = AB$1, 'Fund Data'!$B:$B = 12),"""")"),"")</f>
        <v/>
      </c>
      <c r="AC14">
        <f>IFERROR(__xludf.DUMMYFUNCTION("IFERROR(FILTER('Fund Data'!$D:$D, 'Fund Data'!$C:$C = $A14, 'Fund Data'!$A:$A = AC$1, 'Fund Data'!$B:$B = 12),"""")"),10000.0)</f>
        <v>10000</v>
      </c>
      <c r="AD14" t="str">
        <f>IFERROR(__xludf.DUMMYFUNCTION("IFERROR(FILTER('Fund Data'!$D:$D, 'Fund Data'!$C:$C = $A14, 'Fund Data'!$A:$A = AD$1, 'Fund Data'!$B:$B = 12),"""")"),"")</f>
        <v/>
      </c>
      <c r="AE14" t="str">
        <f>IFERROR(__xludf.DUMMYFUNCTION("IFERROR(FILTER('Fund Data'!$D:$D, 'Fund Data'!$C:$C = $A14, 'Fund Data'!$A:$A = AE$1, 'Fund Data'!$B:$B = 12),"""")"),"")</f>
        <v/>
      </c>
    </row>
    <row r="15">
      <c r="A15" s="153" t="str">
        <f>'Endowed Funds'!B:B</f>
        <v>Gomer W. Walters Research Fund</v>
      </c>
      <c r="B15" t="str">
        <f>IFERROR(__xludf.DUMMYFUNCTION("IFERROR(FILTER('Fund Data'!$D:$D, 'Fund Data'!$C:$C = $A15, 'Fund Data'!$A:$A = B$1, 'Fund Data'!$B:$B = 12),"""")"),"")</f>
        <v/>
      </c>
      <c r="C15" t="str">
        <f>IFERROR(__xludf.DUMMYFUNCTION("IFERROR(FILTER('Fund Data'!$D:$D, 'Fund Data'!$C:$C = $A15, 'Fund Data'!$A:$A = C$1, 'Fund Data'!$B:$B = 12),"""")"),"")</f>
        <v/>
      </c>
      <c r="D15" t="str">
        <f>IFERROR(__xludf.DUMMYFUNCTION("IFERROR(FILTER('Fund Data'!$D:$D, 'Fund Data'!$C:$C = $A15, 'Fund Data'!$A:$A = D$1, 'Fund Data'!$B:$B = 12),"""")"),"")</f>
        <v/>
      </c>
      <c r="E15" t="str">
        <f>IFERROR(__xludf.DUMMYFUNCTION("IFERROR(FILTER('Fund Data'!$D:$D, 'Fund Data'!$C:$C = $A15, 'Fund Data'!$A:$A = E$1, 'Fund Data'!$B:$B = 12),"""")"),"")</f>
        <v/>
      </c>
      <c r="F15" t="str">
        <f>IFERROR(__xludf.DUMMYFUNCTION("IFERROR(FILTER('Fund Data'!$D:$D, 'Fund Data'!$C:$C = $A15, 'Fund Data'!$A:$A = F$1, 'Fund Data'!$B:$B = 12),"""")"),"")</f>
        <v/>
      </c>
      <c r="G15" t="str">
        <f>IFERROR(__xludf.DUMMYFUNCTION("IFERROR(FILTER('Fund Data'!$D:$D, 'Fund Data'!$C:$C = $A15, 'Fund Data'!$A:$A = G$1, 'Fund Data'!$B:$B = 12),"""")"),"")</f>
        <v/>
      </c>
      <c r="H15" t="str">
        <f>IFERROR(__xludf.DUMMYFUNCTION("IFERROR(FILTER('Fund Data'!$D:$D, 'Fund Data'!$C:$C = $A15, 'Fund Data'!$A:$A = H$1, 'Fund Data'!$B:$B = 12),"""")"),"")</f>
        <v/>
      </c>
      <c r="I15" t="str">
        <f>IFERROR(__xludf.DUMMYFUNCTION("IFERROR(FILTER('Fund Data'!$D:$D, 'Fund Data'!$C:$C = $A15, 'Fund Data'!$A:$A = I$1, 'Fund Data'!$B:$B = 12),"""")"),"")</f>
        <v/>
      </c>
      <c r="J15" t="str">
        <f>IFERROR(__xludf.DUMMYFUNCTION("IFERROR(FILTER('Fund Data'!$D:$D, 'Fund Data'!$C:$C = $A15, 'Fund Data'!$A:$A = J$1, 'Fund Data'!$B:$B = 12),"""")"),"")</f>
        <v/>
      </c>
      <c r="K15" t="str">
        <f>IFERROR(__xludf.DUMMYFUNCTION("IFERROR(FILTER('Fund Data'!$D:$D, 'Fund Data'!$C:$C = $A15, 'Fund Data'!$A:$A = K$1, 'Fund Data'!$B:$B = 12),"""")"),"")</f>
        <v/>
      </c>
      <c r="L15" t="str">
        <f>IFERROR(__xludf.DUMMYFUNCTION("IFERROR(FILTER('Fund Data'!$D:$D, 'Fund Data'!$C:$C = $A15, 'Fund Data'!$A:$A = L$1, 'Fund Data'!$B:$B = 12),"""")"),"")</f>
        <v/>
      </c>
      <c r="M15" t="str">
        <f>IFERROR(__xludf.DUMMYFUNCTION("IFERROR(FILTER('Fund Data'!$D:$D, 'Fund Data'!$C:$C = $A15, 'Fund Data'!$A:$A = M$1, 'Fund Data'!$B:$B = 12),"""")"),"")</f>
        <v/>
      </c>
      <c r="N15">
        <f>IFERROR(__xludf.DUMMYFUNCTION("IFERROR(FILTER('Fund Data'!$D:$D, 'Fund Data'!$C:$C = $A15, 'Fund Data'!$A:$A = N$1, 'Fund Data'!$B:$B = 12),"""")"),100000.0)</f>
        <v>100000</v>
      </c>
      <c r="O15" t="str">
        <f>IFERROR(__xludf.DUMMYFUNCTION("IFERROR(FILTER('Fund Data'!$D:$D, 'Fund Data'!$C:$C = $A15, 'Fund Data'!$A:$A = O$1, 'Fund Data'!$B:$B = 12),"""")"),"")</f>
        <v/>
      </c>
      <c r="P15">
        <f>IFERROR(__xludf.DUMMYFUNCTION("IFERROR(FILTER('Fund Data'!$D:$D, 'Fund Data'!$C:$C = $A15, 'Fund Data'!$A:$A = P$1, 'Fund Data'!$B:$B = 12),"""")"),800.0)</f>
        <v>800</v>
      </c>
      <c r="Q15">
        <f>IFERROR(__xludf.DUMMYFUNCTION("IFERROR(FILTER('Fund Data'!$D:$D, 'Fund Data'!$C:$C = $A15, 'Fund Data'!$A:$A = Q$1, 'Fund Data'!$B:$B = 12),"""")"),500.0)</f>
        <v>500</v>
      </c>
      <c r="R15">
        <f>IFERROR(__xludf.DUMMYFUNCTION("IFERROR(FILTER('Fund Data'!$D:$D, 'Fund Data'!$C:$C = $A15, 'Fund Data'!$A:$A = R$1, 'Fund Data'!$B:$B = 12),"""")"),46300.0)</f>
        <v>46300</v>
      </c>
      <c r="S15">
        <f>IFERROR(__xludf.DUMMYFUNCTION("IFERROR(FILTER('Fund Data'!$D:$D, 'Fund Data'!$C:$C = $A15, 'Fund Data'!$A:$A = S$1, 'Fund Data'!$B:$B = 12),"""")"),500.0)</f>
        <v>500</v>
      </c>
      <c r="T15">
        <f>IFERROR(__xludf.DUMMYFUNCTION("IFERROR(FILTER('Fund Data'!$D:$D, 'Fund Data'!$C:$C = $A15, 'Fund Data'!$A:$A = T$1, 'Fund Data'!$B:$B = 12),"""")"),500.0)</f>
        <v>500</v>
      </c>
      <c r="U15">
        <f>IFERROR(__xludf.DUMMYFUNCTION("IFERROR(FILTER('Fund Data'!$D:$D, 'Fund Data'!$C:$C = $A15, 'Fund Data'!$A:$A = U$1, 'Fund Data'!$B:$B = 12),"""")"),750.0)</f>
        <v>750</v>
      </c>
      <c r="V15">
        <f>IFERROR(__xludf.DUMMYFUNCTION("IFERROR(FILTER('Fund Data'!$D:$D, 'Fund Data'!$C:$C = $A15, 'Fund Data'!$A:$A = V$1, 'Fund Data'!$B:$B = 12),"""")"),1000.0)</f>
        <v>1000</v>
      </c>
      <c r="W15">
        <f>IFERROR(__xludf.DUMMYFUNCTION("IFERROR(FILTER('Fund Data'!$D:$D, 'Fund Data'!$C:$C = $A15, 'Fund Data'!$A:$A = W$1, 'Fund Data'!$B:$B = 12),"""")"),1000.0)</f>
        <v>1000</v>
      </c>
      <c r="X15">
        <f>IFERROR(__xludf.DUMMYFUNCTION("IFERROR(FILTER('Fund Data'!$D:$D, 'Fund Data'!$C:$C = $A15, 'Fund Data'!$A:$A = X$1, 'Fund Data'!$B:$B = 12),"""")"),1750.0)</f>
        <v>1750</v>
      </c>
      <c r="Y15">
        <f>IFERROR(__xludf.DUMMYFUNCTION("IFERROR(FILTER('Fund Data'!$D:$D, 'Fund Data'!$C:$C = $A15, 'Fund Data'!$A:$A = Y$1, 'Fund Data'!$B:$B = 12),"""")"),1000.0)</f>
        <v>1000</v>
      </c>
      <c r="Z15">
        <f>IFERROR(__xludf.DUMMYFUNCTION("IFERROR(FILTER('Fund Data'!$D:$D, 'Fund Data'!$C:$C = $A15, 'Fund Data'!$A:$A = Z$1, 'Fund Data'!$B:$B = 12),"""")"),1000.0)</f>
        <v>1000</v>
      </c>
      <c r="AA15" t="str">
        <f>IFERROR(__xludf.DUMMYFUNCTION("IFERROR(FILTER('Fund Data'!$D:$D, 'Fund Data'!$C:$C = $A15, 'Fund Data'!$A:$A = AA$1, 'Fund Data'!$B:$B = 12),"""")"),"")</f>
        <v/>
      </c>
      <c r="AB15">
        <f>IFERROR(__xludf.DUMMYFUNCTION("IFERROR(FILTER('Fund Data'!$D:$D, 'Fund Data'!$C:$C = $A15, 'Fund Data'!$A:$A = AB$1, 'Fund Data'!$B:$B = 12),"""")"),1750.0)</f>
        <v>1750</v>
      </c>
      <c r="AC15">
        <f>IFERROR(__xludf.DUMMYFUNCTION("IFERROR(FILTER('Fund Data'!$D:$D, 'Fund Data'!$C:$C = $A15, 'Fund Data'!$A:$A = AC$1, 'Fund Data'!$B:$B = 12),"""")"),1250.0)</f>
        <v>1250</v>
      </c>
      <c r="AD15" t="str">
        <f>IFERROR(__xludf.DUMMYFUNCTION("IFERROR(FILTER('Fund Data'!$D:$D, 'Fund Data'!$C:$C = $A15, 'Fund Data'!$A:$A = AD$1, 'Fund Data'!$B:$B = 12),"""")"),"")</f>
        <v/>
      </c>
      <c r="AE15" t="str">
        <f>IFERROR(__xludf.DUMMYFUNCTION("IFERROR(FILTER('Fund Data'!$D:$D, 'Fund Data'!$C:$C = $A15, 'Fund Data'!$A:$A = AE$1, 'Fund Data'!$B:$B = 12),"""")"),"")</f>
        <v/>
      </c>
    </row>
    <row r="16">
      <c r="A16" s="153" t="str">
        <f>'Endowed Funds'!B:B</f>
        <v>Grace M. and Thor E. Larsen Education Fund</v>
      </c>
      <c r="B16" t="str">
        <f>IFERROR(__xludf.DUMMYFUNCTION("IFERROR(FILTER('Fund Data'!$D:$D, 'Fund Data'!$C:$C = $A16, 'Fund Data'!$A:$A = B$1, 'Fund Data'!$B:$B = 12),"""")"),"")</f>
        <v/>
      </c>
      <c r="C16" t="str">
        <f>IFERROR(__xludf.DUMMYFUNCTION("IFERROR(FILTER('Fund Data'!$D:$D, 'Fund Data'!$C:$C = $A16, 'Fund Data'!$A:$A = C$1, 'Fund Data'!$B:$B = 12),"""")"),"")</f>
        <v/>
      </c>
      <c r="D16" t="str">
        <f>IFERROR(__xludf.DUMMYFUNCTION("IFERROR(FILTER('Fund Data'!$D:$D, 'Fund Data'!$C:$C = $A16, 'Fund Data'!$A:$A = D$1, 'Fund Data'!$B:$B = 12),"""")"),"")</f>
        <v/>
      </c>
      <c r="E16" t="str">
        <f>IFERROR(__xludf.DUMMYFUNCTION("IFERROR(FILTER('Fund Data'!$D:$D, 'Fund Data'!$C:$C = $A16, 'Fund Data'!$A:$A = E$1, 'Fund Data'!$B:$B = 12),"""")"),"")</f>
        <v/>
      </c>
      <c r="F16" t="str">
        <f>IFERROR(__xludf.DUMMYFUNCTION("IFERROR(FILTER('Fund Data'!$D:$D, 'Fund Data'!$C:$C = $A16, 'Fund Data'!$A:$A = F$1, 'Fund Data'!$B:$B = 12),"""")"),"")</f>
        <v/>
      </c>
      <c r="G16" t="str">
        <f>IFERROR(__xludf.DUMMYFUNCTION("IFERROR(FILTER('Fund Data'!$D:$D, 'Fund Data'!$C:$C = $A16, 'Fund Data'!$A:$A = G$1, 'Fund Data'!$B:$B = 12),"""")"),"")</f>
        <v/>
      </c>
      <c r="H16" t="str">
        <f>IFERROR(__xludf.DUMMYFUNCTION("IFERROR(FILTER('Fund Data'!$D:$D, 'Fund Data'!$C:$C = $A16, 'Fund Data'!$A:$A = H$1, 'Fund Data'!$B:$B = 12),"""")"),"")</f>
        <v/>
      </c>
      <c r="I16" t="str">
        <f>IFERROR(__xludf.DUMMYFUNCTION("IFERROR(FILTER('Fund Data'!$D:$D, 'Fund Data'!$C:$C = $A16, 'Fund Data'!$A:$A = I$1, 'Fund Data'!$B:$B = 12),"""")"),"")</f>
        <v/>
      </c>
      <c r="J16" t="str">
        <f>IFERROR(__xludf.DUMMYFUNCTION("IFERROR(FILTER('Fund Data'!$D:$D, 'Fund Data'!$C:$C = $A16, 'Fund Data'!$A:$A = J$1, 'Fund Data'!$B:$B = 12),"""")"),"")</f>
        <v/>
      </c>
      <c r="K16" t="str">
        <f>IFERROR(__xludf.DUMMYFUNCTION("IFERROR(FILTER('Fund Data'!$D:$D, 'Fund Data'!$C:$C = $A16, 'Fund Data'!$A:$A = K$1, 'Fund Data'!$B:$B = 12),"""")"),"")</f>
        <v/>
      </c>
      <c r="L16" t="str">
        <f>IFERROR(__xludf.DUMMYFUNCTION("IFERROR(FILTER('Fund Data'!$D:$D, 'Fund Data'!$C:$C = $A16, 'Fund Data'!$A:$A = L$1, 'Fund Data'!$B:$B = 12),"""")"),"")</f>
        <v/>
      </c>
      <c r="M16" t="str">
        <f>IFERROR(__xludf.DUMMYFUNCTION("IFERROR(FILTER('Fund Data'!$D:$D, 'Fund Data'!$C:$C = $A16, 'Fund Data'!$A:$A = M$1, 'Fund Data'!$B:$B = 12),"""")"),"")</f>
        <v/>
      </c>
      <c r="N16" t="str">
        <f>IFERROR(__xludf.DUMMYFUNCTION("IFERROR(FILTER('Fund Data'!$D:$D, 'Fund Data'!$C:$C = $A16, 'Fund Data'!$A:$A = N$1, 'Fund Data'!$B:$B = 12),"""")"),"")</f>
        <v/>
      </c>
      <c r="O16" t="str">
        <f>IFERROR(__xludf.DUMMYFUNCTION("IFERROR(FILTER('Fund Data'!$D:$D, 'Fund Data'!$C:$C = $A16, 'Fund Data'!$A:$A = O$1, 'Fund Data'!$B:$B = 12),"""")"),"")</f>
        <v/>
      </c>
      <c r="P16" t="str">
        <f>IFERROR(__xludf.DUMMYFUNCTION("IFERROR(FILTER('Fund Data'!$D:$D, 'Fund Data'!$C:$C = $A16, 'Fund Data'!$A:$A = P$1, 'Fund Data'!$B:$B = 12),"""")"),"")</f>
        <v/>
      </c>
      <c r="Q16" t="str">
        <f>IFERROR(__xludf.DUMMYFUNCTION("IFERROR(FILTER('Fund Data'!$D:$D, 'Fund Data'!$C:$C = $A16, 'Fund Data'!$A:$A = Q$1, 'Fund Data'!$B:$B = 12),"""")"),"")</f>
        <v/>
      </c>
      <c r="R16" t="str">
        <f>IFERROR(__xludf.DUMMYFUNCTION("IFERROR(FILTER('Fund Data'!$D:$D, 'Fund Data'!$C:$C = $A16, 'Fund Data'!$A:$A = R$1, 'Fund Data'!$B:$B = 12),"""")"),"")</f>
        <v/>
      </c>
      <c r="S16" t="str">
        <f>IFERROR(__xludf.DUMMYFUNCTION("IFERROR(FILTER('Fund Data'!$D:$D, 'Fund Data'!$C:$C = $A16, 'Fund Data'!$A:$A = S$1, 'Fund Data'!$B:$B = 12),"""")"),"")</f>
        <v/>
      </c>
      <c r="T16">
        <f>IFERROR(__xludf.DUMMYFUNCTION("IFERROR(FILTER('Fund Data'!$D:$D, 'Fund Data'!$C:$C = $A16, 'Fund Data'!$A:$A = T$1, 'Fund Data'!$B:$B = 12),"""")"),10000.0)</f>
        <v>10000</v>
      </c>
      <c r="U16">
        <f>IFERROR(__xludf.DUMMYFUNCTION("IFERROR(FILTER('Fund Data'!$D:$D, 'Fund Data'!$C:$C = $A16, 'Fund Data'!$A:$A = U$1, 'Fund Data'!$B:$B = 12),"""")"),10000.0)</f>
        <v>10000</v>
      </c>
      <c r="V16">
        <f>IFERROR(__xludf.DUMMYFUNCTION("IFERROR(FILTER('Fund Data'!$D:$D, 'Fund Data'!$C:$C = $A16, 'Fund Data'!$A:$A = V$1, 'Fund Data'!$B:$B = 12),"""")"),20000.0)</f>
        <v>20000</v>
      </c>
      <c r="W16">
        <f>IFERROR(__xludf.DUMMYFUNCTION("IFERROR(FILTER('Fund Data'!$D:$D, 'Fund Data'!$C:$C = $A16, 'Fund Data'!$A:$A = W$1, 'Fund Data'!$B:$B = 12),"""")"),20000.0)</f>
        <v>20000</v>
      </c>
      <c r="X16">
        <f>IFERROR(__xludf.DUMMYFUNCTION("IFERROR(FILTER('Fund Data'!$D:$D, 'Fund Data'!$C:$C = $A16, 'Fund Data'!$A:$A = X$1, 'Fund Data'!$B:$B = 12),"""")"),30000.0)</f>
        <v>30000</v>
      </c>
      <c r="Y16">
        <f>IFERROR(__xludf.DUMMYFUNCTION("IFERROR(FILTER('Fund Data'!$D:$D, 'Fund Data'!$C:$C = $A16, 'Fund Data'!$A:$A = Y$1, 'Fund Data'!$B:$B = 12),"""")"),10000.0)</f>
        <v>10000</v>
      </c>
      <c r="Z16">
        <f>IFERROR(__xludf.DUMMYFUNCTION("IFERROR(FILTER('Fund Data'!$D:$D, 'Fund Data'!$C:$C = $A16, 'Fund Data'!$A:$A = Z$1, 'Fund Data'!$B:$B = 12),"""")"),10000.0)</f>
        <v>10000</v>
      </c>
      <c r="AA16">
        <f>IFERROR(__xludf.DUMMYFUNCTION("IFERROR(FILTER('Fund Data'!$D:$D, 'Fund Data'!$C:$C = $A16, 'Fund Data'!$A:$A = AA$1, 'Fund Data'!$B:$B = 12),"""")"),15000.0)</f>
        <v>15000</v>
      </c>
      <c r="AB16">
        <f>IFERROR(__xludf.DUMMYFUNCTION("IFERROR(FILTER('Fund Data'!$D:$D, 'Fund Data'!$C:$C = $A16, 'Fund Data'!$A:$A = AB$1, 'Fund Data'!$B:$B = 12),"""")"),15000.0)</f>
        <v>15000</v>
      </c>
      <c r="AC16">
        <f>IFERROR(__xludf.DUMMYFUNCTION("IFERROR(FILTER('Fund Data'!$D:$D, 'Fund Data'!$C:$C = $A16, 'Fund Data'!$A:$A = AC$1, 'Fund Data'!$B:$B = 12),"""")"),15000.0)</f>
        <v>15000</v>
      </c>
      <c r="AD16">
        <f>IFERROR(__xludf.DUMMYFUNCTION("IFERROR(FILTER('Fund Data'!$D:$D, 'Fund Data'!$C:$C = $A16, 'Fund Data'!$A:$A = AD$1, 'Fund Data'!$B:$B = 12),"""")"),15000.0)</f>
        <v>15000</v>
      </c>
      <c r="AE16" t="str">
        <f>IFERROR(__xludf.DUMMYFUNCTION("IFERROR(FILTER('Fund Data'!$D:$D, 'Fund Data'!$C:$C = $A16, 'Fund Data'!$A:$A = AE$1, 'Fund Data'!$B:$B = 12),"""")"),"")</f>
        <v/>
      </c>
    </row>
    <row r="17">
      <c r="A17" s="153" t="str">
        <f>'Endowed Funds'!B:B</f>
        <v>Jan and Frank Cicero Research Fund</v>
      </c>
      <c r="B17" t="str">
        <f>IFERROR(__xludf.DUMMYFUNCTION("IFERROR(FILTER('Fund Data'!$D:$D, 'Fund Data'!$C:$C = $A17, 'Fund Data'!$A:$A = B$1, 'Fund Data'!$B:$B = 12),"""")"),"")</f>
        <v/>
      </c>
      <c r="C17" t="str">
        <f>IFERROR(__xludf.DUMMYFUNCTION("IFERROR(FILTER('Fund Data'!$D:$D, 'Fund Data'!$C:$C = $A17, 'Fund Data'!$A:$A = C$1, 'Fund Data'!$B:$B = 12),"""")"),"")</f>
        <v/>
      </c>
      <c r="D17" t="str">
        <f>IFERROR(__xludf.DUMMYFUNCTION("IFERROR(FILTER('Fund Data'!$D:$D, 'Fund Data'!$C:$C = $A17, 'Fund Data'!$A:$A = D$1, 'Fund Data'!$B:$B = 12),"""")"),"")</f>
        <v/>
      </c>
      <c r="E17" t="str">
        <f>IFERROR(__xludf.DUMMYFUNCTION("IFERROR(FILTER('Fund Data'!$D:$D, 'Fund Data'!$C:$C = $A17, 'Fund Data'!$A:$A = E$1, 'Fund Data'!$B:$B = 12),"""")"),"")</f>
        <v/>
      </c>
      <c r="F17" t="str">
        <f>IFERROR(__xludf.DUMMYFUNCTION("IFERROR(FILTER('Fund Data'!$D:$D, 'Fund Data'!$C:$C = $A17, 'Fund Data'!$A:$A = F$1, 'Fund Data'!$B:$B = 12),"""")"),"")</f>
        <v/>
      </c>
      <c r="G17" t="str">
        <f>IFERROR(__xludf.DUMMYFUNCTION("IFERROR(FILTER('Fund Data'!$D:$D, 'Fund Data'!$C:$C = $A17, 'Fund Data'!$A:$A = G$1, 'Fund Data'!$B:$B = 12),"""")"),"")</f>
        <v/>
      </c>
      <c r="H17" t="str">
        <f>IFERROR(__xludf.DUMMYFUNCTION("IFERROR(FILTER('Fund Data'!$D:$D, 'Fund Data'!$C:$C = $A17, 'Fund Data'!$A:$A = H$1, 'Fund Data'!$B:$B = 12),"""")"),"")</f>
        <v/>
      </c>
      <c r="I17" t="str">
        <f>IFERROR(__xludf.DUMMYFUNCTION("IFERROR(FILTER('Fund Data'!$D:$D, 'Fund Data'!$C:$C = $A17, 'Fund Data'!$A:$A = I$1, 'Fund Data'!$B:$B = 12),"""")"),"")</f>
        <v/>
      </c>
      <c r="J17" t="str">
        <f>IFERROR(__xludf.DUMMYFUNCTION("IFERROR(FILTER('Fund Data'!$D:$D, 'Fund Data'!$C:$C = $A17, 'Fund Data'!$A:$A = J$1, 'Fund Data'!$B:$B = 12),"""")"),"")</f>
        <v/>
      </c>
      <c r="K17" t="str">
        <f>IFERROR(__xludf.DUMMYFUNCTION("IFERROR(FILTER('Fund Data'!$D:$D, 'Fund Data'!$C:$C = $A17, 'Fund Data'!$A:$A = K$1, 'Fund Data'!$B:$B = 12),"""")"),"")</f>
        <v/>
      </c>
      <c r="L17" t="str">
        <f>IFERROR(__xludf.DUMMYFUNCTION("IFERROR(FILTER('Fund Data'!$D:$D, 'Fund Data'!$C:$C = $A17, 'Fund Data'!$A:$A = L$1, 'Fund Data'!$B:$B = 12),"""")"),"")</f>
        <v/>
      </c>
      <c r="M17" t="str">
        <f>IFERROR(__xludf.DUMMYFUNCTION("IFERROR(FILTER('Fund Data'!$D:$D, 'Fund Data'!$C:$C = $A17, 'Fund Data'!$A:$A = M$1, 'Fund Data'!$B:$B = 12),"""")"),"")</f>
        <v/>
      </c>
      <c r="N17" t="str">
        <f>IFERROR(__xludf.DUMMYFUNCTION("IFERROR(FILTER('Fund Data'!$D:$D, 'Fund Data'!$C:$C = $A17, 'Fund Data'!$A:$A = N$1, 'Fund Data'!$B:$B = 12),"""")"),"")</f>
        <v/>
      </c>
      <c r="O17" t="str">
        <f>IFERROR(__xludf.DUMMYFUNCTION("IFERROR(FILTER('Fund Data'!$D:$D, 'Fund Data'!$C:$C = $A17, 'Fund Data'!$A:$A = O$1, 'Fund Data'!$B:$B = 12),"""")"),"")</f>
        <v/>
      </c>
      <c r="P17">
        <f>IFERROR(__xludf.DUMMYFUNCTION("IFERROR(FILTER('Fund Data'!$D:$D, 'Fund Data'!$C:$C = $A17, 'Fund Data'!$A:$A = P$1, 'Fund Data'!$B:$B = 12),"""")"),19055.26)</f>
        <v>19055.26</v>
      </c>
      <c r="Q17">
        <f>IFERROR(__xludf.DUMMYFUNCTION("IFERROR(FILTER('Fund Data'!$D:$D, 'Fund Data'!$C:$C = $A17, 'Fund Data'!$A:$A = Q$1, 'Fund Data'!$B:$B = 12),"""")"),22129.0)</f>
        <v>22129</v>
      </c>
      <c r="R17">
        <f>IFERROR(__xludf.DUMMYFUNCTION("IFERROR(FILTER('Fund Data'!$D:$D, 'Fund Data'!$C:$C = $A17, 'Fund Data'!$A:$A = R$1, 'Fund Data'!$B:$B = 12),"""")"),34005.3)</f>
        <v>34005.3</v>
      </c>
      <c r="S17">
        <f>IFERROR(__xludf.DUMMYFUNCTION("IFERROR(FILTER('Fund Data'!$D:$D, 'Fund Data'!$C:$C = $A17, 'Fund Data'!$A:$A = S$1, 'Fund Data'!$B:$B = 12),"""")"),20000.0)</f>
        <v>20000</v>
      </c>
      <c r="T17">
        <f>IFERROR(__xludf.DUMMYFUNCTION("IFERROR(FILTER('Fund Data'!$D:$D, 'Fund Data'!$C:$C = $A17, 'Fund Data'!$A:$A = T$1, 'Fund Data'!$B:$B = 12),"""")"),10000.0)</f>
        <v>10000</v>
      </c>
      <c r="U17">
        <f>IFERROR(__xludf.DUMMYFUNCTION("IFERROR(FILTER('Fund Data'!$D:$D, 'Fund Data'!$C:$C = $A17, 'Fund Data'!$A:$A = U$1, 'Fund Data'!$B:$B = 12),"""")"),5000.0)</f>
        <v>5000</v>
      </c>
      <c r="V17" t="str">
        <f>IFERROR(__xludf.DUMMYFUNCTION("IFERROR(FILTER('Fund Data'!$D:$D, 'Fund Data'!$C:$C = $A17, 'Fund Data'!$A:$A = V$1, 'Fund Data'!$B:$B = 12),"""")"),"")</f>
        <v/>
      </c>
      <c r="W17" t="str">
        <f>IFERROR(__xludf.DUMMYFUNCTION("IFERROR(FILTER('Fund Data'!$D:$D, 'Fund Data'!$C:$C = $A17, 'Fund Data'!$A:$A = W$1, 'Fund Data'!$B:$B = 12),"""")"),"")</f>
        <v/>
      </c>
      <c r="X17">
        <f>IFERROR(__xludf.DUMMYFUNCTION("IFERROR(FILTER('Fund Data'!$D:$D, 'Fund Data'!$C:$C = $A17, 'Fund Data'!$A:$A = X$1, 'Fund Data'!$B:$B = 12),"""")"),15000.0)</f>
        <v>15000</v>
      </c>
      <c r="Y17" t="str">
        <f>IFERROR(__xludf.DUMMYFUNCTION("IFERROR(FILTER('Fund Data'!$D:$D, 'Fund Data'!$C:$C = $A17, 'Fund Data'!$A:$A = Y$1, 'Fund Data'!$B:$B = 12),"""")"),"")</f>
        <v/>
      </c>
      <c r="Z17">
        <f>IFERROR(__xludf.DUMMYFUNCTION("IFERROR(FILTER('Fund Data'!$D:$D, 'Fund Data'!$C:$C = $A17, 'Fund Data'!$A:$A = Z$1, 'Fund Data'!$B:$B = 12),"""")"),20000.0)</f>
        <v>20000</v>
      </c>
      <c r="AA17">
        <f>IFERROR(__xludf.DUMMYFUNCTION("IFERROR(FILTER('Fund Data'!$D:$D, 'Fund Data'!$C:$C = $A17, 'Fund Data'!$A:$A = AA$1, 'Fund Data'!$B:$B = 12),"""")"),20000.0)</f>
        <v>20000</v>
      </c>
      <c r="AB17">
        <f>IFERROR(__xludf.DUMMYFUNCTION("IFERROR(FILTER('Fund Data'!$D:$D, 'Fund Data'!$C:$C = $A17, 'Fund Data'!$A:$A = AB$1, 'Fund Data'!$B:$B = 12),"""")"),20000.0)</f>
        <v>20000</v>
      </c>
      <c r="AC17" t="str">
        <f>IFERROR(__xludf.DUMMYFUNCTION("IFERROR(FILTER('Fund Data'!$D:$D, 'Fund Data'!$C:$C = $A17, 'Fund Data'!$A:$A = AC$1, 'Fund Data'!$B:$B = 12),"""")"),"")</f>
        <v/>
      </c>
      <c r="AD17" t="str">
        <f>IFERROR(__xludf.DUMMYFUNCTION("IFERROR(FILTER('Fund Data'!$D:$D, 'Fund Data'!$C:$C = $A17, 'Fund Data'!$A:$A = AD$1, 'Fund Data'!$B:$B = 12),"""")"),"")</f>
        <v/>
      </c>
      <c r="AE17" t="str">
        <f>IFERROR(__xludf.DUMMYFUNCTION("IFERROR(FILTER('Fund Data'!$D:$D, 'Fund Data'!$C:$C = $A17, 'Fund Data'!$A:$A = AE$1, 'Fund Data'!$B:$B = 12),"""")"),"")</f>
        <v/>
      </c>
    </row>
    <row r="18">
      <c r="A18" s="153" t="str">
        <f>'Endowed Funds'!B:B</f>
        <v>Katherine Carhart Fellowship</v>
      </c>
      <c r="B18" t="str">
        <f>IFERROR(__xludf.DUMMYFUNCTION("IFERROR(FILTER('Fund Data'!$D:$D, 'Fund Data'!$C:$C = $A18, 'Fund Data'!$A:$A = B$1, 'Fund Data'!$B:$B = 12),"""")"),"")</f>
        <v/>
      </c>
      <c r="C18" t="str">
        <f>IFERROR(__xludf.DUMMYFUNCTION("IFERROR(FILTER('Fund Data'!$D:$D, 'Fund Data'!$C:$C = $A18, 'Fund Data'!$A:$A = C$1, 'Fund Data'!$B:$B = 12),"""")"),"")</f>
        <v/>
      </c>
      <c r="D18" t="str">
        <f>IFERROR(__xludf.DUMMYFUNCTION("IFERROR(FILTER('Fund Data'!$D:$D, 'Fund Data'!$C:$C = $A18, 'Fund Data'!$A:$A = D$1, 'Fund Data'!$B:$B = 12),"""")"),"")</f>
        <v/>
      </c>
      <c r="E18" t="str">
        <f>IFERROR(__xludf.DUMMYFUNCTION("IFERROR(FILTER('Fund Data'!$D:$D, 'Fund Data'!$C:$C = $A18, 'Fund Data'!$A:$A = E$1, 'Fund Data'!$B:$B = 12),"""")"),"")</f>
        <v/>
      </c>
      <c r="F18" t="str">
        <f>IFERROR(__xludf.DUMMYFUNCTION("IFERROR(FILTER('Fund Data'!$D:$D, 'Fund Data'!$C:$C = $A18, 'Fund Data'!$A:$A = F$1, 'Fund Data'!$B:$B = 12),"""")"),"")</f>
        <v/>
      </c>
      <c r="G18" t="str">
        <f>IFERROR(__xludf.DUMMYFUNCTION("IFERROR(FILTER('Fund Data'!$D:$D, 'Fund Data'!$C:$C = $A18, 'Fund Data'!$A:$A = G$1, 'Fund Data'!$B:$B = 12),"""")"),"")</f>
        <v/>
      </c>
      <c r="H18">
        <f>IFERROR(__xludf.DUMMYFUNCTION("IFERROR(FILTER('Fund Data'!$D:$D, 'Fund Data'!$C:$C = $A18, 'Fund Data'!$A:$A = H$1, 'Fund Data'!$B:$B = 12),"""")"),48839.04)</f>
        <v>48839.04</v>
      </c>
      <c r="I18">
        <f>IFERROR(__xludf.DUMMYFUNCTION("IFERROR(FILTER('Fund Data'!$D:$D, 'Fund Data'!$C:$C = $A18, 'Fund Data'!$A:$A = I$1, 'Fund Data'!$B:$B = 12),"""")"),610.0)</f>
        <v>610</v>
      </c>
      <c r="J18" t="str">
        <f>IFERROR(__xludf.DUMMYFUNCTION("IFERROR(FILTER('Fund Data'!$D:$D, 'Fund Data'!$C:$C = $A18, 'Fund Data'!$A:$A = J$1, 'Fund Data'!$B:$B = 12),"""")"),"")</f>
        <v/>
      </c>
      <c r="K18" t="str">
        <f>IFERROR(__xludf.DUMMYFUNCTION("IFERROR(FILTER('Fund Data'!$D:$D, 'Fund Data'!$C:$C = $A18, 'Fund Data'!$A:$A = K$1, 'Fund Data'!$B:$B = 12),"""")"),"")</f>
        <v/>
      </c>
      <c r="L18" t="str">
        <f>IFERROR(__xludf.DUMMYFUNCTION("IFERROR(FILTER('Fund Data'!$D:$D, 'Fund Data'!$C:$C = $A18, 'Fund Data'!$A:$A = L$1, 'Fund Data'!$B:$B = 12),"""")"),"")</f>
        <v/>
      </c>
      <c r="M18" t="str">
        <f>IFERROR(__xludf.DUMMYFUNCTION("IFERROR(FILTER('Fund Data'!$D:$D, 'Fund Data'!$C:$C = $A18, 'Fund Data'!$A:$A = M$1, 'Fund Data'!$B:$B = 12),"""")"),"")</f>
        <v/>
      </c>
      <c r="N18" t="str">
        <f>IFERROR(__xludf.DUMMYFUNCTION("IFERROR(FILTER('Fund Data'!$D:$D, 'Fund Data'!$C:$C = $A18, 'Fund Data'!$A:$A = N$1, 'Fund Data'!$B:$B = 12),"""")"),"")</f>
        <v/>
      </c>
      <c r="O18" t="str">
        <f>IFERROR(__xludf.DUMMYFUNCTION("IFERROR(FILTER('Fund Data'!$D:$D, 'Fund Data'!$C:$C = $A18, 'Fund Data'!$A:$A = O$1, 'Fund Data'!$B:$B = 12),"""")"),"")</f>
        <v/>
      </c>
      <c r="P18" t="str">
        <f>IFERROR(__xludf.DUMMYFUNCTION("IFERROR(FILTER('Fund Data'!$D:$D, 'Fund Data'!$C:$C = $A18, 'Fund Data'!$A:$A = P$1, 'Fund Data'!$B:$B = 12),"""")"),"")</f>
        <v/>
      </c>
      <c r="Q18" t="str">
        <f>IFERROR(__xludf.DUMMYFUNCTION("IFERROR(FILTER('Fund Data'!$D:$D, 'Fund Data'!$C:$C = $A18, 'Fund Data'!$A:$A = Q$1, 'Fund Data'!$B:$B = 12),"""")"),"")</f>
        <v/>
      </c>
      <c r="R18" t="str">
        <f>IFERROR(__xludf.DUMMYFUNCTION("IFERROR(FILTER('Fund Data'!$D:$D, 'Fund Data'!$C:$C = $A18, 'Fund Data'!$A:$A = R$1, 'Fund Data'!$B:$B = 12),"""")"),"")</f>
        <v/>
      </c>
      <c r="S18" t="str">
        <f>IFERROR(__xludf.DUMMYFUNCTION("IFERROR(FILTER('Fund Data'!$D:$D, 'Fund Data'!$C:$C = $A18, 'Fund Data'!$A:$A = S$1, 'Fund Data'!$B:$B = 12),"""")"),"")</f>
        <v/>
      </c>
      <c r="T18" t="str">
        <f>IFERROR(__xludf.DUMMYFUNCTION("IFERROR(FILTER('Fund Data'!$D:$D, 'Fund Data'!$C:$C = $A18, 'Fund Data'!$A:$A = T$1, 'Fund Data'!$B:$B = 12),"""")"),"")</f>
        <v/>
      </c>
      <c r="U18" t="str">
        <f>IFERROR(__xludf.DUMMYFUNCTION("IFERROR(FILTER('Fund Data'!$D:$D, 'Fund Data'!$C:$C = $A18, 'Fund Data'!$A:$A = U$1, 'Fund Data'!$B:$B = 12),"""")"),"")</f>
        <v/>
      </c>
      <c r="V18" t="str">
        <f>IFERROR(__xludf.DUMMYFUNCTION("IFERROR(FILTER('Fund Data'!$D:$D, 'Fund Data'!$C:$C = $A18, 'Fund Data'!$A:$A = V$1, 'Fund Data'!$B:$B = 12),"""")"),"")</f>
        <v/>
      </c>
      <c r="W18" t="str">
        <f>IFERROR(__xludf.DUMMYFUNCTION("IFERROR(FILTER('Fund Data'!$D:$D, 'Fund Data'!$C:$C = $A18, 'Fund Data'!$A:$A = W$1, 'Fund Data'!$B:$B = 12),"""")"),"")</f>
        <v/>
      </c>
      <c r="X18" t="str">
        <f>IFERROR(__xludf.DUMMYFUNCTION("IFERROR(FILTER('Fund Data'!$D:$D, 'Fund Data'!$C:$C = $A18, 'Fund Data'!$A:$A = X$1, 'Fund Data'!$B:$B = 12),"""")"),"")</f>
        <v/>
      </c>
      <c r="Y18" t="str">
        <f>IFERROR(__xludf.DUMMYFUNCTION("IFERROR(FILTER('Fund Data'!$D:$D, 'Fund Data'!$C:$C = $A18, 'Fund Data'!$A:$A = Y$1, 'Fund Data'!$B:$B = 12),"""")"),"")</f>
        <v/>
      </c>
      <c r="Z18" t="str">
        <f>IFERROR(__xludf.DUMMYFUNCTION("IFERROR(FILTER('Fund Data'!$D:$D, 'Fund Data'!$C:$C = $A18, 'Fund Data'!$A:$A = Z$1, 'Fund Data'!$B:$B = 12),"""")"),"")</f>
        <v/>
      </c>
      <c r="AA18" t="str">
        <f>IFERROR(__xludf.DUMMYFUNCTION("IFERROR(FILTER('Fund Data'!$D:$D, 'Fund Data'!$C:$C = $A18, 'Fund Data'!$A:$A = AA$1, 'Fund Data'!$B:$B = 12),"""")"),"")</f>
        <v/>
      </c>
      <c r="AB18" t="str">
        <f>IFERROR(__xludf.DUMMYFUNCTION("IFERROR(FILTER('Fund Data'!$D:$D, 'Fund Data'!$C:$C = $A18, 'Fund Data'!$A:$A = AB$1, 'Fund Data'!$B:$B = 12),"""")"),"")</f>
        <v/>
      </c>
      <c r="AC18" t="str">
        <f>IFERROR(__xludf.DUMMYFUNCTION("IFERROR(FILTER('Fund Data'!$D:$D, 'Fund Data'!$C:$C = $A18, 'Fund Data'!$A:$A = AC$1, 'Fund Data'!$B:$B = 12),"""")"),"")</f>
        <v/>
      </c>
      <c r="AD18" t="str">
        <f>IFERROR(__xludf.DUMMYFUNCTION("IFERROR(FILTER('Fund Data'!$D:$D, 'Fund Data'!$C:$C = $A18, 'Fund Data'!$A:$A = AD$1, 'Fund Data'!$B:$B = 12),"""")"),"")</f>
        <v/>
      </c>
      <c r="AE18" t="str">
        <f>IFERROR(__xludf.DUMMYFUNCTION("IFERROR(FILTER('Fund Data'!$D:$D, 'Fund Data'!$C:$C = $A18, 'Fund Data'!$A:$A = AE$1, 'Fund Data'!$B:$B = 12),"""")"),"")</f>
        <v/>
      </c>
    </row>
    <row r="19">
      <c r="A19" s="153" t="str">
        <f>'Endowed Funds'!B:B</f>
        <v>Lewis Matis Education Fund</v>
      </c>
      <c r="B19" t="str">
        <f>IFERROR(__xludf.DUMMYFUNCTION("IFERROR(FILTER('Fund Data'!$D:$D, 'Fund Data'!$C:$C = $A19, 'Fund Data'!$A:$A = B$1, 'Fund Data'!$B:$B = 12),"""")"),"")</f>
        <v/>
      </c>
      <c r="C19" t="str">
        <f>IFERROR(__xludf.DUMMYFUNCTION("IFERROR(FILTER('Fund Data'!$D:$D, 'Fund Data'!$C:$C = $A19, 'Fund Data'!$A:$A = C$1, 'Fund Data'!$B:$B = 12),"""")"),"")</f>
        <v/>
      </c>
      <c r="D19" t="str">
        <f>IFERROR(__xludf.DUMMYFUNCTION("IFERROR(FILTER('Fund Data'!$D:$D, 'Fund Data'!$C:$C = $A19, 'Fund Data'!$A:$A = D$1, 'Fund Data'!$B:$B = 12),"""")"),"")</f>
        <v/>
      </c>
      <c r="E19" t="str">
        <f>IFERROR(__xludf.DUMMYFUNCTION("IFERROR(FILTER('Fund Data'!$D:$D, 'Fund Data'!$C:$C = $A19, 'Fund Data'!$A:$A = E$1, 'Fund Data'!$B:$B = 12),"""")"),"")</f>
        <v/>
      </c>
      <c r="F19" t="str">
        <f>IFERROR(__xludf.DUMMYFUNCTION("IFERROR(FILTER('Fund Data'!$D:$D, 'Fund Data'!$C:$C = $A19, 'Fund Data'!$A:$A = F$1, 'Fund Data'!$B:$B = 12),"""")"),"")</f>
        <v/>
      </c>
      <c r="G19" t="str">
        <f>IFERROR(__xludf.DUMMYFUNCTION("IFERROR(FILTER('Fund Data'!$D:$D, 'Fund Data'!$C:$C = $A19, 'Fund Data'!$A:$A = G$1, 'Fund Data'!$B:$B = 12),"""")"),"")</f>
        <v/>
      </c>
      <c r="H19" t="str">
        <f>IFERROR(__xludf.DUMMYFUNCTION("IFERROR(FILTER('Fund Data'!$D:$D, 'Fund Data'!$C:$C = $A19, 'Fund Data'!$A:$A = H$1, 'Fund Data'!$B:$B = 12),"""")"),"")</f>
        <v/>
      </c>
      <c r="I19" t="str">
        <f>IFERROR(__xludf.DUMMYFUNCTION("IFERROR(FILTER('Fund Data'!$D:$D, 'Fund Data'!$C:$C = $A19, 'Fund Data'!$A:$A = I$1, 'Fund Data'!$B:$B = 12),"""")"),"")</f>
        <v/>
      </c>
      <c r="J19" t="str">
        <f>IFERROR(__xludf.DUMMYFUNCTION("IFERROR(FILTER('Fund Data'!$D:$D, 'Fund Data'!$C:$C = $A19, 'Fund Data'!$A:$A = J$1, 'Fund Data'!$B:$B = 12),"""")"),"")</f>
        <v/>
      </c>
      <c r="K19" t="str">
        <f>IFERROR(__xludf.DUMMYFUNCTION("IFERROR(FILTER('Fund Data'!$D:$D, 'Fund Data'!$C:$C = $A19, 'Fund Data'!$A:$A = K$1, 'Fund Data'!$B:$B = 12),"""")"),"")</f>
        <v/>
      </c>
      <c r="L19" t="str">
        <f>IFERROR(__xludf.DUMMYFUNCTION("IFERROR(FILTER('Fund Data'!$D:$D, 'Fund Data'!$C:$C = $A19, 'Fund Data'!$A:$A = L$1, 'Fund Data'!$B:$B = 12),"""")"),"")</f>
        <v/>
      </c>
      <c r="M19" t="str">
        <f>IFERROR(__xludf.DUMMYFUNCTION("IFERROR(FILTER('Fund Data'!$D:$D, 'Fund Data'!$C:$C = $A19, 'Fund Data'!$A:$A = M$1, 'Fund Data'!$B:$B = 12),"""")"),"")</f>
        <v/>
      </c>
      <c r="N19" t="str">
        <f>IFERROR(__xludf.DUMMYFUNCTION("IFERROR(FILTER('Fund Data'!$D:$D, 'Fund Data'!$C:$C = $A19, 'Fund Data'!$A:$A = N$1, 'Fund Data'!$B:$B = 12),"""")"),"")</f>
        <v/>
      </c>
      <c r="O19" t="str">
        <f>IFERROR(__xludf.DUMMYFUNCTION("IFERROR(FILTER('Fund Data'!$D:$D, 'Fund Data'!$C:$C = $A19, 'Fund Data'!$A:$A = O$1, 'Fund Data'!$B:$B = 12),"""")"),"")</f>
        <v/>
      </c>
      <c r="P19" t="str">
        <f>IFERROR(__xludf.DUMMYFUNCTION("IFERROR(FILTER('Fund Data'!$D:$D, 'Fund Data'!$C:$C = $A19, 'Fund Data'!$A:$A = P$1, 'Fund Data'!$B:$B = 12),"""")"),"")</f>
        <v/>
      </c>
      <c r="Q19" t="str">
        <f>IFERROR(__xludf.DUMMYFUNCTION("IFERROR(FILTER('Fund Data'!$D:$D, 'Fund Data'!$C:$C = $A19, 'Fund Data'!$A:$A = Q$1, 'Fund Data'!$B:$B = 12),"""")"),"")</f>
        <v/>
      </c>
      <c r="R19">
        <f>IFERROR(__xludf.DUMMYFUNCTION("IFERROR(FILTER('Fund Data'!$D:$D, 'Fund Data'!$C:$C = $A19, 'Fund Data'!$A:$A = R$1, 'Fund Data'!$B:$B = 12),"""")"),125393.74)</f>
        <v>125393.74</v>
      </c>
      <c r="S19">
        <f>IFERROR(__xludf.DUMMYFUNCTION("IFERROR(FILTER('Fund Data'!$D:$D, 'Fund Data'!$C:$C = $A19, 'Fund Data'!$A:$A = S$1, 'Fund Data'!$B:$B = 12),"""")"),2850.0)</f>
        <v>2850</v>
      </c>
      <c r="T19">
        <f>IFERROR(__xludf.DUMMYFUNCTION("IFERROR(FILTER('Fund Data'!$D:$D, 'Fund Data'!$C:$C = $A19, 'Fund Data'!$A:$A = T$1, 'Fund Data'!$B:$B = 12),"""")"),400.0)</f>
        <v>400</v>
      </c>
      <c r="U19">
        <f>IFERROR(__xludf.DUMMYFUNCTION("IFERROR(FILTER('Fund Data'!$D:$D, 'Fund Data'!$C:$C = $A19, 'Fund Data'!$A:$A = U$1, 'Fund Data'!$B:$B = 12),"""")"),250.0)</f>
        <v>250</v>
      </c>
      <c r="V19">
        <f>IFERROR(__xludf.DUMMYFUNCTION("IFERROR(FILTER('Fund Data'!$D:$D, 'Fund Data'!$C:$C = $A19, 'Fund Data'!$A:$A = V$1, 'Fund Data'!$B:$B = 12),"""")"),250.0)</f>
        <v>250</v>
      </c>
      <c r="W19">
        <f>IFERROR(__xludf.DUMMYFUNCTION("IFERROR(FILTER('Fund Data'!$D:$D, 'Fund Data'!$C:$C = $A19, 'Fund Data'!$A:$A = W$1, 'Fund Data'!$B:$B = 12),"""")"),250.0)</f>
        <v>250</v>
      </c>
      <c r="X19">
        <f>IFERROR(__xludf.DUMMYFUNCTION("IFERROR(FILTER('Fund Data'!$D:$D, 'Fund Data'!$C:$C = $A19, 'Fund Data'!$A:$A = X$1, 'Fund Data'!$B:$B = 12),"""")"),310.0)</f>
        <v>310</v>
      </c>
      <c r="Y19" t="str">
        <f>IFERROR(__xludf.DUMMYFUNCTION("IFERROR(FILTER('Fund Data'!$D:$D, 'Fund Data'!$C:$C = $A19, 'Fund Data'!$A:$A = Y$1, 'Fund Data'!$B:$B = 12),"""")"),"")</f>
        <v/>
      </c>
      <c r="Z19" t="str">
        <f>IFERROR(__xludf.DUMMYFUNCTION("IFERROR(FILTER('Fund Data'!$D:$D, 'Fund Data'!$C:$C = $A19, 'Fund Data'!$A:$A = Z$1, 'Fund Data'!$B:$B = 12),"""")"),"")</f>
        <v/>
      </c>
      <c r="AA19" t="str">
        <f>IFERROR(__xludf.DUMMYFUNCTION("IFERROR(FILTER('Fund Data'!$D:$D, 'Fund Data'!$C:$C = $A19, 'Fund Data'!$A:$A = AA$1, 'Fund Data'!$B:$B = 12),"""")"),"")</f>
        <v/>
      </c>
      <c r="AB19" t="str">
        <f>IFERROR(__xludf.DUMMYFUNCTION("IFERROR(FILTER('Fund Data'!$D:$D, 'Fund Data'!$C:$C = $A19, 'Fund Data'!$A:$A = AB$1, 'Fund Data'!$B:$B = 12),"""")"),"")</f>
        <v/>
      </c>
      <c r="AC19" t="str">
        <f>IFERROR(__xludf.DUMMYFUNCTION("IFERROR(FILTER('Fund Data'!$D:$D, 'Fund Data'!$C:$C = $A19, 'Fund Data'!$A:$A = AC$1, 'Fund Data'!$B:$B = 12),"""")"),"")</f>
        <v/>
      </c>
      <c r="AD19" t="str">
        <f>IFERROR(__xludf.DUMMYFUNCTION("IFERROR(FILTER('Fund Data'!$D:$D, 'Fund Data'!$C:$C = $A19, 'Fund Data'!$A:$A = AD$1, 'Fund Data'!$B:$B = 12),"""")"),"")</f>
        <v/>
      </c>
      <c r="AE19" t="str">
        <f>IFERROR(__xludf.DUMMYFUNCTION("IFERROR(FILTER('Fund Data'!$D:$D, 'Fund Data'!$C:$C = $A19, 'Fund Data'!$A:$A = AE$1, 'Fund Data'!$B:$B = 12),"""")"),"")</f>
        <v/>
      </c>
    </row>
    <row r="20">
      <c r="A20" s="153" t="str">
        <f>'Endowed Funds'!B:B</f>
        <v>Mark D. Varien Research Fund</v>
      </c>
      <c r="B20" t="str">
        <f>IFERROR(__xludf.DUMMYFUNCTION("IFERROR(FILTER('Fund Data'!$D:$D, 'Fund Data'!$C:$C = $A20, 'Fund Data'!$A:$A = B$1, 'Fund Data'!$B:$B = 12),"""")"),"")</f>
        <v/>
      </c>
      <c r="C20" t="str">
        <f>IFERROR(__xludf.DUMMYFUNCTION("IFERROR(FILTER('Fund Data'!$D:$D, 'Fund Data'!$C:$C = $A20, 'Fund Data'!$A:$A = C$1, 'Fund Data'!$B:$B = 12),"""")"),"")</f>
        <v/>
      </c>
      <c r="D20" t="str">
        <f>IFERROR(__xludf.DUMMYFUNCTION("IFERROR(FILTER('Fund Data'!$D:$D, 'Fund Data'!$C:$C = $A20, 'Fund Data'!$A:$A = D$1, 'Fund Data'!$B:$B = 12),"""")"),"")</f>
        <v/>
      </c>
      <c r="E20" t="str">
        <f>IFERROR(__xludf.DUMMYFUNCTION("IFERROR(FILTER('Fund Data'!$D:$D, 'Fund Data'!$C:$C = $A20, 'Fund Data'!$A:$A = E$1, 'Fund Data'!$B:$B = 12),"""")"),"")</f>
        <v/>
      </c>
      <c r="F20" t="str">
        <f>IFERROR(__xludf.DUMMYFUNCTION("IFERROR(FILTER('Fund Data'!$D:$D, 'Fund Data'!$C:$C = $A20, 'Fund Data'!$A:$A = F$1, 'Fund Data'!$B:$B = 12),"""")"),"")</f>
        <v/>
      </c>
      <c r="G20" t="str">
        <f>IFERROR(__xludf.DUMMYFUNCTION("IFERROR(FILTER('Fund Data'!$D:$D, 'Fund Data'!$C:$C = $A20, 'Fund Data'!$A:$A = G$1, 'Fund Data'!$B:$B = 12),"""")"),"")</f>
        <v/>
      </c>
      <c r="H20" t="str">
        <f>IFERROR(__xludf.DUMMYFUNCTION("IFERROR(FILTER('Fund Data'!$D:$D, 'Fund Data'!$C:$C = $A20, 'Fund Data'!$A:$A = H$1, 'Fund Data'!$B:$B = 12),"""")"),"")</f>
        <v/>
      </c>
      <c r="I20" t="str">
        <f>IFERROR(__xludf.DUMMYFUNCTION("IFERROR(FILTER('Fund Data'!$D:$D, 'Fund Data'!$C:$C = $A20, 'Fund Data'!$A:$A = I$1, 'Fund Data'!$B:$B = 12),"""")"),"")</f>
        <v/>
      </c>
      <c r="J20" t="str">
        <f>IFERROR(__xludf.DUMMYFUNCTION("IFERROR(FILTER('Fund Data'!$D:$D, 'Fund Data'!$C:$C = $A20, 'Fund Data'!$A:$A = J$1, 'Fund Data'!$B:$B = 12),"""")"),"")</f>
        <v/>
      </c>
      <c r="K20" t="str">
        <f>IFERROR(__xludf.DUMMYFUNCTION("IFERROR(FILTER('Fund Data'!$D:$D, 'Fund Data'!$C:$C = $A20, 'Fund Data'!$A:$A = K$1, 'Fund Data'!$B:$B = 12),"""")"),"")</f>
        <v/>
      </c>
      <c r="L20" t="str">
        <f>IFERROR(__xludf.DUMMYFUNCTION("IFERROR(FILTER('Fund Data'!$D:$D, 'Fund Data'!$C:$C = $A20, 'Fund Data'!$A:$A = L$1, 'Fund Data'!$B:$B = 12),"""")"),"")</f>
        <v/>
      </c>
      <c r="M20" t="str">
        <f>IFERROR(__xludf.DUMMYFUNCTION("IFERROR(FILTER('Fund Data'!$D:$D, 'Fund Data'!$C:$C = $A20, 'Fund Data'!$A:$A = M$1, 'Fund Data'!$B:$B = 12),"""")"),"")</f>
        <v/>
      </c>
      <c r="N20" t="str">
        <f>IFERROR(__xludf.DUMMYFUNCTION("IFERROR(FILTER('Fund Data'!$D:$D, 'Fund Data'!$C:$C = $A20, 'Fund Data'!$A:$A = N$1, 'Fund Data'!$B:$B = 12),"""")"),"")</f>
        <v/>
      </c>
      <c r="O20" t="str">
        <f>IFERROR(__xludf.DUMMYFUNCTION("IFERROR(FILTER('Fund Data'!$D:$D, 'Fund Data'!$C:$C = $A20, 'Fund Data'!$A:$A = O$1, 'Fund Data'!$B:$B = 12),"""")"),"")</f>
        <v/>
      </c>
      <c r="P20" t="str">
        <f>IFERROR(__xludf.DUMMYFUNCTION("IFERROR(FILTER('Fund Data'!$D:$D, 'Fund Data'!$C:$C = $A20, 'Fund Data'!$A:$A = P$1, 'Fund Data'!$B:$B = 12),"""")"),"")</f>
        <v/>
      </c>
      <c r="Q20" t="str">
        <f>IFERROR(__xludf.DUMMYFUNCTION("IFERROR(FILTER('Fund Data'!$D:$D, 'Fund Data'!$C:$C = $A20, 'Fund Data'!$A:$A = Q$1, 'Fund Data'!$B:$B = 12),"""")"),"")</f>
        <v/>
      </c>
      <c r="R20" t="str">
        <f>IFERROR(__xludf.DUMMYFUNCTION("IFERROR(FILTER('Fund Data'!$D:$D, 'Fund Data'!$C:$C = $A20, 'Fund Data'!$A:$A = R$1, 'Fund Data'!$B:$B = 12),"""")"),"")</f>
        <v/>
      </c>
      <c r="S20" t="str">
        <f>IFERROR(__xludf.DUMMYFUNCTION("IFERROR(FILTER('Fund Data'!$D:$D, 'Fund Data'!$C:$C = $A20, 'Fund Data'!$A:$A = S$1, 'Fund Data'!$B:$B = 12),"""")"),"")</f>
        <v/>
      </c>
      <c r="T20" t="str">
        <f>IFERROR(__xludf.DUMMYFUNCTION("IFERROR(FILTER('Fund Data'!$D:$D, 'Fund Data'!$C:$C = $A20, 'Fund Data'!$A:$A = T$1, 'Fund Data'!$B:$B = 12),"""")"),"")</f>
        <v/>
      </c>
      <c r="U20" t="str">
        <f>IFERROR(__xludf.DUMMYFUNCTION("IFERROR(FILTER('Fund Data'!$D:$D, 'Fund Data'!$C:$C = $A20, 'Fund Data'!$A:$A = U$1, 'Fund Data'!$B:$B = 12),"""")"),"")</f>
        <v/>
      </c>
      <c r="V20" t="str">
        <f>IFERROR(__xludf.DUMMYFUNCTION("IFERROR(FILTER('Fund Data'!$D:$D, 'Fund Data'!$C:$C = $A20, 'Fund Data'!$A:$A = V$1, 'Fund Data'!$B:$B = 12),"""")"),"")</f>
        <v/>
      </c>
      <c r="W20" t="str">
        <f>IFERROR(__xludf.DUMMYFUNCTION("IFERROR(FILTER('Fund Data'!$D:$D, 'Fund Data'!$C:$C = $A20, 'Fund Data'!$A:$A = W$1, 'Fund Data'!$B:$B = 12),"""")"),"")</f>
        <v/>
      </c>
      <c r="X20" t="str">
        <f>IFERROR(__xludf.DUMMYFUNCTION("IFERROR(FILTER('Fund Data'!$D:$D, 'Fund Data'!$C:$C = $A20, 'Fund Data'!$A:$A = X$1, 'Fund Data'!$B:$B = 12),"""")"),"")</f>
        <v/>
      </c>
      <c r="Y20">
        <f>IFERROR(__xludf.DUMMYFUNCTION("IFERROR(FILTER('Fund Data'!$D:$D, 'Fund Data'!$C:$C = $A20, 'Fund Data'!$A:$A = Y$1, 'Fund Data'!$B:$B = 12),"""")"),405623.55)</f>
        <v>405623.55</v>
      </c>
      <c r="Z20">
        <f>IFERROR(__xludf.DUMMYFUNCTION("IFERROR(FILTER('Fund Data'!$D:$D, 'Fund Data'!$C:$C = $A20, 'Fund Data'!$A:$A = Z$1, 'Fund Data'!$B:$B = 12),"""")"),2500.0)</f>
        <v>2500</v>
      </c>
      <c r="AA20">
        <f>IFERROR(__xludf.DUMMYFUNCTION("IFERROR(FILTER('Fund Data'!$D:$D, 'Fund Data'!$C:$C = $A20, 'Fund Data'!$A:$A = AA$1, 'Fund Data'!$B:$B = 12),"""")"),2500.0)</f>
        <v>2500</v>
      </c>
      <c r="AB20">
        <f>IFERROR(__xludf.DUMMYFUNCTION("IFERROR(FILTER('Fund Data'!$D:$D, 'Fund Data'!$C:$C = $A20, 'Fund Data'!$A:$A = AB$1, 'Fund Data'!$B:$B = 12),"""")"),2500.0)</f>
        <v>2500</v>
      </c>
      <c r="AC20">
        <f>IFERROR(__xludf.DUMMYFUNCTION("IFERROR(FILTER('Fund Data'!$D:$D, 'Fund Data'!$C:$C = $A20, 'Fund Data'!$A:$A = AC$1, 'Fund Data'!$B:$B = 12),"""")"),3300.0)</f>
        <v>3300</v>
      </c>
      <c r="AD20">
        <f>IFERROR(__xludf.DUMMYFUNCTION("IFERROR(FILTER('Fund Data'!$D:$D, 'Fund Data'!$C:$C = $A20, 'Fund Data'!$A:$A = AD$1, 'Fund Data'!$B:$B = 12),"""")"),2650.0)</f>
        <v>2650</v>
      </c>
      <c r="AE20" t="str">
        <f>IFERROR(__xludf.DUMMYFUNCTION("IFERROR(FILTER('Fund Data'!$D:$D, 'Fund Data'!$C:$C = $A20, 'Fund Data'!$A:$A = AE$1, 'Fund Data'!$B:$B = 12),"""")"),"")</f>
        <v/>
      </c>
    </row>
    <row r="21">
      <c r="A21" s="153" t="str">
        <f>'Endowed Funds'!B:B</f>
        <v>National Endowment for the Humanities I</v>
      </c>
      <c r="B21" t="str">
        <f>IFERROR(__xludf.DUMMYFUNCTION("IFERROR(FILTER('Fund Data'!$D:$D, 'Fund Data'!$C:$C = $A21, 'Fund Data'!$A:$A = B$1, 'Fund Data'!$B:$B = 12),"""")"),"")</f>
        <v/>
      </c>
      <c r="C21" t="str">
        <f>IFERROR(__xludf.DUMMYFUNCTION("IFERROR(FILTER('Fund Data'!$D:$D, 'Fund Data'!$C:$C = $A21, 'Fund Data'!$A:$A = C$1, 'Fund Data'!$B:$B = 12),"""")"),"")</f>
        <v/>
      </c>
      <c r="D21" t="str">
        <f>IFERROR(__xludf.DUMMYFUNCTION("IFERROR(FILTER('Fund Data'!$D:$D, 'Fund Data'!$C:$C = $A21, 'Fund Data'!$A:$A = D$1, 'Fund Data'!$B:$B = 12),"""")"),"")</f>
        <v/>
      </c>
      <c r="E21" t="str">
        <f>IFERROR(__xludf.DUMMYFUNCTION("IFERROR(FILTER('Fund Data'!$D:$D, 'Fund Data'!$C:$C = $A21, 'Fund Data'!$A:$A = E$1, 'Fund Data'!$B:$B = 12),"""")"),"")</f>
        <v/>
      </c>
      <c r="F21" t="str">
        <f>IFERROR(__xludf.DUMMYFUNCTION("IFERROR(FILTER('Fund Data'!$D:$D, 'Fund Data'!$C:$C = $A21, 'Fund Data'!$A:$A = F$1, 'Fund Data'!$B:$B = 12),"""")"),"")</f>
        <v/>
      </c>
      <c r="G21" t="str">
        <f>IFERROR(__xludf.DUMMYFUNCTION("IFERROR(FILTER('Fund Data'!$D:$D, 'Fund Data'!$C:$C = $A21, 'Fund Data'!$A:$A = G$1, 'Fund Data'!$B:$B = 12),"""")"),"")</f>
        <v/>
      </c>
      <c r="H21">
        <f>IFERROR(__xludf.DUMMYFUNCTION("IFERROR(FILTER('Fund Data'!$D:$D, 'Fund Data'!$C:$C = $A21, 'Fund Data'!$A:$A = H$1, 'Fund Data'!$B:$B = 12),"""")"),1183929.39)</f>
        <v>1183929.39</v>
      </c>
      <c r="I21" t="str">
        <f>IFERROR(__xludf.DUMMYFUNCTION("IFERROR(FILTER('Fund Data'!$D:$D, 'Fund Data'!$C:$C = $A21, 'Fund Data'!$A:$A = I$1, 'Fund Data'!$B:$B = 12),"""")"),"")</f>
        <v/>
      </c>
      <c r="J21" t="str">
        <f>IFERROR(__xludf.DUMMYFUNCTION("IFERROR(FILTER('Fund Data'!$D:$D, 'Fund Data'!$C:$C = $A21, 'Fund Data'!$A:$A = J$1, 'Fund Data'!$B:$B = 12),"""")"),"")</f>
        <v/>
      </c>
      <c r="K21" t="str">
        <f>IFERROR(__xludf.DUMMYFUNCTION("IFERROR(FILTER('Fund Data'!$D:$D, 'Fund Data'!$C:$C = $A21, 'Fund Data'!$A:$A = K$1, 'Fund Data'!$B:$B = 12),"""")"),"")</f>
        <v/>
      </c>
      <c r="L21" t="str">
        <f>IFERROR(__xludf.DUMMYFUNCTION("IFERROR(FILTER('Fund Data'!$D:$D, 'Fund Data'!$C:$C = $A21, 'Fund Data'!$A:$A = L$1, 'Fund Data'!$B:$B = 12),"""")"),"")</f>
        <v/>
      </c>
      <c r="M21" t="str">
        <f>IFERROR(__xludf.DUMMYFUNCTION("IFERROR(FILTER('Fund Data'!$D:$D, 'Fund Data'!$C:$C = $A21, 'Fund Data'!$A:$A = M$1, 'Fund Data'!$B:$B = 12),"""")"),"")</f>
        <v/>
      </c>
      <c r="N21" t="str">
        <f>IFERROR(__xludf.DUMMYFUNCTION("IFERROR(FILTER('Fund Data'!$D:$D, 'Fund Data'!$C:$C = $A21, 'Fund Data'!$A:$A = N$1, 'Fund Data'!$B:$B = 12),"""")"),"")</f>
        <v/>
      </c>
      <c r="O21" t="str">
        <f>IFERROR(__xludf.DUMMYFUNCTION("IFERROR(FILTER('Fund Data'!$D:$D, 'Fund Data'!$C:$C = $A21, 'Fund Data'!$A:$A = O$1, 'Fund Data'!$B:$B = 12),"""")"),"")</f>
        <v/>
      </c>
      <c r="P21" t="str">
        <f>IFERROR(__xludf.DUMMYFUNCTION("IFERROR(FILTER('Fund Data'!$D:$D, 'Fund Data'!$C:$C = $A21, 'Fund Data'!$A:$A = P$1, 'Fund Data'!$B:$B = 12),"""")"),"")</f>
        <v/>
      </c>
      <c r="Q21" t="str">
        <f>IFERROR(__xludf.DUMMYFUNCTION("IFERROR(FILTER('Fund Data'!$D:$D, 'Fund Data'!$C:$C = $A21, 'Fund Data'!$A:$A = Q$1, 'Fund Data'!$B:$B = 12),"""")"),"")</f>
        <v/>
      </c>
      <c r="R21" t="str">
        <f>IFERROR(__xludf.DUMMYFUNCTION("IFERROR(FILTER('Fund Data'!$D:$D, 'Fund Data'!$C:$C = $A21, 'Fund Data'!$A:$A = R$1, 'Fund Data'!$B:$B = 12),"""")"),"")</f>
        <v/>
      </c>
      <c r="S21" t="str">
        <f>IFERROR(__xludf.DUMMYFUNCTION("IFERROR(FILTER('Fund Data'!$D:$D, 'Fund Data'!$C:$C = $A21, 'Fund Data'!$A:$A = S$1, 'Fund Data'!$B:$B = 12),"""")"),"")</f>
        <v/>
      </c>
      <c r="T21" t="str">
        <f>IFERROR(__xludf.DUMMYFUNCTION("IFERROR(FILTER('Fund Data'!$D:$D, 'Fund Data'!$C:$C = $A21, 'Fund Data'!$A:$A = T$1, 'Fund Data'!$B:$B = 12),"""")"),"")</f>
        <v/>
      </c>
      <c r="U21" t="str">
        <f>IFERROR(__xludf.DUMMYFUNCTION("IFERROR(FILTER('Fund Data'!$D:$D, 'Fund Data'!$C:$C = $A21, 'Fund Data'!$A:$A = U$1, 'Fund Data'!$B:$B = 12),"""")"),"")</f>
        <v/>
      </c>
      <c r="V21" t="str">
        <f>IFERROR(__xludf.DUMMYFUNCTION("IFERROR(FILTER('Fund Data'!$D:$D, 'Fund Data'!$C:$C = $A21, 'Fund Data'!$A:$A = V$1, 'Fund Data'!$B:$B = 12),"""")"),"")</f>
        <v/>
      </c>
      <c r="W21" t="str">
        <f>IFERROR(__xludf.DUMMYFUNCTION("IFERROR(FILTER('Fund Data'!$D:$D, 'Fund Data'!$C:$C = $A21, 'Fund Data'!$A:$A = W$1, 'Fund Data'!$B:$B = 12),"""")"),"")</f>
        <v/>
      </c>
      <c r="X21" t="str">
        <f>IFERROR(__xludf.DUMMYFUNCTION("IFERROR(FILTER('Fund Data'!$D:$D, 'Fund Data'!$C:$C = $A21, 'Fund Data'!$A:$A = X$1, 'Fund Data'!$B:$B = 12),"""")"),"")</f>
        <v/>
      </c>
      <c r="Y21" t="str">
        <f>IFERROR(__xludf.DUMMYFUNCTION("IFERROR(FILTER('Fund Data'!$D:$D, 'Fund Data'!$C:$C = $A21, 'Fund Data'!$A:$A = Y$1, 'Fund Data'!$B:$B = 12),"""")"),"")</f>
        <v/>
      </c>
      <c r="Z21" t="str">
        <f>IFERROR(__xludf.DUMMYFUNCTION("IFERROR(FILTER('Fund Data'!$D:$D, 'Fund Data'!$C:$C = $A21, 'Fund Data'!$A:$A = Z$1, 'Fund Data'!$B:$B = 12),"""")"),"")</f>
        <v/>
      </c>
      <c r="AA21" t="str">
        <f>IFERROR(__xludf.DUMMYFUNCTION("IFERROR(FILTER('Fund Data'!$D:$D, 'Fund Data'!$C:$C = $A21, 'Fund Data'!$A:$A = AA$1, 'Fund Data'!$B:$B = 12),"""")"),"")</f>
        <v/>
      </c>
      <c r="AB21" t="str">
        <f>IFERROR(__xludf.DUMMYFUNCTION("IFERROR(FILTER('Fund Data'!$D:$D, 'Fund Data'!$C:$C = $A21, 'Fund Data'!$A:$A = AB$1, 'Fund Data'!$B:$B = 12),"""")"),"")</f>
        <v/>
      </c>
      <c r="AC21" t="str">
        <f>IFERROR(__xludf.DUMMYFUNCTION("IFERROR(FILTER('Fund Data'!$D:$D, 'Fund Data'!$C:$C = $A21, 'Fund Data'!$A:$A = AC$1, 'Fund Data'!$B:$B = 12),"""")"),"")</f>
        <v/>
      </c>
      <c r="AD21" t="str">
        <f>IFERROR(__xludf.DUMMYFUNCTION("IFERROR(FILTER('Fund Data'!$D:$D, 'Fund Data'!$C:$C = $A21, 'Fund Data'!$A:$A = AD$1, 'Fund Data'!$B:$B = 12),"""")"),"")</f>
        <v/>
      </c>
      <c r="AE21" t="str">
        <f>IFERROR(__xludf.DUMMYFUNCTION("IFERROR(FILTER('Fund Data'!$D:$D, 'Fund Data'!$C:$C = $A21, 'Fund Data'!$A:$A = AE$1, 'Fund Data'!$B:$B = 12),"""")"),"")</f>
        <v/>
      </c>
    </row>
    <row r="22">
      <c r="A22" s="153" t="str">
        <f>'Endowed Funds'!B:B</f>
        <v>National Endowment for the Humanities II</v>
      </c>
      <c r="B22" t="str">
        <f>IFERROR(__xludf.DUMMYFUNCTION("IFERROR(FILTER('Fund Data'!$D:$D, 'Fund Data'!$C:$C = $A22, 'Fund Data'!$A:$A = B$1, 'Fund Data'!$B:$B = 12),"""")"),"")</f>
        <v/>
      </c>
      <c r="C22" t="str">
        <f>IFERROR(__xludf.DUMMYFUNCTION("IFERROR(FILTER('Fund Data'!$D:$D, 'Fund Data'!$C:$C = $A22, 'Fund Data'!$A:$A = C$1, 'Fund Data'!$B:$B = 12),"""")"),"")</f>
        <v/>
      </c>
      <c r="D22" t="str">
        <f>IFERROR(__xludf.DUMMYFUNCTION("IFERROR(FILTER('Fund Data'!$D:$D, 'Fund Data'!$C:$C = $A22, 'Fund Data'!$A:$A = D$1, 'Fund Data'!$B:$B = 12),"""")"),"")</f>
        <v/>
      </c>
      <c r="E22" t="str">
        <f>IFERROR(__xludf.DUMMYFUNCTION("IFERROR(FILTER('Fund Data'!$D:$D, 'Fund Data'!$C:$C = $A22, 'Fund Data'!$A:$A = E$1, 'Fund Data'!$B:$B = 12),"""")"),"")</f>
        <v/>
      </c>
      <c r="F22" t="str">
        <f>IFERROR(__xludf.DUMMYFUNCTION("IFERROR(FILTER('Fund Data'!$D:$D, 'Fund Data'!$C:$C = $A22, 'Fund Data'!$A:$A = F$1, 'Fund Data'!$B:$B = 12),"""")"),"")</f>
        <v/>
      </c>
      <c r="G22" t="str">
        <f>IFERROR(__xludf.DUMMYFUNCTION("IFERROR(FILTER('Fund Data'!$D:$D, 'Fund Data'!$C:$C = $A22, 'Fund Data'!$A:$A = G$1, 'Fund Data'!$B:$B = 12),"""")"),"")</f>
        <v/>
      </c>
      <c r="H22" t="str">
        <f>IFERROR(__xludf.DUMMYFUNCTION("IFERROR(FILTER('Fund Data'!$D:$D, 'Fund Data'!$C:$C = $A22, 'Fund Data'!$A:$A = H$1, 'Fund Data'!$B:$B = 12),"""")"),"")</f>
        <v/>
      </c>
      <c r="I22" t="str">
        <f>IFERROR(__xludf.DUMMYFUNCTION("IFERROR(FILTER('Fund Data'!$D:$D, 'Fund Data'!$C:$C = $A22, 'Fund Data'!$A:$A = I$1, 'Fund Data'!$B:$B = 12),"""")"),"")</f>
        <v/>
      </c>
      <c r="J22" t="str">
        <f>IFERROR(__xludf.DUMMYFUNCTION("IFERROR(FILTER('Fund Data'!$D:$D, 'Fund Data'!$C:$C = $A22, 'Fund Data'!$A:$A = J$1, 'Fund Data'!$B:$B = 12),"""")"),"")</f>
        <v/>
      </c>
      <c r="K22" t="str">
        <f>IFERROR(__xludf.DUMMYFUNCTION("IFERROR(FILTER('Fund Data'!$D:$D, 'Fund Data'!$C:$C = $A22, 'Fund Data'!$A:$A = K$1, 'Fund Data'!$B:$B = 12),"""")"),"")</f>
        <v/>
      </c>
      <c r="L22" t="str">
        <f>IFERROR(__xludf.DUMMYFUNCTION("IFERROR(FILTER('Fund Data'!$D:$D, 'Fund Data'!$C:$C = $A22, 'Fund Data'!$A:$A = L$1, 'Fund Data'!$B:$B = 12),"""")"),"")</f>
        <v/>
      </c>
      <c r="M22">
        <f>IFERROR(__xludf.DUMMYFUNCTION("IFERROR(FILTER('Fund Data'!$D:$D, 'Fund Data'!$C:$C = $A22, 'Fund Data'!$A:$A = M$1, 'Fund Data'!$B:$B = 12),"""")"),350000.0)</f>
        <v>350000</v>
      </c>
      <c r="N22" t="str">
        <f>IFERROR(__xludf.DUMMYFUNCTION("IFERROR(FILTER('Fund Data'!$D:$D, 'Fund Data'!$C:$C = $A22, 'Fund Data'!$A:$A = N$1, 'Fund Data'!$B:$B = 12),"""")"),"")</f>
        <v/>
      </c>
      <c r="O22">
        <f>IFERROR(__xludf.DUMMYFUNCTION("IFERROR(FILTER('Fund Data'!$D:$D, 'Fund Data'!$C:$C = $A22, 'Fund Data'!$A:$A = O$1, 'Fund Data'!$B:$B = 12),"""")"),150000.0)</f>
        <v>150000</v>
      </c>
      <c r="P22" t="str">
        <f>IFERROR(__xludf.DUMMYFUNCTION("IFERROR(FILTER('Fund Data'!$D:$D, 'Fund Data'!$C:$C = $A22, 'Fund Data'!$A:$A = P$1, 'Fund Data'!$B:$B = 12),"""")"),"")</f>
        <v/>
      </c>
      <c r="Q22" t="str">
        <f>IFERROR(__xludf.DUMMYFUNCTION("IFERROR(FILTER('Fund Data'!$D:$D, 'Fund Data'!$C:$C = $A22, 'Fund Data'!$A:$A = Q$1, 'Fund Data'!$B:$B = 12),"""")"),"")</f>
        <v/>
      </c>
      <c r="R22" t="str">
        <f>IFERROR(__xludf.DUMMYFUNCTION("IFERROR(FILTER('Fund Data'!$D:$D, 'Fund Data'!$C:$C = $A22, 'Fund Data'!$A:$A = R$1, 'Fund Data'!$B:$B = 12),"""")"),"")</f>
        <v/>
      </c>
      <c r="S22" t="str">
        <f>IFERROR(__xludf.DUMMYFUNCTION("IFERROR(FILTER('Fund Data'!$D:$D, 'Fund Data'!$C:$C = $A22, 'Fund Data'!$A:$A = S$1, 'Fund Data'!$B:$B = 12),"""")"),"")</f>
        <v/>
      </c>
      <c r="T22" t="str">
        <f>IFERROR(__xludf.DUMMYFUNCTION("IFERROR(FILTER('Fund Data'!$D:$D, 'Fund Data'!$C:$C = $A22, 'Fund Data'!$A:$A = T$1, 'Fund Data'!$B:$B = 12),"""")"),"")</f>
        <v/>
      </c>
      <c r="U22" t="str">
        <f>IFERROR(__xludf.DUMMYFUNCTION("IFERROR(FILTER('Fund Data'!$D:$D, 'Fund Data'!$C:$C = $A22, 'Fund Data'!$A:$A = U$1, 'Fund Data'!$B:$B = 12),"""")"),"")</f>
        <v/>
      </c>
      <c r="V22" t="str">
        <f>IFERROR(__xludf.DUMMYFUNCTION("IFERROR(FILTER('Fund Data'!$D:$D, 'Fund Data'!$C:$C = $A22, 'Fund Data'!$A:$A = V$1, 'Fund Data'!$B:$B = 12),"""")"),"")</f>
        <v/>
      </c>
      <c r="W22" t="str">
        <f>IFERROR(__xludf.DUMMYFUNCTION("IFERROR(FILTER('Fund Data'!$D:$D, 'Fund Data'!$C:$C = $A22, 'Fund Data'!$A:$A = W$1, 'Fund Data'!$B:$B = 12),"""")"),"")</f>
        <v/>
      </c>
      <c r="X22" t="str">
        <f>IFERROR(__xludf.DUMMYFUNCTION("IFERROR(FILTER('Fund Data'!$D:$D, 'Fund Data'!$C:$C = $A22, 'Fund Data'!$A:$A = X$1, 'Fund Data'!$B:$B = 12),"""")"),"")</f>
        <v/>
      </c>
      <c r="Y22" t="str">
        <f>IFERROR(__xludf.DUMMYFUNCTION("IFERROR(FILTER('Fund Data'!$D:$D, 'Fund Data'!$C:$C = $A22, 'Fund Data'!$A:$A = Y$1, 'Fund Data'!$B:$B = 12),"""")"),"")</f>
        <v/>
      </c>
      <c r="Z22" t="str">
        <f>IFERROR(__xludf.DUMMYFUNCTION("IFERROR(FILTER('Fund Data'!$D:$D, 'Fund Data'!$C:$C = $A22, 'Fund Data'!$A:$A = Z$1, 'Fund Data'!$B:$B = 12),"""")"),"")</f>
        <v/>
      </c>
      <c r="AA22" t="str">
        <f>IFERROR(__xludf.DUMMYFUNCTION("IFERROR(FILTER('Fund Data'!$D:$D, 'Fund Data'!$C:$C = $A22, 'Fund Data'!$A:$A = AA$1, 'Fund Data'!$B:$B = 12),"""")"),"")</f>
        <v/>
      </c>
      <c r="AB22" t="str">
        <f>IFERROR(__xludf.DUMMYFUNCTION("IFERROR(FILTER('Fund Data'!$D:$D, 'Fund Data'!$C:$C = $A22, 'Fund Data'!$A:$A = AB$1, 'Fund Data'!$B:$B = 12),"""")"),"")</f>
        <v/>
      </c>
      <c r="AC22" t="str">
        <f>IFERROR(__xludf.DUMMYFUNCTION("IFERROR(FILTER('Fund Data'!$D:$D, 'Fund Data'!$C:$C = $A22, 'Fund Data'!$A:$A = AC$1, 'Fund Data'!$B:$B = 12),"""")"),"")</f>
        <v/>
      </c>
      <c r="AD22" t="str">
        <f>IFERROR(__xludf.DUMMYFUNCTION("IFERROR(FILTER('Fund Data'!$D:$D, 'Fund Data'!$C:$C = $A22, 'Fund Data'!$A:$A = AD$1, 'Fund Data'!$B:$B = 12),"""")"),"")</f>
        <v/>
      </c>
      <c r="AE22" t="str">
        <f>IFERROR(__xludf.DUMMYFUNCTION("IFERROR(FILTER('Fund Data'!$D:$D, 'Fund Data'!$C:$C = $A22, 'Fund Data'!$A:$A = AE$1, 'Fund Data'!$B:$B = 12),"""")"),"")</f>
        <v/>
      </c>
    </row>
    <row r="23">
      <c r="A23" s="153" t="str">
        <f>'Endowed Funds'!B:B</f>
        <v>National Youth Education Scholarship</v>
      </c>
      <c r="B23" t="str">
        <f>IFERROR(__xludf.DUMMYFUNCTION("IFERROR(FILTER('Fund Data'!$D:$D, 'Fund Data'!$C:$C = $A23, 'Fund Data'!$A:$A = B$1, 'Fund Data'!$B:$B = 12),"""")"),"")</f>
        <v/>
      </c>
      <c r="C23" t="str">
        <f>IFERROR(__xludf.DUMMYFUNCTION("IFERROR(FILTER('Fund Data'!$D:$D, 'Fund Data'!$C:$C = $A23, 'Fund Data'!$A:$A = C$1, 'Fund Data'!$B:$B = 12),"""")"),"")</f>
        <v/>
      </c>
      <c r="D23" t="str">
        <f>IFERROR(__xludf.DUMMYFUNCTION("IFERROR(FILTER('Fund Data'!$D:$D, 'Fund Data'!$C:$C = $A23, 'Fund Data'!$A:$A = D$1, 'Fund Data'!$B:$B = 12),"""")"),"")</f>
        <v/>
      </c>
      <c r="E23" t="str">
        <f>IFERROR(__xludf.DUMMYFUNCTION("IFERROR(FILTER('Fund Data'!$D:$D, 'Fund Data'!$C:$C = $A23, 'Fund Data'!$A:$A = E$1, 'Fund Data'!$B:$B = 12),"""")"),"")</f>
        <v/>
      </c>
      <c r="F23" t="str">
        <f>IFERROR(__xludf.DUMMYFUNCTION("IFERROR(FILTER('Fund Data'!$D:$D, 'Fund Data'!$C:$C = $A23, 'Fund Data'!$A:$A = F$1, 'Fund Data'!$B:$B = 12),"""")"),"")</f>
        <v/>
      </c>
      <c r="G23" t="str">
        <f>IFERROR(__xludf.DUMMYFUNCTION("IFERROR(FILTER('Fund Data'!$D:$D, 'Fund Data'!$C:$C = $A23, 'Fund Data'!$A:$A = G$1, 'Fund Data'!$B:$B = 12),"""")"),"")</f>
        <v/>
      </c>
      <c r="H23" t="str">
        <f>IFERROR(__xludf.DUMMYFUNCTION("IFERROR(FILTER('Fund Data'!$D:$D, 'Fund Data'!$C:$C = $A23, 'Fund Data'!$A:$A = H$1, 'Fund Data'!$B:$B = 12),"""")"),"")</f>
        <v/>
      </c>
      <c r="I23" t="str">
        <f>IFERROR(__xludf.DUMMYFUNCTION("IFERROR(FILTER('Fund Data'!$D:$D, 'Fund Data'!$C:$C = $A23, 'Fund Data'!$A:$A = I$1, 'Fund Data'!$B:$B = 12),"""")"),"")</f>
        <v/>
      </c>
      <c r="J23" t="str">
        <f>IFERROR(__xludf.DUMMYFUNCTION("IFERROR(FILTER('Fund Data'!$D:$D, 'Fund Data'!$C:$C = $A23, 'Fund Data'!$A:$A = J$1, 'Fund Data'!$B:$B = 12),"""")"),"")</f>
        <v/>
      </c>
      <c r="K23">
        <f>IFERROR(__xludf.DUMMYFUNCTION("IFERROR(FILTER('Fund Data'!$D:$D, 'Fund Data'!$C:$C = $A23, 'Fund Data'!$A:$A = K$1, 'Fund Data'!$B:$B = 12),"""")"),35279.57)</f>
        <v>35279.57</v>
      </c>
      <c r="L23">
        <f>IFERROR(__xludf.DUMMYFUNCTION("IFERROR(FILTER('Fund Data'!$D:$D, 'Fund Data'!$C:$C = $A23, 'Fund Data'!$A:$A = L$1, 'Fund Data'!$B:$B = 12),"""")"),62811.82)</f>
        <v>62811.82</v>
      </c>
      <c r="M23">
        <f>IFERROR(__xludf.DUMMYFUNCTION("IFERROR(FILTER('Fund Data'!$D:$D, 'Fund Data'!$C:$C = $A23, 'Fund Data'!$A:$A = M$1, 'Fund Data'!$B:$B = 12),"""")"),31785.82)</f>
        <v>31785.82</v>
      </c>
      <c r="N23">
        <f>IFERROR(__xludf.DUMMYFUNCTION("IFERROR(FILTER('Fund Data'!$D:$D, 'Fund Data'!$C:$C = $A23, 'Fund Data'!$A:$A = N$1, 'Fund Data'!$B:$B = 12),"""")"),44837.72)</f>
        <v>44837.72</v>
      </c>
      <c r="O23">
        <f>IFERROR(__xludf.DUMMYFUNCTION("IFERROR(FILTER('Fund Data'!$D:$D, 'Fund Data'!$C:$C = $A23, 'Fund Data'!$A:$A = O$1, 'Fund Data'!$B:$B = 12),"""")"),20000.0)</f>
        <v>20000</v>
      </c>
      <c r="P23">
        <f>IFERROR(__xludf.DUMMYFUNCTION("IFERROR(FILTER('Fund Data'!$D:$D, 'Fund Data'!$C:$C = $A23, 'Fund Data'!$A:$A = P$1, 'Fund Data'!$B:$B = 12),"""")"),49841.93)</f>
        <v>49841.93</v>
      </c>
      <c r="Q23">
        <f>IFERROR(__xludf.DUMMYFUNCTION("IFERROR(FILTER('Fund Data'!$D:$D, 'Fund Data'!$C:$C = $A23, 'Fund Data'!$A:$A = Q$1, 'Fund Data'!$B:$B = 12),"""")"),159013.0)</f>
        <v>159013</v>
      </c>
      <c r="R23">
        <f>IFERROR(__xludf.DUMMYFUNCTION("IFERROR(FILTER('Fund Data'!$D:$D, 'Fund Data'!$C:$C = $A23, 'Fund Data'!$A:$A = R$1, 'Fund Data'!$B:$B = 12),"""")"),20186.0)</f>
        <v>20186</v>
      </c>
      <c r="S23">
        <f>IFERROR(__xludf.DUMMYFUNCTION("IFERROR(FILTER('Fund Data'!$D:$D, 'Fund Data'!$C:$C = $A23, 'Fund Data'!$A:$A = S$1, 'Fund Data'!$B:$B = 12),"""")"),10000.0)</f>
        <v>10000</v>
      </c>
      <c r="T23" t="str">
        <f>IFERROR(__xludf.DUMMYFUNCTION("IFERROR(FILTER('Fund Data'!$D:$D, 'Fund Data'!$C:$C = $A23, 'Fund Data'!$A:$A = T$1, 'Fund Data'!$B:$B = 12),"""")"),"")</f>
        <v/>
      </c>
      <c r="U23" t="str">
        <f>IFERROR(__xludf.DUMMYFUNCTION("IFERROR(FILTER('Fund Data'!$D:$D, 'Fund Data'!$C:$C = $A23, 'Fund Data'!$A:$A = U$1, 'Fund Data'!$B:$B = 12),"""")"),"")</f>
        <v/>
      </c>
      <c r="V23" t="str">
        <f>IFERROR(__xludf.DUMMYFUNCTION("IFERROR(FILTER('Fund Data'!$D:$D, 'Fund Data'!$C:$C = $A23, 'Fund Data'!$A:$A = V$1, 'Fund Data'!$B:$B = 12),"""")"),"")</f>
        <v/>
      </c>
      <c r="W23" t="str">
        <f>IFERROR(__xludf.DUMMYFUNCTION("IFERROR(FILTER('Fund Data'!$D:$D, 'Fund Data'!$C:$C = $A23, 'Fund Data'!$A:$A = W$1, 'Fund Data'!$B:$B = 12),"""")"),"")</f>
        <v/>
      </c>
      <c r="X23" t="str">
        <f>IFERROR(__xludf.DUMMYFUNCTION("IFERROR(FILTER('Fund Data'!$D:$D, 'Fund Data'!$C:$C = $A23, 'Fund Data'!$A:$A = X$1, 'Fund Data'!$B:$B = 12),"""")"),"")</f>
        <v/>
      </c>
      <c r="Y23" t="str">
        <f>IFERROR(__xludf.DUMMYFUNCTION("IFERROR(FILTER('Fund Data'!$D:$D, 'Fund Data'!$C:$C = $A23, 'Fund Data'!$A:$A = Y$1, 'Fund Data'!$B:$B = 12),"""")"),"")</f>
        <v/>
      </c>
      <c r="Z23" t="str">
        <f>IFERROR(__xludf.DUMMYFUNCTION("IFERROR(FILTER('Fund Data'!$D:$D, 'Fund Data'!$C:$C = $A23, 'Fund Data'!$A:$A = Z$1, 'Fund Data'!$B:$B = 12),"""")"),"")</f>
        <v/>
      </c>
      <c r="AA23" t="str">
        <f>IFERROR(__xludf.DUMMYFUNCTION("IFERROR(FILTER('Fund Data'!$D:$D, 'Fund Data'!$C:$C = $A23, 'Fund Data'!$A:$A = AA$1, 'Fund Data'!$B:$B = 12),"""")"),"")</f>
        <v/>
      </c>
      <c r="AB23" t="str">
        <f>IFERROR(__xludf.DUMMYFUNCTION("IFERROR(FILTER('Fund Data'!$D:$D, 'Fund Data'!$C:$C = $A23, 'Fund Data'!$A:$A = AB$1, 'Fund Data'!$B:$B = 12),"""")"),"")</f>
        <v/>
      </c>
      <c r="AC23" t="str">
        <f>IFERROR(__xludf.DUMMYFUNCTION("IFERROR(FILTER('Fund Data'!$D:$D, 'Fund Data'!$C:$C = $A23, 'Fund Data'!$A:$A = AC$1, 'Fund Data'!$B:$B = 12),"""")"),"")</f>
        <v/>
      </c>
      <c r="AD23" t="str">
        <f>IFERROR(__xludf.DUMMYFUNCTION("IFERROR(FILTER('Fund Data'!$D:$D, 'Fund Data'!$C:$C = $A23, 'Fund Data'!$A:$A = AD$1, 'Fund Data'!$B:$B = 12),"""")"),"")</f>
        <v/>
      </c>
      <c r="AE23" t="str">
        <f>IFERROR(__xludf.DUMMYFUNCTION("IFERROR(FILTER('Fund Data'!$D:$D, 'Fund Data'!$C:$C = $A23, 'Fund Data'!$A:$A = AE$1, 'Fund Data'!$B:$B = 12),"""")"),"")</f>
        <v/>
      </c>
    </row>
    <row r="24">
      <c r="A24" s="153" t="str">
        <f>'Endowed Funds'!B:B</f>
        <v>Navajo Education Fund</v>
      </c>
      <c r="B24" t="str">
        <f>IFERROR(__xludf.DUMMYFUNCTION("IFERROR(FILTER('Fund Data'!$D:$D, 'Fund Data'!$C:$C = $A24, 'Fund Data'!$A:$A = B$1, 'Fund Data'!$B:$B = 12),"""")"),"")</f>
        <v/>
      </c>
      <c r="C24" t="str">
        <f>IFERROR(__xludf.DUMMYFUNCTION("IFERROR(FILTER('Fund Data'!$D:$D, 'Fund Data'!$C:$C = $A24, 'Fund Data'!$A:$A = C$1, 'Fund Data'!$B:$B = 12),"""")"),"")</f>
        <v/>
      </c>
      <c r="D24" t="str">
        <f>IFERROR(__xludf.DUMMYFUNCTION("IFERROR(FILTER('Fund Data'!$D:$D, 'Fund Data'!$C:$C = $A24, 'Fund Data'!$A:$A = D$1, 'Fund Data'!$B:$B = 12),"""")"),"")</f>
        <v/>
      </c>
      <c r="E24" t="str">
        <f>IFERROR(__xludf.DUMMYFUNCTION("IFERROR(FILTER('Fund Data'!$D:$D, 'Fund Data'!$C:$C = $A24, 'Fund Data'!$A:$A = E$1, 'Fund Data'!$B:$B = 12),"""")"),"")</f>
        <v/>
      </c>
      <c r="F24" t="str">
        <f>IFERROR(__xludf.DUMMYFUNCTION("IFERROR(FILTER('Fund Data'!$D:$D, 'Fund Data'!$C:$C = $A24, 'Fund Data'!$A:$A = F$1, 'Fund Data'!$B:$B = 12),"""")"),"")</f>
        <v/>
      </c>
      <c r="G24" t="str">
        <f>IFERROR(__xludf.DUMMYFUNCTION("IFERROR(FILTER('Fund Data'!$D:$D, 'Fund Data'!$C:$C = $A24, 'Fund Data'!$A:$A = G$1, 'Fund Data'!$B:$B = 12),"""")"),"")</f>
        <v/>
      </c>
      <c r="H24" t="str">
        <f>IFERROR(__xludf.DUMMYFUNCTION("IFERROR(FILTER('Fund Data'!$D:$D, 'Fund Data'!$C:$C = $A24, 'Fund Data'!$A:$A = H$1, 'Fund Data'!$B:$B = 12),"""")"),"")</f>
        <v/>
      </c>
      <c r="I24" t="str">
        <f>IFERROR(__xludf.DUMMYFUNCTION("IFERROR(FILTER('Fund Data'!$D:$D, 'Fund Data'!$C:$C = $A24, 'Fund Data'!$A:$A = I$1, 'Fund Data'!$B:$B = 12),"""")"),"")</f>
        <v/>
      </c>
      <c r="J24" t="str">
        <f>IFERROR(__xludf.DUMMYFUNCTION("IFERROR(FILTER('Fund Data'!$D:$D, 'Fund Data'!$C:$C = $A24, 'Fund Data'!$A:$A = J$1, 'Fund Data'!$B:$B = 12),"""")"),"")</f>
        <v/>
      </c>
      <c r="K24" t="str">
        <f>IFERROR(__xludf.DUMMYFUNCTION("IFERROR(FILTER('Fund Data'!$D:$D, 'Fund Data'!$C:$C = $A24, 'Fund Data'!$A:$A = K$1, 'Fund Data'!$B:$B = 12),"""")"),"")</f>
        <v/>
      </c>
      <c r="L24" t="str">
        <f>IFERROR(__xludf.DUMMYFUNCTION("IFERROR(FILTER('Fund Data'!$D:$D, 'Fund Data'!$C:$C = $A24, 'Fund Data'!$A:$A = L$1, 'Fund Data'!$B:$B = 12),"""")"),"")</f>
        <v/>
      </c>
      <c r="M24" t="str">
        <f>IFERROR(__xludf.DUMMYFUNCTION("IFERROR(FILTER('Fund Data'!$D:$D, 'Fund Data'!$C:$C = $A24, 'Fund Data'!$A:$A = M$1, 'Fund Data'!$B:$B = 12),"""")"),"")</f>
        <v/>
      </c>
      <c r="N24" t="str">
        <f>IFERROR(__xludf.DUMMYFUNCTION("IFERROR(FILTER('Fund Data'!$D:$D, 'Fund Data'!$C:$C = $A24, 'Fund Data'!$A:$A = N$1, 'Fund Data'!$B:$B = 12),"""")"),"")</f>
        <v/>
      </c>
      <c r="O24" t="str">
        <f>IFERROR(__xludf.DUMMYFUNCTION("IFERROR(FILTER('Fund Data'!$D:$D, 'Fund Data'!$C:$C = $A24, 'Fund Data'!$A:$A = O$1, 'Fund Data'!$B:$B = 12),"""")"),"")</f>
        <v/>
      </c>
      <c r="P24" t="str">
        <f>IFERROR(__xludf.DUMMYFUNCTION("IFERROR(FILTER('Fund Data'!$D:$D, 'Fund Data'!$C:$C = $A24, 'Fund Data'!$A:$A = P$1, 'Fund Data'!$B:$B = 12),"""")"),"")</f>
        <v/>
      </c>
      <c r="Q24" t="str">
        <f>IFERROR(__xludf.DUMMYFUNCTION("IFERROR(FILTER('Fund Data'!$D:$D, 'Fund Data'!$C:$C = $A24, 'Fund Data'!$A:$A = Q$1, 'Fund Data'!$B:$B = 12),"""")"),"")</f>
        <v/>
      </c>
      <c r="R24">
        <f>IFERROR(__xludf.DUMMYFUNCTION("IFERROR(FILTER('Fund Data'!$D:$D, 'Fund Data'!$C:$C = $A24, 'Fund Data'!$A:$A = R$1, 'Fund Data'!$B:$B = 12),"""")"),176475.0)</f>
        <v>176475</v>
      </c>
      <c r="S24">
        <f>IFERROR(__xludf.DUMMYFUNCTION("IFERROR(FILTER('Fund Data'!$D:$D, 'Fund Data'!$C:$C = $A24, 'Fund Data'!$A:$A = S$1, 'Fund Data'!$B:$B = 12),"""")"),7994.0)</f>
        <v>7994</v>
      </c>
      <c r="T24" t="str">
        <f>IFERROR(__xludf.DUMMYFUNCTION("IFERROR(FILTER('Fund Data'!$D:$D, 'Fund Data'!$C:$C = $A24, 'Fund Data'!$A:$A = T$1, 'Fund Data'!$B:$B = 12),"""")"),"")</f>
        <v/>
      </c>
      <c r="U24" t="str">
        <f>IFERROR(__xludf.DUMMYFUNCTION("IFERROR(FILTER('Fund Data'!$D:$D, 'Fund Data'!$C:$C = $A24, 'Fund Data'!$A:$A = U$1, 'Fund Data'!$B:$B = 12),"""")"),"")</f>
        <v/>
      </c>
      <c r="V24" t="str">
        <f>IFERROR(__xludf.DUMMYFUNCTION("IFERROR(FILTER('Fund Data'!$D:$D, 'Fund Data'!$C:$C = $A24, 'Fund Data'!$A:$A = V$1, 'Fund Data'!$B:$B = 12),"""")"),"")</f>
        <v/>
      </c>
      <c r="W24" t="str">
        <f>IFERROR(__xludf.DUMMYFUNCTION("IFERROR(FILTER('Fund Data'!$D:$D, 'Fund Data'!$C:$C = $A24, 'Fund Data'!$A:$A = W$1, 'Fund Data'!$B:$B = 12),"""")"),"")</f>
        <v/>
      </c>
      <c r="X24" t="str">
        <f>IFERROR(__xludf.DUMMYFUNCTION("IFERROR(FILTER('Fund Data'!$D:$D, 'Fund Data'!$C:$C = $A24, 'Fund Data'!$A:$A = X$1, 'Fund Data'!$B:$B = 12),"""")"),"")</f>
        <v/>
      </c>
      <c r="Y24" t="str">
        <f>IFERROR(__xludf.DUMMYFUNCTION("IFERROR(FILTER('Fund Data'!$D:$D, 'Fund Data'!$C:$C = $A24, 'Fund Data'!$A:$A = Y$1, 'Fund Data'!$B:$B = 12),"""")"),"")</f>
        <v/>
      </c>
      <c r="Z24">
        <f>IFERROR(__xludf.DUMMYFUNCTION("IFERROR(FILTER('Fund Data'!$D:$D, 'Fund Data'!$C:$C = $A24, 'Fund Data'!$A:$A = Z$1, 'Fund Data'!$B:$B = 12),"""")"),10000.0)</f>
        <v>10000</v>
      </c>
      <c r="AA24" t="str">
        <f>IFERROR(__xludf.DUMMYFUNCTION("IFERROR(FILTER('Fund Data'!$D:$D, 'Fund Data'!$C:$C = $A24, 'Fund Data'!$A:$A = AA$1, 'Fund Data'!$B:$B = 12),"""")"),"")</f>
        <v/>
      </c>
      <c r="AB24" t="str">
        <f>IFERROR(__xludf.DUMMYFUNCTION("IFERROR(FILTER('Fund Data'!$D:$D, 'Fund Data'!$C:$C = $A24, 'Fund Data'!$A:$A = AB$1, 'Fund Data'!$B:$B = 12),"""")"),"")</f>
        <v/>
      </c>
      <c r="AC24" t="str">
        <f>IFERROR(__xludf.DUMMYFUNCTION("IFERROR(FILTER('Fund Data'!$D:$D, 'Fund Data'!$C:$C = $A24, 'Fund Data'!$A:$A = AC$1, 'Fund Data'!$B:$B = 12),"""")"),"")</f>
        <v/>
      </c>
      <c r="AD24" t="str">
        <f>IFERROR(__xludf.DUMMYFUNCTION("IFERROR(FILTER('Fund Data'!$D:$D, 'Fund Data'!$C:$C = $A24, 'Fund Data'!$A:$A = AD$1, 'Fund Data'!$B:$B = 12),"""")"),"")</f>
        <v/>
      </c>
      <c r="AE24" t="str">
        <f>IFERROR(__xludf.DUMMYFUNCTION("IFERROR(FILTER('Fund Data'!$D:$D, 'Fund Data'!$C:$C = $A24, 'Fund Data'!$A:$A = AE$1, 'Fund Data'!$B:$B = 12),"""")"),"")</f>
        <v/>
      </c>
    </row>
    <row r="25">
      <c r="A25" s="153" t="str">
        <f>'Endowed Funds'!B:B</f>
        <v>Pamela &amp; Michael Reese Education Fund</v>
      </c>
      <c r="B25" t="str">
        <f>IFERROR(__xludf.DUMMYFUNCTION("IFERROR(FILTER('Fund Data'!$D:$D, 'Fund Data'!$C:$C = $A25, 'Fund Data'!$A:$A = B$1, 'Fund Data'!$B:$B = 12),"""")"),"")</f>
        <v/>
      </c>
      <c r="C25" t="str">
        <f>IFERROR(__xludf.DUMMYFUNCTION("IFERROR(FILTER('Fund Data'!$D:$D, 'Fund Data'!$C:$C = $A25, 'Fund Data'!$A:$A = C$1, 'Fund Data'!$B:$B = 12),"""")"),"")</f>
        <v/>
      </c>
      <c r="D25" t="str">
        <f>IFERROR(__xludf.DUMMYFUNCTION("IFERROR(FILTER('Fund Data'!$D:$D, 'Fund Data'!$C:$C = $A25, 'Fund Data'!$A:$A = D$1, 'Fund Data'!$B:$B = 12),"""")"),"")</f>
        <v/>
      </c>
      <c r="E25" t="str">
        <f>IFERROR(__xludf.DUMMYFUNCTION("IFERROR(FILTER('Fund Data'!$D:$D, 'Fund Data'!$C:$C = $A25, 'Fund Data'!$A:$A = E$1, 'Fund Data'!$B:$B = 12),"""")"),"")</f>
        <v/>
      </c>
      <c r="F25" t="str">
        <f>IFERROR(__xludf.DUMMYFUNCTION("IFERROR(FILTER('Fund Data'!$D:$D, 'Fund Data'!$C:$C = $A25, 'Fund Data'!$A:$A = F$1, 'Fund Data'!$B:$B = 12),"""")"),"")</f>
        <v/>
      </c>
      <c r="G25" t="str">
        <f>IFERROR(__xludf.DUMMYFUNCTION("IFERROR(FILTER('Fund Data'!$D:$D, 'Fund Data'!$C:$C = $A25, 'Fund Data'!$A:$A = G$1, 'Fund Data'!$B:$B = 12),"""")"),"")</f>
        <v/>
      </c>
      <c r="H25" t="str">
        <f>IFERROR(__xludf.DUMMYFUNCTION("IFERROR(FILTER('Fund Data'!$D:$D, 'Fund Data'!$C:$C = $A25, 'Fund Data'!$A:$A = H$1, 'Fund Data'!$B:$B = 12),"""")"),"")</f>
        <v/>
      </c>
      <c r="I25" t="str">
        <f>IFERROR(__xludf.DUMMYFUNCTION("IFERROR(FILTER('Fund Data'!$D:$D, 'Fund Data'!$C:$C = $A25, 'Fund Data'!$A:$A = I$1, 'Fund Data'!$B:$B = 12),"""")"),"")</f>
        <v/>
      </c>
      <c r="J25" t="str">
        <f>IFERROR(__xludf.DUMMYFUNCTION("IFERROR(FILTER('Fund Data'!$D:$D, 'Fund Data'!$C:$C = $A25, 'Fund Data'!$A:$A = J$1, 'Fund Data'!$B:$B = 12),"""")"),"")</f>
        <v/>
      </c>
      <c r="K25" t="str">
        <f>IFERROR(__xludf.DUMMYFUNCTION("IFERROR(FILTER('Fund Data'!$D:$D, 'Fund Data'!$C:$C = $A25, 'Fund Data'!$A:$A = K$1, 'Fund Data'!$B:$B = 12),"""")"),"")</f>
        <v/>
      </c>
      <c r="L25" t="str">
        <f>IFERROR(__xludf.DUMMYFUNCTION("IFERROR(FILTER('Fund Data'!$D:$D, 'Fund Data'!$C:$C = $A25, 'Fund Data'!$A:$A = L$1, 'Fund Data'!$B:$B = 12),"""")"),"")</f>
        <v/>
      </c>
      <c r="M25" t="str">
        <f>IFERROR(__xludf.DUMMYFUNCTION("IFERROR(FILTER('Fund Data'!$D:$D, 'Fund Data'!$C:$C = $A25, 'Fund Data'!$A:$A = M$1, 'Fund Data'!$B:$B = 12),"""")"),"")</f>
        <v/>
      </c>
      <c r="N25" t="str">
        <f>IFERROR(__xludf.DUMMYFUNCTION("IFERROR(FILTER('Fund Data'!$D:$D, 'Fund Data'!$C:$C = $A25, 'Fund Data'!$A:$A = N$1, 'Fund Data'!$B:$B = 12),"""")"),"")</f>
        <v/>
      </c>
      <c r="O25">
        <f>IFERROR(__xludf.DUMMYFUNCTION("IFERROR(FILTER('Fund Data'!$D:$D, 'Fund Data'!$C:$C = $A25, 'Fund Data'!$A:$A = O$1, 'Fund Data'!$B:$B = 12),"""")"),25000.0)</f>
        <v>25000</v>
      </c>
      <c r="P25">
        <f>IFERROR(__xludf.DUMMYFUNCTION("IFERROR(FILTER('Fund Data'!$D:$D, 'Fund Data'!$C:$C = $A25, 'Fund Data'!$A:$A = P$1, 'Fund Data'!$B:$B = 12),"""")"),25000.0)</f>
        <v>25000</v>
      </c>
      <c r="Q25">
        <f>IFERROR(__xludf.DUMMYFUNCTION("IFERROR(FILTER('Fund Data'!$D:$D, 'Fund Data'!$C:$C = $A25, 'Fund Data'!$A:$A = Q$1, 'Fund Data'!$B:$B = 12),"""")"),25000.0)</f>
        <v>25000</v>
      </c>
      <c r="R25">
        <f>IFERROR(__xludf.DUMMYFUNCTION("IFERROR(FILTER('Fund Data'!$D:$D, 'Fund Data'!$C:$C = $A25, 'Fund Data'!$A:$A = R$1, 'Fund Data'!$B:$B = 12),"""")"),25000.0)</f>
        <v>25000</v>
      </c>
      <c r="S25" t="str">
        <f>IFERROR(__xludf.DUMMYFUNCTION("IFERROR(FILTER('Fund Data'!$D:$D, 'Fund Data'!$C:$C = $A25, 'Fund Data'!$A:$A = S$1, 'Fund Data'!$B:$B = 12),"""")"),"")</f>
        <v/>
      </c>
      <c r="T25" t="str">
        <f>IFERROR(__xludf.DUMMYFUNCTION("IFERROR(FILTER('Fund Data'!$D:$D, 'Fund Data'!$C:$C = $A25, 'Fund Data'!$A:$A = T$1, 'Fund Data'!$B:$B = 12),"""")"),"")</f>
        <v/>
      </c>
      <c r="U25" t="str">
        <f>IFERROR(__xludf.DUMMYFUNCTION("IFERROR(FILTER('Fund Data'!$D:$D, 'Fund Data'!$C:$C = $A25, 'Fund Data'!$A:$A = U$1, 'Fund Data'!$B:$B = 12),"""")"),"")</f>
        <v/>
      </c>
      <c r="V25" t="str">
        <f>IFERROR(__xludf.DUMMYFUNCTION("IFERROR(FILTER('Fund Data'!$D:$D, 'Fund Data'!$C:$C = $A25, 'Fund Data'!$A:$A = V$1, 'Fund Data'!$B:$B = 12),"""")"),"")</f>
        <v/>
      </c>
      <c r="W25" t="str">
        <f>IFERROR(__xludf.DUMMYFUNCTION("IFERROR(FILTER('Fund Data'!$D:$D, 'Fund Data'!$C:$C = $A25, 'Fund Data'!$A:$A = W$1, 'Fund Data'!$B:$B = 12),"""")"),"")</f>
        <v/>
      </c>
      <c r="X25" t="str">
        <f>IFERROR(__xludf.DUMMYFUNCTION("IFERROR(FILTER('Fund Data'!$D:$D, 'Fund Data'!$C:$C = $A25, 'Fund Data'!$A:$A = X$1, 'Fund Data'!$B:$B = 12),"""")"),"")</f>
        <v/>
      </c>
      <c r="Y25" t="str">
        <f>IFERROR(__xludf.DUMMYFUNCTION("IFERROR(FILTER('Fund Data'!$D:$D, 'Fund Data'!$C:$C = $A25, 'Fund Data'!$A:$A = Y$1, 'Fund Data'!$B:$B = 12),"""")"),"")</f>
        <v/>
      </c>
      <c r="Z25" t="str">
        <f>IFERROR(__xludf.DUMMYFUNCTION("IFERROR(FILTER('Fund Data'!$D:$D, 'Fund Data'!$C:$C = $A25, 'Fund Data'!$A:$A = Z$1, 'Fund Data'!$B:$B = 12),"""")"),"")</f>
        <v/>
      </c>
      <c r="AA25" t="str">
        <f>IFERROR(__xludf.DUMMYFUNCTION("IFERROR(FILTER('Fund Data'!$D:$D, 'Fund Data'!$C:$C = $A25, 'Fund Data'!$A:$A = AA$1, 'Fund Data'!$B:$B = 12),"""")"),"")</f>
        <v/>
      </c>
      <c r="AB25" t="str">
        <f>IFERROR(__xludf.DUMMYFUNCTION("IFERROR(FILTER('Fund Data'!$D:$D, 'Fund Data'!$C:$C = $A25, 'Fund Data'!$A:$A = AB$1, 'Fund Data'!$B:$B = 12),"""")"),"")</f>
        <v/>
      </c>
      <c r="AC25" t="str">
        <f>IFERROR(__xludf.DUMMYFUNCTION("IFERROR(FILTER('Fund Data'!$D:$D, 'Fund Data'!$C:$C = $A25, 'Fund Data'!$A:$A = AC$1, 'Fund Data'!$B:$B = 12),"""")"),"")</f>
        <v/>
      </c>
      <c r="AD25" t="str">
        <f>IFERROR(__xludf.DUMMYFUNCTION("IFERROR(FILTER('Fund Data'!$D:$D, 'Fund Data'!$C:$C = $A25, 'Fund Data'!$A:$A = AD$1, 'Fund Data'!$B:$B = 12),"""")"),"")</f>
        <v/>
      </c>
      <c r="AE25" t="str">
        <f>IFERROR(__xludf.DUMMYFUNCTION("IFERROR(FILTER('Fund Data'!$D:$D, 'Fund Data'!$C:$C = $A25, 'Fund Data'!$A:$A = AE$1, 'Fund Data'!$B:$B = 12),"""")"),"")</f>
        <v/>
      </c>
    </row>
    <row r="26">
      <c r="A26" s="153" t="str">
        <f>'Endowed Funds'!B:B</f>
        <v>Research Institute</v>
      </c>
      <c r="B26" t="str">
        <f>IFERROR(__xludf.DUMMYFUNCTION("IFERROR(FILTER('Fund Data'!$D:$D, 'Fund Data'!$C:$C = $A26, 'Fund Data'!$A:$A = B$1, 'Fund Data'!$B:$B = 12),"""")"),"")</f>
        <v/>
      </c>
      <c r="C26" t="str">
        <f>IFERROR(__xludf.DUMMYFUNCTION("IFERROR(FILTER('Fund Data'!$D:$D, 'Fund Data'!$C:$C = $A26, 'Fund Data'!$A:$A = C$1, 'Fund Data'!$B:$B = 12),"""")"),"")</f>
        <v/>
      </c>
      <c r="D26" t="str">
        <f>IFERROR(__xludf.DUMMYFUNCTION("IFERROR(FILTER('Fund Data'!$D:$D, 'Fund Data'!$C:$C = $A26, 'Fund Data'!$A:$A = D$1, 'Fund Data'!$B:$B = 12),"""")"),"")</f>
        <v/>
      </c>
      <c r="E26" t="str">
        <f>IFERROR(__xludf.DUMMYFUNCTION("IFERROR(FILTER('Fund Data'!$D:$D, 'Fund Data'!$C:$C = $A26, 'Fund Data'!$A:$A = E$1, 'Fund Data'!$B:$B = 12),"""")"),"")</f>
        <v/>
      </c>
      <c r="F26" t="str">
        <f>IFERROR(__xludf.DUMMYFUNCTION("IFERROR(FILTER('Fund Data'!$D:$D, 'Fund Data'!$C:$C = $A26, 'Fund Data'!$A:$A = F$1, 'Fund Data'!$B:$B = 12),"""")"),"")</f>
        <v/>
      </c>
      <c r="G26" t="str">
        <f>IFERROR(__xludf.DUMMYFUNCTION("IFERROR(FILTER('Fund Data'!$D:$D, 'Fund Data'!$C:$C = $A26, 'Fund Data'!$A:$A = G$1, 'Fund Data'!$B:$B = 12),"""")"),"")</f>
        <v/>
      </c>
      <c r="H26" t="str">
        <f>IFERROR(__xludf.DUMMYFUNCTION("IFERROR(FILTER('Fund Data'!$D:$D, 'Fund Data'!$C:$C = $A26, 'Fund Data'!$A:$A = H$1, 'Fund Data'!$B:$B = 12),"""")"),"")</f>
        <v/>
      </c>
      <c r="I26" t="str">
        <f>IFERROR(__xludf.DUMMYFUNCTION("IFERROR(FILTER('Fund Data'!$D:$D, 'Fund Data'!$C:$C = $A26, 'Fund Data'!$A:$A = I$1, 'Fund Data'!$B:$B = 12),"""")"),"")</f>
        <v/>
      </c>
      <c r="J26" t="str">
        <f>IFERROR(__xludf.DUMMYFUNCTION("IFERROR(FILTER('Fund Data'!$D:$D, 'Fund Data'!$C:$C = $A26, 'Fund Data'!$A:$A = J$1, 'Fund Data'!$B:$B = 12),"""")"),"")</f>
        <v/>
      </c>
      <c r="K26" t="str">
        <f>IFERROR(__xludf.DUMMYFUNCTION("IFERROR(FILTER('Fund Data'!$D:$D, 'Fund Data'!$C:$C = $A26, 'Fund Data'!$A:$A = K$1, 'Fund Data'!$B:$B = 12),"""")"),"")</f>
        <v/>
      </c>
      <c r="L26" t="str">
        <f>IFERROR(__xludf.DUMMYFUNCTION("IFERROR(FILTER('Fund Data'!$D:$D, 'Fund Data'!$C:$C = $A26, 'Fund Data'!$A:$A = L$1, 'Fund Data'!$B:$B = 12),"""")"),"")</f>
        <v/>
      </c>
      <c r="M26" t="str">
        <f>IFERROR(__xludf.DUMMYFUNCTION("IFERROR(FILTER('Fund Data'!$D:$D, 'Fund Data'!$C:$C = $A26, 'Fund Data'!$A:$A = M$1, 'Fund Data'!$B:$B = 12),"""")"),"")</f>
        <v/>
      </c>
      <c r="N26" t="str">
        <f>IFERROR(__xludf.DUMMYFUNCTION("IFERROR(FILTER('Fund Data'!$D:$D, 'Fund Data'!$C:$C = $A26, 'Fund Data'!$A:$A = N$1, 'Fund Data'!$B:$B = 12),"""")"),"")</f>
        <v/>
      </c>
      <c r="O26" t="str">
        <f>IFERROR(__xludf.DUMMYFUNCTION("IFERROR(FILTER('Fund Data'!$D:$D, 'Fund Data'!$C:$C = $A26, 'Fund Data'!$A:$A = O$1, 'Fund Data'!$B:$B = 12),"""")"),"")</f>
        <v/>
      </c>
      <c r="P26" t="str">
        <f>IFERROR(__xludf.DUMMYFUNCTION("IFERROR(FILTER('Fund Data'!$D:$D, 'Fund Data'!$C:$C = $A26, 'Fund Data'!$A:$A = P$1, 'Fund Data'!$B:$B = 12),"""")"),"")</f>
        <v/>
      </c>
      <c r="Q26" t="str">
        <f>IFERROR(__xludf.DUMMYFUNCTION("IFERROR(FILTER('Fund Data'!$D:$D, 'Fund Data'!$C:$C = $A26, 'Fund Data'!$A:$A = Q$1, 'Fund Data'!$B:$B = 12),"""")"),"")</f>
        <v/>
      </c>
      <c r="R26" t="str">
        <f>IFERROR(__xludf.DUMMYFUNCTION("IFERROR(FILTER('Fund Data'!$D:$D, 'Fund Data'!$C:$C = $A26, 'Fund Data'!$A:$A = R$1, 'Fund Data'!$B:$B = 12),"""")"),"")</f>
        <v/>
      </c>
      <c r="S26" t="str">
        <f>IFERROR(__xludf.DUMMYFUNCTION("IFERROR(FILTER('Fund Data'!$D:$D, 'Fund Data'!$C:$C = $A26, 'Fund Data'!$A:$A = S$1, 'Fund Data'!$B:$B = 12),"""")"),"")</f>
        <v/>
      </c>
      <c r="T26" t="str">
        <f>IFERROR(__xludf.DUMMYFUNCTION("IFERROR(FILTER('Fund Data'!$D:$D, 'Fund Data'!$C:$C = $A26, 'Fund Data'!$A:$A = T$1, 'Fund Data'!$B:$B = 12),"""")"),"")</f>
        <v/>
      </c>
      <c r="U26" t="str">
        <f>IFERROR(__xludf.DUMMYFUNCTION("IFERROR(FILTER('Fund Data'!$D:$D, 'Fund Data'!$C:$C = $A26, 'Fund Data'!$A:$A = U$1, 'Fund Data'!$B:$B = 12),"""")"),"")</f>
        <v/>
      </c>
      <c r="V26" t="str">
        <f>IFERROR(__xludf.DUMMYFUNCTION("IFERROR(FILTER('Fund Data'!$D:$D, 'Fund Data'!$C:$C = $A26, 'Fund Data'!$A:$A = V$1, 'Fund Data'!$B:$B = 12),"""")"),"")</f>
        <v/>
      </c>
      <c r="W26" t="str">
        <f>IFERROR(__xludf.DUMMYFUNCTION("IFERROR(FILTER('Fund Data'!$D:$D, 'Fund Data'!$C:$C = $A26, 'Fund Data'!$A:$A = W$1, 'Fund Data'!$B:$B = 12),"""")"),"")</f>
        <v/>
      </c>
      <c r="X26" t="str">
        <f>IFERROR(__xludf.DUMMYFUNCTION("IFERROR(FILTER('Fund Data'!$D:$D, 'Fund Data'!$C:$C = $A26, 'Fund Data'!$A:$A = X$1, 'Fund Data'!$B:$B = 12),"""")"),"")</f>
        <v/>
      </c>
      <c r="Y26">
        <f>IFERROR(__xludf.DUMMYFUNCTION("IFERROR(FILTER('Fund Data'!$D:$D, 'Fund Data'!$C:$C = $A26, 'Fund Data'!$A:$A = Y$1, 'Fund Data'!$B:$B = 12),"""")"),498636.0)</f>
        <v>498636</v>
      </c>
      <c r="Z26">
        <f>IFERROR(__xludf.DUMMYFUNCTION("IFERROR(FILTER('Fund Data'!$D:$D, 'Fund Data'!$C:$C = $A26, 'Fund Data'!$A:$A = Z$1, 'Fund Data'!$B:$B = 12),"""")"),1000.0)</f>
        <v>1000</v>
      </c>
      <c r="AA26">
        <f>IFERROR(__xludf.DUMMYFUNCTION("IFERROR(FILTER('Fund Data'!$D:$D, 'Fund Data'!$C:$C = $A26, 'Fund Data'!$A:$A = AA$1, 'Fund Data'!$B:$B = 12),"""")"),501000.0)</f>
        <v>501000</v>
      </c>
      <c r="AB26">
        <f>IFERROR(__xludf.DUMMYFUNCTION("IFERROR(FILTER('Fund Data'!$D:$D, 'Fund Data'!$C:$C = $A26, 'Fund Data'!$A:$A = AB$1, 'Fund Data'!$B:$B = 12),"""")"),1000.0)</f>
        <v>1000</v>
      </c>
      <c r="AC26">
        <f>IFERROR(__xludf.DUMMYFUNCTION("IFERROR(FILTER('Fund Data'!$D:$D, 'Fund Data'!$C:$C = $A26, 'Fund Data'!$A:$A = AC$1, 'Fund Data'!$B:$B = 12),"""")"),3500.0)</f>
        <v>3500</v>
      </c>
      <c r="AD26">
        <f>IFERROR(__xludf.DUMMYFUNCTION("IFERROR(FILTER('Fund Data'!$D:$D, 'Fund Data'!$C:$C = $A26, 'Fund Data'!$A:$A = AD$1, 'Fund Data'!$B:$B = 12),"""")"),75000.0)</f>
        <v>75000</v>
      </c>
      <c r="AE26" t="str">
        <f>IFERROR(__xludf.DUMMYFUNCTION("IFERROR(FILTER('Fund Data'!$D:$D, 'Fund Data'!$C:$C = $A26, 'Fund Data'!$A:$A = AE$1, 'Fund Data'!$B:$B = 12),"""")"),"")</f>
        <v/>
      </c>
    </row>
    <row r="27">
      <c r="A27" s="153" t="str">
        <f>'Endowed Funds'!B:B</f>
        <v>Richard G. and Mary Lyn Ballantine Fund</v>
      </c>
      <c r="B27" t="str">
        <f>IFERROR(__xludf.DUMMYFUNCTION("IFERROR(FILTER('Fund Data'!$D:$D, 'Fund Data'!$C:$C = $A27, 'Fund Data'!$A:$A = B$1, 'Fund Data'!$B:$B = 12),"""")"),"")</f>
        <v/>
      </c>
      <c r="C27" t="str">
        <f>IFERROR(__xludf.DUMMYFUNCTION("IFERROR(FILTER('Fund Data'!$D:$D, 'Fund Data'!$C:$C = $A27, 'Fund Data'!$A:$A = C$1, 'Fund Data'!$B:$B = 12),"""")"),"")</f>
        <v/>
      </c>
      <c r="D27" t="str">
        <f>IFERROR(__xludf.DUMMYFUNCTION("IFERROR(FILTER('Fund Data'!$D:$D, 'Fund Data'!$C:$C = $A27, 'Fund Data'!$A:$A = D$1, 'Fund Data'!$B:$B = 12),"""")"),"")</f>
        <v/>
      </c>
      <c r="E27" t="str">
        <f>IFERROR(__xludf.DUMMYFUNCTION("IFERROR(FILTER('Fund Data'!$D:$D, 'Fund Data'!$C:$C = $A27, 'Fund Data'!$A:$A = E$1, 'Fund Data'!$B:$B = 12),"""")"),"")</f>
        <v/>
      </c>
      <c r="F27" t="str">
        <f>IFERROR(__xludf.DUMMYFUNCTION("IFERROR(FILTER('Fund Data'!$D:$D, 'Fund Data'!$C:$C = $A27, 'Fund Data'!$A:$A = F$1, 'Fund Data'!$B:$B = 12),"""")"),"")</f>
        <v/>
      </c>
      <c r="G27" t="str">
        <f>IFERROR(__xludf.DUMMYFUNCTION("IFERROR(FILTER('Fund Data'!$D:$D, 'Fund Data'!$C:$C = $A27, 'Fund Data'!$A:$A = G$1, 'Fund Data'!$B:$B = 12),"""")"),"")</f>
        <v/>
      </c>
      <c r="H27" t="str">
        <f>IFERROR(__xludf.DUMMYFUNCTION("IFERROR(FILTER('Fund Data'!$D:$D, 'Fund Data'!$C:$C = $A27, 'Fund Data'!$A:$A = H$1, 'Fund Data'!$B:$B = 12),"""")"),"")</f>
        <v/>
      </c>
      <c r="I27" t="str">
        <f>IFERROR(__xludf.DUMMYFUNCTION("IFERROR(FILTER('Fund Data'!$D:$D, 'Fund Data'!$C:$C = $A27, 'Fund Data'!$A:$A = I$1, 'Fund Data'!$B:$B = 12),"""")"),"")</f>
        <v/>
      </c>
      <c r="J27" t="str">
        <f>IFERROR(__xludf.DUMMYFUNCTION("IFERROR(FILTER('Fund Data'!$D:$D, 'Fund Data'!$C:$C = $A27, 'Fund Data'!$A:$A = J$1, 'Fund Data'!$B:$B = 12),"""")"),"")</f>
        <v/>
      </c>
      <c r="K27" t="str">
        <f>IFERROR(__xludf.DUMMYFUNCTION("IFERROR(FILTER('Fund Data'!$D:$D, 'Fund Data'!$C:$C = $A27, 'Fund Data'!$A:$A = K$1, 'Fund Data'!$B:$B = 12),"""")"),"")</f>
        <v/>
      </c>
      <c r="L27">
        <f>IFERROR(__xludf.DUMMYFUNCTION("IFERROR(FILTER('Fund Data'!$D:$D, 'Fund Data'!$C:$C = $A27, 'Fund Data'!$A:$A = L$1, 'Fund Data'!$B:$B = 12),"""")"),95409.84)</f>
        <v>95409.84</v>
      </c>
      <c r="M27">
        <f>IFERROR(__xludf.DUMMYFUNCTION("IFERROR(FILTER('Fund Data'!$D:$D, 'Fund Data'!$C:$C = $A27, 'Fund Data'!$A:$A = M$1, 'Fund Data'!$B:$B = 12),"""")"),191720.71)</f>
        <v>191720.71</v>
      </c>
      <c r="N27">
        <f>IFERROR(__xludf.DUMMYFUNCTION("IFERROR(FILTER('Fund Data'!$D:$D, 'Fund Data'!$C:$C = $A27, 'Fund Data'!$A:$A = N$1, 'Fund Data'!$B:$B = 12),"""")"),120067.76)</f>
        <v>120067.76</v>
      </c>
      <c r="O27">
        <f>IFERROR(__xludf.DUMMYFUNCTION("IFERROR(FILTER('Fund Data'!$D:$D, 'Fund Data'!$C:$C = $A27, 'Fund Data'!$A:$A = O$1, 'Fund Data'!$B:$B = 12),"""")"),120026.7)</f>
        <v>120026.7</v>
      </c>
      <c r="P27">
        <f>IFERROR(__xludf.DUMMYFUNCTION("IFERROR(FILTER('Fund Data'!$D:$D, 'Fund Data'!$C:$C = $A27, 'Fund Data'!$A:$A = P$1, 'Fund Data'!$B:$B = 12),"""")"),184063.45)</f>
        <v>184063.45</v>
      </c>
      <c r="Q27">
        <f>IFERROR(__xludf.DUMMYFUNCTION("IFERROR(FILTER('Fund Data'!$D:$D, 'Fund Data'!$C:$C = $A27, 'Fund Data'!$A:$A = Q$1, 'Fund Data'!$B:$B = 12),"""")"),138883.18)</f>
        <v>138883.18</v>
      </c>
      <c r="R27">
        <f>IFERROR(__xludf.DUMMYFUNCTION("IFERROR(FILTER('Fund Data'!$D:$D, 'Fund Data'!$C:$C = $A27, 'Fund Data'!$A:$A = R$1, 'Fund Data'!$B:$B = 12),"""")"),-524300.0)</f>
        <v>-524300</v>
      </c>
      <c r="S27" t="str">
        <f>IFERROR(__xludf.DUMMYFUNCTION("IFERROR(FILTER('Fund Data'!$D:$D, 'Fund Data'!$C:$C = $A27, 'Fund Data'!$A:$A = S$1, 'Fund Data'!$B:$B = 12),"""")"),"")</f>
        <v/>
      </c>
      <c r="T27" t="str">
        <f>IFERROR(__xludf.DUMMYFUNCTION("IFERROR(FILTER('Fund Data'!$D:$D, 'Fund Data'!$C:$C = $A27, 'Fund Data'!$A:$A = T$1, 'Fund Data'!$B:$B = 12),"""")"),"")</f>
        <v/>
      </c>
      <c r="U27" t="str">
        <f>IFERROR(__xludf.DUMMYFUNCTION("IFERROR(FILTER('Fund Data'!$D:$D, 'Fund Data'!$C:$C = $A27, 'Fund Data'!$A:$A = U$1, 'Fund Data'!$B:$B = 12),"""")"),"")</f>
        <v/>
      </c>
      <c r="V27" t="str">
        <f>IFERROR(__xludf.DUMMYFUNCTION("IFERROR(FILTER('Fund Data'!$D:$D, 'Fund Data'!$C:$C = $A27, 'Fund Data'!$A:$A = V$1, 'Fund Data'!$B:$B = 12),"""")"),"")</f>
        <v/>
      </c>
      <c r="W27" t="str">
        <f>IFERROR(__xludf.DUMMYFUNCTION("IFERROR(FILTER('Fund Data'!$D:$D, 'Fund Data'!$C:$C = $A27, 'Fund Data'!$A:$A = W$1, 'Fund Data'!$B:$B = 12),"""")"),"")</f>
        <v/>
      </c>
      <c r="X27" t="str">
        <f>IFERROR(__xludf.DUMMYFUNCTION("IFERROR(FILTER('Fund Data'!$D:$D, 'Fund Data'!$C:$C = $A27, 'Fund Data'!$A:$A = X$1, 'Fund Data'!$B:$B = 12),"""")"),"")</f>
        <v/>
      </c>
      <c r="Y27" t="str">
        <f>IFERROR(__xludf.DUMMYFUNCTION("IFERROR(FILTER('Fund Data'!$D:$D, 'Fund Data'!$C:$C = $A27, 'Fund Data'!$A:$A = Y$1, 'Fund Data'!$B:$B = 12),"""")"),"")</f>
        <v/>
      </c>
      <c r="Z27" t="str">
        <f>IFERROR(__xludf.DUMMYFUNCTION("IFERROR(FILTER('Fund Data'!$D:$D, 'Fund Data'!$C:$C = $A27, 'Fund Data'!$A:$A = Z$1, 'Fund Data'!$B:$B = 12),"""")"),"")</f>
        <v/>
      </c>
      <c r="AA27" t="str">
        <f>IFERROR(__xludf.DUMMYFUNCTION("IFERROR(FILTER('Fund Data'!$D:$D, 'Fund Data'!$C:$C = $A27, 'Fund Data'!$A:$A = AA$1, 'Fund Data'!$B:$B = 12),"""")"),"")</f>
        <v/>
      </c>
      <c r="AB27" t="str">
        <f>IFERROR(__xludf.DUMMYFUNCTION("IFERROR(FILTER('Fund Data'!$D:$D, 'Fund Data'!$C:$C = $A27, 'Fund Data'!$A:$A = AB$1, 'Fund Data'!$B:$B = 12),"""")"),"")</f>
        <v/>
      </c>
      <c r="AC27" t="str">
        <f>IFERROR(__xludf.DUMMYFUNCTION("IFERROR(FILTER('Fund Data'!$D:$D, 'Fund Data'!$C:$C = $A27, 'Fund Data'!$A:$A = AC$1, 'Fund Data'!$B:$B = 12),"""")"),"")</f>
        <v/>
      </c>
      <c r="AD27" t="str">
        <f>IFERROR(__xludf.DUMMYFUNCTION("IFERROR(FILTER('Fund Data'!$D:$D, 'Fund Data'!$C:$C = $A27, 'Fund Data'!$A:$A = AD$1, 'Fund Data'!$B:$B = 12),"""")"),"")</f>
        <v/>
      </c>
      <c r="AE27" t="str">
        <f>IFERROR(__xludf.DUMMYFUNCTION("IFERROR(FILTER('Fund Data'!$D:$D, 'Fund Data'!$C:$C = $A27, 'Fund Data'!$A:$A = AE$1, 'Fund Data'!$B:$B = 12),"""")"),"")</f>
        <v/>
      </c>
    </row>
    <row r="28">
      <c r="A28" s="153" t="str">
        <f>'Endowed Funds'!B:B</f>
        <v>Ricky R. Lightfoot Chair for Research</v>
      </c>
      <c r="B28" t="str">
        <f>IFERROR(__xludf.DUMMYFUNCTION("IFERROR(FILTER('Fund Data'!$D:$D, 'Fund Data'!$C:$C = $A28, 'Fund Data'!$A:$A = B$1, 'Fund Data'!$B:$B = 12),"""")"),"")</f>
        <v/>
      </c>
      <c r="C28" t="str">
        <f>IFERROR(__xludf.DUMMYFUNCTION("IFERROR(FILTER('Fund Data'!$D:$D, 'Fund Data'!$C:$C = $A28, 'Fund Data'!$A:$A = C$1, 'Fund Data'!$B:$B = 12),"""")"),"")</f>
        <v/>
      </c>
      <c r="D28" t="str">
        <f>IFERROR(__xludf.DUMMYFUNCTION("IFERROR(FILTER('Fund Data'!$D:$D, 'Fund Data'!$C:$C = $A28, 'Fund Data'!$A:$A = D$1, 'Fund Data'!$B:$B = 12),"""")"),"")</f>
        <v/>
      </c>
      <c r="E28" t="str">
        <f>IFERROR(__xludf.DUMMYFUNCTION("IFERROR(FILTER('Fund Data'!$D:$D, 'Fund Data'!$C:$C = $A28, 'Fund Data'!$A:$A = E$1, 'Fund Data'!$B:$B = 12),"""")"),"")</f>
        <v/>
      </c>
      <c r="F28" t="str">
        <f>IFERROR(__xludf.DUMMYFUNCTION("IFERROR(FILTER('Fund Data'!$D:$D, 'Fund Data'!$C:$C = $A28, 'Fund Data'!$A:$A = F$1, 'Fund Data'!$B:$B = 12),"""")"),"")</f>
        <v/>
      </c>
      <c r="G28" t="str">
        <f>IFERROR(__xludf.DUMMYFUNCTION("IFERROR(FILTER('Fund Data'!$D:$D, 'Fund Data'!$C:$C = $A28, 'Fund Data'!$A:$A = G$1, 'Fund Data'!$B:$B = 12),"""")"),"")</f>
        <v/>
      </c>
      <c r="H28" t="str">
        <f>IFERROR(__xludf.DUMMYFUNCTION("IFERROR(FILTER('Fund Data'!$D:$D, 'Fund Data'!$C:$C = $A28, 'Fund Data'!$A:$A = H$1, 'Fund Data'!$B:$B = 12),"""")"),"")</f>
        <v/>
      </c>
      <c r="I28" t="str">
        <f>IFERROR(__xludf.DUMMYFUNCTION("IFERROR(FILTER('Fund Data'!$D:$D, 'Fund Data'!$C:$C = $A28, 'Fund Data'!$A:$A = I$1, 'Fund Data'!$B:$B = 12),"""")"),"")</f>
        <v/>
      </c>
      <c r="J28" t="str">
        <f>IFERROR(__xludf.DUMMYFUNCTION("IFERROR(FILTER('Fund Data'!$D:$D, 'Fund Data'!$C:$C = $A28, 'Fund Data'!$A:$A = J$1, 'Fund Data'!$B:$B = 12),"""")"),"")</f>
        <v/>
      </c>
      <c r="K28" t="str">
        <f>IFERROR(__xludf.DUMMYFUNCTION("IFERROR(FILTER('Fund Data'!$D:$D, 'Fund Data'!$C:$C = $A28, 'Fund Data'!$A:$A = K$1, 'Fund Data'!$B:$B = 12),"""")"),"")</f>
        <v/>
      </c>
      <c r="L28" t="str">
        <f>IFERROR(__xludf.DUMMYFUNCTION("IFERROR(FILTER('Fund Data'!$D:$D, 'Fund Data'!$C:$C = $A28, 'Fund Data'!$A:$A = L$1, 'Fund Data'!$B:$B = 12),"""")"),"")</f>
        <v/>
      </c>
      <c r="M28" t="str">
        <f>IFERROR(__xludf.DUMMYFUNCTION("IFERROR(FILTER('Fund Data'!$D:$D, 'Fund Data'!$C:$C = $A28, 'Fund Data'!$A:$A = M$1, 'Fund Data'!$B:$B = 12),"""")"),"")</f>
        <v/>
      </c>
      <c r="N28" t="str">
        <f>IFERROR(__xludf.DUMMYFUNCTION("IFERROR(FILTER('Fund Data'!$D:$D, 'Fund Data'!$C:$C = $A28, 'Fund Data'!$A:$A = N$1, 'Fund Data'!$B:$B = 12),"""")"),"")</f>
        <v/>
      </c>
      <c r="O28" t="str">
        <f>IFERROR(__xludf.DUMMYFUNCTION("IFERROR(FILTER('Fund Data'!$D:$D, 'Fund Data'!$C:$C = $A28, 'Fund Data'!$A:$A = O$1, 'Fund Data'!$B:$B = 12),"""")"),"")</f>
        <v/>
      </c>
      <c r="P28" t="str">
        <f>IFERROR(__xludf.DUMMYFUNCTION("IFERROR(FILTER('Fund Data'!$D:$D, 'Fund Data'!$C:$C = $A28, 'Fund Data'!$A:$A = P$1, 'Fund Data'!$B:$B = 12),"""")"),"")</f>
        <v/>
      </c>
      <c r="Q28" t="str">
        <f>IFERROR(__xludf.DUMMYFUNCTION("IFERROR(FILTER('Fund Data'!$D:$D, 'Fund Data'!$C:$C = $A28, 'Fund Data'!$A:$A = Q$1, 'Fund Data'!$B:$B = 12),"""")"),"")</f>
        <v/>
      </c>
      <c r="R28" t="str">
        <f>IFERROR(__xludf.DUMMYFUNCTION("IFERROR(FILTER('Fund Data'!$D:$D, 'Fund Data'!$C:$C = $A28, 'Fund Data'!$A:$A = R$1, 'Fund Data'!$B:$B = 12),"""")"),"")</f>
        <v/>
      </c>
      <c r="S28" t="str">
        <f>IFERROR(__xludf.DUMMYFUNCTION("IFERROR(FILTER('Fund Data'!$D:$D, 'Fund Data'!$C:$C = $A28, 'Fund Data'!$A:$A = S$1, 'Fund Data'!$B:$B = 12),"""")"),"")</f>
        <v/>
      </c>
      <c r="T28" t="str">
        <f>IFERROR(__xludf.DUMMYFUNCTION("IFERROR(FILTER('Fund Data'!$D:$D, 'Fund Data'!$C:$C = $A28, 'Fund Data'!$A:$A = T$1, 'Fund Data'!$B:$B = 12),"""")"),"")</f>
        <v/>
      </c>
      <c r="U28">
        <f>IFERROR(__xludf.DUMMYFUNCTION("IFERROR(FILTER('Fund Data'!$D:$D, 'Fund Data'!$C:$C = $A28, 'Fund Data'!$A:$A = U$1, 'Fund Data'!$B:$B = 12),"""")"),300000.0)</f>
        <v>300000</v>
      </c>
      <c r="V28">
        <f>IFERROR(__xludf.DUMMYFUNCTION("IFERROR(FILTER('Fund Data'!$D:$D, 'Fund Data'!$C:$C = $A28, 'Fund Data'!$A:$A = V$1, 'Fund Data'!$B:$B = 12),"""")"),205500.0)</f>
        <v>205500</v>
      </c>
      <c r="W28">
        <f>IFERROR(__xludf.DUMMYFUNCTION("IFERROR(FILTER('Fund Data'!$D:$D, 'Fund Data'!$C:$C = $A28, 'Fund Data'!$A:$A = W$1, 'Fund Data'!$B:$B = 12),"""")"),500000.0)</f>
        <v>500000</v>
      </c>
      <c r="X28">
        <f>IFERROR(__xludf.DUMMYFUNCTION("IFERROR(FILTER('Fund Data'!$D:$D, 'Fund Data'!$C:$C = $A28, 'Fund Data'!$A:$A = X$1, 'Fund Data'!$B:$B = 12),"""")"),50000.0)</f>
        <v>50000</v>
      </c>
      <c r="Y28">
        <f>IFERROR(__xludf.DUMMYFUNCTION("IFERROR(FILTER('Fund Data'!$D:$D, 'Fund Data'!$C:$C = $A28, 'Fund Data'!$A:$A = Y$1, 'Fund Data'!$B:$B = 12),"""")"),950000.0)</f>
        <v>950000</v>
      </c>
      <c r="Z28" t="str">
        <f>IFERROR(__xludf.DUMMYFUNCTION("IFERROR(FILTER('Fund Data'!$D:$D, 'Fund Data'!$C:$C = $A28, 'Fund Data'!$A:$A = Z$1, 'Fund Data'!$B:$B = 12),"""")"),"")</f>
        <v/>
      </c>
      <c r="AA28" t="str">
        <f>IFERROR(__xludf.DUMMYFUNCTION("IFERROR(FILTER('Fund Data'!$D:$D, 'Fund Data'!$C:$C = $A28, 'Fund Data'!$A:$A = AA$1, 'Fund Data'!$B:$B = 12),"""")"),"")</f>
        <v/>
      </c>
      <c r="AB28" t="str">
        <f>IFERROR(__xludf.DUMMYFUNCTION("IFERROR(FILTER('Fund Data'!$D:$D, 'Fund Data'!$C:$C = $A28, 'Fund Data'!$A:$A = AB$1, 'Fund Data'!$B:$B = 12),"""")"),"")</f>
        <v/>
      </c>
      <c r="AC28" t="str">
        <f>IFERROR(__xludf.DUMMYFUNCTION("IFERROR(FILTER('Fund Data'!$D:$D, 'Fund Data'!$C:$C = $A28, 'Fund Data'!$A:$A = AC$1, 'Fund Data'!$B:$B = 12),"""")"),"")</f>
        <v/>
      </c>
      <c r="AD28" t="str">
        <f>IFERROR(__xludf.DUMMYFUNCTION("IFERROR(FILTER('Fund Data'!$D:$D, 'Fund Data'!$C:$C = $A28, 'Fund Data'!$A:$A = AD$1, 'Fund Data'!$B:$B = 12),"""")"),"")</f>
        <v/>
      </c>
      <c r="AE28" t="str">
        <f>IFERROR(__xludf.DUMMYFUNCTION("IFERROR(FILTER('Fund Data'!$D:$D, 'Fund Data'!$C:$C = $A28, 'Fund Data'!$A:$A = AE$1, 'Fund Data'!$B:$B = 12),"""")"),"")</f>
        <v/>
      </c>
    </row>
    <row r="29">
      <c r="A29" s="153" t="str">
        <f>'Endowed Funds'!B:B</f>
        <v>Robert &amp; Doris Haugen Research Fund</v>
      </c>
      <c r="B29" t="str">
        <f>IFERROR(__xludf.DUMMYFUNCTION("IFERROR(FILTER('Fund Data'!$D:$D, 'Fund Data'!$C:$C = $A29, 'Fund Data'!$A:$A = B$1, 'Fund Data'!$B:$B = 12),"""")"),"")</f>
        <v/>
      </c>
      <c r="C29" t="str">
        <f>IFERROR(__xludf.DUMMYFUNCTION("IFERROR(FILTER('Fund Data'!$D:$D, 'Fund Data'!$C:$C = $A29, 'Fund Data'!$A:$A = C$1, 'Fund Data'!$B:$B = 12),"""")"),"")</f>
        <v/>
      </c>
      <c r="D29" t="str">
        <f>IFERROR(__xludf.DUMMYFUNCTION("IFERROR(FILTER('Fund Data'!$D:$D, 'Fund Data'!$C:$C = $A29, 'Fund Data'!$A:$A = D$1, 'Fund Data'!$B:$B = 12),"""")"),"")</f>
        <v/>
      </c>
      <c r="E29" t="str">
        <f>IFERROR(__xludf.DUMMYFUNCTION("IFERROR(FILTER('Fund Data'!$D:$D, 'Fund Data'!$C:$C = $A29, 'Fund Data'!$A:$A = E$1, 'Fund Data'!$B:$B = 12),"""")"),"")</f>
        <v/>
      </c>
      <c r="F29" t="str">
        <f>IFERROR(__xludf.DUMMYFUNCTION("IFERROR(FILTER('Fund Data'!$D:$D, 'Fund Data'!$C:$C = $A29, 'Fund Data'!$A:$A = F$1, 'Fund Data'!$B:$B = 12),"""")"),"")</f>
        <v/>
      </c>
      <c r="G29" t="str">
        <f>IFERROR(__xludf.DUMMYFUNCTION("IFERROR(FILTER('Fund Data'!$D:$D, 'Fund Data'!$C:$C = $A29, 'Fund Data'!$A:$A = G$1, 'Fund Data'!$B:$B = 12),"""")"),"")</f>
        <v/>
      </c>
      <c r="H29" t="str">
        <f>IFERROR(__xludf.DUMMYFUNCTION("IFERROR(FILTER('Fund Data'!$D:$D, 'Fund Data'!$C:$C = $A29, 'Fund Data'!$A:$A = H$1, 'Fund Data'!$B:$B = 12),"""")"),"")</f>
        <v/>
      </c>
      <c r="I29" t="str">
        <f>IFERROR(__xludf.DUMMYFUNCTION("IFERROR(FILTER('Fund Data'!$D:$D, 'Fund Data'!$C:$C = $A29, 'Fund Data'!$A:$A = I$1, 'Fund Data'!$B:$B = 12),"""")"),"")</f>
        <v/>
      </c>
      <c r="J29" t="str">
        <f>IFERROR(__xludf.DUMMYFUNCTION("IFERROR(FILTER('Fund Data'!$D:$D, 'Fund Data'!$C:$C = $A29, 'Fund Data'!$A:$A = J$1, 'Fund Data'!$B:$B = 12),"""")"),"")</f>
        <v/>
      </c>
      <c r="K29" t="str">
        <f>IFERROR(__xludf.DUMMYFUNCTION("IFERROR(FILTER('Fund Data'!$D:$D, 'Fund Data'!$C:$C = $A29, 'Fund Data'!$A:$A = K$1, 'Fund Data'!$B:$B = 12),"""")"),"")</f>
        <v/>
      </c>
      <c r="L29" t="str">
        <f>IFERROR(__xludf.DUMMYFUNCTION("IFERROR(FILTER('Fund Data'!$D:$D, 'Fund Data'!$C:$C = $A29, 'Fund Data'!$A:$A = L$1, 'Fund Data'!$B:$B = 12),"""")"),"")</f>
        <v/>
      </c>
      <c r="M29" t="str">
        <f>IFERROR(__xludf.DUMMYFUNCTION("IFERROR(FILTER('Fund Data'!$D:$D, 'Fund Data'!$C:$C = $A29, 'Fund Data'!$A:$A = M$1, 'Fund Data'!$B:$B = 12),"""")"),"")</f>
        <v/>
      </c>
      <c r="N29" t="str">
        <f>IFERROR(__xludf.DUMMYFUNCTION("IFERROR(FILTER('Fund Data'!$D:$D, 'Fund Data'!$C:$C = $A29, 'Fund Data'!$A:$A = N$1, 'Fund Data'!$B:$B = 12),"""")"),"")</f>
        <v/>
      </c>
      <c r="O29" t="str">
        <f>IFERROR(__xludf.DUMMYFUNCTION("IFERROR(FILTER('Fund Data'!$D:$D, 'Fund Data'!$C:$C = $A29, 'Fund Data'!$A:$A = O$1, 'Fund Data'!$B:$B = 12),"""")"),"")</f>
        <v/>
      </c>
      <c r="P29" t="str">
        <f>IFERROR(__xludf.DUMMYFUNCTION("IFERROR(FILTER('Fund Data'!$D:$D, 'Fund Data'!$C:$C = $A29, 'Fund Data'!$A:$A = P$1, 'Fund Data'!$B:$B = 12),"""")"),"")</f>
        <v/>
      </c>
      <c r="Q29" t="str">
        <f>IFERROR(__xludf.DUMMYFUNCTION("IFERROR(FILTER('Fund Data'!$D:$D, 'Fund Data'!$C:$C = $A29, 'Fund Data'!$A:$A = Q$1, 'Fund Data'!$B:$B = 12),"""")"),"")</f>
        <v/>
      </c>
      <c r="R29" t="str">
        <f>IFERROR(__xludf.DUMMYFUNCTION("IFERROR(FILTER('Fund Data'!$D:$D, 'Fund Data'!$C:$C = $A29, 'Fund Data'!$A:$A = R$1, 'Fund Data'!$B:$B = 12),"""")"),"")</f>
        <v/>
      </c>
      <c r="S29" t="str">
        <f>IFERROR(__xludf.DUMMYFUNCTION("IFERROR(FILTER('Fund Data'!$D:$D, 'Fund Data'!$C:$C = $A29, 'Fund Data'!$A:$A = S$1, 'Fund Data'!$B:$B = 12),"""")"),"")</f>
        <v/>
      </c>
      <c r="T29" t="str">
        <f>IFERROR(__xludf.DUMMYFUNCTION("IFERROR(FILTER('Fund Data'!$D:$D, 'Fund Data'!$C:$C = $A29, 'Fund Data'!$A:$A = T$1, 'Fund Data'!$B:$B = 12),"""")"),"")</f>
        <v/>
      </c>
      <c r="U29" t="str">
        <f>IFERROR(__xludf.DUMMYFUNCTION("IFERROR(FILTER('Fund Data'!$D:$D, 'Fund Data'!$C:$C = $A29, 'Fund Data'!$A:$A = U$1, 'Fund Data'!$B:$B = 12),"""")"),"")</f>
        <v/>
      </c>
      <c r="V29" t="str">
        <f>IFERROR(__xludf.DUMMYFUNCTION("IFERROR(FILTER('Fund Data'!$D:$D, 'Fund Data'!$C:$C = $A29, 'Fund Data'!$A:$A = V$1, 'Fund Data'!$B:$B = 12),"""")"),"")</f>
        <v/>
      </c>
      <c r="W29" t="str">
        <f>IFERROR(__xludf.DUMMYFUNCTION("IFERROR(FILTER('Fund Data'!$D:$D, 'Fund Data'!$C:$C = $A29, 'Fund Data'!$A:$A = W$1, 'Fund Data'!$B:$B = 12),"""")"),"")</f>
        <v/>
      </c>
      <c r="X29">
        <f>IFERROR(__xludf.DUMMYFUNCTION("IFERROR(FILTER('Fund Data'!$D:$D, 'Fund Data'!$C:$C = $A29, 'Fund Data'!$A:$A = X$1, 'Fund Data'!$B:$B = 12),"""")"),100000.0)</f>
        <v>100000</v>
      </c>
      <c r="Y29" t="str">
        <f>IFERROR(__xludf.DUMMYFUNCTION("IFERROR(FILTER('Fund Data'!$D:$D, 'Fund Data'!$C:$C = $A29, 'Fund Data'!$A:$A = Y$1, 'Fund Data'!$B:$B = 12),"""")"),"")</f>
        <v/>
      </c>
      <c r="Z29">
        <f>IFERROR(__xludf.DUMMYFUNCTION("IFERROR(FILTER('Fund Data'!$D:$D, 'Fund Data'!$C:$C = $A29, 'Fund Data'!$A:$A = Z$1, 'Fund Data'!$B:$B = 12),"""")"),5000.0)</f>
        <v>5000</v>
      </c>
      <c r="AA29">
        <f>IFERROR(__xludf.DUMMYFUNCTION("IFERROR(FILTER('Fund Data'!$D:$D, 'Fund Data'!$C:$C = $A29, 'Fund Data'!$A:$A = AA$1, 'Fund Data'!$B:$B = 12),"""")"),5000.0)</f>
        <v>5000</v>
      </c>
      <c r="AB29">
        <f>IFERROR(__xludf.DUMMYFUNCTION("IFERROR(FILTER('Fund Data'!$D:$D, 'Fund Data'!$C:$C = $A29, 'Fund Data'!$A:$A = AB$1, 'Fund Data'!$B:$B = 12),"""")"),5000.0)</f>
        <v>5000</v>
      </c>
      <c r="AC29">
        <f>IFERROR(__xludf.DUMMYFUNCTION("IFERROR(FILTER('Fund Data'!$D:$D, 'Fund Data'!$C:$C = $A29, 'Fund Data'!$A:$A = AC$1, 'Fund Data'!$B:$B = 12),"""")"),5000.0)</f>
        <v>5000</v>
      </c>
      <c r="AD29">
        <f>IFERROR(__xludf.DUMMYFUNCTION("IFERROR(FILTER('Fund Data'!$D:$D, 'Fund Data'!$C:$C = $A29, 'Fund Data'!$A:$A = AD$1, 'Fund Data'!$B:$B = 12),"""")"),5000.0)</f>
        <v>5000</v>
      </c>
      <c r="AE29" t="str">
        <f>IFERROR(__xludf.DUMMYFUNCTION("IFERROR(FILTER('Fund Data'!$D:$D, 'Fund Data'!$C:$C = $A29, 'Fund Data'!$A:$A = AE$1, 'Fund Data'!$B:$B = 12),"""")"),"")</f>
        <v/>
      </c>
    </row>
    <row r="30">
      <c r="A30" s="153" t="str">
        <f>'Endowed Funds'!B:B</f>
        <v>Segal Family Foundation</v>
      </c>
      <c r="B30" t="str">
        <f>IFERROR(__xludf.DUMMYFUNCTION("IFERROR(FILTER('Fund Data'!$D:$D, 'Fund Data'!$C:$C = $A30, 'Fund Data'!$A:$A = B$1, 'Fund Data'!$B:$B = 12),"""")"),"")</f>
        <v/>
      </c>
      <c r="C30" t="str">
        <f>IFERROR(__xludf.DUMMYFUNCTION("IFERROR(FILTER('Fund Data'!$D:$D, 'Fund Data'!$C:$C = $A30, 'Fund Data'!$A:$A = C$1, 'Fund Data'!$B:$B = 12),"""")"),"")</f>
        <v/>
      </c>
      <c r="D30" t="str">
        <f>IFERROR(__xludf.DUMMYFUNCTION("IFERROR(FILTER('Fund Data'!$D:$D, 'Fund Data'!$C:$C = $A30, 'Fund Data'!$A:$A = D$1, 'Fund Data'!$B:$B = 12),"""")"),"")</f>
        <v/>
      </c>
      <c r="E30" t="str">
        <f>IFERROR(__xludf.DUMMYFUNCTION("IFERROR(FILTER('Fund Data'!$D:$D, 'Fund Data'!$C:$C = $A30, 'Fund Data'!$A:$A = E$1, 'Fund Data'!$B:$B = 12),"""")"),"")</f>
        <v/>
      </c>
      <c r="F30" t="str">
        <f>IFERROR(__xludf.DUMMYFUNCTION("IFERROR(FILTER('Fund Data'!$D:$D, 'Fund Data'!$C:$C = $A30, 'Fund Data'!$A:$A = F$1, 'Fund Data'!$B:$B = 12),"""")"),"")</f>
        <v/>
      </c>
      <c r="G30" t="str">
        <f>IFERROR(__xludf.DUMMYFUNCTION("IFERROR(FILTER('Fund Data'!$D:$D, 'Fund Data'!$C:$C = $A30, 'Fund Data'!$A:$A = G$1, 'Fund Data'!$B:$B = 12),"""")"),"")</f>
        <v/>
      </c>
      <c r="H30" t="str">
        <f>IFERROR(__xludf.DUMMYFUNCTION("IFERROR(FILTER('Fund Data'!$D:$D, 'Fund Data'!$C:$C = $A30, 'Fund Data'!$A:$A = H$1, 'Fund Data'!$B:$B = 12),"""")"),"")</f>
        <v/>
      </c>
      <c r="I30" t="str">
        <f>IFERROR(__xludf.DUMMYFUNCTION("IFERROR(FILTER('Fund Data'!$D:$D, 'Fund Data'!$C:$C = $A30, 'Fund Data'!$A:$A = I$1, 'Fund Data'!$B:$B = 12),"""")"),"")</f>
        <v/>
      </c>
      <c r="J30" t="str">
        <f>IFERROR(__xludf.DUMMYFUNCTION("IFERROR(FILTER('Fund Data'!$D:$D, 'Fund Data'!$C:$C = $A30, 'Fund Data'!$A:$A = J$1, 'Fund Data'!$B:$B = 12),"""")"),"")</f>
        <v/>
      </c>
      <c r="K30" t="str">
        <f>IFERROR(__xludf.DUMMYFUNCTION("IFERROR(FILTER('Fund Data'!$D:$D, 'Fund Data'!$C:$C = $A30, 'Fund Data'!$A:$A = K$1, 'Fund Data'!$B:$B = 12),"""")"),"")</f>
        <v/>
      </c>
      <c r="L30" t="str">
        <f>IFERROR(__xludf.DUMMYFUNCTION("IFERROR(FILTER('Fund Data'!$D:$D, 'Fund Data'!$C:$C = $A30, 'Fund Data'!$A:$A = L$1, 'Fund Data'!$B:$B = 12),"""")"),"")</f>
        <v/>
      </c>
      <c r="M30" t="str">
        <f>IFERROR(__xludf.DUMMYFUNCTION("IFERROR(FILTER('Fund Data'!$D:$D, 'Fund Data'!$C:$C = $A30, 'Fund Data'!$A:$A = M$1, 'Fund Data'!$B:$B = 12),"""")"),"")</f>
        <v/>
      </c>
      <c r="N30" t="str">
        <f>IFERROR(__xludf.DUMMYFUNCTION("IFERROR(FILTER('Fund Data'!$D:$D, 'Fund Data'!$C:$C = $A30, 'Fund Data'!$A:$A = N$1, 'Fund Data'!$B:$B = 12),"""")"),"")</f>
        <v/>
      </c>
      <c r="O30" t="str">
        <f>IFERROR(__xludf.DUMMYFUNCTION("IFERROR(FILTER('Fund Data'!$D:$D, 'Fund Data'!$C:$C = $A30, 'Fund Data'!$A:$A = O$1, 'Fund Data'!$B:$B = 12),"""")"),"")</f>
        <v/>
      </c>
      <c r="P30" t="str">
        <f>IFERROR(__xludf.DUMMYFUNCTION("IFERROR(FILTER('Fund Data'!$D:$D, 'Fund Data'!$C:$C = $A30, 'Fund Data'!$A:$A = P$1, 'Fund Data'!$B:$B = 12),"""")"),"")</f>
        <v/>
      </c>
      <c r="Q30" t="str">
        <f>IFERROR(__xludf.DUMMYFUNCTION("IFERROR(FILTER('Fund Data'!$D:$D, 'Fund Data'!$C:$C = $A30, 'Fund Data'!$A:$A = Q$1, 'Fund Data'!$B:$B = 12),"""")"),"")</f>
        <v/>
      </c>
      <c r="R30" t="str">
        <f>IFERROR(__xludf.DUMMYFUNCTION("IFERROR(FILTER('Fund Data'!$D:$D, 'Fund Data'!$C:$C = $A30, 'Fund Data'!$A:$A = R$1, 'Fund Data'!$B:$B = 12),"""")"),"")</f>
        <v/>
      </c>
      <c r="S30" t="str">
        <f>IFERROR(__xludf.DUMMYFUNCTION("IFERROR(FILTER('Fund Data'!$D:$D, 'Fund Data'!$C:$C = $A30, 'Fund Data'!$A:$A = S$1, 'Fund Data'!$B:$B = 12),"""")"),"")</f>
        <v/>
      </c>
      <c r="T30" t="str">
        <f>IFERROR(__xludf.DUMMYFUNCTION("IFERROR(FILTER('Fund Data'!$D:$D, 'Fund Data'!$C:$C = $A30, 'Fund Data'!$A:$A = T$1, 'Fund Data'!$B:$B = 12),"""")"),"")</f>
        <v/>
      </c>
      <c r="U30" t="str">
        <f>IFERROR(__xludf.DUMMYFUNCTION("IFERROR(FILTER('Fund Data'!$D:$D, 'Fund Data'!$C:$C = $A30, 'Fund Data'!$A:$A = U$1, 'Fund Data'!$B:$B = 12),"""")"),"")</f>
        <v/>
      </c>
      <c r="V30" t="str">
        <f>IFERROR(__xludf.DUMMYFUNCTION("IFERROR(FILTER('Fund Data'!$D:$D, 'Fund Data'!$C:$C = $A30, 'Fund Data'!$A:$A = V$1, 'Fund Data'!$B:$B = 12),"""")"),"")</f>
        <v/>
      </c>
      <c r="W30" t="str">
        <f>IFERROR(__xludf.DUMMYFUNCTION("IFERROR(FILTER('Fund Data'!$D:$D, 'Fund Data'!$C:$C = $A30, 'Fund Data'!$A:$A = W$1, 'Fund Data'!$B:$B = 12),"""")"),"")</f>
        <v/>
      </c>
      <c r="X30" t="str">
        <f>IFERROR(__xludf.DUMMYFUNCTION("IFERROR(FILTER('Fund Data'!$D:$D, 'Fund Data'!$C:$C = $A30, 'Fund Data'!$A:$A = X$1, 'Fund Data'!$B:$B = 12),"""")"),"")</f>
        <v/>
      </c>
      <c r="Y30" t="str">
        <f>IFERROR(__xludf.DUMMYFUNCTION("IFERROR(FILTER('Fund Data'!$D:$D, 'Fund Data'!$C:$C = $A30, 'Fund Data'!$A:$A = Y$1, 'Fund Data'!$B:$B = 12),"""")"),"")</f>
        <v/>
      </c>
      <c r="Z30" t="str">
        <f>IFERROR(__xludf.DUMMYFUNCTION("IFERROR(FILTER('Fund Data'!$D:$D, 'Fund Data'!$C:$C = $A30, 'Fund Data'!$A:$A = Z$1, 'Fund Data'!$B:$B = 12),"""")"),"")</f>
        <v/>
      </c>
      <c r="AA30">
        <f>IFERROR(__xludf.DUMMYFUNCTION("IFERROR(FILTER('Fund Data'!$D:$D, 'Fund Data'!$C:$C = $A30, 'Fund Data'!$A:$A = AA$1, 'Fund Data'!$B:$B = 12),"""")"),70000.0)</f>
        <v>70000</v>
      </c>
      <c r="AB30">
        <f>IFERROR(__xludf.DUMMYFUNCTION("IFERROR(FILTER('Fund Data'!$D:$D, 'Fund Data'!$C:$C = $A30, 'Fund Data'!$A:$A = AB$1, 'Fund Data'!$B:$B = 12),"""")"),70000.0)</f>
        <v>70000</v>
      </c>
      <c r="AC30">
        <f>IFERROR(__xludf.DUMMYFUNCTION("IFERROR(FILTER('Fund Data'!$D:$D, 'Fund Data'!$C:$C = $A30, 'Fund Data'!$A:$A = AC$1, 'Fund Data'!$B:$B = 12),"""")"),70000.0)</f>
        <v>70000</v>
      </c>
      <c r="AD30">
        <f>IFERROR(__xludf.DUMMYFUNCTION("IFERROR(FILTER('Fund Data'!$D:$D, 'Fund Data'!$C:$C = $A30, 'Fund Data'!$A:$A = AD$1, 'Fund Data'!$B:$B = 12),"""")"),70000.0)</f>
        <v>70000</v>
      </c>
      <c r="AE30" t="str">
        <f>IFERROR(__xludf.DUMMYFUNCTION("IFERROR(FILTER('Fund Data'!$D:$D, 'Fund Data'!$C:$C = $A30, 'Fund Data'!$A:$A = AE$1, 'Fund Data'!$B:$B = 12),"""")"),"")</f>
        <v/>
      </c>
    </row>
    <row r="31">
      <c r="A31" s="153" t="str">
        <f>'Endowed Funds'!B:B</f>
        <v>Shirley &amp; Reinhardt Jahn Education Fund</v>
      </c>
      <c r="B31" t="str">
        <f>IFERROR(__xludf.DUMMYFUNCTION("IFERROR(FILTER('Fund Data'!$D:$D, 'Fund Data'!$C:$C = $A31, 'Fund Data'!$A:$A = B$1, 'Fund Data'!$B:$B = 12),"""")"),"")</f>
        <v/>
      </c>
      <c r="C31" t="str">
        <f>IFERROR(__xludf.DUMMYFUNCTION("IFERROR(FILTER('Fund Data'!$D:$D, 'Fund Data'!$C:$C = $A31, 'Fund Data'!$A:$A = C$1, 'Fund Data'!$B:$B = 12),"""")"),"")</f>
        <v/>
      </c>
      <c r="D31" t="str">
        <f>IFERROR(__xludf.DUMMYFUNCTION("IFERROR(FILTER('Fund Data'!$D:$D, 'Fund Data'!$C:$C = $A31, 'Fund Data'!$A:$A = D$1, 'Fund Data'!$B:$B = 12),"""")"),"")</f>
        <v/>
      </c>
      <c r="E31" t="str">
        <f>IFERROR(__xludf.DUMMYFUNCTION("IFERROR(FILTER('Fund Data'!$D:$D, 'Fund Data'!$C:$C = $A31, 'Fund Data'!$A:$A = E$1, 'Fund Data'!$B:$B = 12),"""")"),"")</f>
        <v/>
      </c>
      <c r="F31" t="str">
        <f>IFERROR(__xludf.DUMMYFUNCTION("IFERROR(FILTER('Fund Data'!$D:$D, 'Fund Data'!$C:$C = $A31, 'Fund Data'!$A:$A = F$1, 'Fund Data'!$B:$B = 12),"""")"),"")</f>
        <v/>
      </c>
      <c r="G31" t="str">
        <f>IFERROR(__xludf.DUMMYFUNCTION("IFERROR(FILTER('Fund Data'!$D:$D, 'Fund Data'!$C:$C = $A31, 'Fund Data'!$A:$A = G$1, 'Fund Data'!$B:$B = 12),"""")"),"")</f>
        <v/>
      </c>
      <c r="H31" t="str">
        <f>IFERROR(__xludf.DUMMYFUNCTION("IFERROR(FILTER('Fund Data'!$D:$D, 'Fund Data'!$C:$C = $A31, 'Fund Data'!$A:$A = H$1, 'Fund Data'!$B:$B = 12),"""")"),"")</f>
        <v/>
      </c>
      <c r="I31" t="str">
        <f>IFERROR(__xludf.DUMMYFUNCTION("IFERROR(FILTER('Fund Data'!$D:$D, 'Fund Data'!$C:$C = $A31, 'Fund Data'!$A:$A = I$1, 'Fund Data'!$B:$B = 12),"""")"),"")</f>
        <v/>
      </c>
      <c r="J31" t="str">
        <f>IFERROR(__xludf.DUMMYFUNCTION("IFERROR(FILTER('Fund Data'!$D:$D, 'Fund Data'!$C:$C = $A31, 'Fund Data'!$A:$A = J$1, 'Fund Data'!$B:$B = 12),"""")"),"")</f>
        <v/>
      </c>
      <c r="K31" t="str">
        <f>IFERROR(__xludf.DUMMYFUNCTION("IFERROR(FILTER('Fund Data'!$D:$D, 'Fund Data'!$C:$C = $A31, 'Fund Data'!$A:$A = K$1, 'Fund Data'!$B:$B = 12),"""")"),"")</f>
        <v/>
      </c>
      <c r="L31" t="str">
        <f>IFERROR(__xludf.DUMMYFUNCTION("IFERROR(FILTER('Fund Data'!$D:$D, 'Fund Data'!$C:$C = $A31, 'Fund Data'!$A:$A = L$1, 'Fund Data'!$B:$B = 12),"""")"),"")</f>
        <v/>
      </c>
      <c r="M31" t="str">
        <f>IFERROR(__xludf.DUMMYFUNCTION("IFERROR(FILTER('Fund Data'!$D:$D, 'Fund Data'!$C:$C = $A31, 'Fund Data'!$A:$A = M$1, 'Fund Data'!$B:$B = 12),"""")"),"")</f>
        <v/>
      </c>
      <c r="N31" t="str">
        <f>IFERROR(__xludf.DUMMYFUNCTION("IFERROR(FILTER('Fund Data'!$D:$D, 'Fund Data'!$C:$C = $A31, 'Fund Data'!$A:$A = N$1, 'Fund Data'!$B:$B = 12),"""")"),"")</f>
        <v/>
      </c>
      <c r="O31" t="str">
        <f>IFERROR(__xludf.DUMMYFUNCTION("IFERROR(FILTER('Fund Data'!$D:$D, 'Fund Data'!$C:$C = $A31, 'Fund Data'!$A:$A = O$1, 'Fund Data'!$B:$B = 12),"""")"),"")</f>
        <v/>
      </c>
      <c r="P31" t="str">
        <f>IFERROR(__xludf.DUMMYFUNCTION("IFERROR(FILTER('Fund Data'!$D:$D, 'Fund Data'!$C:$C = $A31, 'Fund Data'!$A:$A = P$1, 'Fund Data'!$B:$B = 12),"""")"),"")</f>
        <v/>
      </c>
      <c r="Q31">
        <f>IFERROR(__xludf.DUMMYFUNCTION("IFERROR(FILTER('Fund Data'!$D:$D, 'Fund Data'!$C:$C = $A31, 'Fund Data'!$A:$A = Q$1, 'Fund Data'!$B:$B = 12),"""")"),250000.0)</f>
        <v>250000</v>
      </c>
      <c r="R31" t="str">
        <f>IFERROR(__xludf.DUMMYFUNCTION("IFERROR(FILTER('Fund Data'!$D:$D, 'Fund Data'!$C:$C = $A31, 'Fund Data'!$A:$A = R$1, 'Fund Data'!$B:$B = 12),"""")"),"")</f>
        <v/>
      </c>
      <c r="S31" t="str">
        <f>IFERROR(__xludf.DUMMYFUNCTION("IFERROR(FILTER('Fund Data'!$D:$D, 'Fund Data'!$C:$C = $A31, 'Fund Data'!$A:$A = S$1, 'Fund Data'!$B:$B = 12),"""")"),"")</f>
        <v/>
      </c>
      <c r="T31" t="str">
        <f>IFERROR(__xludf.DUMMYFUNCTION("IFERROR(FILTER('Fund Data'!$D:$D, 'Fund Data'!$C:$C = $A31, 'Fund Data'!$A:$A = T$1, 'Fund Data'!$B:$B = 12),"""")"),"")</f>
        <v/>
      </c>
      <c r="U31" t="str">
        <f>IFERROR(__xludf.DUMMYFUNCTION("IFERROR(FILTER('Fund Data'!$D:$D, 'Fund Data'!$C:$C = $A31, 'Fund Data'!$A:$A = U$1, 'Fund Data'!$B:$B = 12),"""")"),"")</f>
        <v/>
      </c>
      <c r="V31" t="str">
        <f>IFERROR(__xludf.DUMMYFUNCTION("IFERROR(FILTER('Fund Data'!$D:$D, 'Fund Data'!$C:$C = $A31, 'Fund Data'!$A:$A = V$1, 'Fund Data'!$B:$B = 12),"""")"),"")</f>
        <v/>
      </c>
      <c r="W31" t="str">
        <f>IFERROR(__xludf.DUMMYFUNCTION("IFERROR(FILTER('Fund Data'!$D:$D, 'Fund Data'!$C:$C = $A31, 'Fund Data'!$A:$A = W$1, 'Fund Data'!$B:$B = 12),"""")"),"")</f>
        <v/>
      </c>
      <c r="X31" t="str">
        <f>IFERROR(__xludf.DUMMYFUNCTION("IFERROR(FILTER('Fund Data'!$D:$D, 'Fund Data'!$C:$C = $A31, 'Fund Data'!$A:$A = X$1, 'Fund Data'!$B:$B = 12),"""")"),"")</f>
        <v/>
      </c>
      <c r="Y31" t="str">
        <f>IFERROR(__xludf.DUMMYFUNCTION("IFERROR(FILTER('Fund Data'!$D:$D, 'Fund Data'!$C:$C = $A31, 'Fund Data'!$A:$A = Y$1, 'Fund Data'!$B:$B = 12),"""")"),"")</f>
        <v/>
      </c>
      <c r="Z31" t="str">
        <f>IFERROR(__xludf.DUMMYFUNCTION("IFERROR(FILTER('Fund Data'!$D:$D, 'Fund Data'!$C:$C = $A31, 'Fund Data'!$A:$A = Z$1, 'Fund Data'!$B:$B = 12),"""")"),"")</f>
        <v/>
      </c>
      <c r="AA31" t="str">
        <f>IFERROR(__xludf.DUMMYFUNCTION("IFERROR(FILTER('Fund Data'!$D:$D, 'Fund Data'!$C:$C = $A31, 'Fund Data'!$A:$A = AA$1, 'Fund Data'!$B:$B = 12),"""")"),"")</f>
        <v/>
      </c>
      <c r="AB31" t="str">
        <f>IFERROR(__xludf.DUMMYFUNCTION("IFERROR(FILTER('Fund Data'!$D:$D, 'Fund Data'!$C:$C = $A31, 'Fund Data'!$A:$A = AB$1, 'Fund Data'!$B:$B = 12),"""")"),"")</f>
        <v/>
      </c>
      <c r="AC31" t="str">
        <f>IFERROR(__xludf.DUMMYFUNCTION("IFERROR(FILTER('Fund Data'!$D:$D, 'Fund Data'!$C:$C = $A31, 'Fund Data'!$A:$A = AC$1, 'Fund Data'!$B:$B = 12),"""")"),"")</f>
        <v/>
      </c>
      <c r="AD31" t="str">
        <f>IFERROR(__xludf.DUMMYFUNCTION("IFERROR(FILTER('Fund Data'!$D:$D, 'Fund Data'!$C:$C = $A31, 'Fund Data'!$A:$A = AD$1, 'Fund Data'!$B:$B = 12),"""")"),"")</f>
        <v/>
      </c>
      <c r="AE31" t="str">
        <f>IFERROR(__xludf.DUMMYFUNCTION("IFERROR(FILTER('Fund Data'!$D:$D, 'Fund Data'!$C:$C = $A31, 'Fund Data'!$A:$A = AE$1, 'Fund Data'!$B:$B = 12),"""")"),"")</f>
        <v/>
      </c>
    </row>
    <row r="32">
      <c r="A32" s="153" t="str">
        <f>'Endowed Funds'!B:B</f>
        <v>Sidney &amp; Iris Taylor Education Fund</v>
      </c>
      <c r="B32" t="str">
        <f>IFERROR(__xludf.DUMMYFUNCTION("IFERROR(FILTER('Fund Data'!$D:$D, 'Fund Data'!$C:$C = $A32, 'Fund Data'!$A:$A = B$1, 'Fund Data'!$B:$B = 12),"""")"),"")</f>
        <v/>
      </c>
      <c r="C32" t="str">
        <f>IFERROR(__xludf.DUMMYFUNCTION("IFERROR(FILTER('Fund Data'!$D:$D, 'Fund Data'!$C:$C = $A32, 'Fund Data'!$A:$A = C$1, 'Fund Data'!$B:$B = 12),"""")"),"")</f>
        <v/>
      </c>
      <c r="D32" t="str">
        <f>IFERROR(__xludf.DUMMYFUNCTION("IFERROR(FILTER('Fund Data'!$D:$D, 'Fund Data'!$C:$C = $A32, 'Fund Data'!$A:$A = D$1, 'Fund Data'!$B:$B = 12),"""")"),"")</f>
        <v/>
      </c>
      <c r="E32" t="str">
        <f>IFERROR(__xludf.DUMMYFUNCTION("IFERROR(FILTER('Fund Data'!$D:$D, 'Fund Data'!$C:$C = $A32, 'Fund Data'!$A:$A = E$1, 'Fund Data'!$B:$B = 12),"""")"),"")</f>
        <v/>
      </c>
      <c r="F32" t="str">
        <f>IFERROR(__xludf.DUMMYFUNCTION("IFERROR(FILTER('Fund Data'!$D:$D, 'Fund Data'!$C:$C = $A32, 'Fund Data'!$A:$A = F$1, 'Fund Data'!$B:$B = 12),"""")"),"")</f>
        <v/>
      </c>
      <c r="G32" t="str">
        <f>IFERROR(__xludf.DUMMYFUNCTION("IFERROR(FILTER('Fund Data'!$D:$D, 'Fund Data'!$C:$C = $A32, 'Fund Data'!$A:$A = G$1, 'Fund Data'!$B:$B = 12),"""")"),"")</f>
        <v/>
      </c>
      <c r="H32" t="str">
        <f>IFERROR(__xludf.DUMMYFUNCTION("IFERROR(FILTER('Fund Data'!$D:$D, 'Fund Data'!$C:$C = $A32, 'Fund Data'!$A:$A = H$1, 'Fund Data'!$B:$B = 12),"""")"),"")</f>
        <v/>
      </c>
      <c r="I32" t="str">
        <f>IFERROR(__xludf.DUMMYFUNCTION("IFERROR(FILTER('Fund Data'!$D:$D, 'Fund Data'!$C:$C = $A32, 'Fund Data'!$A:$A = I$1, 'Fund Data'!$B:$B = 12),"""")"),"")</f>
        <v/>
      </c>
      <c r="J32" t="str">
        <f>IFERROR(__xludf.DUMMYFUNCTION("IFERROR(FILTER('Fund Data'!$D:$D, 'Fund Data'!$C:$C = $A32, 'Fund Data'!$A:$A = J$1, 'Fund Data'!$B:$B = 12),"""")"),"")</f>
        <v/>
      </c>
      <c r="K32" t="str">
        <f>IFERROR(__xludf.DUMMYFUNCTION("IFERROR(FILTER('Fund Data'!$D:$D, 'Fund Data'!$C:$C = $A32, 'Fund Data'!$A:$A = K$1, 'Fund Data'!$B:$B = 12),"""")"),"")</f>
        <v/>
      </c>
      <c r="L32" t="str">
        <f>IFERROR(__xludf.DUMMYFUNCTION("IFERROR(FILTER('Fund Data'!$D:$D, 'Fund Data'!$C:$C = $A32, 'Fund Data'!$A:$A = L$1, 'Fund Data'!$B:$B = 12),"""")"),"")</f>
        <v/>
      </c>
      <c r="M32" t="str">
        <f>IFERROR(__xludf.DUMMYFUNCTION("IFERROR(FILTER('Fund Data'!$D:$D, 'Fund Data'!$C:$C = $A32, 'Fund Data'!$A:$A = M$1, 'Fund Data'!$B:$B = 12),"""")"),"")</f>
        <v/>
      </c>
      <c r="N32" t="str">
        <f>IFERROR(__xludf.DUMMYFUNCTION("IFERROR(FILTER('Fund Data'!$D:$D, 'Fund Data'!$C:$C = $A32, 'Fund Data'!$A:$A = N$1, 'Fund Data'!$B:$B = 12),"""")"),"")</f>
        <v/>
      </c>
      <c r="O32" t="str">
        <f>IFERROR(__xludf.DUMMYFUNCTION("IFERROR(FILTER('Fund Data'!$D:$D, 'Fund Data'!$C:$C = $A32, 'Fund Data'!$A:$A = O$1, 'Fund Data'!$B:$B = 12),"""")"),"")</f>
        <v/>
      </c>
      <c r="P32" t="str">
        <f>IFERROR(__xludf.DUMMYFUNCTION("IFERROR(FILTER('Fund Data'!$D:$D, 'Fund Data'!$C:$C = $A32, 'Fund Data'!$A:$A = P$1, 'Fund Data'!$B:$B = 12),"""")"),"")</f>
        <v/>
      </c>
      <c r="Q32">
        <f>IFERROR(__xludf.DUMMYFUNCTION("IFERROR(FILTER('Fund Data'!$D:$D, 'Fund Data'!$C:$C = $A32, 'Fund Data'!$A:$A = Q$1, 'Fund Data'!$B:$B = 12),"""")"),20000.0)</f>
        <v>20000</v>
      </c>
      <c r="R32">
        <f>IFERROR(__xludf.DUMMYFUNCTION("IFERROR(FILTER('Fund Data'!$D:$D, 'Fund Data'!$C:$C = $A32, 'Fund Data'!$A:$A = R$1, 'Fund Data'!$B:$B = 12),"""")"),20000.0)</f>
        <v>20000</v>
      </c>
      <c r="S32">
        <f>IFERROR(__xludf.DUMMYFUNCTION("IFERROR(FILTER('Fund Data'!$D:$D, 'Fund Data'!$C:$C = $A32, 'Fund Data'!$A:$A = S$1, 'Fund Data'!$B:$B = 12),"""")"),20000.0)</f>
        <v>20000</v>
      </c>
      <c r="T32">
        <f>IFERROR(__xludf.DUMMYFUNCTION("IFERROR(FILTER('Fund Data'!$D:$D, 'Fund Data'!$C:$C = $A32, 'Fund Data'!$A:$A = T$1, 'Fund Data'!$B:$B = 12),"""")"),20000.0)</f>
        <v>20000</v>
      </c>
      <c r="U32" t="str">
        <f>IFERROR(__xludf.DUMMYFUNCTION("IFERROR(FILTER('Fund Data'!$D:$D, 'Fund Data'!$C:$C = $A32, 'Fund Data'!$A:$A = U$1, 'Fund Data'!$B:$B = 12),"""")"),"")</f>
        <v/>
      </c>
      <c r="V32">
        <f>IFERROR(__xludf.DUMMYFUNCTION("IFERROR(FILTER('Fund Data'!$D:$D, 'Fund Data'!$C:$C = $A32, 'Fund Data'!$A:$A = V$1, 'Fund Data'!$B:$B = 12),"""")"),20000.0)</f>
        <v>20000</v>
      </c>
      <c r="W32" t="str">
        <f>IFERROR(__xludf.DUMMYFUNCTION("IFERROR(FILTER('Fund Data'!$D:$D, 'Fund Data'!$C:$C = $A32, 'Fund Data'!$A:$A = W$1, 'Fund Data'!$B:$B = 12),"""")"),"")</f>
        <v/>
      </c>
      <c r="X32" t="str">
        <f>IFERROR(__xludf.DUMMYFUNCTION("IFERROR(FILTER('Fund Data'!$D:$D, 'Fund Data'!$C:$C = $A32, 'Fund Data'!$A:$A = X$1, 'Fund Data'!$B:$B = 12),"""")"),"")</f>
        <v/>
      </c>
      <c r="Y32" t="str">
        <f>IFERROR(__xludf.DUMMYFUNCTION("IFERROR(FILTER('Fund Data'!$D:$D, 'Fund Data'!$C:$C = $A32, 'Fund Data'!$A:$A = Y$1, 'Fund Data'!$B:$B = 12),"""")"),"")</f>
        <v/>
      </c>
      <c r="Z32" t="str">
        <f>IFERROR(__xludf.DUMMYFUNCTION("IFERROR(FILTER('Fund Data'!$D:$D, 'Fund Data'!$C:$C = $A32, 'Fund Data'!$A:$A = Z$1, 'Fund Data'!$B:$B = 12),"""")"),"")</f>
        <v/>
      </c>
      <c r="AA32" t="str">
        <f>IFERROR(__xludf.DUMMYFUNCTION("IFERROR(FILTER('Fund Data'!$D:$D, 'Fund Data'!$C:$C = $A32, 'Fund Data'!$A:$A = AA$1, 'Fund Data'!$B:$B = 12),"""")"),"")</f>
        <v/>
      </c>
      <c r="AB32" t="str">
        <f>IFERROR(__xludf.DUMMYFUNCTION("IFERROR(FILTER('Fund Data'!$D:$D, 'Fund Data'!$C:$C = $A32, 'Fund Data'!$A:$A = AB$1, 'Fund Data'!$B:$B = 12),"""")"),"")</f>
        <v/>
      </c>
      <c r="AC32" t="str">
        <f>IFERROR(__xludf.DUMMYFUNCTION("IFERROR(FILTER('Fund Data'!$D:$D, 'Fund Data'!$C:$C = $A32, 'Fund Data'!$A:$A = AC$1, 'Fund Data'!$B:$B = 12),"""")"),"")</f>
        <v/>
      </c>
      <c r="AD32" t="str">
        <f>IFERROR(__xludf.DUMMYFUNCTION("IFERROR(FILTER('Fund Data'!$D:$D, 'Fund Data'!$C:$C = $A32, 'Fund Data'!$A:$A = AD$1, 'Fund Data'!$B:$B = 12),"""")"),"")</f>
        <v/>
      </c>
      <c r="AE32" t="str">
        <f>IFERROR(__xludf.DUMMYFUNCTION("IFERROR(FILTER('Fund Data'!$D:$D, 'Fund Data'!$C:$C = $A32, 'Fund Data'!$A:$A = AE$1, 'Fund Data'!$B:$B = 12),"""")"),"")</f>
        <v/>
      </c>
    </row>
    <row r="33">
      <c r="A33" s="153" t="str">
        <f>'Endowed Funds'!B:B</f>
        <v>Stuart Struever Chair in Research</v>
      </c>
      <c r="B33" t="str">
        <f>IFERROR(__xludf.DUMMYFUNCTION("IFERROR(FILTER('Fund Data'!$D:$D, 'Fund Data'!$C:$C = $A33, 'Fund Data'!$A:$A = B$1, 'Fund Data'!$B:$B = 12),"""")"),"")</f>
        <v/>
      </c>
      <c r="C33" t="str">
        <f>IFERROR(__xludf.DUMMYFUNCTION("IFERROR(FILTER('Fund Data'!$D:$D, 'Fund Data'!$C:$C = $A33, 'Fund Data'!$A:$A = C$1, 'Fund Data'!$B:$B = 12),"""")"),"")</f>
        <v/>
      </c>
      <c r="D33">
        <f>IFERROR(__xludf.DUMMYFUNCTION("IFERROR(FILTER('Fund Data'!$D:$D, 'Fund Data'!$C:$C = $A33, 'Fund Data'!$A:$A = D$1, 'Fund Data'!$B:$B = 12),"""")"),250000.0)</f>
        <v>250000</v>
      </c>
      <c r="E33" t="str">
        <f>IFERROR(__xludf.DUMMYFUNCTION("IFERROR(FILTER('Fund Data'!$D:$D, 'Fund Data'!$C:$C = $A33, 'Fund Data'!$A:$A = E$1, 'Fund Data'!$B:$B = 12),"""")"),"")</f>
        <v/>
      </c>
      <c r="F33" t="str">
        <f>IFERROR(__xludf.DUMMYFUNCTION("IFERROR(FILTER('Fund Data'!$D:$D, 'Fund Data'!$C:$C = $A33, 'Fund Data'!$A:$A = F$1, 'Fund Data'!$B:$B = 12),"""")"),"")</f>
        <v/>
      </c>
      <c r="G33" t="str">
        <f>IFERROR(__xludf.DUMMYFUNCTION("IFERROR(FILTER('Fund Data'!$D:$D, 'Fund Data'!$C:$C = $A33, 'Fund Data'!$A:$A = G$1, 'Fund Data'!$B:$B = 12),"""")"),"")</f>
        <v/>
      </c>
      <c r="H33" t="str">
        <f>IFERROR(__xludf.DUMMYFUNCTION("IFERROR(FILTER('Fund Data'!$D:$D, 'Fund Data'!$C:$C = $A33, 'Fund Data'!$A:$A = H$1, 'Fund Data'!$B:$B = 12),"""")"),"")</f>
        <v/>
      </c>
      <c r="I33" t="str">
        <f>IFERROR(__xludf.DUMMYFUNCTION("IFERROR(FILTER('Fund Data'!$D:$D, 'Fund Data'!$C:$C = $A33, 'Fund Data'!$A:$A = I$1, 'Fund Data'!$B:$B = 12),"""")"),"")</f>
        <v/>
      </c>
      <c r="J33" t="str">
        <f>IFERROR(__xludf.DUMMYFUNCTION("IFERROR(FILTER('Fund Data'!$D:$D, 'Fund Data'!$C:$C = $A33, 'Fund Data'!$A:$A = J$1, 'Fund Data'!$B:$B = 12),"""")"),"")</f>
        <v/>
      </c>
      <c r="K33">
        <f>IFERROR(__xludf.DUMMYFUNCTION("IFERROR(FILTER('Fund Data'!$D:$D, 'Fund Data'!$C:$C = $A33, 'Fund Data'!$A:$A = K$1, 'Fund Data'!$B:$B = 12),"""")"),3375.0)</f>
        <v>3375</v>
      </c>
      <c r="L33" t="str">
        <f>IFERROR(__xludf.DUMMYFUNCTION("IFERROR(FILTER('Fund Data'!$D:$D, 'Fund Data'!$C:$C = $A33, 'Fund Data'!$A:$A = L$1, 'Fund Data'!$B:$B = 12),"""")"),"")</f>
        <v/>
      </c>
      <c r="M33">
        <f>IFERROR(__xludf.DUMMYFUNCTION("IFERROR(FILTER('Fund Data'!$D:$D, 'Fund Data'!$C:$C = $A33, 'Fund Data'!$A:$A = M$1, 'Fund Data'!$B:$B = 12),"""")"),150000.0)</f>
        <v>150000</v>
      </c>
      <c r="N33">
        <f>IFERROR(__xludf.DUMMYFUNCTION("IFERROR(FILTER('Fund Data'!$D:$D, 'Fund Data'!$C:$C = $A33, 'Fund Data'!$A:$A = N$1, 'Fund Data'!$B:$B = 12),"""")"),102000.0)</f>
        <v>102000</v>
      </c>
      <c r="O33">
        <f>IFERROR(__xludf.DUMMYFUNCTION("IFERROR(FILTER('Fund Data'!$D:$D, 'Fund Data'!$C:$C = $A33, 'Fund Data'!$A:$A = O$1, 'Fund Data'!$B:$B = 12),"""")"),132000.0)</f>
        <v>132000</v>
      </c>
      <c r="P33">
        <f>IFERROR(__xludf.DUMMYFUNCTION("IFERROR(FILTER('Fund Data'!$D:$D, 'Fund Data'!$C:$C = $A33, 'Fund Data'!$A:$A = P$1, 'Fund Data'!$B:$B = 12),"""")"),417000.0)</f>
        <v>417000</v>
      </c>
      <c r="Q33">
        <f>IFERROR(__xludf.DUMMYFUNCTION("IFERROR(FILTER('Fund Data'!$D:$D, 'Fund Data'!$C:$C = $A33, 'Fund Data'!$A:$A = Q$1, 'Fund Data'!$B:$B = 12),"""")"),4500.0)</f>
        <v>4500</v>
      </c>
      <c r="R33">
        <f>IFERROR(__xludf.DUMMYFUNCTION("IFERROR(FILTER('Fund Data'!$D:$D, 'Fund Data'!$C:$C = $A33, 'Fund Data'!$A:$A = R$1, 'Fund Data'!$B:$B = 12),"""")"),3750.0)</f>
        <v>3750</v>
      </c>
      <c r="S33">
        <f>IFERROR(__xludf.DUMMYFUNCTION("IFERROR(FILTER('Fund Data'!$D:$D, 'Fund Data'!$C:$C = $A33, 'Fund Data'!$A:$A = S$1, 'Fund Data'!$B:$B = 12),"""")"),3500.0)</f>
        <v>3500</v>
      </c>
      <c r="T33" t="str">
        <f>IFERROR(__xludf.DUMMYFUNCTION("IFERROR(FILTER('Fund Data'!$D:$D, 'Fund Data'!$C:$C = $A33, 'Fund Data'!$A:$A = T$1, 'Fund Data'!$B:$B = 12),"""")"),"")</f>
        <v/>
      </c>
      <c r="U33" t="str">
        <f>IFERROR(__xludf.DUMMYFUNCTION("IFERROR(FILTER('Fund Data'!$D:$D, 'Fund Data'!$C:$C = $A33, 'Fund Data'!$A:$A = U$1, 'Fund Data'!$B:$B = 12),"""")"),"")</f>
        <v/>
      </c>
      <c r="V33" t="str">
        <f>IFERROR(__xludf.DUMMYFUNCTION("IFERROR(FILTER('Fund Data'!$D:$D, 'Fund Data'!$C:$C = $A33, 'Fund Data'!$A:$A = V$1, 'Fund Data'!$B:$B = 12),"""")"),"")</f>
        <v/>
      </c>
      <c r="W33" t="str">
        <f>IFERROR(__xludf.DUMMYFUNCTION("IFERROR(FILTER('Fund Data'!$D:$D, 'Fund Data'!$C:$C = $A33, 'Fund Data'!$A:$A = W$1, 'Fund Data'!$B:$B = 12),"""")"),"")</f>
        <v/>
      </c>
      <c r="X33" t="str">
        <f>IFERROR(__xludf.DUMMYFUNCTION("IFERROR(FILTER('Fund Data'!$D:$D, 'Fund Data'!$C:$C = $A33, 'Fund Data'!$A:$A = X$1, 'Fund Data'!$B:$B = 12),"""")"),"")</f>
        <v/>
      </c>
      <c r="Y33">
        <f>IFERROR(__xludf.DUMMYFUNCTION("IFERROR(FILTER('Fund Data'!$D:$D, 'Fund Data'!$C:$C = $A33, 'Fund Data'!$A:$A = Y$1, 'Fund Data'!$B:$B = 12),"""")"),500.0)</f>
        <v>500</v>
      </c>
      <c r="Z33">
        <f>IFERROR(__xludf.DUMMYFUNCTION("IFERROR(FILTER('Fund Data'!$D:$D, 'Fund Data'!$C:$C = $A33, 'Fund Data'!$A:$A = Z$1, 'Fund Data'!$B:$B = 12),"""")"),15000.0)</f>
        <v>15000</v>
      </c>
      <c r="AA33">
        <f>IFERROR(__xludf.DUMMYFUNCTION("IFERROR(FILTER('Fund Data'!$D:$D, 'Fund Data'!$C:$C = $A33, 'Fund Data'!$A:$A = AA$1, 'Fund Data'!$B:$B = 12),"""")"),5000.0)</f>
        <v>5000</v>
      </c>
      <c r="AB33" t="str">
        <f>IFERROR(__xludf.DUMMYFUNCTION("IFERROR(FILTER('Fund Data'!$D:$D, 'Fund Data'!$C:$C = $A33, 'Fund Data'!$A:$A = AB$1, 'Fund Data'!$B:$B = 12),"""")"),"")</f>
        <v/>
      </c>
      <c r="AC33" t="str">
        <f>IFERROR(__xludf.DUMMYFUNCTION("IFERROR(FILTER('Fund Data'!$D:$D, 'Fund Data'!$C:$C = $A33, 'Fund Data'!$A:$A = AC$1, 'Fund Data'!$B:$B = 12),"""")"),"")</f>
        <v/>
      </c>
      <c r="AD33" t="str">
        <f>IFERROR(__xludf.DUMMYFUNCTION("IFERROR(FILTER('Fund Data'!$D:$D, 'Fund Data'!$C:$C = $A33, 'Fund Data'!$A:$A = AD$1, 'Fund Data'!$B:$B = 12),"""")"),"")</f>
        <v/>
      </c>
      <c r="AE33" t="str">
        <f>IFERROR(__xludf.DUMMYFUNCTION("IFERROR(FILTER('Fund Data'!$D:$D, 'Fund Data'!$C:$C = $A33, 'Fund Data'!$A:$A = AE$1, 'Fund Data'!$B:$B = 12),"""")"),"")</f>
        <v/>
      </c>
    </row>
    <row r="34">
      <c r="A34" s="153" t="str">
        <f>'Endowed Funds'!B:B</f>
        <v>Sue Anschutz-Rodgers Research Fund</v>
      </c>
      <c r="B34" t="str">
        <f>IFERROR(__xludf.DUMMYFUNCTION("IFERROR(FILTER('Fund Data'!$D:$D, 'Fund Data'!$C:$C = $A34, 'Fund Data'!$A:$A = B$1, 'Fund Data'!$B:$B = 12),"""")"),"")</f>
        <v/>
      </c>
      <c r="C34" t="str">
        <f>IFERROR(__xludf.DUMMYFUNCTION("IFERROR(FILTER('Fund Data'!$D:$D, 'Fund Data'!$C:$C = $A34, 'Fund Data'!$A:$A = C$1, 'Fund Data'!$B:$B = 12),"""")"),"")</f>
        <v/>
      </c>
      <c r="D34" t="str">
        <f>IFERROR(__xludf.DUMMYFUNCTION("IFERROR(FILTER('Fund Data'!$D:$D, 'Fund Data'!$C:$C = $A34, 'Fund Data'!$A:$A = D$1, 'Fund Data'!$B:$B = 12),"""")"),"")</f>
        <v/>
      </c>
      <c r="E34" t="str">
        <f>IFERROR(__xludf.DUMMYFUNCTION("IFERROR(FILTER('Fund Data'!$D:$D, 'Fund Data'!$C:$C = $A34, 'Fund Data'!$A:$A = E$1, 'Fund Data'!$B:$B = 12),"""")"),"")</f>
        <v/>
      </c>
      <c r="F34" t="str">
        <f>IFERROR(__xludf.DUMMYFUNCTION("IFERROR(FILTER('Fund Data'!$D:$D, 'Fund Data'!$C:$C = $A34, 'Fund Data'!$A:$A = F$1, 'Fund Data'!$B:$B = 12),"""")"),"")</f>
        <v/>
      </c>
      <c r="G34" t="str">
        <f>IFERROR(__xludf.DUMMYFUNCTION("IFERROR(FILTER('Fund Data'!$D:$D, 'Fund Data'!$C:$C = $A34, 'Fund Data'!$A:$A = G$1, 'Fund Data'!$B:$B = 12),"""")"),"")</f>
        <v/>
      </c>
      <c r="H34" t="str">
        <f>IFERROR(__xludf.DUMMYFUNCTION("IFERROR(FILTER('Fund Data'!$D:$D, 'Fund Data'!$C:$C = $A34, 'Fund Data'!$A:$A = H$1, 'Fund Data'!$B:$B = 12),"""")"),"")</f>
        <v/>
      </c>
      <c r="I34" t="str">
        <f>IFERROR(__xludf.DUMMYFUNCTION("IFERROR(FILTER('Fund Data'!$D:$D, 'Fund Data'!$C:$C = $A34, 'Fund Data'!$A:$A = I$1, 'Fund Data'!$B:$B = 12),"""")"),"")</f>
        <v/>
      </c>
      <c r="J34" t="str">
        <f>IFERROR(__xludf.DUMMYFUNCTION("IFERROR(FILTER('Fund Data'!$D:$D, 'Fund Data'!$C:$C = $A34, 'Fund Data'!$A:$A = J$1, 'Fund Data'!$B:$B = 12),"""")"),"")</f>
        <v/>
      </c>
      <c r="K34" t="str">
        <f>IFERROR(__xludf.DUMMYFUNCTION("IFERROR(FILTER('Fund Data'!$D:$D, 'Fund Data'!$C:$C = $A34, 'Fund Data'!$A:$A = K$1, 'Fund Data'!$B:$B = 12),"""")"),"")</f>
        <v/>
      </c>
      <c r="L34" t="str">
        <f>IFERROR(__xludf.DUMMYFUNCTION("IFERROR(FILTER('Fund Data'!$D:$D, 'Fund Data'!$C:$C = $A34, 'Fund Data'!$A:$A = L$1, 'Fund Data'!$B:$B = 12),"""")"),"")</f>
        <v/>
      </c>
      <c r="M34" t="str">
        <f>IFERROR(__xludf.DUMMYFUNCTION("IFERROR(FILTER('Fund Data'!$D:$D, 'Fund Data'!$C:$C = $A34, 'Fund Data'!$A:$A = M$1, 'Fund Data'!$B:$B = 12),"""")"),"")</f>
        <v/>
      </c>
      <c r="N34" t="str">
        <f>IFERROR(__xludf.DUMMYFUNCTION("IFERROR(FILTER('Fund Data'!$D:$D, 'Fund Data'!$C:$C = $A34, 'Fund Data'!$A:$A = N$1, 'Fund Data'!$B:$B = 12),"""")"),"")</f>
        <v/>
      </c>
      <c r="O34" t="str">
        <f>IFERROR(__xludf.DUMMYFUNCTION("IFERROR(FILTER('Fund Data'!$D:$D, 'Fund Data'!$C:$C = $A34, 'Fund Data'!$A:$A = O$1, 'Fund Data'!$B:$B = 12),"""")"),"")</f>
        <v/>
      </c>
      <c r="P34" t="str">
        <f>IFERROR(__xludf.DUMMYFUNCTION("IFERROR(FILTER('Fund Data'!$D:$D, 'Fund Data'!$C:$C = $A34, 'Fund Data'!$A:$A = P$1, 'Fund Data'!$B:$B = 12),"""")"),"")</f>
        <v/>
      </c>
      <c r="Q34" t="str">
        <f>IFERROR(__xludf.DUMMYFUNCTION("IFERROR(FILTER('Fund Data'!$D:$D, 'Fund Data'!$C:$C = $A34, 'Fund Data'!$A:$A = Q$1, 'Fund Data'!$B:$B = 12),"""")"),"")</f>
        <v/>
      </c>
      <c r="R34" t="str">
        <f>IFERROR(__xludf.DUMMYFUNCTION("IFERROR(FILTER('Fund Data'!$D:$D, 'Fund Data'!$C:$C = $A34, 'Fund Data'!$A:$A = R$1, 'Fund Data'!$B:$B = 12),"""")"),"")</f>
        <v/>
      </c>
      <c r="S34" t="str">
        <f>IFERROR(__xludf.DUMMYFUNCTION("IFERROR(FILTER('Fund Data'!$D:$D, 'Fund Data'!$C:$C = $A34, 'Fund Data'!$A:$A = S$1, 'Fund Data'!$B:$B = 12),"""")"),"")</f>
        <v/>
      </c>
      <c r="T34" t="str">
        <f>IFERROR(__xludf.DUMMYFUNCTION("IFERROR(FILTER('Fund Data'!$D:$D, 'Fund Data'!$C:$C = $A34, 'Fund Data'!$A:$A = T$1, 'Fund Data'!$B:$B = 12),"""")"),"")</f>
        <v/>
      </c>
      <c r="U34" t="str">
        <f>IFERROR(__xludf.DUMMYFUNCTION("IFERROR(FILTER('Fund Data'!$D:$D, 'Fund Data'!$C:$C = $A34, 'Fund Data'!$A:$A = U$1, 'Fund Data'!$B:$B = 12),"""")"),"")</f>
        <v/>
      </c>
      <c r="V34" t="str">
        <f>IFERROR(__xludf.DUMMYFUNCTION("IFERROR(FILTER('Fund Data'!$D:$D, 'Fund Data'!$C:$C = $A34, 'Fund Data'!$A:$A = V$1, 'Fund Data'!$B:$B = 12),"""")"),"")</f>
        <v/>
      </c>
      <c r="W34" t="str">
        <f>IFERROR(__xludf.DUMMYFUNCTION("IFERROR(FILTER('Fund Data'!$D:$D, 'Fund Data'!$C:$C = $A34, 'Fund Data'!$A:$A = W$1, 'Fund Data'!$B:$B = 12),"""")"),"")</f>
        <v/>
      </c>
      <c r="X34" t="str">
        <f>IFERROR(__xludf.DUMMYFUNCTION("IFERROR(FILTER('Fund Data'!$D:$D, 'Fund Data'!$C:$C = $A34, 'Fund Data'!$A:$A = X$1, 'Fund Data'!$B:$B = 12),"""")"),"")</f>
        <v/>
      </c>
      <c r="Y34" t="str">
        <f>IFERROR(__xludf.DUMMYFUNCTION("IFERROR(FILTER('Fund Data'!$D:$D, 'Fund Data'!$C:$C = $A34, 'Fund Data'!$A:$A = Y$1, 'Fund Data'!$B:$B = 12),"""")"),"")</f>
        <v/>
      </c>
      <c r="Z34">
        <f>IFERROR(__xludf.DUMMYFUNCTION("IFERROR(FILTER('Fund Data'!$D:$D, 'Fund Data'!$C:$C = $A34, 'Fund Data'!$A:$A = Z$1, 'Fund Data'!$B:$B = 12),"""")"),1000000.0)</f>
        <v>1000000</v>
      </c>
      <c r="AA34" t="str">
        <f>IFERROR(__xludf.DUMMYFUNCTION("IFERROR(FILTER('Fund Data'!$D:$D, 'Fund Data'!$C:$C = $A34, 'Fund Data'!$A:$A = AA$1, 'Fund Data'!$B:$B = 12),"""")"),"")</f>
        <v/>
      </c>
      <c r="AB34" t="str">
        <f>IFERROR(__xludf.DUMMYFUNCTION("IFERROR(FILTER('Fund Data'!$D:$D, 'Fund Data'!$C:$C = $A34, 'Fund Data'!$A:$A = AB$1, 'Fund Data'!$B:$B = 12),"""")"),"")</f>
        <v/>
      </c>
      <c r="AC34" t="str">
        <f>IFERROR(__xludf.DUMMYFUNCTION("IFERROR(FILTER('Fund Data'!$D:$D, 'Fund Data'!$C:$C = $A34, 'Fund Data'!$A:$A = AC$1, 'Fund Data'!$B:$B = 12),"""")"),"")</f>
        <v/>
      </c>
      <c r="AD34" t="str">
        <f>IFERROR(__xludf.DUMMYFUNCTION("IFERROR(FILTER('Fund Data'!$D:$D, 'Fund Data'!$C:$C = $A34, 'Fund Data'!$A:$A = AD$1, 'Fund Data'!$B:$B = 12),"""")"),"")</f>
        <v/>
      </c>
      <c r="AE34" t="str">
        <f>IFERROR(__xludf.DUMMYFUNCTION("IFERROR(FILTER('Fund Data'!$D:$D, 'Fund Data'!$C:$C = $A34, 'Fund Data'!$A:$A = AE$1, 'Fund Data'!$B:$B = 12),"""")"),"")</f>
        <v/>
      </c>
    </row>
    <row r="35">
      <c r="A35" s="153" t="str">
        <f>'Endowed Funds'!B:B</f>
        <v>William D. Lipe Advances in Research</v>
      </c>
      <c r="B35" t="str">
        <f>IFERROR(__xludf.DUMMYFUNCTION("IFERROR(FILTER('Fund Data'!$D:$D, 'Fund Data'!$C:$C = $A35, 'Fund Data'!$A:$A = B$1, 'Fund Data'!$B:$B = 12),"""")"),"")</f>
        <v/>
      </c>
      <c r="C35" t="str">
        <f>IFERROR(__xludf.DUMMYFUNCTION("IFERROR(FILTER('Fund Data'!$D:$D, 'Fund Data'!$C:$C = $A35, 'Fund Data'!$A:$A = C$1, 'Fund Data'!$B:$B = 12),"""")"),"")</f>
        <v/>
      </c>
      <c r="D35" t="str">
        <f>IFERROR(__xludf.DUMMYFUNCTION("IFERROR(FILTER('Fund Data'!$D:$D, 'Fund Data'!$C:$C = $A35, 'Fund Data'!$A:$A = D$1, 'Fund Data'!$B:$B = 12),"""")"),"")</f>
        <v/>
      </c>
      <c r="E35" t="str">
        <f>IFERROR(__xludf.DUMMYFUNCTION("IFERROR(FILTER('Fund Data'!$D:$D, 'Fund Data'!$C:$C = $A35, 'Fund Data'!$A:$A = E$1, 'Fund Data'!$B:$B = 12),"""")"),"")</f>
        <v/>
      </c>
      <c r="F35" t="str">
        <f>IFERROR(__xludf.DUMMYFUNCTION("IFERROR(FILTER('Fund Data'!$D:$D, 'Fund Data'!$C:$C = $A35, 'Fund Data'!$A:$A = F$1, 'Fund Data'!$B:$B = 12),"""")"),"")</f>
        <v/>
      </c>
      <c r="G35" t="str">
        <f>IFERROR(__xludf.DUMMYFUNCTION("IFERROR(FILTER('Fund Data'!$D:$D, 'Fund Data'!$C:$C = $A35, 'Fund Data'!$A:$A = G$1, 'Fund Data'!$B:$B = 12),"""")"),"")</f>
        <v/>
      </c>
      <c r="H35" t="str">
        <f>IFERROR(__xludf.DUMMYFUNCTION("IFERROR(FILTER('Fund Data'!$D:$D, 'Fund Data'!$C:$C = $A35, 'Fund Data'!$A:$A = H$1, 'Fund Data'!$B:$B = 12),"""")"),"")</f>
        <v/>
      </c>
      <c r="I35" t="str">
        <f>IFERROR(__xludf.DUMMYFUNCTION("IFERROR(FILTER('Fund Data'!$D:$D, 'Fund Data'!$C:$C = $A35, 'Fund Data'!$A:$A = I$1, 'Fund Data'!$B:$B = 12),"""")"),"")</f>
        <v/>
      </c>
      <c r="J35" t="str">
        <f>IFERROR(__xludf.DUMMYFUNCTION("IFERROR(FILTER('Fund Data'!$D:$D, 'Fund Data'!$C:$C = $A35, 'Fund Data'!$A:$A = J$1, 'Fund Data'!$B:$B = 12),"""")"),"")</f>
        <v/>
      </c>
      <c r="K35" t="str">
        <f>IFERROR(__xludf.DUMMYFUNCTION("IFERROR(FILTER('Fund Data'!$D:$D, 'Fund Data'!$C:$C = $A35, 'Fund Data'!$A:$A = K$1, 'Fund Data'!$B:$B = 12),"""")"),"")</f>
        <v/>
      </c>
      <c r="L35" t="str">
        <f>IFERROR(__xludf.DUMMYFUNCTION("IFERROR(FILTER('Fund Data'!$D:$D, 'Fund Data'!$C:$C = $A35, 'Fund Data'!$A:$A = L$1, 'Fund Data'!$B:$B = 12),"""")"),"")</f>
        <v/>
      </c>
      <c r="M35" t="str">
        <f>IFERROR(__xludf.DUMMYFUNCTION("IFERROR(FILTER('Fund Data'!$D:$D, 'Fund Data'!$C:$C = $A35, 'Fund Data'!$A:$A = M$1, 'Fund Data'!$B:$B = 12),"""")"),"")</f>
        <v/>
      </c>
      <c r="N35" t="str">
        <f>IFERROR(__xludf.DUMMYFUNCTION("IFERROR(FILTER('Fund Data'!$D:$D, 'Fund Data'!$C:$C = $A35, 'Fund Data'!$A:$A = N$1, 'Fund Data'!$B:$B = 12),"""")"),"")</f>
        <v/>
      </c>
      <c r="O35" t="str">
        <f>IFERROR(__xludf.DUMMYFUNCTION("IFERROR(FILTER('Fund Data'!$D:$D, 'Fund Data'!$C:$C = $A35, 'Fund Data'!$A:$A = O$1, 'Fund Data'!$B:$B = 12),"""")"),"")</f>
        <v/>
      </c>
      <c r="P35" t="str">
        <f>IFERROR(__xludf.DUMMYFUNCTION("IFERROR(FILTER('Fund Data'!$D:$D, 'Fund Data'!$C:$C = $A35, 'Fund Data'!$A:$A = P$1, 'Fund Data'!$B:$B = 12),"""")"),"")</f>
        <v/>
      </c>
      <c r="Q35" t="str">
        <f>IFERROR(__xludf.DUMMYFUNCTION("IFERROR(FILTER('Fund Data'!$D:$D, 'Fund Data'!$C:$C = $A35, 'Fund Data'!$A:$A = Q$1, 'Fund Data'!$B:$B = 12),"""")"),"")</f>
        <v/>
      </c>
      <c r="R35" t="str">
        <f>IFERROR(__xludf.DUMMYFUNCTION("IFERROR(FILTER('Fund Data'!$D:$D, 'Fund Data'!$C:$C = $A35, 'Fund Data'!$A:$A = R$1, 'Fund Data'!$B:$B = 12),"""")"),"")</f>
        <v/>
      </c>
      <c r="S35" t="str">
        <f>IFERROR(__xludf.DUMMYFUNCTION("IFERROR(FILTER('Fund Data'!$D:$D, 'Fund Data'!$C:$C = $A35, 'Fund Data'!$A:$A = S$1, 'Fund Data'!$B:$B = 12),"""")"),"")</f>
        <v/>
      </c>
      <c r="T35" t="str">
        <f>IFERROR(__xludf.DUMMYFUNCTION("IFERROR(FILTER('Fund Data'!$D:$D, 'Fund Data'!$C:$C = $A35, 'Fund Data'!$A:$A = T$1, 'Fund Data'!$B:$B = 12),"""")"),"")</f>
        <v/>
      </c>
      <c r="U35" t="str">
        <f>IFERROR(__xludf.DUMMYFUNCTION("IFERROR(FILTER('Fund Data'!$D:$D, 'Fund Data'!$C:$C = $A35, 'Fund Data'!$A:$A = U$1, 'Fund Data'!$B:$B = 12),"""")"),"")</f>
        <v/>
      </c>
      <c r="V35" t="str">
        <f>IFERROR(__xludf.DUMMYFUNCTION("IFERROR(FILTER('Fund Data'!$D:$D, 'Fund Data'!$C:$C = $A35, 'Fund Data'!$A:$A = V$1, 'Fund Data'!$B:$B = 12),"""")"),"")</f>
        <v/>
      </c>
      <c r="W35" t="str">
        <f>IFERROR(__xludf.DUMMYFUNCTION("IFERROR(FILTER('Fund Data'!$D:$D, 'Fund Data'!$C:$C = $A35, 'Fund Data'!$A:$A = W$1, 'Fund Data'!$B:$B = 12),"""")"),"")</f>
        <v/>
      </c>
      <c r="X35" t="str">
        <f>IFERROR(__xludf.DUMMYFUNCTION("IFERROR(FILTER('Fund Data'!$D:$D, 'Fund Data'!$C:$C = $A35, 'Fund Data'!$A:$A = X$1, 'Fund Data'!$B:$B = 12),"""")"),"")</f>
        <v/>
      </c>
      <c r="Y35" t="str">
        <f>IFERROR(__xludf.DUMMYFUNCTION("IFERROR(FILTER('Fund Data'!$D:$D, 'Fund Data'!$C:$C = $A35, 'Fund Data'!$A:$A = Y$1, 'Fund Data'!$B:$B = 12),"""")"),"")</f>
        <v/>
      </c>
      <c r="Z35" t="str">
        <f>IFERROR(__xludf.DUMMYFUNCTION("IFERROR(FILTER('Fund Data'!$D:$D, 'Fund Data'!$C:$C = $A35, 'Fund Data'!$A:$A = Z$1, 'Fund Data'!$B:$B = 12),"""")"),"")</f>
        <v/>
      </c>
      <c r="AA35" t="str">
        <f>IFERROR(__xludf.DUMMYFUNCTION("IFERROR(FILTER('Fund Data'!$D:$D, 'Fund Data'!$C:$C = $A35, 'Fund Data'!$A:$A = AA$1, 'Fund Data'!$B:$B = 12),"""")"),"")</f>
        <v/>
      </c>
      <c r="AB35" t="str">
        <f>IFERROR(__xludf.DUMMYFUNCTION("IFERROR(FILTER('Fund Data'!$D:$D, 'Fund Data'!$C:$C = $A35, 'Fund Data'!$A:$A = AB$1, 'Fund Data'!$B:$B = 12),"""")"),"")</f>
        <v/>
      </c>
      <c r="AC35">
        <f>IFERROR(__xludf.DUMMYFUNCTION("IFERROR(FILTER('Fund Data'!$D:$D, 'Fund Data'!$C:$C = $A35, 'Fund Data'!$A:$A = AC$1, 'Fund Data'!$B:$B = 12),"""")"),2000000.0)</f>
        <v>2000000</v>
      </c>
      <c r="AD35" t="str">
        <f>IFERROR(__xludf.DUMMYFUNCTION("IFERROR(FILTER('Fund Data'!$D:$D, 'Fund Data'!$C:$C = $A35, 'Fund Data'!$A:$A = AD$1, 'Fund Data'!$B:$B = 12),"""")"),"")</f>
        <v/>
      </c>
      <c r="AE35" t="str">
        <f>IFERROR(__xludf.DUMMYFUNCTION("IFERROR(FILTER('Fund Data'!$D:$D, 'Fund Data'!$C:$C = $A35, 'Fund Data'!$A:$A = AE$1, 'Fund Data'!$B:$B = 12),"""")"),"")</f>
        <v/>
      </c>
    </row>
    <row r="36">
      <c r="A36" s="153" t="str">
        <f>'Endowed Funds'!B:B</f>
        <v>William D. Lipe Chair in Research</v>
      </c>
      <c r="B36" t="str">
        <f>IFERROR(__xludf.DUMMYFUNCTION("IFERROR(FILTER('Fund Data'!$D:$D, 'Fund Data'!$C:$C = $A36, 'Fund Data'!$A:$A = B$1, 'Fund Data'!$B:$B = 12),"""")"),"")</f>
        <v/>
      </c>
      <c r="C36" t="str">
        <f>IFERROR(__xludf.DUMMYFUNCTION("IFERROR(FILTER('Fund Data'!$D:$D, 'Fund Data'!$C:$C = $A36, 'Fund Data'!$A:$A = C$1, 'Fund Data'!$B:$B = 12),"""")"),"")</f>
        <v/>
      </c>
      <c r="D36" t="str">
        <f>IFERROR(__xludf.DUMMYFUNCTION("IFERROR(FILTER('Fund Data'!$D:$D, 'Fund Data'!$C:$C = $A36, 'Fund Data'!$A:$A = D$1, 'Fund Data'!$B:$B = 12),"""")"),"")</f>
        <v/>
      </c>
      <c r="E36" t="str">
        <f>IFERROR(__xludf.DUMMYFUNCTION("IFERROR(FILTER('Fund Data'!$D:$D, 'Fund Data'!$C:$C = $A36, 'Fund Data'!$A:$A = E$1, 'Fund Data'!$B:$B = 12),"""")"),"")</f>
        <v/>
      </c>
      <c r="F36" t="str">
        <f>IFERROR(__xludf.DUMMYFUNCTION("IFERROR(FILTER('Fund Data'!$D:$D, 'Fund Data'!$C:$C = $A36, 'Fund Data'!$A:$A = F$1, 'Fund Data'!$B:$B = 12),"""")"),"")</f>
        <v/>
      </c>
      <c r="G36" t="str">
        <f>IFERROR(__xludf.DUMMYFUNCTION("IFERROR(FILTER('Fund Data'!$D:$D, 'Fund Data'!$C:$C = $A36, 'Fund Data'!$A:$A = G$1, 'Fund Data'!$B:$B = 12),"""")"),"")</f>
        <v/>
      </c>
      <c r="H36" t="str">
        <f>IFERROR(__xludf.DUMMYFUNCTION("IFERROR(FILTER('Fund Data'!$D:$D, 'Fund Data'!$C:$C = $A36, 'Fund Data'!$A:$A = H$1, 'Fund Data'!$B:$B = 12),"""")"),"")</f>
        <v/>
      </c>
      <c r="I36" t="str">
        <f>IFERROR(__xludf.DUMMYFUNCTION("IFERROR(FILTER('Fund Data'!$D:$D, 'Fund Data'!$C:$C = $A36, 'Fund Data'!$A:$A = I$1, 'Fund Data'!$B:$B = 12),"""")"),"")</f>
        <v/>
      </c>
      <c r="J36" t="str">
        <f>IFERROR(__xludf.DUMMYFUNCTION("IFERROR(FILTER('Fund Data'!$D:$D, 'Fund Data'!$C:$C = $A36, 'Fund Data'!$A:$A = J$1, 'Fund Data'!$B:$B = 12),"""")"),"")</f>
        <v/>
      </c>
      <c r="K36" t="str">
        <f>IFERROR(__xludf.DUMMYFUNCTION("IFERROR(FILTER('Fund Data'!$D:$D, 'Fund Data'!$C:$C = $A36, 'Fund Data'!$A:$A = K$1, 'Fund Data'!$B:$B = 12),"""")"),"")</f>
        <v/>
      </c>
      <c r="L36" t="str">
        <f>IFERROR(__xludf.DUMMYFUNCTION("IFERROR(FILTER('Fund Data'!$D:$D, 'Fund Data'!$C:$C = $A36, 'Fund Data'!$A:$A = L$1, 'Fund Data'!$B:$B = 12),"""")"),"")</f>
        <v/>
      </c>
      <c r="M36" t="str">
        <f>IFERROR(__xludf.DUMMYFUNCTION("IFERROR(FILTER('Fund Data'!$D:$D, 'Fund Data'!$C:$C = $A36, 'Fund Data'!$A:$A = M$1, 'Fund Data'!$B:$B = 12),"""")"),"")</f>
        <v/>
      </c>
      <c r="N36" t="str">
        <f>IFERROR(__xludf.DUMMYFUNCTION("IFERROR(FILTER('Fund Data'!$D:$D, 'Fund Data'!$C:$C = $A36, 'Fund Data'!$A:$A = N$1, 'Fund Data'!$B:$B = 12),"""")"),"")</f>
        <v/>
      </c>
      <c r="O36" t="str">
        <f>IFERROR(__xludf.DUMMYFUNCTION("IFERROR(FILTER('Fund Data'!$D:$D, 'Fund Data'!$C:$C = $A36, 'Fund Data'!$A:$A = O$1, 'Fund Data'!$B:$B = 12),"""")"),"")</f>
        <v/>
      </c>
      <c r="P36" t="str">
        <f>IFERROR(__xludf.DUMMYFUNCTION("IFERROR(FILTER('Fund Data'!$D:$D, 'Fund Data'!$C:$C = $A36, 'Fund Data'!$A:$A = P$1, 'Fund Data'!$B:$B = 12),"""")"),"")</f>
        <v/>
      </c>
      <c r="Q36" t="str">
        <f>IFERROR(__xludf.DUMMYFUNCTION("IFERROR(FILTER('Fund Data'!$D:$D, 'Fund Data'!$C:$C = $A36, 'Fund Data'!$A:$A = Q$1, 'Fund Data'!$B:$B = 12),"""")"),"")</f>
        <v/>
      </c>
      <c r="R36" t="str">
        <f>IFERROR(__xludf.DUMMYFUNCTION("IFERROR(FILTER('Fund Data'!$D:$D, 'Fund Data'!$C:$C = $A36, 'Fund Data'!$A:$A = R$1, 'Fund Data'!$B:$B = 12),"""")"),"")</f>
        <v/>
      </c>
      <c r="S36" t="str">
        <f>IFERROR(__xludf.DUMMYFUNCTION("IFERROR(FILTER('Fund Data'!$D:$D, 'Fund Data'!$C:$C = $A36, 'Fund Data'!$A:$A = S$1, 'Fund Data'!$B:$B = 12),"""")"),"")</f>
        <v/>
      </c>
      <c r="T36" t="str">
        <f>IFERROR(__xludf.DUMMYFUNCTION("IFERROR(FILTER('Fund Data'!$D:$D, 'Fund Data'!$C:$C = $A36, 'Fund Data'!$A:$A = T$1, 'Fund Data'!$B:$B = 12),"""")"),"")</f>
        <v/>
      </c>
      <c r="U36" t="str">
        <f>IFERROR(__xludf.DUMMYFUNCTION("IFERROR(FILTER('Fund Data'!$D:$D, 'Fund Data'!$C:$C = $A36, 'Fund Data'!$A:$A = U$1, 'Fund Data'!$B:$B = 12),"""")"),"")</f>
        <v/>
      </c>
      <c r="V36" t="str">
        <f>IFERROR(__xludf.DUMMYFUNCTION("IFERROR(FILTER('Fund Data'!$D:$D, 'Fund Data'!$C:$C = $A36, 'Fund Data'!$A:$A = V$1, 'Fund Data'!$B:$B = 12),"""")"),"")</f>
        <v/>
      </c>
      <c r="W36" t="str">
        <f>IFERROR(__xludf.DUMMYFUNCTION("IFERROR(FILTER('Fund Data'!$D:$D, 'Fund Data'!$C:$C = $A36, 'Fund Data'!$A:$A = W$1, 'Fund Data'!$B:$B = 12),"""")"),"")</f>
        <v/>
      </c>
      <c r="X36" t="str">
        <f>IFERROR(__xludf.DUMMYFUNCTION("IFERROR(FILTER('Fund Data'!$D:$D, 'Fund Data'!$C:$C = $A36, 'Fund Data'!$A:$A = X$1, 'Fund Data'!$B:$B = 12),"""")"),"")</f>
        <v/>
      </c>
      <c r="Y36" t="str">
        <f>IFERROR(__xludf.DUMMYFUNCTION("IFERROR(FILTER('Fund Data'!$D:$D, 'Fund Data'!$C:$C = $A36, 'Fund Data'!$A:$A = Y$1, 'Fund Data'!$B:$B = 12),"""")"),"")</f>
        <v/>
      </c>
      <c r="Z36" t="str">
        <f>IFERROR(__xludf.DUMMYFUNCTION("IFERROR(FILTER('Fund Data'!$D:$D, 'Fund Data'!$C:$C = $A36, 'Fund Data'!$A:$A = Z$1, 'Fund Data'!$B:$B = 12),"""")"),"")</f>
        <v/>
      </c>
      <c r="AA36" t="str">
        <f>IFERROR(__xludf.DUMMYFUNCTION("IFERROR(FILTER('Fund Data'!$D:$D, 'Fund Data'!$C:$C = $A36, 'Fund Data'!$A:$A = AA$1, 'Fund Data'!$B:$B = 12),"""")"),"")</f>
        <v/>
      </c>
      <c r="AB36" t="str">
        <f>IFERROR(__xludf.DUMMYFUNCTION("IFERROR(FILTER('Fund Data'!$D:$D, 'Fund Data'!$C:$C = $A36, 'Fund Data'!$A:$A = AB$1, 'Fund Data'!$B:$B = 12),"""")"),"")</f>
        <v/>
      </c>
      <c r="AC36">
        <f>IFERROR(__xludf.DUMMYFUNCTION("IFERROR(FILTER('Fund Data'!$D:$D, 'Fund Data'!$C:$C = $A36, 'Fund Data'!$A:$A = AC$1, 'Fund Data'!$B:$B = 12),"""")"),2000000.0)</f>
        <v>2000000</v>
      </c>
      <c r="AD36" t="str">
        <f>IFERROR(__xludf.DUMMYFUNCTION("IFERROR(FILTER('Fund Data'!$D:$D, 'Fund Data'!$C:$C = $A36, 'Fund Data'!$A:$A = AD$1, 'Fund Data'!$B:$B = 12),"""")"),"")</f>
        <v/>
      </c>
      <c r="AE36" t="str">
        <f>IFERROR(__xludf.DUMMYFUNCTION("IFERROR(FILTER('Fund Data'!$D:$D, 'Fund Data'!$C:$C = $A36, 'Fund Data'!$A:$A = AE$1, 'Fund Data'!$B:$B = 12),"""")"),"")</f>
        <v/>
      </c>
    </row>
    <row r="37">
      <c r="A37" s="145" t="str">
        <f>'Endowed Funds'!B:B</f>
        <v/>
      </c>
      <c r="B37" t="str">
        <f>IFERROR(__xludf.DUMMYFUNCTION("IFERROR(FILTER('Fund Data'!$D:$D, 'Fund Data'!$C:$C = $A37, 'Fund Data'!$A:$A = B$1, 'Fund Data'!$B:$B = 12),"""")"),"")</f>
        <v/>
      </c>
      <c r="C37" t="str">
        <f>IFERROR(__xludf.DUMMYFUNCTION("IFERROR(FILTER('Fund Data'!$D:$D, 'Fund Data'!$C:$C = $A37, 'Fund Data'!$A:$A = C$1, 'Fund Data'!$B:$B = 12),"""")"),"")</f>
        <v/>
      </c>
      <c r="D37" t="str">
        <f>IFERROR(__xludf.DUMMYFUNCTION("IFERROR(FILTER('Fund Data'!$D:$D, 'Fund Data'!$C:$C = $A37, 'Fund Data'!$A:$A = D$1, 'Fund Data'!$B:$B = 12),"""")"),"")</f>
        <v/>
      </c>
      <c r="E37" t="str">
        <f>IFERROR(__xludf.DUMMYFUNCTION("IFERROR(FILTER('Fund Data'!$D:$D, 'Fund Data'!$C:$C = $A37, 'Fund Data'!$A:$A = E$1, 'Fund Data'!$B:$B = 12),"""")"),"")</f>
        <v/>
      </c>
      <c r="F37" t="str">
        <f>IFERROR(__xludf.DUMMYFUNCTION("IFERROR(FILTER('Fund Data'!$D:$D, 'Fund Data'!$C:$C = $A37, 'Fund Data'!$A:$A = F$1, 'Fund Data'!$B:$B = 12),"""")"),"")</f>
        <v/>
      </c>
      <c r="G37" t="str">
        <f>IFERROR(__xludf.DUMMYFUNCTION("IFERROR(FILTER('Fund Data'!$D:$D, 'Fund Data'!$C:$C = $A37, 'Fund Data'!$A:$A = G$1, 'Fund Data'!$B:$B = 12),"""")"),"")</f>
        <v/>
      </c>
      <c r="H37" t="str">
        <f>IFERROR(__xludf.DUMMYFUNCTION("IFERROR(FILTER('Fund Data'!$D:$D, 'Fund Data'!$C:$C = $A37, 'Fund Data'!$A:$A = H$1, 'Fund Data'!$B:$B = 12),"""")"),"")</f>
        <v/>
      </c>
      <c r="I37" t="str">
        <f>IFERROR(__xludf.DUMMYFUNCTION("IFERROR(FILTER('Fund Data'!$D:$D, 'Fund Data'!$C:$C = $A37, 'Fund Data'!$A:$A = I$1, 'Fund Data'!$B:$B = 12),"""")"),"")</f>
        <v/>
      </c>
      <c r="J37" t="str">
        <f>IFERROR(__xludf.DUMMYFUNCTION("IFERROR(FILTER('Fund Data'!$D:$D, 'Fund Data'!$C:$C = $A37, 'Fund Data'!$A:$A = J$1, 'Fund Data'!$B:$B = 12),"""")"),"")</f>
        <v/>
      </c>
      <c r="K37" t="str">
        <f>IFERROR(__xludf.DUMMYFUNCTION("IFERROR(FILTER('Fund Data'!$D:$D, 'Fund Data'!$C:$C = $A37, 'Fund Data'!$A:$A = K$1, 'Fund Data'!$B:$B = 12),"""")"),"")</f>
        <v/>
      </c>
      <c r="L37" t="str">
        <f>IFERROR(__xludf.DUMMYFUNCTION("IFERROR(FILTER('Fund Data'!$D:$D, 'Fund Data'!$C:$C = $A37, 'Fund Data'!$A:$A = L$1, 'Fund Data'!$B:$B = 12),"""")"),"")</f>
        <v/>
      </c>
      <c r="M37" t="str">
        <f>IFERROR(__xludf.DUMMYFUNCTION("IFERROR(FILTER('Fund Data'!$D:$D, 'Fund Data'!$C:$C = $A37, 'Fund Data'!$A:$A = M$1, 'Fund Data'!$B:$B = 12),"""")"),"")</f>
        <v/>
      </c>
      <c r="N37" t="str">
        <f>IFERROR(__xludf.DUMMYFUNCTION("IFERROR(FILTER('Fund Data'!$D:$D, 'Fund Data'!$C:$C = $A37, 'Fund Data'!$A:$A = N$1, 'Fund Data'!$B:$B = 12),"""")"),"")</f>
        <v/>
      </c>
      <c r="O37" t="str">
        <f>IFERROR(__xludf.DUMMYFUNCTION("IFERROR(FILTER('Fund Data'!$D:$D, 'Fund Data'!$C:$C = $A37, 'Fund Data'!$A:$A = O$1, 'Fund Data'!$B:$B = 12),"""")"),"")</f>
        <v/>
      </c>
      <c r="P37" t="str">
        <f>IFERROR(__xludf.DUMMYFUNCTION("IFERROR(FILTER('Fund Data'!$D:$D, 'Fund Data'!$C:$C = $A37, 'Fund Data'!$A:$A = P$1, 'Fund Data'!$B:$B = 12),"""")"),"")</f>
        <v/>
      </c>
      <c r="Q37" t="str">
        <f>IFERROR(__xludf.DUMMYFUNCTION("IFERROR(FILTER('Fund Data'!$D:$D, 'Fund Data'!$C:$C = $A37, 'Fund Data'!$A:$A = Q$1, 'Fund Data'!$B:$B = 12),"""")"),"")</f>
        <v/>
      </c>
      <c r="R37" t="str">
        <f>IFERROR(__xludf.DUMMYFUNCTION("IFERROR(FILTER('Fund Data'!$D:$D, 'Fund Data'!$C:$C = $A37, 'Fund Data'!$A:$A = R$1, 'Fund Data'!$B:$B = 12),"""")"),"")</f>
        <v/>
      </c>
      <c r="S37" t="str">
        <f>IFERROR(__xludf.DUMMYFUNCTION("IFERROR(FILTER('Fund Data'!$D:$D, 'Fund Data'!$C:$C = $A37, 'Fund Data'!$A:$A = S$1, 'Fund Data'!$B:$B = 12),"""")"),"")</f>
        <v/>
      </c>
      <c r="T37" t="str">
        <f>IFERROR(__xludf.DUMMYFUNCTION("IFERROR(FILTER('Fund Data'!$D:$D, 'Fund Data'!$C:$C = $A37, 'Fund Data'!$A:$A = T$1, 'Fund Data'!$B:$B = 12),"""")"),"")</f>
        <v/>
      </c>
      <c r="U37" t="str">
        <f>IFERROR(__xludf.DUMMYFUNCTION("IFERROR(FILTER('Fund Data'!$D:$D, 'Fund Data'!$C:$C = $A37, 'Fund Data'!$A:$A = U$1, 'Fund Data'!$B:$B = 12),"""")"),"")</f>
        <v/>
      </c>
      <c r="V37" t="str">
        <f>IFERROR(__xludf.DUMMYFUNCTION("IFERROR(FILTER('Fund Data'!$D:$D, 'Fund Data'!$C:$C = $A37, 'Fund Data'!$A:$A = V$1, 'Fund Data'!$B:$B = 12),"""")"),"")</f>
        <v/>
      </c>
      <c r="W37" t="str">
        <f>IFERROR(__xludf.DUMMYFUNCTION("IFERROR(FILTER('Fund Data'!$D:$D, 'Fund Data'!$C:$C = $A37, 'Fund Data'!$A:$A = W$1, 'Fund Data'!$B:$B = 12),"""")"),"")</f>
        <v/>
      </c>
      <c r="X37" t="str">
        <f>IFERROR(__xludf.DUMMYFUNCTION("IFERROR(FILTER('Fund Data'!$D:$D, 'Fund Data'!$C:$C = $A37, 'Fund Data'!$A:$A = X$1, 'Fund Data'!$B:$B = 12),"""")"),"")</f>
        <v/>
      </c>
      <c r="Y37" t="str">
        <f>IFERROR(__xludf.DUMMYFUNCTION("IFERROR(FILTER('Fund Data'!$D:$D, 'Fund Data'!$C:$C = $A37, 'Fund Data'!$A:$A = Y$1, 'Fund Data'!$B:$B = 12),"""")"),"")</f>
        <v/>
      </c>
      <c r="Z37" t="str">
        <f>IFERROR(__xludf.DUMMYFUNCTION("IFERROR(FILTER('Fund Data'!$D:$D, 'Fund Data'!$C:$C = $A37, 'Fund Data'!$A:$A = Z$1, 'Fund Data'!$B:$B = 12),"""")"),"")</f>
        <v/>
      </c>
      <c r="AA37" t="str">
        <f>IFERROR(__xludf.DUMMYFUNCTION("IFERROR(FILTER('Fund Data'!$D:$D, 'Fund Data'!$C:$C = $A37, 'Fund Data'!$A:$A = AA$1, 'Fund Data'!$B:$B = 12),"""")"),"")</f>
        <v/>
      </c>
      <c r="AB37" t="str">
        <f>IFERROR(__xludf.DUMMYFUNCTION("IFERROR(FILTER('Fund Data'!$D:$D, 'Fund Data'!$C:$C = $A37, 'Fund Data'!$A:$A = AB$1, 'Fund Data'!$B:$B = 12),"""")"),"")</f>
        <v/>
      </c>
      <c r="AC37" t="str">
        <f>IFERROR(__xludf.DUMMYFUNCTION("IFERROR(FILTER('Fund Data'!$D:$D, 'Fund Data'!$C:$C = $A37, 'Fund Data'!$A:$A = AC$1, 'Fund Data'!$B:$B = 12),"""")"),"")</f>
        <v/>
      </c>
      <c r="AD37" t="str">
        <f>IFERROR(__xludf.DUMMYFUNCTION("IFERROR(FILTER('Fund Data'!$D:$D, 'Fund Data'!$C:$C = $A37, 'Fund Data'!$A:$A = AD$1, 'Fund Data'!$B:$B = 12),"""")"),"")</f>
        <v/>
      </c>
      <c r="AE37" t="str">
        <f>IFERROR(__xludf.DUMMYFUNCTION("IFERROR(FILTER('Fund Data'!$D:$D, 'Fund Data'!$C:$C = $A37, 'Fund Data'!$A:$A = AE$1, 'Fund Data'!$B:$B = 12),"""")"),"")</f>
        <v/>
      </c>
    </row>
    <row r="38">
      <c r="A38" s="145" t="str">
        <f>'Endowed Funds'!B:B</f>
        <v/>
      </c>
      <c r="B38" t="str">
        <f>IFERROR(__xludf.DUMMYFUNCTION("IFERROR(FILTER('Fund Data'!$D:$D, 'Fund Data'!$C:$C = $A38, 'Fund Data'!$A:$A = B$1, 'Fund Data'!$B:$B = 12),"""")"),"")</f>
        <v/>
      </c>
      <c r="C38" t="str">
        <f>IFERROR(__xludf.DUMMYFUNCTION("IFERROR(FILTER('Fund Data'!$D:$D, 'Fund Data'!$C:$C = $A38, 'Fund Data'!$A:$A = C$1, 'Fund Data'!$B:$B = 12),"""")"),"")</f>
        <v/>
      </c>
      <c r="D38" t="str">
        <f>IFERROR(__xludf.DUMMYFUNCTION("IFERROR(FILTER('Fund Data'!$D:$D, 'Fund Data'!$C:$C = $A38, 'Fund Data'!$A:$A = D$1, 'Fund Data'!$B:$B = 12),"""")"),"")</f>
        <v/>
      </c>
      <c r="E38" t="str">
        <f>IFERROR(__xludf.DUMMYFUNCTION("IFERROR(FILTER('Fund Data'!$D:$D, 'Fund Data'!$C:$C = $A38, 'Fund Data'!$A:$A = E$1, 'Fund Data'!$B:$B = 12),"""")"),"")</f>
        <v/>
      </c>
      <c r="F38" t="str">
        <f>IFERROR(__xludf.DUMMYFUNCTION("IFERROR(FILTER('Fund Data'!$D:$D, 'Fund Data'!$C:$C = $A38, 'Fund Data'!$A:$A = F$1, 'Fund Data'!$B:$B = 12),"""")"),"")</f>
        <v/>
      </c>
      <c r="G38" t="str">
        <f>IFERROR(__xludf.DUMMYFUNCTION("IFERROR(FILTER('Fund Data'!$D:$D, 'Fund Data'!$C:$C = $A38, 'Fund Data'!$A:$A = G$1, 'Fund Data'!$B:$B = 12),"""")"),"")</f>
        <v/>
      </c>
      <c r="H38" t="str">
        <f>IFERROR(__xludf.DUMMYFUNCTION("IFERROR(FILTER('Fund Data'!$D:$D, 'Fund Data'!$C:$C = $A38, 'Fund Data'!$A:$A = H$1, 'Fund Data'!$B:$B = 12),"""")"),"")</f>
        <v/>
      </c>
      <c r="I38" t="str">
        <f>IFERROR(__xludf.DUMMYFUNCTION("IFERROR(FILTER('Fund Data'!$D:$D, 'Fund Data'!$C:$C = $A38, 'Fund Data'!$A:$A = I$1, 'Fund Data'!$B:$B = 12),"""")"),"")</f>
        <v/>
      </c>
      <c r="J38" t="str">
        <f>IFERROR(__xludf.DUMMYFUNCTION("IFERROR(FILTER('Fund Data'!$D:$D, 'Fund Data'!$C:$C = $A38, 'Fund Data'!$A:$A = J$1, 'Fund Data'!$B:$B = 12),"""")"),"")</f>
        <v/>
      </c>
      <c r="K38" t="str">
        <f>IFERROR(__xludf.DUMMYFUNCTION("IFERROR(FILTER('Fund Data'!$D:$D, 'Fund Data'!$C:$C = $A38, 'Fund Data'!$A:$A = K$1, 'Fund Data'!$B:$B = 12),"""")"),"")</f>
        <v/>
      </c>
      <c r="L38" t="str">
        <f>IFERROR(__xludf.DUMMYFUNCTION("IFERROR(FILTER('Fund Data'!$D:$D, 'Fund Data'!$C:$C = $A38, 'Fund Data'!$A:$A = L$1, 'Fund Data'!$B:$B = 12),"""")"),"")</f>
        <v/>
      </c>
      <c r="M38" t="str">
        <f>IFERROR(__xludf.DUMMYFUNCTION("IFERROR(FILTER('Fund Data'!$D:$D, 'Fund Data'!$C:$C = $A38, 'Fund Data'!$A:$A = M$1, 'Fund Data'!$B:$B = 12),"""")"),"")</f>
        <v/>
      </c>
      <c r="N38" t="str">
        <f>IFERROR(__xludf.DUMMYFUNCTION("IFERROR(FILTER('Fund Data'!$D:$D, 'Fund Data'!$C:$C = $A38, 'Fund Data'!$A:$A = N$1, 'Fund Data'!$B:$B = 12),"""")"),"")</f>
        <v/>
      </c>
      <c r="O38" t="str">
        <f>IFERROR(__xludf.DUMMYFUNCTION("IFERROR(FILTER('Fund Data'!$D:$D, 'Fund Data'!$C:$C = $A38, 'Fund Data'!$A:$A = O$1, 'Fund Data'!$B:$B = 12),"""")"),"")</f>
        <v/>
      </c>
      <c r="P38" t="str">
        <f>IFERROR(__xludf.DUMMYFUNCTION("IFERROR(FILTER('Fund Data'!$D:$D, 'Fund Data'!$C:$C = $A38, 'Fund Data'!$A:$A = P$1, 'Fund Data'!$B:$B = 12),"""")"),"")</f>
        <v/>
      </c>
      <c r="Q38" t="str">
        <f>IFERROR(__xludf.DUMMYFUNCTION("IFERROR(FILTER('Fund Data'!$D:$D, 'Fund Data'!$C:$C = $A38, 'Fund Data'!$A:$A = Q$1, 'Fund Data'!$B:$B = 12),"""")"),"")</f>
        <v/>
      </c>
      <c r="R38" t="str">
        <f>IFERROR(__xludf.DUMMYFUNCTION("IFERROR(FILTER('Fund Data'!$D:$D, 'Fund Data'!$C:$C = $A38, 'Fund Data'!$A:$A = R$1, 'Fund Data'!$B:$B = 12),"""")"),"")</f>
        <v/>
      </c>
      <c r="S38" t="str">
        <f>IFERROR(__xludf.DUMMYFUNCTION("IFERROR(FILTER('Fund Data'!$D:$D, 'Fund Data'!$C:$C = $A38, 'Fund Data'!$A:$A = S$1, 'Fund Data'!$B:$B = 12),"""")"),"")</f>
        <v/>
      </c>
      <c r="T38" t="str">
        <f>IFERROR(__xludf.DUMMYFUNCTION("IFERROR(FILTER('Fund Data'!$D:$D, 'Fund Data'!$C:$C = $A38, 'Fund Data'!$A:$A = T$1, 'Fund Data'!$B:$B = 12),"""")"),"")</f>
        <v/>
      </c>
      <c r="U38" t="str">
        <f>IFERROR(__xludf.DUMMYFUNCTION("IFERROR(FILTER('Fund Data'!$D:$D, 'Fund Data'!$C:$C = $A38, 'Fund Data'!$A:$A = U$1, 'Fund Data'!$B:$B = 12),"""")"),"")</f>
        <v/>
      </c>
      <c r="V38" t="str">
        <f>IFERROR(__xludf.DUMMYFUNCTION("IFERROR(FILTER('Fund Data'!$D:$D, 'Fund Data'!$C:$C = $A38, 'Fund Data'!$A:$A = V$1, 'Fund Data'!$B:$B = 12),"""")"),"")</f>
        <v/>
      </c>
      <c r="W38" t="str">
        <f>IFERROR(__xludf.DUMMYFUNCTION("IFERROR(FILTER('Fund Data'!$D:$D, 'Fund Data'!$C:$C = $A38, 'Fund Data'!$A:$A = W$1, 'Fund Data'!$B:$B = 12),"""")"),"")</f>
        <v/>
      </c>
      <c r="X38" t="str">
        <f>IFERROR(__xludf.DUMMYFUNCTION("IFERROR(FILTER('Fund Data'!$D:$D, 'Fund Data'!$C:$C = $A38, 'Fund Data'!$A:$A = X$1, 'Fund Data'!$B:$B = 12),"""")"),"")</f>
        <v/>
      </c>
      <c r="Y38" t="str">
        <f>IFERROR(__xludf.DUMMYFUNCTION("IFERROR(FILTER('Fund Data'!$D:$D, 'Fund Data'!$C:$C = $A38, 'Fund Data'!$A:$A = Y$1, 'Fund Data'!$B:$B = 12),"""")"),"")</f>
        <v/>
      </c>
      <c r="Z38" t="str">
        <f>IFERROR(__xludf.DUMMYFUNCTION("IFERROR(FILTER('Fund Data'!$D:$D, 'Fund Data'!$C:$C = $A38, 'Fund Data'!$A:$A = Z$1, 'Fund Data'!$B:$B = 12),"""")"),"")</f>
        <v/>
      </c>
      <c r="AA38" t="str">
        <f>IFERROR(__xludf.DUMMYFUNCTION("IFERROR(FILTER('Fund Data'!$D:$D, 'Fund Data'!$C:$C = $A38, 'Fund Data'!$A:$A = AA$1, 'Fund Data'!$B:$B = 12),"""")"),"")</f>
        <v/>
      </c>
      <c r="AB38" t="str">
        <f>IFERROR(__xludf.DUMMYFUNCTION("IFERROR(FILTER('Fund Data'!$D:$D, 'Fund Data'!$C:$C = $A38, 'Fund Data'!$A:$A = AB$1, 'Fund Data'!$B:$B = 12),"""")"),"")</f>
        <v/>
      </c>
      <c r="AC38" t="str">
        <f>IFERROR(__xludf.DUMMYFUNCTION("IFERROR(FILTER('Fund Data'!$D:$D, 'Fund Data'!$C:$C = $A38, 'Fund Data'!$A:$A = AC$1, 'Fund Data'!$B:$B = 12),"""")"),"")</f>
        <v/>
      </c>
      <c r="AD38" t="str">
        <f>IFERROR(__xludf.DUMMYFUNCTION("IFERROR(FILTER('Fund Data'!$D:$D, 'Fund Data'!$C:$C = $A38, 'Fund Data'!$A:$A = AD$1, 'Fund Data'!$B:$B = 12),"""")"),"")</f>
        <v/>
      </c>
      <c r="AE38" t="str">
        <f>IFERROR(__xludf.DUMMYFUNCTION("IFERROR(FILTER('Fund Data'!$D:$D, 'Fund Data'!$C:$C = $A38, 'Fund Data'!$A:$A = AE$1, 'Fund Data'!$B:$B = 12),"""")"),"")</f>
        <v/>
      </c>
    </row>
    <row r="39">
      <c r="A39" s="145" t="str">
        <f>'Endowed Funds'!B:B</f>
        <v/>
      </c>
      <c r="B39" t="str">
        <f>IFERROR(__xludf.DUMMYFUNCTION("IFERROR(FILTER('Fund Data'!$D:$D, 'Fund Data'!$C:$C = $A39, 'Fund Data'!$A:$A = B$1, 'Fund Data'!$B:$B = 12),"""")"),"")</f>
        <v/>
      </c>
      <c r="C39" t="str">
        <f>IFERROR(__xludf.DUMMYFUNCTION("IFERROR(FILTER('Fund Data'!$D:$D, 'Fund Data'!$C:$C = $A39, 'Fund Data'!$A:$A = C$1, 'Fund Data'!$B:$B = 12),"""")"),"")</f>
        <v/>
      </c>
      <c r="D39" t="str">
        <f>IFERROR(__xludf.DUMMYFUNCTION("IFERROR(FILTER('Fund Data'!$D:$D, 'Fund Data'!$C:$C = $A39, 'Fund Data'!$A:$A = D$1, 'Fund Data'!$B:$B = 12),"""")"),"")</f>
        <v/>
      </c>
      <c r="E39" t="str">
        <f>IFERROR(__xludf.DUMMYFUNCTION("IFERROR(FILTER('Fund Data'!$D:$D, 'Fund Data'!$C:$C = $A39, 'Fund Data'!$A:$A = E$1, 'Fund Data'!$B:$B = 12),"""")"),"")</f>
        <v/>
      </c>
      <c r="F39" t="str">
        <f>IFERROR(__xludf.DUMMYFUNCTION("IFERROR(FILTER('Fund Data'!$D:$D, 'Fund Data'!$C:$C = $A39, 'Fund Data'!$A:$A = F$1, 'Fund Data'!$B:$B = 12),"""")"),"")</f>
        <v/>
      </c>
      <c r="G39" t="str">
        <f>IFERROR(__xludf.DUMMYFUNCTION("IFERROR(FILTER('Fund Data'!$D:$D, 'Fund Data'!$C:$C = $A39, 'Fund Data'!$A:$A = G$1, 'Fund Data'!$B:$B = 12),"""")"),"")</f>
        <v/>
      </c>
      <c r="H39" t="str">
        <f>IFERROR(__xludf.DUMMYFUNCTION("IFERROR(FILTER('Fund Data'!$D:$D, 'Fund Data'!$C:$C = $A39, 'Fund Data'!$A:$A = H$1, 'Fund Data'!$B:$B = 12),"""")"),"")</f>
        <v/>
      </c>
      <c r="I39" t="str">
        <f>IFERROR(__xludf.DUMMYFUNCTION("IFERROR(FILTER('Fund Data'!$D:$D, 'Fund Data'!$C:$C = $A39, 'Fund Data'!$A:$A = I$1, 'Fund Data'!$B:$B = 12),"""")"),"")</f>
        <v/>
      </c>
      <c r="J39" t="str">
        <f>IFERROR(__xludf.DUMMYFUNCTION("IFERROR(FILTER('Fund Data'!$D:$D, 'Fund Data'!$C:$C = $A39, 'Fund Data'!$A:$A = J$1, 'Fund Data'!$B:$B = 12),"""")"),"")</f>
        <v/>
      </c>
      <c r="K39" t="str">
        <f>IFERROR(__xludf.DUMMYFUNCTION("IFERROR(FILTER('Fund Data'!$D:$D, 'Fund Data'!$C:$C = $A39, 'Fund Data'!$A:$A = K$1, 'Fund Data'!$B:$B = 12),"""")"),"")</f>
        <v/>
      </c>
      <c r="L39" t="str">
        <f>IFERROR(__xludf.DUMMYFUNCTION("IFERROR(FILTER('Fund Data'!$D:$D, 'Fund Data'!$C:$C = $A39, 'Fund Data'!$A:$A = L$1, 'Fund Data'!$B:$B = 12),"""")"),"")</f>
        <v/>
      </c>
      <c r="M39" t="str">
        <f>IFERROR(__xludf.DUMMYFUNCTION("IFERROR(FILTER('Fund Data'!$D:$D, 'Fund Data'!$C:$C = $A39, 'Fund Data'!$A:$A = M$1, 'Fund Data'!$B:$B = 12),"""")"),"")</f>
        <v/>
      </c>
      <c r="N39" t="str">
        <f>IFERROR(__xludf.DUMMYFUNCTION("IFERROR(FILTER('Fund Data'!$D:$D, 'Fund Data'!$C:$C = $A39, 'Fund Data'!$A:$A = N$1, 'Fund Data'!$B:$B = 12),"""")"),"")</f>
        <v/>
      </c>
      <c r="O39" t="str">
        <f>IFERROR(__xludf.DUMMYFUNCTION("IFERROR(FILTER('Fund Data'!$D:$D, 'Fund Data'!$C:$C = $A39, 'Fund Data'!$A:$A = O$1, 'Fund Data'!$B:$B = 12),"""")"),"")</f>
        <v/>
      </c>
      <c r="P39" t="str">
        <f>IFERROR(__xludf.DUMMYFUNCTION("IFERROR(FILTER('Fund Data'!$D:$D, 'Fund Data'!$C:$C = $A39, 'Fund Data'!$A:$A = P$1, 'Fund Data'!$B:$B = 12),"""")"),"")</f>
        <v/>
      </c>
      <c r="Q39" t="str">
        <f>IFERROR(__xludf.DUMMYFUNCTION("IFERROR(FILTER('Fund Data'!$D:$D, 'Fund Data'!$C:$C = $A39, 'Fund Data'!$A:$A = Q$1, 'Fund Data'!$B:$B = 12),"""")"),"")</f>
        <v/>
      </c>
      <c r="R39" t="str">
        <f>IFERROR(__xludf.DUMMYFUNCTION("IFERROR(FILTER('Fund Data'!$D:$D, 'Fund Data'!$C:$C = $A39, 'Fund Data'!$A:$A = R$1, 'Fund Data'!$B:$B = 12),"""")"),"")</f>
        <v/>
      </c>
      <c r="S39" t="str">
        <f>IFERROR(__xludf.DUMMYFUNCTION("IFERROR(FILTER('Fund Data'!$D:$D, 'Fund Data'!$C:$C = $A39, 'Fund Data'!$A:$A = S$1, 'Fund Data'!$B:$B = 12),"""")"),"")</f>
        <v/>
      </c>
      <c r="T39" t="str">
        <f>IFERROR(__xludf.DUMMYFUNCTION("IFERROR(FILTER('Fund Data'!$D:$D, 'Fund Data'!$C:$C = $A39, 'Fund Data'!$A:$A = T$1, 'Fund Data'!$B:$B = 12),"""")"),"")</f>
        <v/>
      </c>
      <c r="U39" t="str">
        <f>IFERROR(__xludf.DUMMYFUNCTION("IFERROR(FILTER('Fund Data'!$D:$D, 'Fund Data'!$C:$C = $A39, 'Fund Data'!$A:$A = U$1, 'Fund Data'!$B:$B = 12),"""")"),"")</f>
        <v/>
      </c>
      <c r="V39" t="str">
        <f>IFERROR(__xludf.DUMMYFUNCTION("IFERROR(FILTER('Fund Data'!$D:$D, 'Fund Data'!$C:$C = $A39, 'Fund Data'!$A:$A = V$1, 'Fund Data'!$B:$B = 12),"""")"),"")</f>
        <v/>
      </c>
      <c r="W39" t="str">
        <f>IFERROR(__xludf.DUMMYFUNCTION("IFERROR(FILTER('Fund Data'!$D:$D, 'Fund Data'!$C:$C = $A39, 'Fund Data'!$A:$A = W$1, 'Fund Data'!$B:$B = 12),"""")"),"")</f>
        <v/>
      </c>
      <c r="X39" t="str">
        <f>IFERROR(__xludf.DUMMYFUNCTION("IFERROR(FILTER('Fund Data'!$D:$D, 'Fund Data'!$C:$C = $A39, 'Fund Data'!$A:$A = X$1, 'Fund Data'!$B:$B = 12),"""")"),"")</f>
        <v/>
      </c>
      <c r="Y39" t="str">
        <f>IFERROR(__xludf.DUMMYFUNCTION("IFERROR(FILTER('Fund Data'!$D:$D, 'Fund Data'!$C:$C = $A39, 'Fund Data'!$A:$A = Y$1, 'Fund Data'!$B:$B = 12),"""")"),"")</f>
        <v/>
      </c>
      <c r="Z39" t="str">
        <f>IFERROR(__xludf.DUMMYFUNCTION("IFERROR(FILTER('Fund Data'!$D:$D, 'Fund Data'!$C:$C = $A39, 'Fund Data'!$A:$A = Z$1, 'Fund Data'!$B:$B = 12),"""")"),"")</f>
        <v/>
      </c>
      <c r="AA39" t="str">
        <f>IFERROR(__xludf.DUMMYFUNCTION("IFERROR(FILTER('Fund Data'!$D:$D, 'Fund Data'!$C:$C = $A39, 'Fund Data'!$A:$A = AA$1, 'Fund Data'!$B:$B = 12),"""")"),"")</f>
        <v/>
      </c>
      <c r="AB39" t="str">
        <f>IFERROR(__xludf.DUMMYFUNCTION("IFERROR(FILTER('Fund Data'!$D:$D, 'Fund Data'!$C:$C = $A39, 'Fund Data'!$A:$A = AB$1, 'Fund Data'!$B:$B = 12),"""")"),"")</f>
        <v/>
      </c>
      <c r="AC39" t="str">
        <f>IFERROR(__xludf.DUMMYFUNCTION("IFERROR(FILTER('Fund Data'!$D:$D, 'Fund Data'!$C:$C = $A39, 'Fund Data'!$A:$A = AC$1, 'Fund Data'!$B:$B = 12),"""")"),"")</f>
        <v/>
      </c>
      <c r="AD39" t="str">
        <f>IFERROR(__xludf.DUMMYFUNCTION("IFERROR(FILTER('Fund Data'!$D:$D, 'Fund Data'!$C:$C = $A39, 'Fund Data'!$A:$A = AD$1, 'Fund Data'!$B:$B = 12),"""")"),"")</f>
        <v/>
      </c>
      <c r="AE39" t="str">
        <f>IFERROR(__xludf.DUMMYFUNCTION("IFERROR(FILTER('Fund Data'!$D:$D, 'Fund Data'!$C:$C = $A39, 'Fund Data'!$A:$A = AE$1, 'Fund Data'!$B:$B = 12),"""")"),"")</f>
        <v/>
      </c>
    </row>
    <row r="40">
      <c r="A40" s="145" t="str">
        <f>'Endowed Funds'!B:B</f>
        <v/>
      </c>
      <c r="B40" t="str">
        <f>IFERROR(__xludf.DUMMYFUNCTION("IFERROR(FILTER('Fund Data'!$D:$D, 'Fund Data'!$C:$C = $A40, 'Fund Data'!$A:$A = B$1, 'Fund Data'!$B:$B = 12),"""")"),"")</f>
        <v/>
      </c>
      <c r="C40" t="str">
        <f>IFERROR(__xludf.DUMMYFUNCTION("IFERROR(FILTER('Fund Data'!$D:$D, 'Fund Data'!$C:$C = $A40, 'Fund Data'!$A:$A = C$1, 'Fund Data'!$B:$B = 12),"""")"),"")</f>
        <v/>
      </c>
      <c r="D40" t="str">
        <f>IFERROR(__xludf.DUMMYFUNCTION("IFERROR(FILTER('Fund Data'!$D:$D, 'Fund Data'!$C:$C = $A40, 'Fund Data'!$A:$A = D$1, 'Fund Data'!$B:$B = 12),"""")"),"")</f>
        <v/>
      </c>
      <c r="E40" t="str">
        <f>IFERROR(__xludf.DUMMYFUNCTION("IFERROR(FILTER('Fund Data'!$D:$D, 'Fund Data'!$C:$C = $A40, 'Fund Data'!$A:$A = E$1, 'Fund Data'!$B:$B = 12),"""")"),"")</f>
        <v/>
      </c>
      <c r="F40" t="str">
        <f>IFERROR(__xludf.DUMMYFUNCTION("IFERROR(FILTER('Fund Data'!$D:$D, 'Fund Data'!$C:$C = $A40, 'Fund Data'!$A:$A = F$1, 'Fund Data'!$B:$B = 12),"""")"),"")</f>
        <v/>
      </c>
      <c r="G40" t="str">
        <f>IFERROR(__xludf.DUMMYFUNCTION("IFERROR(FILTER('Fund Data'!$D:$D, 'Fund Data'!$C:$C = $A40, 'Fund Data'!$A:$A = G$1, 'Fund Data'!$B:$B = 12),"""")"),"")</f>
        <v/>
      </c>
      <c r="H40" t="str">
        <f>IFERROR(__xludf.DUMMYFUNCTION("IFERROR(FILTER('Fund Data'!$D:$D, 'Fund Data'!$C:$C = $A40, 'Fund Data'!$A:$A = H$1, 'Fund Data'!$B:$B = 12),"""")"),"")</f>
        <v/>
      </c>
      <c r="I40" t="str">
        <f>IFERROR(__xludf.DUMMYFUNCTION("IFERROR(FILTER('Fund Data'!$D:$D, 'Fund Data'!$C:$C = $A40, 'Fund Data'!$A:$A = I$1, 'Fund Data'!$B:$B = 12),"""")"),"")</f>
        <v/>
      </c>
      <c r="J40" t="str">
        <f>IFERROR(__xludf.DUMMYFUNCTION("IFERROR(FILTER('Fund Data'!$D:$D, 'Fund Data'!$C:$C = $A40, 'Fund Data'!$A:$A = J$1, 'Fund Data'!$B:$B = 12),"""")"),"")</f>
        <v/>
      </c>
      <c r="K40" t="str">
        <f>IFERROR(__xludf.DUMMYFUNCTION("IFERROR(FILTER('Fund Data'!$D:$D, 'Fund Data'!$C:$C = $A40, 'Fund Data'!$A:$A = K$1, 'Fund Data'!$B:$B = 12),"""")"),"")</f>
        <v/>
      </c>
      <c r="L40" t="str">
        <f>IFERROR(__xludf.DUMMYFUNCTION("IFERROR(FILTER('Fund Data'!$D:$D, 'Fund Data'!$C:$C = $A40, 'Fund Data'!$A:$A = L$1, 'Fund Data'!$B:$B = 12),"""")"),"")</f>
        <v/>
      </c>
      <c r="M40" t="str">
        <f>IFERROR(__xludf.DUMMYFUNCTION("IFERROR(FILTER('Fund Data'!$D:$D, 'Fund Data'!$C:$C = $A40, 'Fund Data'!$A:$A = M$1, 'Fund Data'!$B:$B = 12),"""")"),"")</f>
        <v/>
      </c>
      <c r="N40" t="str">
        <f>IFERROR(__xludf.DUMMYFUNCTION("IFERROR(FILTER('Fund Data'!$D:$D, 'Fund Data'!$C:$C = $A40, 'Fund Data'!$A:$A = N$1, 'Fund Data'!$B:$B = 12),"""")"),"")</f>
        <v/>
      </c>
      <c r="O40" t="str">
        <f>IFERROR(__xludf.DUMMYFUNCTION("IFERROR(FILTER('Fund Data'!$D:$D, 'Fund Data'!$C:$C = $A40, 'Fund Data'!$A:$A = O$1, 'Fund Data'!$B:$B = 12),"""")"),"")</f>
        <v/>
      </c>
      <c r="P40" t="str">
        <f>IFERROR(__xludf.DUMMYFUNCTION("IFERROR(FILTER('Fund Data'!$D:$D, 'Fund Data'!$C:$C = $A40, 'Fund Data'!$A:$A = P$1, 'Fund Data'!$B:$B = 12),"""")"),"")</f>
        <v/>
      </c>
      <c r="Q40" t="str">
        <f>IFERROR(__xludf.DUMMYFUNCTION("IFERROR(FILTER('Fund Data'!$D:$D, 'Fund Data'!$C:$C = $A40, 'Fund Data'!$A:$A = Q$1, 'Fund Data'!$B:$B = 12),"""")"),"")</f>
        <v/>
      </c>
      <c r="R40" t="str">
        <f>IFERROR(__xludf.DUMMYFUNCTION("IFERROR(FILTER('Fund Data'!$D:$D, 'Fund Data'!$C:$C = $A40, 'Fund Data'!$A:$A = R$1, 'Fund Data'!$B:$B = 12),"""")"),"")</f>
        <v/>
      </c>
      <c r="S40" t="str">
        <f>IFERROR(__xludf.DUMMYFUNCTION("IFERROR(FILTER('Fund Data'!$D:$D, 'Fund Data'!$C:$C = $A40, 'Fund Data'!$A:$A = S$1, 'Fund Data'!$B:$B = 12),"""")"),"")</f>
        <v/>
      </c>
      <c r="T40" t="str">
        <f>IFERROR(__xludf.DUMMYFUNCTION("IFERROR(FILTER('Fund Data'!$D:$D, 'Fund Data'!$C:$C = $A40, 'Fund Data'!$A:$A = T$1, 'Fund Data'!$B:$B = 12),"""")"),"")</f>
        <v/>
      </c>
      <c r="U40" t="str">
        <f>IFERROR(__xludf.DUMMYFUNCTION("IFERROR(FILTER('Fund Data'!$D:$D, 'Fund Data'!$C:$C = $A40, 'Fund Data'!$A:$A = U$1, 'Fund Data'!$B:$B = 12),"""")"),"")</f>
        <v/>
      </c>
      <c r="V40" t="str">
        <f>IFERROR(__xludf.DUMMYFUNCTION("IFERROR(FILTER('Fund Data'!$D:$D, 'Fund Data'!$C:$C = $A40, 'Fund Data'!$A:$A = V$1, 'Fund Data'!$B:$B = 12),"""")"),"")</f>
        <v/>
      </c>
      <c r="W40" t="str">
        <f>IFERROR(__xludf.DUMMYFUNCTION("IFERROR(FILTER('Fund Data'!$D:$D, 'Fund Data'!$C:$C = $A40, 'Fund Data'!$A:$A = W$1, 'Fund Data'!$B:$B = 12),"""")"),"")</f>
        <v/>
      </c>
      <c r="X40" t="str">
        <f>IFERROR(__xludf.DUMMYFUNCTION("IFERROR(FILTER('Fund Data'!$D:$D, 'Fund Data'!$C:$C = $A40, 'Fund Data'!$A:$A = X$1, 'Fund Data'!$B:$B = 12),"""")"),"")</f>
        <v/>
      </c>
      <c r="Y40" t="str">
        <f>IFERROR(__xludf.DUMMYFUNCTION("IFERROR(FILTER('Fund Data'!$D:$D, 'Fund Data'!$C:$C = $A40, 'Fund Data'!$A:$A = Y$1, 'Fund Data'!$B:$B = 12),"""")"),"")</f>
        <v/>
      </c>
      <c r="Z40" t="str">
        <f>IFERROR(__xludf.DUMMYFUNCTION("IFERROR(FILTER('Fund Data'!$D:$D, 'Fund Data'!$C:$C = $A40, 'Fund Data'!$A:$A = Z$1, 'Fund Data'!$B:$B = 12),"""")"),"")</f>
        <v/>
      </c>
      <c r="AA40" t="str">
        <f>IFERROR(__xludf.DUMMYFUNCTION("IFERROR(FILTER('Fund Data'!$D:$D, 'Fund Data'!$C:$C = $A40, 'Fund Data'!$A:$A = AA$1, 'Fund Data'!$B:$B = 12),"""")"),"")</f>
        <v/>
      </c>
      <c r="AB40" t="str">
        <f>IFERROR(__xludf.DUMMYFUNCTION("IFERROR(FILTER('Fund Data'!$D:$D, 'Fund Data'!$C:$C = $A40, 'Fund Data'!$A:$A = AB$1, 'Fund Data'!$B:$B = 12),"""")"),"")</f>
        <v/>
      </c>
      <c r="AC40" t="str">
        <f>IFERROR(__xludf.DUMMYFUNCTION("IFERROR(FILTER('Fund Data'!$D:$D, 'Fund Data'!$C:$C = $A40, 'Fund Data'!$A:$A = AC$1, 'Fund Data'!$B:$B = 12),"""")"),"")</f>
        <v/>
      </c>
      <c r="AD40" t="str">
        <f>IFERROR(__xludf.DUMMYFUNCTION("IFERROR(FILTER('Fund Data'!$D:$D, 'Fund Data'!$C:$C = $A40, 'Fund Data'!$A:$A = AD$1, 'Fund Data'!$B:$B = 12),"""")"),"")</f>
        <v/>
      </c>
      <c r="AE40" t="str">
        <f>IFERROR(__xludf.DUMMYFUNCTION("IFERROR(FILTER('Fund Data'!$D:$D, 'Fund Data'!$C:$C = $A40, 'Fund Data'!$A:$A = AE$1, 'Fund Data'!$B:$B = 12),"""")"),"")</f>
        <v/>
      </c>
    </row>
    <row r="41">
      <c r="A41" s="145" t="str">
        <f>'Endowed Funds'!B:B</f>
        <v/>
      </c>
      <c r="B41" t="str">
        <f>IFERROR(__xludf.DUMMYFUNCTION("IFERROR(FILTER('Fund Data'!$D:$D, 'Fund Data'!$C:$C = $A41, 'Fund Data'!$A:$A = B$1, 'Fund Data'!$B:$B = 12),"""")"),"")</f>
        <v/>
      </c>
      <c r="C41" t="str">
        <f>IFERROR(__xludf.DUMMYFUNCTION("IFERROR(FILTER('Fund Data'!$D:$D, 'Fund Data'!$C:$C = $A41, 'Fund Data'!$A:$A = C$1, 'Fund Data'!$B:$B = 12),"""")"),"")</f>
        <v/>
      </c>
      <c r="D41" t="str">
        <f>IFERROR(__xludf.DUMMYFUNCTION("IFERROR(FILTER('Fund Data'!$D:$D, 'Fund Data'!$C:$C = $A41, 'Fund Data'!$A:$A = D$1, 'Fund Data'!$B:$B = 12),"""")"),"")</f>
        <v/>
      </c>
      <c r="E41" t="str">
        <f>IFERROR(__xludf.DUMMYFUNCTION("IFERROR(FILTER('Fund Data'!$D:$D, 'Fund Data'!$C:$C = $A41, 'Fund Data'!$A:$A = E$1, 'Fund Data'!$B:$B = 12),"""")"),"")</f>
        <v/>
      </c>
      <c r="F41" t="str">
        <f>IFERROR(__xludf.DUMMYFUNCTION("IFERROR(FILTER('Fund Data'!$D:$D, 'Fund Data'!$C:$C = $A41, 'Fund Data'!$A:$A = F$1, 'Fund Data'!$B:$B = 12),"""")"),"")</f>
        <v/>
      </c>
      <c r="G41" t="str">
        <f>IFERROR(__xludf.DUMMYFUNCTION("IFERROR(FILTER('Fund Data'!$D:$D, 'Fund Data'!$C:$C = $A41, 'Fund Data'!$A:$A = G$1, 'Fund Data'!$B:$B = 12),"""")"),"")</f>
        <v/>
      </c>
      <c r="H41" t="str">
        <f>IFERROR(__xludf.DUMMYFUNCTION("IFERROR(FILTER('Fund Data'!$D:$D, 'Fund Data'!$C:$C = $A41, 'Fund Data'!$A:$A = H$1, 'Fund Data'!$B:$B = 12),"""")"),"")</f>
        <v/>
      </c>
      <c r="I41" t="str">
        <f>IFERROR(__xludf.DUMMYFUNCTION("IFERROR(FILTER('Fund Data'!$D:$D, 'Fund Data'!$C:$C = $A41, 'Fund Data'!$A:$A = I$1, 'Fund Data'!$B:$B = 12),"""")"),"")</f>
        <v/>
      </c>
      <c r="J41" t="str">
        <f>IFERROR(__xludf.DUMMYFUNCTION("IFERROR(FILTER('Fund Data'!$D:$D, 'Fund Data'!$C:$C = $A41, 'Fund Data'!$A:$A = J$1, 'Fund Data'!$B:$B = 12),"""")"),"")</f>
        <v/>
      </c>
      <c r="K41" t="str">
        <f>IFERROR(__xludf.DUMMYFUNCTION("IFERROR(FILTER('Fund Data'!$D:$D, 'Fund Data'!$C:$C = $A41, 'Fund Data'!$A:$A = K$1, 'Fund Data'!$B:$B = 12),"""")"),"")</f>
        <v/>
      </c>
      <c r="L41" t="str">
        <f>IFERROR(__xludf.DUMMYFUNCTION("IFERROR(FILTER('Fund Data'!$D:$D, 'Fund Data'!$C:$C = $A41, 'Fund Data'!$A:$A = L$1, 'Fund Data'!$B:$B = 12),"""")"),"")</f>
        <v/>
      </c>
      <c r="M41" t="str">
        <f>IFERROR(__xludf.DUMMYFUNCTION("IFERROR(FILTER('Fund Data'!$D:$D, 'Fund Data'!$C:$C = $A41, 'Fund Data'!$A:$A = M$1, 'Fund Data'!$B:$B = 12),"""")"),"")</f>
        <v/>
      </c>
      <c r="N41" t="str">
        <f>IFERROR(__xludf.DUMMYFUNCTION("IFERROR(FILTER('Fund Data'!$D:$D, 'Fund Data'!$C:$C = $A41, 'Fund Data'!$A:$A = N$1, 'Fund Data'!$B:$B = 12),"""")"),"")</f>
        <v/>
      </c>
      <c r="O41" t="str">
        <f>IFERROR(__xludf.DUMMYFUNCTION("IFERROR(FILTER('Fund Data'!$D:$D, 'Fund Data'!$C:$C = $A41, 'Fund Data'!$A:$A = O$1, 'Fund Data'!$B:$B = 12),"""")"),"")</f>
        <v/>
      </c>
      <c r="P41" t="str">
        <f>IFERROR(__xludf.DUMMYFUNCTION("IFERROR(FILTER('Fund Data'!$D:$D, 'Fund Data'!$C:$C = $A41, 'Fund Data'!$A:$A = P$1, 'Fund Data'!$B:$B = 12),"""")"),"")</f>
        <v/>
      </c>
      <c r="Q41" t="str">
        <f>IFERROR(__xludf.DUMMYFUNCTION("IFERROR(FILTER('Fund Data'!$D:$D, 'Fund Data'!$C:$C = $A41, 'Fund Data'!$A:$A = Q$1, 'Fund Data'!$B:$B = 12),"""")"),"")</f>
        <v/>
      </c>
      <c r="R41" t="str">
        <f>IFERROR(__xludf.DUMMYFUNCTION("IFERROR(FILTER('Fund Data'!$D:$D, 'Fund Data'!$C:$C = $A41, 'Fund Data'!$A:$A = R$1, 'Fund Data'!$B:$B = 12),"""")"),"")</f>
        <v/>
      </c>
      <c r="S41" t="str">
        <f>IFERROR(__xludf.DUMMYFUNCTION("IFERROR(FILTER('Fund Data'!$D:$D, 'Fund Data'!$C:$C = $A41, 'Fund Data'!$A:$A = S$1, 'Fund Data'!$B:$B = 12),"""")"),"")</f>
        <v/>
      </c>
      <c r="T41" t="str">
        <f>IFERROR(__xludf.DUMMYFUNCTION("IFERROR(FILTER('Fund Data'!$D:$D, 'Fund Data'!$C:$C = $A41, 'Fund Data'!$A:$A = T$1, 'Fund Data'!$B:$B = 12),"""")"),"")</f>
        <v/>
      </c>
      <c r="U41" t="str">
        <f>IFERROR(__xludf.DUMMYFUNCTION("IFERROR(FILTER('Fund Data'!$D:$D, 'Fund Data'!$C:$C = $A41, 'Fund Data'!$A:$A = U$1, 'Fund Data'!$B:$B = 12),"""")"),"")</f>
        <v/>
      </c>
      <c r="V41" t="str">
        <f>IFERROR(__xludf.DUMMYFUNCTION("IFERROR(FILTER('Fund Data'!$D:$D, 'Fund Data'!$C:$C = $A41, 'Fund Data'!$A:$A = V$1, 'Fund Data'!$B:$B = 12),"""")"),"")</f>
        <v/>
      </c>
      <c r="W41" t="str">
        <f>IFERROR(__xludf.DUMMYFUNCTION("IFERROR(FILTER('Fund Data'!$D:$D, 'Fund Data'!$C:$C = $A41, 'Fund Data'!$A:$A = W$1, 'Fund Data'!$B:$B = 12),"""")"),"")</f>
        <v/>
      </c>
      <c r="X41" t="str">
        <f>IFERROR(__xludf.DUMMYFUNCTION("IFERROR(FILTER('Fund Data'!$D:$D, 'Fund Data'!$C:$C = $A41, 'Fund Data'!$A:$A = X$1, 'Fund Data'!$B:$B = 12),"""")"),"")</f>
        <v/>
      </c>
      <c r="Y41" t="str">
        <f>IFERROR(__xludf.DUMMYFUNCTION("IFERROR(FILTER('Fund Data'!$D:$D, 'Fund Data'!$C:$C = $A41, 'Fund Data'!$A:$A = Y$1, 'Fund Data'!$B:$B = 12),"""")"),"")</f>
        <v/>
      </c>
      <c r="Z41" t="str">
        <f>IFERROR(__xludf.DUMMYFUNCTION("IFERROR(FILTER('Fund Data'!$D:$D, 'Fund Data'!$C:$C = $A41, 'Fund Data'!$A:$A = Z$1, 'Fund Data'!$B:$B = 12),"""")"),"")</f>
        <v/>
      </c>
      <c r="AA41" t="str">
        <f>IFERROR(__xludf.DUMMYFUNCTION("IFERROR(FILTER('Fund Data'!$D:$D, 'Fund Data'!$C:$C = $A41, 'Fund Data'!$A:$A = AA$1, 'Fund Data'!$B:$B = 12),"""")"),"")</f>
        <v/>
      </c>
      <c r="AB41" t="str">
        <f>IFERROR(__xludf.DUMMYFUNCTION("IFERROR(FILTER('Fund Data'!$D:$D, 'Fund Data'!$C:$C = $A41, 'Fund Data'!$A:$A = AB$1, 'Fund Data'!$B:$B = 12),"""")"),"")</f>
        <v/>
      </c>
      <c r="AC41" t="str">
        <f>IFERROR(__xludf.DUMMYFUNCTION("IFERROR(FILTER('Fund Data'!$D:$D, 'Fund Data'!$C:$C = $A41, 'Fund Data'!$A:$A = AC$1, 'Fund Data'!$B:$B = 12),"""")"),"")</f>
        <v/>
      </c>
      <c r="AD41" t="str">
        <f>IFERROR(__xludf.DUMMYFUNCTION("IFERROR(FILTER('Fund Data'!$D:$D, 'Fund Data'!$C:$C = $A41, 'Fund Data'!$A:$A = AD$1, 'Fund Data'!$B:$B = 12),"""")"),"")</f>
        <v/>
      </c>
      <c r="AE41" t="str">
        <f>IFERROR(__xludf.DUMMYFUNCTION("IFERROR(FILTER('Fund Data'!$D:$D, 'Fund Data'!$C:$C = $A41, 'Fund Data'!$A:$A = AE$1, 'Fund Data'!$B:$B = 12),"""")"),"")</f>
        <v/>
      </c>
    </row>
    <row r="42">
      <c r="A42" s="145" t="str">
        <f>'Endowed Funds'!B:B</f>
        <v/>
      </c>
      <c r="B42" t="str">
        <f>IFERROR(__xludf.DUMMYFUNCTION("IFERROR(FILTER('Fund Data'!$D:$D, 'Fund Data'!$C:$C = $A42, 'Fund Data'!$A:$A = B$1, 'Fund Data'!$B:$B = 12),"""")"),"")</f>
        <v/>
      </c>
      <c r="C42" t="str">
        <f>IFERROR(__xludf.DUMMYFUNCTION("IFERROR(FILTER('Fund Data'!$D:$D, 'Fund Data'!$C:$C = $A42, 'Fund Data'!$A:$A = C$1, 'Fund Data'!$B:$B = 12),"""")"),"")</f>
        <v/>
      </c>
      <c r="D42" t="str">
        <f>IFERROR(__xludf.DUMMYFUNCTION("IFERROR(FILTER('Fund Data'!$D:$D, 'Fund Data'!$C:$C = $A42, 'Fund Data'!$A:$A = D$1, 'Fund Data'!$B:$B = 12),"""")"),"")</f>
        <v/>
      </c>
      <c r="E42" t="str">
        <f>IFERROR(__xludf.DUMMYFUNCTION("IFERROR(FILTER('Fund Data'!$D:$D, 'Fund Data'!$C:$C = $A42, 'Fund Data'!$A:$A = E$1, 'Fund Data'!$B:$B = 12),"""")"),"")</f>
        <v/>
      </c>
      <c r="F42" t="str">
        <f>IFERROR(__xludf.DUMMYFUNCTION("IFERROR(FILTER('Fund Data'!$D:$D, 'Fund Data'!$C:$C = $A42, 'Fund Data'!$A:$A = F$1, 'Fund Data'!$B:$B = 12),"""")"),"")</f>
        <v/>
      </c>
      <c r="G42" t="str">
        <f>IFERROR(__xludf.DUMMYFUNCTION("IFERROR(FILTER('Fund Data'!$D:$D, 'Fund Data'!$C:$C = $A42, 'Fund Data'!$A:$A = G$1, 'Fund Data'!$B:$B = 12),"""")"),"")</f>
        <v/>
      </c>
      <c r="H42" t="str">
        <f>IFERROR(__xludf.DUMMYFUNCTION("IFERROR(FILTER('Fund Data'!$D:$D, 'Fund Data'!$C:$C = $A42, 'Fund Data'!$A:$A = H$1, 'Fund Data'!$B:$B = 12),"""")"),"")</f>
        <v/>
      </c>
      <c r="I42" t="str">
        <f>IFERROR(__xludf.DUMMYFUNCTION("IFERROR(FILTER('Fund Data'!$D:$D, 'Fund Data'!$C:$C = $A42, 'Fund Data'!$A:$A = I$1, 'Fund Data'!$B:$B = 12),"""")"),"")</f>
        <v/>
      </c>
      <c r="J42" t="str">
        <f>IFERROR(__xludf.DUMMYFUNCTION("IFERROR(FILTER('Fund Data'!$D:$D, 'Fund Data'!$C:$C = $A42, 'Fund Data'!$A:$A = J$1, 'Fund Data'!$B:$B = 12),"""")"),"")</f>
        <v/>
      </c>
      <c r="K42" t="str">
        <f>IFERROR(__xludf.DUMMYFUNCTION("IFERROR(FILTER('Fund Data'!$D:$D, 'Fund Data'!$C:$C = $A42, 'Fund Data'!$A:$A = K$1, 'Fund Data'!$B:$B = 12),"""")"),"")</f>
        <v/>
      </c>
      <c r="L42" t="str">
        <f>IFERROR(__xludf.DUMMYFUNCTION("IFERROR(FILTER('Fund Data'!$D:$D, 'Fund Data'!$C:$C = $A42, 'Fund Data'!$A:$A = L$1, 'Fund Data'!$B:$B = 12),"""")"),"")</f>
        <v/>
      </c>
      <c r="M42" t="str">
        <f>IFERROR(__xludf.DUMMYFUNCTION("IFERROR(FILTER('Fund Data'!$D:$D, 'Fund Data'!$C:$C = $A42, 'Fund Data'!$A:$A = M$1, 'Fund Data'!$B:$B = 12),"""")"),"")</f>
        <v/>
      </c>
      <c r="N42" t="str">
        <f>IFERROR(__xludf.DUMMYFUNCTION("IFERROR(FILTER('Fund Data'!$D:$D, 'Fund Data'!$C:$C = $A42, 'Fund Data'!$A:$A = N$1, 'Fund Data'!$B:$B = 12),"""")"),"")</f>
        <v/>
      </c>
      <c r="O42" t="str">
        <f>IFERROR(__xludf.DUMMYFUNCTION("IFERROR(FILTER('Fund Data'!$D:$D, 'Fund Data'!$C:$C = $A42, 'Fund Data'!$A:$A = O$1, 'Fund Data'!$B:$B = 12),"""")"),"")</f>
        <v/>
      </c>
      <c r="P42" t="str">
        <f>IFERROR(__xludf.DUMMYFUNCTION("IFERROR(FILTER('Fund Data'!$D:$D, 'Fund Data'!$C:$C = $A42, 'Fund Data'!$A:$A = P$1, 'Fund Data'!$B:$B = 12),"""")"),"")</f>
        <v/>
      </c>
      <c r="Q42" t="str">
        <f>IFERROR(__xludf.DUMMYFUNCTION("IFERROR(FILTER('Fund Data'!$D:$D, 'Fund Data'!$C:$C = $A42, 'Fund Data'!$A:$A = Q$1, 'Fund Data'!$B:$B = 12),"""")"),"")</f>
        <v/>
      </c>
      <c r="R42" t="str">
        <f>IFERROR(__xludf.DUMMYFUNCTION("IFERROR(FILTER('Fund Data'!$D:$D, 'Fund Data'!$C:$C = $A42, 'Fund Data'!$A:$A = R$1, 'Fund Data'!$B:$B = 12),"""")"),"")</f>
        <v/>
      </c>
      <c r="S42" t="str">
        <f>IFERROR(__xludf.DUMMYFUNCTION("IFERROR(FILTER('Fund Data'!$D:$D, 'Fund Data'!$C:$C = $A42, 'Fund Data'!$A:$A = S$1, 'Fund Data'!$B:$B = 12),"""")"),"")</f>
        <v/>
      </c>
      <c r="T42" t="str">
        <f>IFERROR(__xludf.DUMMYFUNCTION("IFERROR(FILTER('Fund Data'!$D:$D, 'Fund Data'!$C:$C = $A42, 'Fund Data'!$A:$A = T$1, 'Fund Data'!$B:$B = 12),"""")"),"")</f>
        <v/>
      </c>
      <c r="U42" t="str">
        <f>IFERROR(__xludf.DUMMYFUNCTION("IFERROR(FILTER('Fund Data'!$D:$D, 'Fund Data'!$C:$C = $A42, 'Fund Data'!$A:$A = U$1, 'Fund Data'!$B:$B = 12),"""")"),"")</f>
        <v/>
      </c>
      <c r="V42" t="str">
        <f>IFERROR(__xludf.DUMMYFUNCTION("IFERROR(FILTER('Fund Data'!$D:$D, 'Fund Data'!$C:$C = $A42, 'Fund Data'!$A:$A = V$1, 'Fund Data'!$B:$B = 12),"""")"),"")</f>
        <v/>
      </c>
      <c r="W42" t="str">
        <f>IFERROR(__xludf.DUMMYFUNCTION("IFERROR(FILTER('Fund Data'!$D:$D, 'Fund Data'!$C:$C = $A42, 'Fund Data'!$A:$A = W$1, 'Fund Data'!$B:$B = 12),"""")"),"")</f>
        <v/>
      </c>
      <c r="X42" t="str">
        <f>IFERROR(__xludf.DUMMYFUNCTION("IFERROR(FILTER('Fund Data'!$D:$D, 'Fund Data'!$C:$C = $A42, 'Fund Data'!$A:$A = X$1, 'Fund Data'!$B:$B = 12),"""")"),"")</f>
        <v/>
      </c>
      <c r="Y42" t="str">
        <f>IFERROR(__xludf.DUMMYFUNCTION("IFERROR(FILTER('Fund Data'!$D:$D, 'Fund Data'!$C:$C = $A42, 'Fund Data'!$A:$A = Y$1, 'Fund Data'!$B:$B = 12),"""")"),"")</f>
        <v/>
      </c>
      <c r="Z42" t="str">
        <f>IFERROR(__xludf.DUMMYFUNCTION("IFERROR(FILTER('Fund Data'!$D:$D, 'Fund Data'!$C:$C = $A42, 'Fund Data'!$A:$A = Z$1, 'Fund Data'!$B:$B = 12),"""")"),"")</f>
        <v/>
      </c>
      <c r="AA42" t="str">
        <f>IFERROR(__xludf.DUMMYFUNCTION("IFERROR(FILTER('Fund Data'!$D:$D, 'Fund Data'!$C:$C = $A42, 'Fund Data'!$A:$A = AA$1, 'Fund Data'!$B:$B = 12),"""")"),"")</f>
        <v/>
      </c>
      <c r="AB42" t="str">
        <f>IFERROR(__xludf.DUMMYFUNCTION("IFERROR(FILTER('Fund Data'!$D:$D, 'Fund Data'!$C:$C = $A42, 'Fund Data'!$A:$A = AB$1, 'Fund Data'!$B:$B = 12),"""")"),"")</f>
        <v/>
      </c>
      <c r="AC42" t="str">
        <f>IFERROR(__xludf.DUMMYFUNCTION("IFERROR(FILTER('Fund Data'!$D:$D, 'Fund Data'!$C:$C = $A42, 'Fund Data'!$A:$A = AC$1, 'Fund Data'!$B:$B = 12),"""")"),"")</f>
        <v/>
      </c>
      <c r="AD42" t="str">
        <f>IFERROR(__xludf.DUMMYFUNCTION("IFERROR(FILTER('Fund Data'!$D:$D, 'Fund Data'!$C:$C = $A42, 'Fund Data'!$A:$A = AD$1, 'Fund Data'!$B:$B = 12),"""")"),"")</f>
        <v/>
      </c>
      <c r="AE42" t="str">
        <f>IFERROR(__xludf.DUMMYFUNCTION("IFERROR(FILTER('Fund Data'!$D:$D, 'Fund Data'!$C:$C = $A42, 'Fund Data'!$A:$A = AE$1, 'Fund Data'!$B:$B = 12),"""")"),"")</f>
        <v/>
      </c>
    </row>
    <row r="43">
      <c r="A43" s="145" t="str">
        <f>'Endowed Funds'!B:B</f>
        <v/>
      </c>
      <c r="B43" t="str">
        <f>IFERROR(__xludf.DUMMYFUNCTION("IFERROR(FILTER('Fund Data'!$D:$D, 'Fund Data'!$C:$C = $A43, 'Fund Data'!$A:$A = B$1, 'Fund Data'!$B:$B = 12),"""")"),"")</f>
        <v/>
      </c>
      <c r="C43" t="str">
        <f>IFERROR(__xludf.DUMMYFUNCTION("IFERROR(FILTER('Fund Data'!$D:$D, 'Fund Data'!$C:$C = $A43, 'Fund Data'!$A:$A = C$1, 'Fund Data'!$B:$B = 12),"""")"),"")</f>
        <v/>
      </c>
      <c r="D43" t="str">
        <f>IFERROR(__xludf.DUMMYFUNCTION("IFERROR(FILTER('Fund Data'!$D:$D, 'Fund Data'!$C:$C = $A43, 'Fund Data'!$A:$A = D$1, 'Fund Data'!$B:$B = 12),"""")"),"")</f>
        <v/>
      </c>
      <c r="E43" t="str">
        <f>IFERROR(__xludf.DUMMYFUNCTION("IFERROR(FILTER('Fund Data'!$D:$D, 'Fund Data'!$C:$C = $A43, 'Fund Data'!$A:$A = E$1, 'Fund Data'!$B:$B = 12),"""")"),"")</f>
        <v/>
      </c>
      <c r="F43" t="str">
        <f>IFERROR(__xludf.DUMMYFUNCTION("IFERROR(FILTER('Fund Data'!$D:$D, 'Fund Data'!$C:$C = $A43, 'Fund Data'!$A:$A = F$1, 'Fund Data'!$B:$B = 12),"""")"),"")</f>
        <v/>
      </c>
      <c r="G43" t="str">
        <f>IFERROR(__xludf.DUMMYFUNCTION("IFERROR(FILTER('Fund Data'!$D:$D, 'Fund Data'!$C:$C = $A43, 'Fund Data'!$A:$A = G$1, 'Fund Data'!$B:$B = 12),"""")"),"")</f>
        <v/>
      </c>
      <c r="H43" t="str">
        <f>IFERROR(__xludf.DUMMYFUNCTION("IFERROR(FILTER('Fund Data'!$D:$D, 'Fund Data'!$C:$C = $A43, 'Fund Data'!$A:$A = H$1, 'Fund Data'!$B:$B = 12),"""")"),"")</f>
        <v/>
      </c>
      <c r="I43" t="str">
        <f>IFERROR(__xludf.DUMMYFUNCTION("IFERROR(FILTER('Fund Data'!$D:$D, 'Fund Data'!$C:$C = $A43, 'Fund Data'!$A:$A = I$1, 'Fund Data'!$B:$B = 12),"""")"),"")</f>
        <v/>
      </c>
      <c r="J43" t="str">
        <f>IFERROR(__xludf.DUMMYFUNCTION("IFERROR(FILTER('Fund Data'!$D:$D, 'Fund Data'!$C:$C = $A43, 'Fund Data'!$A:$A = J$1, 'Fund Data'!$B:$B = 12),"""")"),"")</f>
        <v/>
      </c>
      <c r="K43" t="str">
        <f>IFERROR(__xludf.DUMMYFUNCTION("IFERROR(FILTER('Fund Data'!$D:$D, 'Fund Data'!$C:$C = $A43, 'Fund Data'!$A:$A = K$1, 'Fund Data'!$B:$B = 12),"""")"),"")</f>
        <v/>
      </c>
      <c r="L43" t="str">
        <f>IFERROR(__xludf.DUMMYFUNCTION("IFERROR(FILTER('Fund Data'!$D:$D, 'Fund Data'!$C:$C = $A43, 'Fund Data'!$A:$A = L$1, 'Fund Data'!$B:$B = 12),"""")"),"")</f>
        <v/>
      </c>
      <c r="M43" t="str">
        <f>IFERROR(__xludf.DUMMYFUNCTION("IFERROR(FILTER('Fund Data'!$D:$D, 'Fund Data'!$C:$C = $A43, 'Fund Data'!$A:$A = M$1, 'Fund Data'!$B:$B = 12),"""")"),"")</f>
        <v/>
      </c>
      <c r="N43" t="str">
        <f>IFERROR(__xludf.DUMMYFUNCTION("IFERROR(FILTER('Fund Data'!$D:$D, 'Fund Data'!$C:$C = $A43, 'Fund Data'!$A:$A = N$1, 'Fund Data'!$B:$B = 12),"""")"),"")</f>
        <v/>
      </c>
      <c r="O43" t="str">
        <f>IFERROR(__xludf.DUMMYFUNCTION("IFERROR(FILTER('Fund Data'!$D:$D, 'Fund Data'!$C:$C = $A43, 'Fund Data'!$A:$A = O$1, 'Fund Data'!$B:$B = 12),"""")"),"")</f>
        <v/>
      </c>
      <c r="P43" t="str">
        <f>IFERROR(__xludf.DUMMYFUNCTION("IFERROR(FILTER('Fund Data'!$D:$D, 'Fund Data'!$C:$C = $A43, 'Fund Data'!$A:$A = P$1, 'Fund Data'!$B:$B = 12),"""")"),"")</f>
        <v/>
      </c>
      <c r="Q43" t="str">
        <f>IFERROR(__xludf.DUMMYFUNCTION("IFERROR(FILTER('Fund Data'!$D:$D, 'Fund Data'!$C:$C = $A43, 'Fund Data'!$A:$A = Q$1, 'Fund Data'!$B:$B = 12),"""")"),"")</f>
        <v/>
      </c>
      <c r="R43" t="str">
        <f>IFERROR(__xludf.DUMMYFUNCTION("IFERROR(FILTER('Fund Data'!$D:$D, 'Fund Data'!$C:$C = $A43, 'Fund Data'!$A:$A = R$1, 'Fund Data'!$B:$B = 12),"""")"),"")</f>
        <v/>
      </c>
      <c r="S43" t="str">
        <f>IFERROR(__xludf.DUMMYFUNCTION("IFERROR(FILTER('Fund Data'!$D:$D, 'Fund Data'!$C:$C = $A43, 'Fund Data'!$A:$A = S$1, 'Fund Data'!$B:$B = 12),"""")"),"")</f>
        <v/>
      </c>
      <c r="T43" t="str">
        <f>IFERROR(__xludf.DUMMYFUNCTION("IFERROR(FILTER('Fund Data'!$D:$D, 'Fund Data'!$C:$C = $A43, 'Fund Data'!$A:$A = T$1, 'Fund Data'!$B:$B = 12),"""")"),"")</f>
        <v/>
      </c>
      <c r="U43" t="str">
        <f>IFERROR(__xludf.DUMMYFUNCTION("IFERROR(FILTER('Fund Data'!$D:$D, 'Fund Data'!$C:$C = $A43, 'Fund Data'!$A:$A = U$1, 'Fund Data'!$B:$B = 12),"""")"),"")</f>
        <v/>
      </c>
      <c r="V43" t="str">
        <f>IFERROR(__xludf.DUMMYFUNCTION("IFERROR(FILTER('Fund Data'!$D:$D, 'Fund Data'!$C:$C = $A43, 'Fund Data'!$A:$A = V$1, 'Fund Data'!$B:$B = 12),"""")"),"")</f>
        <v/>
      </c>
      <c r="W43" t="str">
        <f>IFERROR(__xludf.DUMMYFUNCTION("IFERROR(FILTER('Fund Data'!$D:$D, 'Fund Data'!$C:$C = $A43, 'Fund Data'!$A:$A = W$1, 'Fund Data'!$B:$B = 12),"""")"),"")</f>
        <v/>
      </c>
      <c r="X43" t="str">
        <f>IFERROR(__xludf.DUMMYFUNCTION("IFERROR(FILTER('Fund Data'!$D:$D, 'Fund Data'!$C:$C = $A43, 'Fund Data'!$A:$A = X$1, 'Fund Data'!$B:$B = 12),"""")"),"")</f>
        <v/>
      </c>
      <c r="Y43" t="str">
        <f>IFERROR(__xludf.DUMMYFUNCTION("IFERROR(FILTER('Fund Data'!$D:$D, 'Fund Data'!$C:$C = $A43, 'Fund Data'!$A:$A = Y$1, 'Fund Data'!$B:$B = 12),"""")"),"")</f>
        <v/>
      </c>
      <c r="Z43" t="str">
        <f>IFERROR(__xludf.DUMMYFUNCTION("IFERROR(FILTER('Fund Data'!$D:$D, 'Fund Data'!$C:$C = $A43, 'Fund Data'!$A:$A = Z$1, 'Fund Data'!$B:$B = 12),"""")"),"")</f>
        <v/>
      </c>
      <c r="AA43" t="str">
        <f>IFERROR(__xludf.DUMMYFUNCTION("IFERROR(FILTER('Fund Data'!$D:$D, 'Fund Data'!$C:$C = $A43, 'Fund Data'!$A:$A = AA$1, 'Fund Data'!$B:$B = 12),"""")"),"")</f>
        <v/>
      </c>
      <c r="AB43" t="str">
        <f>IFERROR(__xludf.DUMMYFUNCTION("IFERROR(FILTER('Fund Data'!$D:$D, 'Fund Data'!$C:$C = $A43, 'Fund Data'!$A:$A = AB$1, 'Fund Data'!$B:$B = 12),"""")"),"")</f>
        <v/>
      </c>
      <c r="AC43" t="str">
        <f>IFERROR(__xludf.DUMMYFUNCTION("IFERROR(FILTER('Fund Data'!$D:$D, 'Fund Data'!$C:$C = $A43, 'Fund Data'!$A:$A = AC$1, 'Fund Data'!$B:$B = 12),"""")"),"")</f>
        <v/>
      </c>
      <c r="AD43" t="str">
        <f>IFERROR(__xludf.DUMMYFUNCTION("IFERROR(FILTER('Fund Data'!$D:$D, 'Fund Data'!$C:$C = $A43, 'Fund Data'!$A:$A = AD$1, 'Fund Data'!$B:$B = 12),"""")"),"")</f>
        <v/>
      </c>
      <c r="AE43" t="str">
        <f>IFERROR(__xludf.DUMMYFUNCTION("IFERROR(FILTER('Fund Data'!$D:$D, 'Fund Data'!$C:$C = $A43, 'Fund Data'!$A:$A = AE$1, 'Fund Data'!$B:$B = 12),"""")"),"")</f>
        <v/>
      </c>
    </row>
    <row r="44">
      <c r="A44" s="145" t="str">
        <f>'Endowed Funds'!B:B</f>
        <v/>
      </c>
      <c r="B44" t="str">
        <f>IFERROR(__xludf.DUMMYFUNCTION("IFERROR(FILTER('Fund Data'!$D:$D, 'Fund Data'!$C:$C = $A44, 'Fund Data'!$A:$A = B$1, 'Fund Data'!$B:$B = 12),"""")"),"")</f>
        <v/>
      </c>
      <c r="C44" t="str">
        <f>IFERROR(__xludf.DUMMYFUNCTION("IFERROR(FILTER('Fund Data'!$D:$D, 'Fund Data'!$C:$C = $A44, 'Fund Data'!$A:$A = C$1, 'Fund Data'!$B:$B = 12),"""")"),"")</f>
        <v/>
      </c>
      <c r="D44" t="str">
        <f>IFERROR(__xludf.DUMMYFUNCTION("IFERROR(FILTER('Fund Data'!$D:$D, 'Fund Data'!$C:$C = $A44, 'Fund Data'!$A:$A = D$1, 'Fund Data'!$B:$B = 12),"""")"),"")</f>
        <v/>
      </c>
      <c r="E44" t="str">
        <f>IFERROR(__xludf.DUMMYFUNCTION("IFERROR(FILTER('Fund Data'!$D:$D, 'Fund Data'!$C:$C = $A44, 'Fund Data'!$A:$A = E$1, 'Fund Data'!$B:$B = 12),"""")"),"")</f>
        <v/>
      </c>
      <c r="F44" t="str">
        <f>IFERROR(__xludf.DUMMYFUNCTION("IFERROR(FILTER('Fund Data'!$D:$D, 'Fund Data'!$C:$C = $A44, 'Fund Data'!$A:$A = F$1, 'Fund Data'!$B:$B = 12),"""")"),"")</f>
        <v/>
      </c>
      <c r="G44" t="str">
        <f>IFERROR(__xludf.DUMMYFUNCTION("IFERROR(FILTER('Fund Data'!$D:$D, 'Fund Data'!$C:$C = $A44, 'Fund Data'!$A:$A = G$1, 'Fund Data'!$B:$B = 12),"""")"),"")</f>
        <v/>
      </c>
      <c r="H44" t="str">
        <f>IFERROR(__xludf.DUMMYFUNCTION("IFERROR(FILTER('Fund Data'!$D:$D, 'Fund Data'!$C:$C = $A44, 'Fund Data'!$A:$A = H$1, 'Fund Data'!$B:$B = 12),"""")"),"")</f>
        <v/>
      </c>
      <c r="I44" t="str">
        <f>IFERROR(__xludf.DUMMYFUNCTION("IFERROR(FILTER('Fund Data'!$D:$D, 'Fund Data'!$C:$C = $A44, 'Fund Data'!$A:$A = I$1, 'Fund Data'!$B:$B = 12),"""")"),"")</f>
        <v/>
      </c>
      <c r="J44" t="str">
        <f>IFERROR(__xludf.DUMMYFUNCTION("IFERROR(FILTER('Fund Data'!$D:$D, 'Fund Data'!$C:$C = $A44, 'Fund Data'!$A:$A = J$1, 'Fund Data'!$B:$B = 12),"""")"),"")</f>
        <v/>
      </c>
      <c r="K44" t="str">
        <f>IFERROR(__xludf.DUMMYFUNCTION("IFERROR(FILTER('Fund Data'!$D:$D, 'Fund Data'!$C:$C = $A44, 'Fund Data'!$A:$A = K$1, 'Fund Data'!$B:$B = 12),"""")"),"")</f>
        <v/>
      </c>
      <c r="L44" t="str">
        <f>IFERROR(__xludf.DUMMYFUNCTION("IFERROR(FILTER('Fund Data'!$D:$D, 'Fund Data'!$C:$C = $A44, 'Fund Data'!$A:$A = L$1, 'Fund Data'!$B:$B = 12),"""")"),"")</f>
        <v/>
      </c>
      <c r="M44" t="str">
        <f>IFERROR(__xludf.DUMMYFUNCTION("IFERROR(FILTER('Fund Data'!$D:$D, 'Fund Data'!$C:$C = $A44, 'Fund Data'!$A:$A = M$1, 'Fund Data'!$B:$B = 12),"""")"),"")</f>
        <v/>
      </c>
      <c r="N44" t="str">
        <f>IFERROR(__xludf.DUMMYFUNCTION("IFERROR(FILTER('Fund Data'!$D:$D, 'Fund Data'!$C:$C = $A44, 'Fund Data'!$A:$A = N$1, 'Fund Data'!$B:$B = 12),"""")"),"")</f>
        <v/>
      </c>
      <c r="O44" t="str">
        <f>IFERROR(__xludf.DUMMYFUNCTION("IFERROR(FILTER('Fund Data'!$D:$D, 'Fund Data'!$C:$C = $A44, 'Fund Data'!$A:$A = O$1, 'Fund Data'!$B:$B = 12),"""")"),"")</f>
        <v/>
      </c>
      <c r="P44" t="str">
        <f>IFERROR(__xludf.DUMMYFUNCTION("IFERROR(FILTER('Fund Data'!$D:$D, 'Fund Data'!$C:$C = $A44, 'Fund Data'!$A:$A = P$1, 'Fund Data'!$B:$B = 12),"""")"),"")</f>
        <v/>
      </c>
      <c r="Q44" t="str">
        <f>IFERROR(__xludf.DUMMYFUNCTION("IFERROR(FILTER('Fund Data'!$D:$D, 'Fund Data'!$C:$C = $A44, 'Fund Data'!$A:$A = Q$1, 'Fund Data'!$B:$B = 12),"""")"),"")</f>
        <v/>
      </c>
      <c r="R44" t="str">
        <f>IFERROR(__xludf.DUMMYFUNCTION("IFERROR(FILTER('Fund Data'!$D:$D, 'Fund Data'!$C:$C = $A44, 'Fund Data'!$A:$A = R$1, 'Fund Data'!$B:$B = 12),"""")"),"")</f>
        <v/>
      </c>
      <c r="S44" t="str">
        <f>IFERROR(__xludf.DUMMYFUNCTION("IFERROR(FILTER('Fund Data'!$D:$D, 'Fund Data'!$C:$C = $A44, 'Fund Data'!$A:$A = S$1, 'Fund Data'!$B:$B = 12),"""")"),"")</f>
        <v/>
      </c>
      <c r="T44" t="str">
        <f>IFERROR(__xludf.DUMMYFUNCTION("IFERROR(FILTER('Fund Data'!$D:$D, 'Fund Data'!$C:$C = $A44, 'Fund Data'!$A:$A = T$1, 'Fund Data'!$B:$B = 12),"""")"),"")</f>
        <v/>
      </c>
      <c r="U44" t="str">
        <f>IFERROR(__xludf.DUMMYFUNCTION("IFERROR(FILTER('Fund Data'!$D:$D, 'Fund Data'!$C:$C = $A44, 'Fund Data'!$A:$A = U$1, 'Fund Data'!$B:$B = 12),"""")"),"")</f>
        <v/>
      </c>
      <c r="V44" t="str">
        <f>IFERROR(__xludf.DUMMYFUNCTION("IFERROR(FILTER('Fund Data'!$D:$D, 'Fund Data'!$C:$C = $A44, 'Fund Data'!$A:$A = V$1, 'Fund Data'!$B:$B = 12),"""")"),"")</f>
        <v/>
      </c>
      <c r="W44" t="str">
        <f>IFERROR(__xludf.DUMMYFUNCTION("IFERROR(FILTER('Fund Data'!$D:$D, 'Fund Data'!$C:$C = $A44, 'Fund Data'!$A:$A = W$1, 'Fund Data'!$B:$B = 12),"""")"),"")</f>
        <v/>
      </c>
      <c r="X44" t="str">
        <f>IFERROR(__xludf.DUMMYFUNCTION("IFERROR(FILTER('Fund Data'!$D:$D, 'Fund Data'!$C:$C = $A44, 'Fund Data'!$A:$A = X$1, 'Fund Data'!$B:$B = 12),"""")"),"")</f>
        <v/>
      </c>
      <c r="Y44" t="str">
        <f>IFERROR(__xludf.DUMMYFUNCTION("IFERROR(FILTER('Fund Data'!$D:$D, 'Fund Data'!$C:$C = $A44, 'Fund Data'!$A:$A = Y$1, 'Fund Data'!$B:$B = 12),"""")"),"")</f>
        <v/>
      </c>
      <c r="Z44" t="str">
        <f>IFERROR(__xludf.DUMMYFUNCTION("IFERROR(FILTER('Fund Data'!$D:$D, 'Fund Data'!$C:$C = $A44, 'Fund Data'!$A:$A = Z$1, 'Fund Data'!$B:$B = 12),"""")"),"")</f>
        <v/>
      </c>
      <c r="AA44" t="str">
        <f>IFERROR(__xludf.DUMMYFUNCTION("IFERROR(FILTER('Fund Data'!$D:$D, 'Fund Data'!$C:$C = $A44, 'Fund Data'!$A:$A = AA$1, 'Fund Data'!$B:$B = 12),"""")"),"")</f>
        <v/>
      </c>
      <c r="AB44" t="str">
        <f>IFERROR(__xludf.DUMMYFUNCTION("IFERROR(FILTER('Fund Data'!$D:$D, 'Fund Data'!$C:$C = $A44, 'Fund Data'!$A:$A = AB$1, 'Fund Data'!$B:$B = 12),"""")"),"")</f>
        <v/>
      </c>
      <c r="AC44" t="str">
        <f>IFERROR(__xludf.DUMMYFUNCTION("IFERROR(FILTER('Fund Data'!$D:$D, 'Fund Data'!$C:$C = $A44, 'Fund Data'!$A:$A = AC$1, 'Fund Data'!$B:$B = 12),"""")"),"")</f>
        <v/>
      </c>
      <c r="AD44" t="str">
        <f>IFERROR(__xludf.DUMMYFUNCTION("IFERROR(FILTER('Fund Data'!$D:$D, 'Fund Data'!$C:$C = $A44, 'Fund Data'!$A:$A = AD$1, 'Fund Data'!$B:$B = 12),"""")"),"")</f>
        <v/>
      </c>
      <c r="AE44" t="str">
        <f>IFERROR(__xludf.DUMMYFUNCTION("IFERROR(FILTER('Fund Data'!$D:$D, 'Fund Data'!$C:$C = $A44, 'Fund Data'!$A:$A = AE$1, 'Fund Data'!$B:$B = 12),"""")"),"")</f>
        <v/>
      </c>
    </row>
    <row r="45">
      <c r="A45" s="145" t="str">
        <f>'Endowed Funds'!B:B</f>
        <v/>
      </c>
      <c r="B45" t="str">
        <f>IFERROR(__xludf.DUMMYFUNCTION("IFERROR(FILTER('Fund Data'!$D:$D, 'Fund Data'!$C:$C = $A45, 'Fund Data'!$A:$A = B$1, 'Fund Data'!$B:$B = 12),"""")"),"")</f>
        <v/>
      </c>
      <c r="C45" t="str">
        <f>IFERROR(__xludf.DUMMYFUNCTION("IFERROR(FILTER('Fund Data'!$D:$D, 'Fund Data'!$C:$C = $A45, 'Fund Data'!$A:$A = C$1, 'Fund Data'!$B:$B = 12),"""")"),"")</f>
        <v/>
      </c>
      <c r="D45" t="str">
        <f>IFERROR(__xludf.DUMMYFUNCTION("IFERROR(FILTER('Fund Data'!$D:$D, 'Fund Data'!$C:$C = $A45, 'Fund Data'!$A:$A = D$1, 'Fund Data'!$B:$B = 12),"""")"),"")</f>
        <v/>
      </c>
      <c r="E45" t="str">
        <f>IFERROR(__xludf.DUMMYFUNCTION("IFERROR(FILTER('Fund Data'!$D:$D, 'Fund Data'!$C:$C = $A45, 'Fund Data'!$A:$A = E$1, 'Fund Data'!$B:$B = 12),"""")"),"")</f>
        <v/>
      </c>
      <c r="F45" t="str">
        <f>IFERROR(__xludf.DUMMYFUNCTION("IFERROR(FILTER('Fund Data'!$D:$D, 'Fund Data'!$C:$C = $A45, 'Fund Data'!$A:$A = F$1, 'Fund Data'!$B:$B = 12),"""")"),"")</f>
        <v/>
      </c>
      <c r="G45" t="str">
        <f>IFERROR(__xludf.DUMMYFUNCTION("IFERROR(FILTER('Fund Data'!$D:$D, 'Fund Data'!$C:$C = $A45, 'Fund Data'!$A:$A = G$1, 'Fund Data'!$B:$B = 12),"""")"),"")</f>
        <v/>
      </c>
      <c r="H45" t="str">
        <f>IFERROR(__xludf.DUMMYFUNCTION("IFERROR(FILTER('Fund Data'!$D:$D, 'Fund Data'!$C:$C = $A45, 'Fund Data'!$A:$A = H$1, 'Fund Data'!$B:$B = 12),"""")"),"")</f>
        <v/>
      </c>
      <c r="I45" t="str">
        <f>IFERROR(__xludf.DUMMYFUNCTION("IFERROR(FILTER('Fund Data'!$D:$D, 'Fund Data'!$C:$C = $A45, 'Fund Data'!$A:$A = I$1, 'Fund Data'!$B:$B = 12),"""")"),"")</f>
        <v/>
      </c>
      <c r="J45" t="str">
        <f>IFERROR(__xludf.DUMMYFUNCTION("IFERROR(FILTER('Fund Data'!$D:$D, 'Fund Data'!$C:$C = $A45, 'Fund Data'!$A:$A = J$1, 'Fund Data'!$B:$B = 12),"""")"),"")</f>
        <v/>
      </c>
      <c r="K45" t="str">
        <f>IFERROR(__xludf.DUMMYFUNCTION("IFERROR(FILTER('Fund Data'!$D:$D, 'Fund Data'!$C:$C = $A45, 'Fund Data'!$A:$A = K$1, 'Fund Data'!$B:$B = 12),"""")"),"")</f>
        <v/>
      </c>
      <c r="L45" t="str">
        <f>IFERROR(__xludf.DUMMYFUNCTION("IFERROR(FILTER('Fund Data'!$D:$D, 'Fund Data'!$C:$C = $A45, 'Fund Data'!$A:$A = L$1, 'Fund Data'!$B:$B = 12),"""")"),"")</f>
        <v/>
      </c>
      <c r="M45" t="str">
        <f>IFERROR(__xludf.DUMMYFUNCTION("IFERROR(FILTER('Fund Data'!$D:$D, 'Fund Data'!$C:$C = $A45, 'Fund Data'!$A:$A = M$1, 'Fund Data'!$B:$B = 12),"""")"),"")</f>
        <v/>
      </c>
      <c r="N45" t="str">
        <f>IFERROR(__xludf.DUMMYFUNCTION("IFERROR(FILTER('Fund Data'!$D:$D, 'Fund Data'!$C:$C = $A45, 'Fund Data'!$A:$A = N$1, 'Fund Data'!$B:$B = 12),"""")"),"")</f>
        <v/>
      </c>
      <c r="O45" t="str">
        <f>IFERROR(__xludf.DUMMYFUNCTION("IFERROR(FILTER('Fund Data'!$D:$D, 'Fund Data'!$C:$C = $A45, 'Fund Data'!$A:$A = O$1, 'Fund Data'!$B:$B = 12),"""")"),"")</f>
        <v/>
      </c>
      <c r="P45" t="str">
        <f>IFERROR(__xludf.DUMMYFUNCTION("IFERROR(FILTER('Fund Data'!$D:$D, 'Fund Data'!$C:$C = $A45, 'Fund Data'!$A:$A = P$1, 'Fund Data'!$B:$B = 12),"""")"),"")</f>
        <v/>
      </c>
      <c r="Q45" t="str">
        <f>IFERROR(__xludf.DUMMYFUNCTION("IFERROR(FILTER('Fund Data'!$D:$D, 'Fund Data'!$C:$C = $A45, 'Fund Data'!$A:$A = Q$1, 'Fund Data'!$B:$B = 12),"""")"),"")</f>
        <v/>
      </c>
      <c r="R45" t="str">
        <f>IFERROR(__xludf.DUMMYFUNCTION("IFERROR(FILTER('Fund Data'!$D:$D, 'Fund Data'!$C:$C = $A45, 'Fund Data'!$A:$A = R$1, 'Fund Data'!$B:$B = 12),"""")"),"")</f>
        <v/>
      </c>
      <c r="S45" t="str">
        <f>IFERROR(__xludf.DUMMYFUNCTION("IFERROR(FILTER('Fund Data'!$D:$D, 'Fund Data'!$C:$C = $A45, 'Fund Data'!$A:$A = S$1, 'Fund Data'!$B:$B = 12),"""")"),"")</f>
        <v/>
      </c>
      <c r="T45" t="str">
        <f>IFERROR(__xludf.DUMMYFUNCTION("IFERROR(FILTER('Fund Data'!$D:$D, 'Fund Data'!$C:$C = $A45, 'Fund Data'!$A:$A = T$1, 'Fund Data'!$B:$B = 12),"""")"),"")</f>
        <v/>
      </c>
      <c r="U45" t="str">
        <f>IFERROR(__xludf.DUMMYFUNCTION("IFERROR(FILTER('Fund Data'!$D:$D, 'Fund Data'!$C:$C = $A45, 'Fund Data'!$A:$A = U$1, 'Fund Data'!$B:$B = 12),"""")"),"")</f>
        <v/>
      </c>
      <c r="V45" t="str">
        <f>IFERROR(__xludf.DUMMYFUNCTION("IFERROR(FILTER('Fund Data'!$D:$D, 'Fund Data'!$C:$C = $A45, 'Fund Data'!$A:$A = V$1, 'Fund Data'!$B:$B = 12),"""")"),"")</f>
        <v/>
      </c>
      <c r="W45" t="str">
        <f>IFERROR(__xludf.DUMMYFUNCTION("IFERROR(FILTER('Fund Data'!$D:$D, 'Fund Data'!$C:$C = $A45, 'Fund Data'!$A:$A = W$1, 'Fund Data'!$B:$B = 12),"""")"),"")</f>
        <v/>
      </c>
      <c r="X45" t="str">
        <f>IFERROR(__xludf.DUMMYFUNCTION("IFERROR(FILTER('Fund Data'!$D:$D, 'Fund Data'!$C:$C = $A45, 'Fund Data'!$A:$A = X$1, 'Fund Data'!$B:$B = 12),"""")"),"")</f>
        <v/>
      </c>
      <c r="Y45" t="str">
        <f>IFERROR(__xludf.DUMMYFUNCTION("IFERROR(FILTER('Fund Data'!$D:$D, 'Fund Data'!$C:$C = $A45, 'Fund Data'!$A:$A = Y$1, 'Fund Data'!$B:$B = 12),"""")"),"")</f>
        <v/>
      </c>
      <c r="Z45" t="str">
        <f>IFERROR(__xludf.DUMMYFUNCTION("IFERROR(FILTER('Fund Data'!$D:$D, 'Fund Data'!$C:$C = $A45, 'Fund Data'!$A:$A = Z$1, 'Fund Data'!$B:$B = 12),"""")"),"")</f>
        <v/>
      </c>
      <c r="AA45" t="str">
        <f>IFERROR(__xludf.DUMMYFUNCTION("IFERROR(FILTER('Fund Data'!$D:$D, 'Fund Data'!$C:$C = $A45, 'Fund Data'!$A:$A = AA$1, 'Fund Data'!$B:$B = 12),"""")"),"")</f>
        <v/>
      </c>
      <c r="AB45" t="str">
        <f>IFERROR(__xludf.DUMMYFUNCTION("IFERROR(FILTER('Fund Data'!$D:$D, 'Fund Data'!$C:$C = $A45, 'Fund Data'!$A:$A = AB$1, 'Fund Data'!$B:$B = 12),"""")"),"")</f>
        <v/>
      </c>
      <c r="AC45" t="str">
        <f>IFERROR(__xludf.DUMMYFUNCTION("IFERROR(FILTER('Fund Data'!$D:$D, 'Fund Data'!$C:$C = $A45, 'Fund Data'!$A:$A = AC$1, 'Fund Data'!$B:$B = 12),"""")"),"")</f>
        <v/>
      </c>
      <c r="AD45" t="str">
        <f>IFERROR(__xludf.DUMMYFUNCTION("IFERROR(FILTER('Fund Data'!$D:$D, 'Fund Data'!$C:$C = $A45, 'Fund Data'!$A:$A = AD$1, 'Fund Data'!$B:$B = 12),"""")"),"")</f>
        <v/>
      </c>
      <c r="AE45" t="str">
        <f>IFERROR(__xludf.DUMMYFUNCTION("IFERROR(FILTER('Fund Data'!$D:$D, 'Fund Data'!$C:$C = $A45, 'Fund Data'!$A:$A = AE$1, 'Fund Data'!$B:$B = 12),"""")"),"")</f>
        <v/>
      </c>
    </row>
    <row r="46">
      <c r="A46" s="145" t="str">
        <f>'Endowed Funds'!B:B</f>
        <v/>
      </c>
      <c r="B46" t="str">
        <f>IFERROR(__xludf.DUMMYFUNCTION("IFERROR(FILTER('Fund Data'!$D:$D, 'Fund Data'!$C:$C = $A46, 'Fund Data'!$A:$A = B$1, 'Fund Data'!$B:$B = 12),"""")"),"")</f>
        <v/>
      </c>
      <c r="C46" t="str">
        <f>IFERROR(__xludf.DUMMYFUNCTION("IFERROR(FILTER('Fund Data'!$D:$D, 'Fund Data'!$C:$C = $A46, 'Fund Data'!$A:$A = C$1, 'Fund Data'!$B:$B = 12),"""")"),"")</f>
        <v/>
      </c>
      <c r="D46" t="str">
        <f>IFERROR(__xludf.DUMMYFUNCTION("IFERROR(FILTER('Fund Data'!$D:$D, 'Fund Data'!$C:$C = $A46, 'Fund Data'!$A:$A = D$1, 'Fund Data'!$B:$B = 12),"""")"),"")</f>
        <v/>
      </c>
      <c r="E46" t="str">
        <f>IFERROR(__xludf.DUMMYFUNCTION("IFERROR(FILTER('Fund Data'!$D:$D, 'Fund Data'!$C:$C = $A46, 'Fund Data'!$A:$A = E$1, 'Fund Data'!$B:$B = 12),"""")"),"")</f>
        <v/>
      </c>
      <c r="F46" t="str">
        <f>IFERROR(__xludf.DUMMYFUNCTION("IFERROR(FILTER('Fund Data'!$D:$D, 'Fund Data'!$C:$C = $A46, 'Fund Data'!$A:$A = F$1, 'Fund Data'!$B:$B = 12),"""")"),"")</f>
        <v/>
      </c>
      <c r="G46" t="str">
        <f>IFERROR(__xludf.DUMMYFUNCTION("IFERROR(FILTER('Fund Data'!$D:$D, 'Fund Data'!$C:$C = $A46, 'Fund Data'!$A:$A = G$1, 'Fund Data'!$B:$B = 12),"""")"),"")</f>
        <v/>
      </c>
      <c r="H46" t="str">
        <f>IFERROR(__xludf.DUMMYFUNCTION("IFERROR(FILTER('Fund Data'!$D:$D, 'Fund Data'!$C:$C = $A46, 'Fund Data'!$A:$A = H$1, 'Fund Data'!$B:$B = 12),"""")"),"")</f>
        <v/>
      </c>
      <c r="I46" t="str">
        <f>IFERROR(__xludf.DUMMYFUNCTION("IFERROR(FILTER('Fund Data'!$D:$D, 'Fund Data'!$C:$C = $A46, 'Fund Data'!$A:$A = I$1, 'Fund Data'!$B:$B = 12),"""")"),"")</f>
        <v/>
      </c>
      <c r="J46" t="str">
        <f>IFERROR(__xludf.DUMMYFUNCTION("IFERROR(FILTER('Fund Data'!$D:$D, 'Fund Data'!$C:$C = $A46, 'Fund Data'!$A:$A = J$1, 'Fund Data'!$B:$B = 12),"""")"),"")</f>
        <v/>
      </c>
      <c r="K46" t="str">
        <f>IFERROR(__xludf.DUMMYFUNCTION("IFERROR(FILTER('Fund Data'!$D:$D, 'Fund Data'!$C:$C = $A46, 'Fund Data'!$A:$A = K$1, 'Fund Data'!$B:$B = 12),"""")"),"")</f>
        <v/>
      </c>
      <c r="L46" t="str">
        <f>IFERROR(__xludf.DUMMYFUNCTION("IFERROR(FILTER('Fund Data'!$D:$D, 'Fund Data'!$C:$C = $A46, 'Fund Data'!$A:$A = L$1, 'Fund Data'!$B:$B = 12),"""")"),"")</f>
        <v/>
      </c>
      <c r="M46" t="str">
        <f>IFERROR(__xludf.DUMMYFUNCTION("IFERROR(FILTER('Fund Data'!$D:$D, 'Fund Data'!$C:$C = $A46, 'Fund Data'!$A:$A = M$1, 'Fund Data'!$B:$B = 12),"""")"),"")</f>
        <v/>
      </c>
      <c r="N46" t="str">
        <f>IFERROR(__xludf.DUMMYFUNCTION("IFERROR(FILTER('Fund Data'!$D:$D, 'Fund Data'!$C:$C = $A46, 'Fund Data'!$A:$A = N$1, 'Fund Data'!$B:$B = 12),"""")"),"")</f>
        <v/>
      </c>
      <c r="O46" t="str">
        <f>IFERROR(__xludf.DUMMYFUNCTION("IFERROR(FILTER('Fund Data'!$D:$D, 'Fund Data'!$C:$C = $A46, 'Fund Data'!$A:$A = O$1, 'Fund Data'!$B:$B = 12),"""")"),"")</f>
        <v/>
      </c>
      <c r="P46" t="str">
        <f>IFERROR(__xludf.DUMMYFUNCTION("IFERROR(FILTER('Fund Data'!$D:$D, 'Fund Data'!$C:$C = $A46, 'Fund Data'!$A:$A = P$1, 'Fund Data'!$B:$B = 12),"""")"),"")</f>
        <v/>
      </c>
      <c r="Q46" t="str">
        <f>IFERROR(__xludf.DUMMYFUNCTION("IFERROR(FILTER('Fund Data'!$D:$D, 'Fund Data'!$C:$C = $A46, 'Fund Data'!$A:$A = Q$1, 'Fund Data'!$B:$B = 12),"""")"),"")</f>
        <v/>
      </c>
      <c r="R46" t="str">
        <f>IFERROR(__xludf.DUMMYFUNCTION("IFERROR(FILTER('Fund Data'!$D:$D, 'Fund Data'!$C:$C = $A46, 'Fund Data'!$A:$A = R$1, 'Fund Data'!$B:$B = 12),"""")"),"")</f>
        <v/>
      </c>
      <c r="S46" t="str">
        <f>IFERROR(__xludf.DUMMYFUNCTION("IFERROR(FILTER('Fund Data'!$D:$D, 'Fund Data'!$C:$C = $A46, 'Fund Data'!$A:$A = S$1, 'Fund Data'!$B:$B = 12),"""")"),"")</f>
        <v/>
      </c>
      <c r="T46" t="str">
        <f>IFERROR(__xludf.DUMMYFUNCTION("IFERROR(FILTER('Fund Data'!$D:$D, 'Fund Data'!$C:$C = $A46, 'Fund Data'!$A:$A = T$1, 'Fund Data'!$B:$B = 12),"""")"),"")</f>
        <v/>
      </c>
      <c r="U46" t="str">
        <f>IFERROR(__xludf.DUMMYFUNCTION("IFERROR(FILTER('Fund Data'!$D:$D, 'Fund Data'!$C:$C = $A46, 'Fund Data'!$A:$A = U$1, 'Fund Data'!$B:$B = 12),"""")"),"")</f>
        <v/>
      </c>
      <c r="V46" t="str">
        <f>IFERROR(__xludf.DUMMYFUNCTION("IFERROR(FILTER('Fund Data'!$D:$D, 'Fund Data'!$C:$C = $A46, 'Fund Data'!$A:$A = V$1, 'Fund Data'!$B:$B = 12),"""")"),"")</f>
        <v/>
      </c>
      <c r="W46" t="str">
        <f>IFERROR(__xludf.DUMMYFUNCTION("IFERROR(FILTER('Fund Data'!$D:$D, 'Fund Data'!$C:$C = $A46, 'Fund Data'!$A:$A = W$1, 'Fund Data'!$B:$B = 12),"""")"),"")</f>
        <v/>
      </c>
      <c r="X46" t="str">
        <f>IFERROR(__xludf.DUMMYFUNCTION("IFERROR(FILTER('Fund Data'!$D:$D, 'Fund Data'!$C:$C = $A46, 'Fund Data'!$A:$A = X$1, 'Fund Data'!$B:$B = 12),"""")"),"")</f>
        <v/>
      </c>
      <c r="Y46" t="str">
        <f>IFERROR(__xludf.DUMMYFUNCTION("IFERROR(FILTER('Fund Data'!$D:$D, 'Fund Data'!$C:$C = $A46, 'Fund Data'!$A:$A = Y$1, 'Fund Data'!$B:$B = 12),"""")"),"")</f>
        <v/>
      </c>
      <c r="Z46" t="str">
        <f>IFERROR(__xludf.DUMMYFUNCTION("IFERROR(FILTER('Fund Data'!$D:$D, 'Fund Data'!$C:$C = $A46, 'Fund Data'!$A:$A = Z$1, 'Fund Data'!$B:$B = 12),"""")"),"")</f>
        <v/>
      </c>
      <c r="AA46" t="str">
        <f>IFERROR(__xludf.DUMMYFUNCTION("IFERROR(FILTER('Fund Data'!$D:$D, 'Fund Data'!$C:$C = $A46, 'Fund Data'!$A:$A = AA$1, 'Fund Data'!$B:$B = 12),"""")"),"")</f>
        <v/>
      </c>
      <c r="AB46" t="str">
        <f>IFERROR(__xludf.DUMMYFUNCTION("IFERROR(FILTER('Fund Data'!$D:$D, 'Fund Data'!$C:$C = $A46, 'Fund Data'!$A:$A = AB$1, 'Fund Data'!$B:$B = 12),"""")"),"")</f>
        <v/>
      </c>
      <c r="AC46" t="str">
        <f>IFERROR(__xludf.DUMMYFUNCTION("IFERROR(FILTER('Fund Data'!$D:$D, 'Fund Data'!$C:$C = $A46, 'Fund Data'!$A:$A = AC$1, 'Fund Data'!$B:$B = 12),"""")"),"")</f>
        <v/>
      </c>
      <c r="AD46" t="str">
        <f>IFERROR(__xludf.DUMMYFUNCTION("IFERROR(FILTER('Fund Data'!$D:$D, 'Fund Data'!$C:$C = $A46, 'Fund Data'!$A:$A = AD$1, 'Fund Data'!$B:$B = 12),"""")"),"")</f>
        <v/>
      </c>
      <c r="AE46" t="str">
        <f>IFERROR(__xludf.DUMMYFUNCTION("IFERROR(FILTER('Fund Data'!$D:$D, 'Fund Data'!$C:$C = $A46, 'Fund Data'!$A:$A = AE$1, 'Fund Data'!$B:$B = 12),"""")"),"")</f>
        <v/>
      </c>
    </row>
    <row r="47">
      <c r="A47" s="145" t="str">
        <f>'Endowed Funds'!B:B</f>
        <v/>
      </c>
      <c r="B47" t="str">
        <f>IFERROR(__xludf.DUMMYFUNCTION("IFERROR(FILTER('Fund Data'!$D:$D, 'Fund Data'!$C:$C = $A47, 'Fund Data'!$A:$A = B$1, 'Fund Data'!$B:$B = 12),"""")"),"")</f>
        <v/>
      </c>
      <c r="C47" t="str">
        <f>IFERROR(__xludf.DUMMYFUNCTION("IFERROR(FILTER('Fund Data'!$D:$D, 'Fund Data'!$C:$C = $A47, 'Fund Data'!$A:$A = C$1, 'Fund Data'!$B:$B = 12),"""")"),"")</f>
        <v/>
      </c>
      <c r="D47" t="str">
        <f>IFERROR(__xludf.DUMMYFUNCTION("IFERROR(FILTER('Fund Data'!$D:$D, 'Fund Data'!$C:$C = $A47, 'Fund Data'!$A:$A = D$1, 'Fund Data'!$B:$B = 12),"""")"),"")</f>
        <v/>
      </c>
      <c r="E47" t="str">
        <f>IFERROR(__xludf.DUMMYFUNCTION("IFERROR(FILTER('Fund Data'!$D:$D, 'Fund Data'!$C:$C = $A47, 'Fund Data'!$A:$A = E$1, 'Fund Data'!$B:$B = 12),"""")"),"")</f>
        <v/>
      </c>
      <c r="F47" t="str">
        <f>IFERROR(__xludf.DUMMYFUNCTION("IFERROR(FILTER('Fund Data'!$D:$D, 'Fund Data'!$C:$C = $A47, 'Fund Data'!$A:$A = F$1, 'Fund Data'!$B:$B = 12),"""")"),"")</f>
        <v/>
      </c>
      <c r="G47" t="str">
        <f>IFERROR(__xludf.DUMMYFUNCTION("IFERROR(FILTER('Fund Data'!$D:$D, 'Fund Data'!$C:$C = $A47, 'Fund Data'!$A:$A = G$1, 'Fund Data'!$B:$B = 12),"""")"),"")</f>
        <v/>
      </c>
      <c r="H47" t="str">
        <f>IFERROR(__xludf.DUMMYFUNCTION("IFERROR(FILTER('Fund Data'!$D:$D, 'Fund Data'!$C:$C = $A47, 'Fund Data'!$A:$A = H$1, 'Fund Data'!$B:$B = 12),"""")"),"")</f>
        <v/>
      </c>
      <c r="I47" t="str">
        <f>IFERROR(__xludf.DUMMYFUNCTION("IFERROR(FILTER('Fund Data'!$D:$D, 'Fund Data'!$C:$C = $A47, 'Fund Data'!$A:$A = I$1, 'Fund Data'!$B:$B = 12),"""")"),"")</f>
        <v/>
      </c>
      <c r="J47" t="str">
        <f>IFERROR(__xludf.DUMMYFUNCTION("IFERROR(FILTER('Fund Data'!$D:$D, 'Fund Data'!$C:$C = $A47, 'Fund Data'!$A:$A = J$1, 'Fund Data'!$B:$B = 12),"""")"),"")</f>
        <v/>
      </c>
      <c r="K47" t="str">
        <f>IFERROR(__xludf.DUMMYFUNCTION("IFERROR(FILTER('Fund Data'!$D:$D, 'Fund Data'!$C:$C = $A47, 'Fund Data'!$A:$A = K$1, 'Fund Data'!$B:$B = 12),"""")"),"")</f>
        <v/>
      </c>
      <c r="L47" t="str">
        <f>IFERROR(__xludf.DUMMYFUNCTION("IFERROR(FILTER('Fund Data'!$D:$D, 'Fund Data'!$C:$C = $A47, 'Fund Data'!$A:$A = L$1, 'Fund Data'!$B:$B = 12),"""")"),"")</f>
        <v/>
      </c>
      <c r="M47" t="str">
        <f>IFERROR(__xludf.DUMMYFUNCTION("IFERROR(FILTER('Fund Data'!$D:$D, 'Fund Data'!$C:$C = $A47, 'Fund Data'!$A:$A = M$1, 'Fund Data'!$B:$B = 12),"""")"),"")</f>
        <v/>
      </c>
      <c r="N47" t="str">
        <f>IFERROR(__xludf.DUMMYFUNCTION("IFERROR(FILTER('Fund Data'!$D:$D, 'Fund Data'!$C:$C = $A47, 'Fund Data'!$A:$A = N$1, 'Fund Data'!$B:$B = 12),"""")"),"")</f>
        <v/>
      </c>
      <c r="O47" t="str">
        <f>IFERROR(__xludf.DUMMYFUNCTION("IFERROR(FILTER('Fund Data'!$D:$D, 'Fund Data'!$C:$C = $A47, 'Fund Data'!$A:$A = O$1, 'Fund Data'!$B:$B = 12),"""")"),"")</f>
        <v/>
      </c>
      <c r="P47" t="str">
        <f>IFERROR(__xludf.DUMMYFUNCTION("IFERROR(FILTER('Fund Data'!$D:$D, 'Fund Data'!$C:$C = $A47, 'Fund Data'!$A:$A = P$1, 'Fund Data'!$B:$B = 12),"""")"),"")</f>
        <v/>
      </c>
      <c r="Q47" t="str">
        <f>IFERROR(__xludf.DUMMYFUNCTION("IFERROR(FILTER('Fund Data'!$D:$D, 'Fund Data'!$C:$C = $A47, 'Fund Data'!$A:$A = Q$1, 'Fund Data'!$B:$B = 12),"""")"),"")</f>
        <v/>
      </c>
      <c r="R47" t="str">
        <f>IFERROR(__xludf.DUMMYFUNCTION("IFERROR(FILTER('Fund Data'!$D:$D, 'Fund Data'!$C:$C = $A47, 'Fund Data'!$A:$A = R$1, 'Fund Data'!$B:$B = 12),"""")"),"")</f>
        <v/>
      </c>
      <c r="S47" t="str">
        <f>IFERROR(__xludf.DUMMYFUNCTION("IFERROR(FILTER('Fund Data'!$D:$D, 'Fund Data'!$C:$C = $A47, 'Fund Data'!$A:$A = S$1, 'Fund Data'!$B:$B = 12),"""")"),"")</f>
        <v/>
      </c>
      <c r="T47" t="str">
        <f>IFERROR(__xludf.DUMMYFUNCTION("IFERROR(FILTER('Fund Data'!$D:$D, 'Fund Data'!$C:$C = $A47, 'Fund Data'!$A:$A = T$1, 'Fund Data'!$B:$B = 12),"""")"),"")</f>
        <v/>
      </c>
      <c r="U47" t="str">
        <f>IFERROR(__xludf.DUMMYFUNCTION("IFERROR(FILTER('Fund Data'!$D:$D, 'Fund Data'!$C:$C = $A47, 'Fund Data'!$A:$A = U$1, 'Fund Data'!$B:$B = 12),"""")"),"")</f>
        <v/>
      </c>
      <c r="V47" t="str">
        <f>IFERROR(__xludf.DUMMYFUNCTION("IFERROR(FILTER('Fund Data'!$D:$D, 'Fund Data'!$C:$C = $A47, 'Fund Data'!$A:$A = V$1, 'Fund Data'!$B:$B = 12),"""")"),"")</f>
        <v/>
      </c>
      <c r="W47" t="str">
        <f>IFERROR(__xludf.DUMMYFUNCTION("IFERROR(FILTER('Fund Data'!$D:$D, 'Fund Data'!$C:$C = $A47, 'Fund Data'!$A:$A = W$1, 'Fund Data'!$B:$B = 12),"""")"),"")</f>
        <v/>
      </c>
      <c r="X47" t="str">
        <f>IFERROR(__xludf.DUMMYFUNCTION("IFERROR(FILTER('Fund Data'!$D:$D, 'Fund Data'!$C:$C = $A47, 'Fund Data'!$A:$A = X$1, 'Fund Data'!$B:$B = 12),"""")"),"")</f>
        <v/>
      </c>
      <c r="Y47" t="str">
        <f>IFERROR(__xludf.DUMMYFUNCTION("IFERROR(FILTER('Fund Data'!$D:$D, 'Fund Data'!$C:$C = $A47, 'Fund Data'!$A:$A = Y$1, 'Fund Data'!$B:$B = 12),"""")"),"")</f>
        <v/>
      </c>
      <c r="Z47" t="str">
        <f>IFERROR(__xludf.DUMMYFUNCTION("IFERROR(FILTER('Fund Data'!$D:$D, 'Fund Data'!$C:$C = $A47, 'Fund Data'!$A:$A = Z$1, 'Fund Data'!$B:$B = 12),"""")"),"")</f>
        <v/>
      </c>
      <c r="AA47" t="str">
        <f>IFERROR(__xludf.DUMMYFUNCTION("IFERROR(FILTER('Fund Data'!$D:$D, 'Fund Data'!$C:$C = $A47, 'Fund Data'!$A:$A = AA$1, 'Fund Data'!$B:$B = 12),"""")"),"")</f>
        <v/>
      </c>
      <c r="AB47" t="str">
        <f>IFERROR(__xludf.DUMMYFUNCTION("IFERROR(FILTER('Fund Data'!$D:$D, 'Fund Data'!$C:$C = $A47, 'Fund Data'!$A:$A = AB$1, 'Fund Data'!$B:$B = 12),"""")"),"")</f>
        <v/>
      </c>
      <c r="AC47" t="str">
        <f>IFERROR(__xludf.DUMMYFUNCTION("IFERROR(FILTER('Fund Data'!$D:$D, 'Fund Data'!$C:$C = $A47, 'Fund Data'!$A:$A = AC$1, 'Fund Data'!$B:$B = 12),"""")"),"")</f>
        <v/>
      </c>
      <c r="AD47" t="str">
        <f>IFERROR(__xludf.DUMMYFUNCTION("IFERROR(FILTER('Fund Data'!$D:$D, 'Fund Data'!$C:$C = $A47, 'Fund Data'!$A:$A = AD$1, 'Fund Data'!$B:$B = 12),"""")"),"")</f>
        <v/>
      </c>
      <c r="AE47" t="str">
        <f>IFERROR(__xludf.DUMMYFUNCTION("IFERROR(FILTER('Fund Data'!$D:$D, 'Fund Data'!$C:$C = $A47, 'Fund Data'!$A:$A = AE$1, 'Fund Data'!$B:$B = 12),"""")"),"")</f>
        <v/>
      </c>
    </row>
    <row r="48">
      <c r="A48" s="145" t="str">
        <f>'Endowed Funds'!B:B</f>
        <v/>
      </c>
      <c r="B48" t="str">
        <f>IFERROR(__xludf.DUMMYFUNCTION("IFERROR(FILTER('Fund Data'!$D:$D, 'Fund Data'!$C:$C = $A48, 'Fund Data'!$A:$A = B$1, 'Fund Data'!$B:$B = 12),"""")"),"")</f>
        <v/>
      </c>
      <c r="C48" t="str">
        <f>IFERROR(__xludf.DUMMYFUNCTION("IFERROR(FILTER('Fund Data'!$D:$D, 'Fund Data'!$C:$C = $A48, 'Fund Data'!$A:$A = C$1, 'Fund Data'!$B:$B = 12),"""")"),"")</f>
        <v/>
      </c>
      <c r="D48" t="str">
        <f>IFERROR(__xludf.DUMMYFUNCTION("IFERROR(FILTER('Fund Data'!$D:$D, 'Fund Data'!$C:$C = $A48, 'Fund Data'!$A:$A = D$1, 'Fund Data'!$B:$B = 12),"""")"),"")</f>
        <v/>
      </c>
      <c r="E48" t="str">
        <f>IFERROR(__xludf.DUMMYFUNCTION("IFERROR(FILTER('Fund Data'!$D:$D, 'Fund Data'!$C:$C = $A48, 'Fund Data'!$A:$A = E$1, 'Fund Data'!$B:$B = 12),"""")"),"")</f>
        <v/>
      </c>
      <c r="F48" t="str">
        <f>IFERROR(__xludf.DUMMYFUNCTION("IFERROR(FILTER('Fund Data'!$D:$D, 'Fund Data'!$C:$C = $A48, 'Fund Data'!$A:$A = F$1, 'Fund Data'!$B:$B = 12),"""")"),"")</f>
        <v/>
      </c>
      <c r="G48" t="str">
        <f>IFERROR(__xludf.DUMMYFUNCTION("IFERROR(FILTER('Fund Data'!$D:$D, 'Fund Data'!$C:$C = $A48, 'Fund Data'!$A:$A = G$1, 'Fund Data'!$B:$B = 12),"""")"),"")</f>
        <v/>
      </c>
      <c r="H48" t="str">
        <f>IFERROR(__xludf.DUMMYFUNCTION("IFERROR(FILTER('Fund Data'!$D:$D, 'Fund Data'!$C:$C = $A48, 'Fund Data'!$A:$A = H$1, 'Fund Data'!$B:$B = 12),"""")"),"")</f>
        <v/>
      </c>
      <c r="I48" t="str">
        <f>IFERROR(__xludf.DUMMYFUNCTION("IFERROR(FILTER('Fund Data'!$D:$D, 'Fund Data'!$C:$C = $A48, 'Fund Data'!$A:$A = I$1, 'Fund Data'!$B:$B = 12),"""")"),"")</f>
        <v/>
      </c>
      <c r="J48" t="str">
        <f>IFERROR(__xludf.DUMMYFUNCTION("IFERROR(FILTER('Fund Data'!$D:$D, 'Fund Data'!$C:$C = $A48, 'Fund Data'!$A:$A = J$1, 'Fund Data'!$B:$B = 12),"""")"),"")</f>
        <v/>
      </c>
      <c r="K48" t="str">
        <f>IFERROR(__xludf.DUMMYFUNCTION("IFERROR(FILTER('Fund Data'!$D:$D, 'Fund Data'!$C:$C = $A48, 'Fund Data'!$A:$A = K$1, 'Fund Data'!$B:$B = 12),"""")"),"")</f>
        <v/>
      </c>
      <c r="L48" t="str">
        <f>IFERROR(__xludf.DUMMYFUNCTION("IFERROR(FILTER('Fund Data'!$D:$D, 'Fund Data'!$C:$C = $A48, 'Fund Data'!$A:$A = L$1, 'Fund Data'!$B:$B = 12),"""")"),"")</f>
        <v/>
      </c>
      <c r="M48" t="str">
        <f>IFERROR(__xludf.DUMMYFUNCTION("IFERROR(FILTER('Fund Data'!$D:$D, 'Fund Data'!$C:$C = $A48, 'Fund Data'!$A:$A = M$1, 'Fund Data'!$B:$B = 12),"""")"),"")</f>
        <v/>
      </c>
      <c r="N48" t="str">
        <f>IFERROR(__xludf.DUMMYFUNCTION("IFERROR(FILTER('Fund Data'!$D:$D, 'Fund Data'!$C:$C = $A48, 'Fund Data'!$A:$A = N$1, 'Fund Data'!$B:$B = 12),"""")"),"")</f>
        <v/>
      </c>
      <c r="O48" t="str">
        <f>IFERROR(__xludf.DUMMYFUNCTION("IFERROR(FILTER('Fund Data'!$D:$D, 'Fund Data'!$C:$C = $A48, 'Fund Data'!$A:$A = O$1, 'Fund Data'!$B:$B = 12),"""")"),"")</f>
        <v/>
      </c>
      <c r="P48" t="str">
        <f>IFERROR(__xludf.DUMMYFUNCTION("IFERROR(FILTER('Fund Data'!$D:$D, 'Fund Data'!$C:$C = $A48, 'Fund Data'!$A:$A = P$1, 'Fund Data'!$B:$B = 12),"""")"),"")</f>
        <v/>
      </c>
      <c r="Q48" t="str">
        <f>IFERROR(__xludf.DUMMYFUNCTION("IFERROR(FILTER('Fund Data'!$D:$D, 'Fund Data'!$C:$C = $A48, 'Fund Data'!$A:$A = Q$1, 'Fund Data'!$B:$B = 12),"""")"),"")</f>
        <v/>
      </c>
      <c r="R48" t="str">
        <f>IFERROR(__xludf.DUMMYFUNCTION("IFERROR(FILTER('Fund Data'!$D:$D, 'Fund Data'!$C:$C = $A48, 'Fund Data'!$A:$A = R$1, 'Fund Data'!$B:$B = 12),"""")"),"")</f>
        <v/>
      </c>
      <c r="S48" t="str">
        <f>IFERROR(__xludf.DUMMYFUNCTION("IFERROR(FILTER('Fund Data'!$D:$D, 'Fund Data'!$C:$C = $A48, 'Fund Data'!$A:$A = S$1, 'Fund Data'!$B:$B = 12),"""")"),"")</f>
        <v/>
      </c>
      <c r="T48" t="str">
        <f>IFERROR(__xludf.DUMMYFUNCTION("IFERROR(FILTER('Fund Data'!$D:$D, 'Fund Data'!$C:$C = $A48, 'Fund Data'!$A:$A = T$1, 'Fund Data'!$B:$B = 12),"""")"),"")</f>
        <v/>
      </c>
      <c r="U48" t="str">
        <f>IFERROR(__xludf.DUMMYFUNCTION("IFERROR(FILTER('Fund Data'!$D:$D, 'Fund Data'!$C:$C = $A48, 'Fund Data'!$A:$A = U$1, 'Fund Data'!$B:$B = 12),"""")"),"")</f>
        <v/>
      </c>
      <c r="V48" t="str">
        <f>IFERROR(__xludf.DUMMYFUNCTION("IFERROR(FILTER('Fund Data'!$D:$D, 'Fund Data'!$C:$C = $A48, 'Fund Data'!$A:$A = V$1, 'Fund Data'!$B:$B = 12),"""")"),"")</f>
        <v/>
      </c>
      <c r="W48" t="str">
        <f>IFERROR(__xludf.DUMMYFUNCTION("IFERROR(FILTER('Fund Data'!$D:$D, 'Fund Data'!$C:$C = $A48, 'Fund Data'!$A:$A = W$1, 'Fund Data'!$B:$B = 12),"""")"),"")</f>
        <v/>
      </c>
      <c r="X48" t="str">
        <f>IFERROR(__xludf.DUMMYFUNCTION("IFERROR(FILTER('Fund Data'!$D:$D, 'Fund Data'!$C:$C = $A48, 'Fund Data'!$A:$A = X$1, 'Fund Data'!$B:$B = 12),"""")"),"")</f>
        <v/>
      </c>
      <c r="Y48" t="str">
        <f>IFERROR(__xludf.DUMMYFUNCTION("IFERROR(FILTER('Fund Data'!$D:$D, 'Fund Data'!$C:$C = $A48, 'Fund Data'!$A:$A = Y$1, 'Fund Data'!$B:$B = 12),"""")"),"")</f>
        <v/>
      </c>
      <c r="Z48" t="str">
        <f>IFERROR(__xludf.DUMMYFUNCTION("IFERROR(FILTER('Fund Data'!$D:$D, 'Fund Data'!$C:$C = $A48, 'Fund Data'!$A:$A = Z$1, 'Fund Data'!$B:$B = 12),"""")"),"")</f>
        <v/>
      </c>
      <c r="AA48" t="str">
        <f>IFERROR(__xludf.DUMMYFUNCTION("IFERROR(FILTER('Fund Data'!$D:$D, 'Fund Data'!$C:$C = $A48, 'Fund Data'!$A:$A = AA$1, 'Fund Data'!$B:$B = 12),"""")"),"")</f>
        <v/>
      </c>
      <c r="AB48" t="str">
        <f>IFERROR(__xludf.DUMMYFUNCTION("IFERROR(FILTER('Fund Data'!$D:$D, 'Fund Data'!$C:$C = $A48, 'Fund Data'!$A:$A = AB$1, 'Fund Data'!$B:$B = 12),"""")"),"")</f>
        <v/>
      </c>
      <c r="AC48" t="str">
        <f>IFERROR(__xludf.DUMMYFUNCTION("IFERROR(FILTER('Fund Data'!$D:$D, 'Fund Data'!$C:$C = $A48, 'Fund Data'!$A:$A = AC$1, 'Fund Data'!$B:$B = 12),"""")"),"")</f>
        <v/>
      </c>
      <c r="AD48" t="str">
        <f>IFERROR(__xludf.DUMMYFUNCTION("IFERROR(FILTER('Fund Data'!$D:$D, 'Fund Data'!$C:$C = $A48, 'Fund Data'!$A:$A = AD$1, 'Fund Data'!$B:$B = 12),"""")"),"")</f>
        <v/>
      </c>
      <c r="AE48" t="str">
        <f>IFERROR(__xludf.DUMMYFUNCTION("IFERROR(FILTER('Fund Data'!$D:$D, 'Fund Data'!$C:$C = $A48, 'Fund Data'!$A:$A = AE$1, 'Fund Data'!$B:$B = 12),"""")"),"")</f>
        <v/>
      </c>
    </row>
    <row r="49">
      <c r="A49" s="145" t="str">
        <f>'Endowed Funds'!B:B</f>
        <v/>
      </c>
      <c r="B49" t="str">
        <f>IFERROR(__xludf.DUMMYFUNCTION("IFERROR(FILTER('Fund Data'!$D:$D, 'Fund Data'!$C:$C = $A49, 'Fund Data'!$A:$A = B$1, 'Fund Data'!$B:$B = 12),"""")"),"")</f>
        <v/>
      </c>
      <c r="C49" t="str">
        <f>IFERROR(__xludf.DUMMYFUNCTION("IFERROR(FILTER('Fund Data'!$D:$D, 'Fund Data'!$C:$C = $A49, 'Fund Data'!$A:$A = C$1, 'Fund Data'!$B:$B = 12),"""")"),"")</f>
        <v/>
      </c>
      <c r="D49" t="str">
        <f>IFERROR(__xludf.DUMMYFUNCTION("IFERROR(FILTER('Fund Data'!$D:$D, 'Fund Data'!$C:$C = $A49, 'Fund Data'!$A:$A = D$1, 'Fund Data'!$B:$B = 12),"""")"),"")</f>
        <v/>
      </c>
      <c r="E49" t="str">
        <f>IFERROR(__xludf.DUMMYFUNCTION("IFERROR(FILTER('Fund Data'!$D:$D, 'Fund Data'!$C:$C = $A49, 'Fund Data'!$A:$A = E$1, 'Fund Data'!$B:$B = 12),"""")"),"")</f>
        <v/>
      </c>
      <c r="F49" t="str">
        <f>IFERROR(__xludf.DUMMYFUNCTION("IFERROR(FILTER('Fund Data'!$D:$D, 'Fund Data'!$C:$C = $A49, 'Fund Data'!$A:$A = F$1, 'Fund Data'!$B:$B = 12),"""")"),"")</f>
        <v/>
      </c>
      <c r="G49" t="str">
        <f>IFERROR(__xludf.DUMMYFUNCTION("IFERROR(FILTER('Fund Data'!$D:$D, 'Fund Data'!$C:$C = $A49, 'Fund Data'!$A:$A = G$1, 'Fund Data'!$B:$B = 12),"""")"),"")</f>
        <v/>
      </c>
      <c r="H49" t="str">
        <f>IFERROR(__xludf.DUMMYFUNCTION("IFERROR(FILTER('Fund Data'!$D:$D, 'Fund Data'!$C:$C = $A49, 'Fund Data'!$A:$A = H$1, 'Fund Data'!$B:$B = 12),"""")"),"")</f>
        <v/>
      </c>
      <c r="I49" t="str">
        <f>IFERROR(__xludf.DUMMYFUNCTION("IFERROR(FILTER('Fund Data'!$D:$D, 'Fund Data'!$C:$C = $A49, 'Fund Data'!$A:$A = I$1, 'Fund Data'!$B:$B = 12),"""")"),"")</f>
        <v/>
      </c>
      <c r="J49" t="str">
        <f>IFERROR(__xludf.DUMMYFUNCTION("IFERROR(FILTER('Fund Data'!$D:$D, 'Fund Data'!$C:$C = $A49, 'Fund Data'!$A:$A = J$1, 'Fund Data'!$B:$B = 12),"""")"),"")</f>
        <v/>
      </c>
      <c r="K49" t="str">
        <f>IFERROR(__xludf.DUMMYFUNCTION("IFERROR(FILTER('Fund Data'!$D:$D, 'Fund Data'!$C:$C = $A49, 'Fund Data'!$A:$A = K$1, 'Fund Data'!$B:$B = 12),"""")"),"")</f>
        <v/>
      </c>
      <c r="L49" t="str">
        <f>IFERROR(__xludf.DUMMYFUNCTION("IFERROR(FILTER('Fund Data'!$D:$D, 'Fund Data'!$C:$C = $A49, 'Fund Data'!$A:$A = L$1, 'Fund Data'!$B:$B = 12),"""")"),"")</f>
        <v/>
      </c>
      <c r="M49" t="str">
        <f>IFERROR(__xludf.DUMMYFUNCTION("IFERROR(FILTER('Fund Data'!$D:$D, 'Fund Data'!$C:$C = $A49, 'Fund Data'!$A:$A = M$1, 'Fund Data'!$B:$B = 12),"""")"),"")</f>
        <v/>
      </c>
      <c r="N49" t="str">
        <f>IFERROR(__xludf.DUMMYFUNCTION("IFERROR(FILTER('Fund Data'!$D:$D, 'Fund Data'!$C:$C = $A49, 'Fund Data'!$A:$A = N$1, 'Fund Data'!$B:$B = 12),"""")"),"")</f>
        <v/>
      </c>
      <c r="O49" t="str">
        <f>IFERROR(__xludf.DUMMYFUNCTION("IFERROR(FILTER('Fund Data'!$D:$D, 'Fund Data'!$C:$C = $A49, 'Fund Data'!$A:$A = O$1, 'Fund Data'!$B:$B = 12),"""")"),"")</f>
        <v/>
      </c>
      <c r="P49" t="str">
        <f>IFERROR(__xludf.DUMMYFUNCTION("IFERROR(FILTER('Fund Data'!$D:$D, 'Fund Data'!$C:$C = $A49, 'Fund Data'!$A:$A = P$1, 'Fund Data'!$B:$B = 12),"""")"),"")</f>
        <v/>
      </c>
      <c r="Q49" t="str">
        <f>IFERROR(__xludf.DUMMYFUNCTION("IFERROR(FILTER('Fund Data'!$D:$D, 'Fund Data'!$C:$C = $A49, 'Fund Data'!$A:$A = Q$1, 'Fund Data'!$B:$B = 12),"""")"),"")</f>
        <v/>
      </c>
      <c r="R49" t="str">
        <f>IFERROR(__xludf.DUMMYFUNCTION("IFERROR(FILTER('Fund Data'!$D:$D, 'Fund Data'!$C:$C = $A49, 'Fund Data'!$A:$A = R$1, 'Fund Data'!$B:$B = 12),"""")"),"")</f>
        <v/>
      </c>
      <c r="S49" t="str">
        <f>IFERROR(__xludf.DUMMYFUNCTION("IFERROR(FILTER('Fund Data'!$D:$D, 'Fund Data'!$C:$C = $A49, 'Fund Data'!$A:$A = S$1, 'Fund Data'!$B:$B = 12),"""")"),"")</f>
        <v/>
      </c>
      <c r="T49" t="str">
        <f>IFERROR(__xludf.DUMMYFUNCTION("IFERROR(FILTER('Fund Data'!$D:$D, 'Fund Data'!$C:$C = $A49, 'Fund Data'!$A:$A = T$1, 'Fund Data'!$B:$B = 12),"""")"),"")</f>
        <v/>
      </c>
      <c r="U49" t="str">
        <f>IFERROR(__xludf.DUMMYFUNCTION("IFERROR(FILTER('Fund Data'!$D:$D, 'Fund Data'!$C:$C = $A49, 'Fund Data'!$A:$A = U$1, 'Fund Data'!$B:$B = 12),"""")"),"")</f>
        <v/>
      </c>
      <c r="V49" t="str">
        <f>IFERROR(__xludf.DUMMYFUNCTION("IFERROR(FILTER('Fund Data'!$D:$D, 'Fund Data'!$C:$C = $A49, 'Fund Data'!$A:$A = V$1, 'Fund Data'!$B:$B = 12),"""")"),"")</f>
        <v/>
      </c>
      <c r="W49" t="str">
        <f>IFERROR(__xludf.DUMMYFUNCTION("IFERROR(FILTER('Fund Data'!$D:$D, 'Fund Data'!$C:$C = $A49, 'Fund Data'!$A:$A = W$1, 'Fund Data'!$B:$B = 12),"""")"),"")</f>
        <v/>
      </c>
      <c r="X49" t="str">
        <f>IFERROR(__xludf.DUMMYFUNCTION("IFERROR(FILTER('Fund Data'!$D:$D, 'Fund Data'!$C:$C = $A49, 'Fund Data'!$A:$A = X$1, 'Fund Data'!$B:$B = 12),"""")"),"")</f>
        <v/>
      </c>
      <c r="Y49" t="str">
        <f>IFERROR(__xludf.DUMMYFUNCTION("IFERROR(FILTER('Fund Data'!$D:$D, 'Fund Data'!$C:$C = $A49, 'Fund Data'!$A:$A = Y$1, 'Fund Data'!$B:$B = 12),"""")"),"")</f>
        <v/>
      </c>
      <c r="Z49" t="str">
        <f>IFERROR(__xludf.DUMMYFUNCTION("IFERROR(FILTER('Fund Data'!$D:$D, 'Fund Data'!$C:$C = $A49, 'Fund Data'!$A:$A = Z$1, 'Fund Data'!$B:$B = 12),"""")"),"")</f>
        <v/>
      </c>
      <c r="AA49" t="str">
        <f>IFERROR(__xludf.DUMMYFUNCTION("IFERROR(FILTER('Fund Data'!$D:$D, 'Fund Data'!$C:$C = $A49, 'Fund Data'!$A:$A = AA$1, 'Fund Data'!$B:$B = 12),"""")"),"")</f>
        <v/>
      </c>
      <c r="AB49" t="str">
        <f>IFERROR(__xludf.DUMMYFUNCTION("IFERROR(FILTER('Fund Data'!$D:$D, 'Fund Data'!$C:$C = $A49, 'Fund Data'!$A:$A = AB$1, 'Fund Data'!$B:$B = 12),"""")"),"")</f>
        <v/>
      </c>
      <c r="AC49" t="str">
        <f>IFERROR(__xludf.DUMMYFUNCTION("IFERROR(FILTER('Fund Data'!$D:$D, 'Fund Data'!$C:$C = $A49, 'Fund Data'!$A:$A = AC$1, 'Fund Data'!$B:$B = 12),"""")"),"")</f>
        <v/>
      </c>
      <c r="AD49" t="str">
        <f>IFERROR(__xludf.DUMMYFUNCTION("IFERROR(FILTER('Fund Data'!$D:$D, 'Fund Data'!$C:$C = $A49, 'Fund Data'!$A:$A = AD$1, 'Fund Data'!$B:$B = 12),"""")"),"")</f>
        <v/>
      </c>
      <c r="AE49" t="str">
        <f>IFERROR(__xludf.DUMMYFUNCTION("IFERROR(FILTER('Fund Data'!$D:$D, 'Fund Data'!$C:$C = $A49, 'Fund Data'!$A:$A = AE$1, 'Fund Data'!$B:$B = 12),"""")"),"")</f>
        <v/>
      </c>
    </row>
    <row r="50">
      <c r="A50" s="145" t="str">
        <f>'Endowed Funds'!B:B</f>
        <v/>
      </c>
      <c r="B50" t="str">
        <f>IFERROR(__xludf.DUMMYFUNCTION("IFERROR(FILTER('Fund Data'!$D:$D, 'Fund Data'!$C:$C = $A50, 'Fund Data'!$A:$A = B$1, 'Fund Data'!$B:$B = 12),"""")"),"")</f>
        <v/>
      </c>
      <c r="C50" t="str">
        <f>IFERROR(__xludf.DUMMYFUNCTION("IFERROR(FILTER('Fund Data'!$D:$D, 'Fund Data'!$C:$C = $A50, 'Fund Data'!$A:$A = C$1, 'Fund Data'!$B:$B = 12),"""")"),"")</f>
        <v/>
      </c>
      <c r="D50" t="str">
        <f>IFERROR(__xludf.DUMMYFUNCTION("IFERROR(FILTER('Fund Data'!$D:$D, 'Fund Data'!$C:$C = $A50, 'Fund Data'!$A:$A = D$1, 'Fund Data'!$B:$B = 12),"""")"),"")</f>
        <v/>
      </c>
      <c r="E50" t="str">
        <f>IFERROR(__xludf.DUMMYFUNCTION("IFERROR(FILTER('Fund Data'!$D:$D, 'Fund Data'!$C:$C = $A50, 'Fund Data'!$A:$A = E$1, 'Fund Data'!$B:$B = 12),"""")"),"")</f>
        <v/>
      </c>
      <c r="F50" t="str">
        <f>IFERROR(__xludf.DUMMYFUNCTION("IFERROR(FILTER('Fund Data'!$D:$D, 'Fund Data'!$C:$C = $A50, 'Fund Data'!$A:$A = F$1, 'Fund Data'!$B:$B = 12),"""")"),"")</f>
        <v/>
      </c>
      <c r="G50" t="str">
        <f>IFERROR(__xludf.DUMMYFUNCTION("IFERROR(FILTER('Fund Data'!$D:$D, 'Fund Data'!$C:$C = $A50, 'Fund Data'!$A:$A = G$1, 'Fund Data'!$B:$B = 12),"""")"),"")</f>
        <v/>
      </c>
      <c r="H50" t="str">
        <f>IFERROR(__xludf.DUMMYFUNCTION("IFERROR(FILTER('Fund Data'!$D:$D, 'Fund Data'!$C:$C = $A50, 'Fund Data'!$A:$A = H$1, 'Fund Data'!$B:$B = 12),"""")"),"")</f>
        <v/>
      </c>
      <c r="I50" t="str">
        <f>IFERROR(__xludf.DUMMYFUNCTION("IFERROR(FILTER('Fund Data'!$D:$D, 'Fund Data'!$C:$C = $A50, 'Fund Data'!$A:$A = I$1, 'Fund Data'!$B:$B = 12),"""")"),"")</f>
        <v/>
      </c>
      <c r="J50" t="str">
        <f>IFERROR(__xludf.DUMMYFUNCTION("IFERROR(FILTER('Fund Data'!$D:$D, 'Fund Data'!$C:$C = $A50, 'Fund Data'!$A:$A = J$1, 'Fund Data'!$B:$B = 12),"""")"),"")</f>
        <v/>
      </c>
      <c r="K50" t="str">
        <f>IFERROR(__xludf.DUMMYFUNCTION("IFERROR(FILTER('Fund Data'!$D:$D, 'Fund Data'!$C:$C = $A50, 'Fund Data'!$A:$A = K$1, 'Fund Data'!$B:$B = 12),"""")"),"")</f>
        <v/>
      </c>
      <c r="L50" t="str">
        <f>IFERROR(__xludf.DUMMYFUNCTION("IFERROR(FILTER('Fund Data'!$D:$D, 'Fund Data'!$C:$C = $A50, 'Fund Data'!$A:$A = L$1, 'Fund Data'!$B:$B = 12),"""")"),"")</f>
        <v/>
      </c>
      <c r="M50" t="str">
        <f>IFERROR(__xludf.DUMMYFUNCTION("IFERROR(FILTER('Fund Data'!$D:$D, 'Fund Data'!$C:$C = $A50, 'Fund Data'!$A:$A = M$1, 'Fund Data'!$B:$B = 12),"""")"),"")</f>
        <v/>
      </c>
      <c r="N50" t="str">
        <f>IFERROR(__xludf.DUMMYFUNCTION("IFERROR(FILTER('Fund Data'!$D:$D, 'Fund Data'!$C:$C = $A50, 'Fund Data'!$A:$A = N$1, 'Fund Data'!$B:$B = 12),"""")"),"")</f>
        <v/>
      </c>
      <c r="O50" t="str">
        <f>IFERROR(__xludf.DUMMYFUNCTION("IFERROR(FILTER('Fund Data'!$D:$D, 'Fund Data'!$C:$C = $A50, 'Fund Data'!$A:$A = O$1, 'Fund Data'!$B:$B = 12),"""")"),"")</f>
        <v/>
      </c>
      <c r="P50" t="str">
        <f>IFERROR(__xludf.DUMMYFUNCTION("IFERROR(FILTER('Fund Data'!$D:$D, 'Fund Data'!$C:$C = $A50, 'Fund Data'!$A:$A = P$1, 'Fund Data'!$B:$B = 12),"""")"),"")</f>
        <v/>
      </c>
      <c r="Q50" t="str">
        <f>IFERROR(__xludf.DUMMYFUNCTION("IFERROR(FILTER('Fund Data'!$D:$D, 'Fund Data'!$C:$C = $A50, 'Fund Data'!$A:$A = Q$1, 'Fund Data'!$B:$B = 12),"""")"),"")</f>
        <v/>
      </c>
      <c r="R50" t="str">
        <f>IFERROR(__xludf.DUMMYFUNCTION("IFERROR(FILTER('Fund Data'!$D:$D, 'Fund Data'!$C:$C = $A50, 'Fund Data'!$A:$A = R$1, 'Fund Data'!$B:$B = 12),"""")"),"")</f>
        <v/>
      </c>
      <c r="S50" t="str">
        <f>IFERROR(__xludf.DUMMYFUNCTION("IFERROR(FILTER('Fund Data'!$D:$D, 'Fund Data'!$C:$C = $A50, 'Fund Data'!$A:$A = S$1, 'Fund Data'!$B:$B = 12),"""")"),"")</f>
        <v/>
      </c>
      <c r="T50" t="str">
        <f>IFERROR(__xludf.DUMMYFUNCTION("IFERROR(FILTER('Fund Data'!$D:$D, 'Fund Data'!$C:$C = $A50, 'Fund Data'!$A:$A = T$1, 'Fund Data'!$B:$B = 12),"""")"),"")</f>
        <v/>
      </c>
      <c r="U50" t="str">
        <f>IFERROR(__xludf.DUMMYFUNCTION("IFERROR(FILTER('Fund Data'!$D:$D, 'Fund Data'!$C:$C = $A50, 'Fund Data'!$A:$A = U$1, 'Fund Data'!$B:$B = 12),"""")"),"")</f>
        <v/>
      </c>
      <c r="V50" t="str">
        <f>IFERROR(__xludf.DUMMYFUNCTION("IFERROR(FILTER('Fund Data'!$D:$D, 'Fund Data'!$C:$C = $A50, 'Fund Data'!$A:$A = V$1, 'Fund Data'!$B:$B = 12),"""")"),"")</f>
        <v/>
      </c>
      <c r="W50" t="str">
        <f>IFERROR(__xludf.DUMMYFUNCTION("IFERROR(FILTER('Fund Data'!$D:$D, 'Fund Data'!$C:$C = $A50, 'Fund Data'!$A:$A = W$1, 'Fund Data'!$B:$B = 12),"""")"),"")</f>
        <v/>
      </c>
      <c r="X50" t="str">
        <f>IFERROR(__xludf.DUMMYFUNCTION("IFERROR(FILTER('Fund Data'!$D:$D, 'Fund Data'!$C:$C = $A50, 'Fund Data'!$A:$A = X$1, 'Fund Data'!$B:$B = 12),"""")"),"")</f>
        <v/>
      </c>
      <c r="Y50" t="str">
        <f>IFERROR(__xludf.DUMMYFUNCTION("IFERROR(FILTER('Fund Data'!$D:$D, 'Fund Data'!$C:$C = $A50, 'Fund Data'!$A:$A = Y$1, 'Fund Data'!$B:$B = 12),"""")"),"")</f>
        <v/>
      </c>
      <c r="Z50" t="str">
        <f>IFERROR(__xludf.DUMMYFUNCTION("IFERROR(FILTER('Fund Data'!$D:$D, 'Fund Data'!$C:$C = $A50, 'Fund Data'!$A:$A = Z$1, 'Fund Data'!$B:$B = 12),"""")"),"")</f>
        <v/>
      </c>
      <c r="AA50" t="str">
        <f>IFERROR(__xludf.DUMMYFUNCTION("IFERROR(FILTER('Fund Data'!$D:$D, 'Fund Data'!$C:$C = $A50, 'Fund Data'!$A:$A = AA$1, 'Fund Data'!$B:$B = 12),"""")"),"")</f>
        <v/>
      </c>
      <c r="AB50" t="str">
        <f>IFERROR(__xludf.DUMMYFUNCTION("IFERROR(FILTER('Fund Data'!$D:$D, 'Fund Data'!$C:$C = $A50, 'Fund Data'!$A:$A = AB$1, 'Fund Data'!$B:$B = 12),"""")"),"")</f>
        <v/>
      </c>
      <c r="AC50" t="str">
        <f>IFERROR(__xludf.DUMMYFUNCTION("IFERROR(FILTER('Fund Data'!$D:$D, 'Fund Data'!$C:$C = $A50, 'Fund Data'!$A:$A = AC$1, 'Fund Data'!$B:$B = 12),"""")"),"")</f>
        <v/>
      </c>
      <c r="AD50" t="str">
        <f>IFERROR(__xludf.DUMMYFUNCTION("IFERROR(FILTER('Fund Data'!$D:$D, 'Fund Data'!$C:$C = $A50, 'Fund Data'!$A:$A = AD$1, 'Fund Data'!$B:$B = 12),"""")"),"")</f>
        <v/>
      </c>
      <c r="AE50" t="str">
        <f>IFERROR(__xludf.DUMMYFUNCTION("IFERROR(FILTER('Fund Data'!$D:$D, 'Fund Data'!$C:$C = $A50, 'Fund Data'!$A:$A = AE$1, 'Fund Data'!$B:$B = 12),"""")"),"")</f>
        <v/>
      </c>
    </row>
    <row r="51">
      <c r="A51" s="145" t="str">
        <f>'Endowed Funds'!B:B</f>
        <v/>
      </c>
      <c r="B51" t="str">
        <f>IFERROR(__xludf.DUMMYFUNCTION("IFERROR(FILTER('Fund Data'!$D:$D, 'Fund Data'!$C:$C = $A51, 'Fund Data'!$A:$A = B$1, 'Fund Data'!$B:$B = 12),"""")"),"")</f>
        <v/>
      </c>
      <c r="C51" t="str">
        <f>IFERROR(__xludf.DUMMYFUNCTION("IFERROR(FILTER('Fund Data'!$D:$D, 'Fund Data'!$C:$C = $A51, 'Fund Data'!$A:$A = C$1, 'Fund Data'!$B:$B = 12),"""")"),"")</f>
        <v/>
      </c>
      <c r="D51" t="str">
        <f>IFERROR(__xludf.DUMMYFUNCTION("IFERROR(FILTER('Fund Data'!$D:$D, 'Fund Data'!$C:$C = $A51, 'Fund Data'!$A:$A = D$1, 'Fund Data'!$B:$B = 12),"""")"),"")</f>
        <v/>
      </c>
      <c r="E51" t="str">
        <f>IFERROR(__xludf.DUMMYFUNCTION("IFERROR(FILTER('Fund Data'!$D:$D, 'Fund Data'!$C:$C = $A51, 'Fund Data'!$A:$A = E$1, 'Fund Data'!$B:$B = 12),"""")"),"")</f>
        <v/>
      </c>
      <c r="F51" t="str">
        <f>IFERROR(__xludf.DUMMYFUNCTION("IFERROR(FILTER('Fund Data'!$D:$D, 'Fund Data'!$C:$C = $A51, 'Fund Data'!$A:$A = F$1, 'Fund Data'!$B:$B = 12),"""")"),"")</f>
        <v/>
      </c>
      <c r="G51" t="str">
        <f>IFERROR(__xludf.DUMMYFUNCTION("IFERROR(FILTER('Fund Data'!$D:$D, 'Fund Data'!$C:$C = $A51, 'Fund Data'!$A:$A = G$1, 'Fund Data'!$B:$B = 12),"""")"),"")</f>
        <v/>
      </c>
      <c r="H51" t="str">
        <f>IFERROR(__xludf.DUMMYFUNCTION("IFERROR(FILTER('Fund Data'!$D:$D, 'Fund Data'!$C:$C = $A51, 'Fund Data'!$A:$A = H$1, 'Fund Data'!$B:$B = 12),"""")"),"")</f>
        <v/>
      </c>
      <c r="I51" t="str">
        <f>IFERROR(__xludf.DUMMYFUNCTION("IFERROR(FILTER('Fund Data'!$D:$D, 'Fund Data'!$C:$C = $A51, 'Fund Data'!$A:$A = I$1, 'Fund Data'!$B:$B = 12),"""")"),"")</f>
        <v/>
      </c>
      <c r="J51" t="str">
        <f>IFERROR(__xludf.DUMMYFUNCTION("IFERROR(FILTER('Fund Data'!$D:$D, 'Fund Data'!$C:$C = $A51, 'Fund Data'!$A:$A = J$1, 'Fund Data'!$B:$B = 12),"""")"),"")</f>
        <v/>
      </c>
      <c r="K51" t="str">
        <f>IFERROR(__xludf.DUMMYFUNCTION("IFERROR(FILTER('Fund Data'!$D:$D, 'Fund Data'!$C:$C = $A51, 'Fund Data'!$A:$A = K$1, 'Fund Data'!$B:$B = 12),"""")"),"")</f>
        <v/>
      </c>
      <c r="L51" t="str">
        <f>IFERROR(__xludf.DUMMYFUNCTION("IFERROR(FILTER('Fund Data'!$D:$D, 'Fund Data'!$C:$C = $A51, 'Fund Data'!$A:$A = L$1, 'Fund Data'!$B:$B = 12),"""")"),"")</f>
        <v/>
      </c>
      <c r="M51" t="str">
        <f>IFERROR(__xludf.DUMMYFUNCTION("IFERROR(FILTER('Fund Data'!$D:$D, 'Fund Data'!$C:$C = $A51, 'Fund Data'!$A:$A = M$1, 'Fund Data'!$B:$B = 12),"""")"),"")</f>
        <v/>
      </c>
      <c r="N51" t="str">
        <f>IFERROR(__xludf.DUMMYFUNCTION("IFERROR(FILTER('Fund Data'!$D:$D, 'Fund Data'!$C:$C = $A51, 'Fund Data'!$A:$A = N$1, 'Fund Data'!$B:$B = 12),"""")"),"")</f>
        <v/>
      </c>
      <c r="O51" t="str">
        <f>IFERROR(__xludf.DUMMYFUNCTION("IFERROR(FILTER('Fund Data'!$D:$D, 'Fund Data'!$C:$C = $A51, 'Fund Data'!$A:$A = O$1, 'Fund Data'!$B:$B = 12),"""")"),"")</f>
        <v/>
      </c>
      <c r="P51" t="str">
        <f>IFERROR(__xludf.DUMMYFUNCTION("IFERROR(FILTER('Fund Data'!$D:$D, 'Fund Data'!$C:$C = $A51, 'Fund Data'!$A:$A = P$1, 'Fund Data'!$B:$B = 12),"""")"),"")</f>
        <v/>
      </c>
      <c r="Q51" t="str">
        <f>IFERROR(__xludf.DUMMYFUNCTION("IFERROR(FILTER('Fund Data'!$D:$D, 'Fund Data'!$C:$C = $A51, 'Fund Data'!$A:$A = Q$1, 'Fund Data'!$B:$B = 12),"""")"),"")</f>
        <v/>
      </c>
      <c r="R51" t="str">
        <f>IFERROR(__xludf.DUMMYFUNCTION("IFERROR(FILTER('Fund Data'!$D:$D, 'Fund Data'!$C:$C = $A51, 'Fund Data'!$A:$A = R$1, 'Fund Data'!$B:$B = 12),"""")"),"")</f>
        <v/>
      </c>
      <c r="S51" t="str">
        <f>IFERROR(__xludf.DUMMYFUNCTION("IFERROR(FILTER('Fund Data'!$D:$D, 'Fund Data'!$C:$C = $A51, 'Fund Data'!$A:$A = S$1, 'Fund Data'!$B:$B = 12),"""")"),"")</f>
        <v/>
      </c>
      <c r="T51" t="str">
        <f>IFERROR(__xludf.DUMMYFUNCTION("IFERROR(FILTER('Fund Data'!$D:$D, 'Fund Data'!$C:$C = $A51, 'Fund Data'!$A:$A = T$1, 'Fund Data'!$B:$B = 12),"""")"),"")</f>
        <v/>
      </c>
      <c r="U51" t="str">
        <f>IFERROR(__xludf.DUMMYFUNCTION("IFERROR(FILTER('Fund Data'!$D:$D, 'Fund Data'!$C:$C = $A51, 'Fund Data'!$A:$A = U$1, 'Fund Data'!$B:$B = 12),"""")"),"")</f>
        <v/>
      </c>
      <c r="V51" t="str">
        <f>IFERROR(__xludf.DUMMYFUNCTION("IFERROR(FILTER('Fund Data'!$D:$D, 'Fund Data'!$C:$C = $A51, 'Fund Data'!$A:$A = V$1, 'Fund Data'!$B:$B = 12),"""")"),"")</f>
        <v/>
      </c>
      <c r="W51" t="str">
        <f>IFERROR(__xludf.DUMMYFUNCTION("IFERROR(FILTER('Fund Data'!$D:$D, 'Fund Data'!$C:$C = $A51, 'Fund Data'!$A:$A = W$1, 'Fund Data'!$B:$B = 12),"""")"),"")</f>
        <v/>
      </c>
      <c r="X51" t="str">
        <f>IFERROR(__xludf.DUMMYFUNCTION("IFERROR(FILTER('Fund Data'!$D:$D, 'Fund Data'!$C:$C = $A51, 'Fund Data'!$A:$A = X$1, 'Fund Data'!$B:$B = 12),"""")"),"")</f>
        <v/>
      </c>
      <c r="Y51" t="str">
        <f>IFERROR(__xludf.DUMMYFUNCTION("IFERROR(FILTER('Fund Data'!$D:$D, 'Fund Data'!$C:$C = $A51, 'Fund Data'!$A:$A = Y$1, 'Fund Data'!$B:$B = 12),"""")"),"")</f>
        <v/>
      </c>
      <c r="Z51" t="str">
        <f>IFERROR(__xludf.DUMMYFUNCTION("IFERROR(FILTER('Fund Data'!$D:$D, 'Fund Data'!$C:$C = $A51, 'Fund Data'!$A:$A = Z$1, 'Fund Data'!$B:$B = 12),"""")"),"")</f>
        <v/>
      </c>
      <c r="AA51" t="str">
        <f>IFERROR(__xludf.DUMMYFUNCTION("IFERROR(FILTER('Fund Data'!$D:$D, 'Fund Data'!$C:$C = $A51, 'Fund Data'!$A:$A = AA$1, 'Fund Data'!$B:$B = 12),"""")"),"")</f>
        <v/>
      </c>
      <c r="AB51" t="str">
        <f>IFERROR(__xludf.DUMMYFUNCTION("IFERROR(FILTER('Fund Data'!$D:$D, 'Fund Data'!$C:$C = $A51, 'Fund Data'!$A:$A = AB$1, 'Fund Data'!$B:$B = 12),"""")"),"")</f>
        <v/>
      </c>
      <c r="AC51" t="str">
        <f>IFERROR(__xludf.DUMMYFUNCTION("IFERROR(FILTER('Fund Data'!$D:$D, 'Fund Data'!$C:$C = $A51, 'Fund Data'!$A:$A = AC$1, 'Fund Data'!$B:$B = 12),"""")"),"")</f>
        <v/>
      </c>
      <c r="AD51" t="str">
        <f>IFERROR(__xludf.DUMMYFUNCTION("IFERROR(FILTER('Fund Data'!$D:$D, 'Fund Data'!$C:$C = $A51, 'Fund Data'!$A:$A = AD$1, 'Fund Data'!$B:$B = 12),"""")"),"")</f>
        <v/>
      </c>
      <c r="AE51" t="str">
        <f>IFERROR(__xludf.DUMMYFUNCTION("IFERROR(FILTER('Fund Data'!$D:$D, 'Fund Data'!$C:$C = $A51, 'Fund Data'!$A:$A = AE$1, 'Fund Data'!$B:$B = 12),"""")"),"")</f>
        <v/>
      </c>
    </row>
    <row r="52">
      <c r="A52" s="145" t="str">
        <f>'Endowed Funds'!B:B</f>
        <v/>
      </c>
      <c r="B52" t="str">
        <f>IFERROR(__xludf.DUMMYFUNCTION("IFERROR(FILTER('Fund Data'!$D:$D, 'Fund Data'!$C:$C = $A52, 'Fund Data'!$A:$A = B$1, 'Fund Data'!$B:$B = 12),"""")"),"")</f>
        <v/>
      </c>
      <c r="C52" t="str">
        <f>IFERROR(__xludf.DUMMYFUNCTION("IFERROR(FILTER('Fund Data'!$D:$D, 'Fund Data'!$C:$C = $A52, 'Fund Data'!$A:$A = C$1, 'Fund Data'!$B:$B = 12),"""")"),"")</f>
        <v/>
      </c>
      <c r="D52" t="str">
        <f>IFERROR(__xludf.DUMMYFUNCTION("IFERROR(FILTER('Fund Data'!$D:$D, 'Fund Data'!$C:$C = $A52, 'Fund Data'!$A:$A = D$1, 'Fund Data'!$B:$B = 12),"""")"),"")</f>
        <v/>
      </c>
      <c r="E52" t="str">
        <f>IFERROR(__xludf.DUMMYFUNCTION("IFERROR(FILTER('Fund Data'!$D:$D, 'Fund Data'!$C:$C = $A52, 'Fund Data'!$A:$A = E$1, 'Fund Data'!$B:$B = 12),"""")"),"")</f>
        <v/>
      </c>
      <c r="F52" t="str">
        <f>IFERROR(__xludf.DUMMYFUNCTION("IFERROR(FILTER('Fund Data'!$D:$D, 'Fund Data'!$C:$C = $A52, 'Fund Data'!$A:$A = F$1, 'Fund Data'!$B:$B = 12),"""")"),"")</f>
        <v/>
      </c>
      <c r="G52" t="str">
        <f>IFERROR(__xludf.DUMMYFUNCTION("IFERROR(FILTER('Fund Data'!$D:$D, 'Fund Data'!$C:$C = $A52, 'Fund Data'!$A:$A = G$1, 'Fund Data'!$B:$B = 12),"""")"),"")</f>
        <v/>
      </c>
      <c r="H52" t="str">
        <f>IFERROR(__xludf.DUMMYFUNCTION("IFERROR(FILTER('Fund Data'!$D:$D, 'Fund Data'!$C:$C = $A52, 'Fund Data'!$A:$A = H$1, 'Fund Data'!$B:$B = 12),"""")"),"")</f>
        <v/>
      </c>
      <c r="I52" t="str">
        <f>IFERROR(__xludf.DUMMYFUNCTION("IFERROR(FILTER('Fund Data'!$D:$D, 'Fund Data'!$C:$C = $A52, 'Fund Data'!$A:$A = I$1, 'Fund Data'!$B:$B = 12),"""")"),"")</f>
        <v/>
      </c>
      <c r="J52" t="str">
        <f>IFERROR(__xludf.DUMMYFUNCTION("IFERROR(FILTER('Fund Data'!$D:$D, 'Fund Data'!$C:$C = $A52, 'Fund Data'!$A:$A = J$1, 'Fund Data'!$B:$B = 12),"""")"),"")</f>
        <v/>
      </c>
      <c r="K52" t="str">
        <f>IFERROR(__xludf.DUMMYFUNCTION("IFERROR(FILTER('Fund Data'!$D:$D, 'Fund Data'!$C:$C = $A52, 'Fund Data'!$A:$A = K$1, 'Fund Data'!$B:$B = 12),"""")"),"")</f>
        <v/>
      </c>
      <c r="L52" t="str">
        <f>IFERROR(__xludf.DUMMYFUNCTION("IFERROR(FILTER('Fund Data'!$D:$D, 'Fund Data'!$C:$C = $A52, 'Fund Data'!$A:$A = L$1, 'Fund Data'!$B:$B = 12),"""")"),"")</f>
        <v/>
      </c>
      <c r="M52" t="str">
        <f>IFERROR(__xludf.DUMMYFUNCTION("IFERROR(FILTER('Fund Data'!$D:$D, 'Fund Data'!$C:$C = $A52, 'Fund Data'!$A:$A = M$1, 'Fund Data'!$B:$B = 12),"""")"),"")</f>
        <v/>
      </c>
      <c r="N52" t="str">
        <f>IFERROR(__xludf.DUMMYFUNCTION("IFERROR(FILTER('Fund Data'!$D:$D, 'Fund Data'!$C:$C = $A52, 'Fund Data'!$A:$A = N$1, 'Fund Data'!$B:$B = 12),"""")"),"")</f>
        <v/>
      </c>
      <c r="O52" t="str">
        <f>IFERROR(__xludf.DUMMYFUNCTION("IFERROR(FILTER('Fund Data'!$D:$D, 'Fund Data'!$C:$C = $A52, 'Fund Data'!$A:$A = O$1, 'Fund Data'!$B:$B = 12),"""")"),"")</f>
        <v/>
      </c>
      <c r="P52" t="str">
        <f>IFERROR(__xludf.DUMMYFUNCTION("IFERROR(FILTER('Fund Data'!$D:$D, 'Fund Data'!$C:$C = $A52, 'Fund Data'!$A:$A = P$1, 'Fund Data'!$B:$B = 12),"""")"),"")</f>
        <v/>
      </c>
      <c r="Q52" t="str">
        <f>IFERROR(__xludf.DUMMYFUNCTION("IFERROR(FILTER('Fund Data'!$D:$D, 'Fund Data'!$C:$C = $A52, 'Fund Data'!$A:$A = Q$1, 'Fund Data'!$B:$B = 12),"""")"),"")</f>
        <v/>
      </c>
      <c r="R52" t="str">
        <f>IFERROR(__xludf.DUMMYFUNCTION("IFERROR(FILTER('Fund Data'!$D:$D, 'Fund Data'!$C:$C = $A52, 'Fund Data'!$A:$A = R$1, 'Fund Data'!$B:$B = 12),"""")"),"")</f>
        <v/>
      </c>
      <c r="S52" t="str">
        <f>IFERROR(__xludf.DUMMYFUNCTION("IFERROR(FILTER('Fund Data'!$D:$D, 'Fund Data'!$C:$C = $A52, 'Fund Data'!$A:$A = S$1, 'Fund Data'!$B:$B = 12),"""")"),"")</f>
        <v/>
      </c>
      <c r="T52" t="str">
        <f>IFERROR(__xludf.DUMMYFUNCTION("IFERROR(FILTER('Fund Data'!$D:$D, 'Fund Data'!$C:$C = $A52, 'Fund Data'!$A:$A = T$1, 'Fund Data'!$B:$B = 12),"""")"),"")</f>
        <v/>
      </c>
      <c r="U52" t="str">
        <f>IFERROR(__xludf.DUMMYFUNCTION("IFERROR(FILTER('Fund Data'!$D:$D, 'Fund Data'!$C:$C = $A52, 'Fund Data'!$A:$A = U$1, 'Fund Data'!$B:$B = 12),"""")"),"")</f>
        <v/>
      </c>
      <c r="V52" t="str">
        <f>IFERROR(__xludf.DUMMYFUNCTION("IFERROR(FILTER('Fund Data'!$D:$D, 'Fund Data'!$C:$C = $A52, 'Fund Data'!$A:$A = V$1, 'Fund Data'!$B:$B = 12),"""")"),"")</f>
        <v/>
      </c>
      <c r="W52" t="str">
        <f>IFERROR(__xludf.DUMMYFUNCTION("IFERROR(FILTER('Fund Data'!$D:$D, 'Fund Data'!$C:$C = $A52, 'Fund Data'!$A:$A = W$1, 'Fund Data'!$B:$B = 12),"""")"),"")</f>
        <v/>
      </c>
      <c r="X52" t="str">
        <f>IFERROR(__xludf.DUMMYFUNCTION("IFERROR(FILTER('Fund Data'!$D:$D, 'Fund Data'!$C:$C = $A52, 'Fund Data'!$A:$A = X$1, 'Fund Data'!$B:$B = 12),"""")"),"")</f>
        <v/>
      </c>
      <c r="Y52" t="str">
        <f>IFERROR(__xludf.DUMMYFUNCTION("IFERROR(FILTER('Fund Data'!$D:$D, 'Fund Data'!$C:$C = $A52, 'Fund Data'!$A:$A = Y$1, 'Fund Data'!$B:$B = 12),"""")"),"")</f>
        <v/>
      </c>
      <c r="Z52" t="str">
        <f>IFERROR(__xludf.DUMMYFUNCTION("IFERROR(FILTER('Fund Data'!$D:$D, 'Fund Data'!$C:$C = $A52, 'Fund Data'!$A:$A = Z$1, 'Fund Data'!$B:$B = 12),"""")"),"")</f>
        <v/>
      </c>
      <c r="AA52" t="str">
        <f>IFERROR(__xludf.DUMMYFUNCTION("IFERROR(FILTER('Fund Data'!$D:$D, 'Fund Data'!$C:$C = $A52, 'Fund Data'!$A:$A = AA$1, 'Fund Data'!$B:$B = 12),"""")"),"")</f>
        <v/>
      </c>
      <c r="AB52" t="str">
        <f>IFERROR(__xludf.DUMMYFUNCTION("IFERROR(FILTER('Fund Data'!$D:$D, 'Fund Data'!$C:$C = $A52, 'Fund Data'!$A:$A = AB$1, 'Fund Data'!$B:$B = 12),"""")"),"")</f>
        <v/>
      </c>
      <c r="AC52" t="str">
        <f>IFERROR(__xludf.DUMMYFUNCTION("IFERROR(FILTER('Fund Data'!$D:$D, 'Fund Data'!$C:$C = $A52, 'Fund Data'!$A:$A = AC$1, 'Fund Data'!$B:$B = 12),"""")"),"")</f>
        <v/>
      </c>
      <c r="AD52" t="str">
        <f>IFERROR(__xludf.DUMMYFUNCTION("IFERROR(FILTER('Fund Data'!$D:$D, 'Fund Data'!$C:$C = $A52, 'Fund Data'!$A:$A = AD$1, 'Fund Data'!$B:$B = 12),"""")"),"")</f>
        <v/>
      </c>
      <c r="AE52" t="str">
        <f>IFERROR(__xludf.DUMMYFUNCTION("IFERROR(FILTER('Fund Data'!$D:$D, 'Fund Data'!$C:$C = $A52, 'Fund Data'!$A:$A = AE$1, 'Fund Data'!$B:$B = 12),"""")"),"")</f>
        <v/>
      </c>
    </row>
    <row r="53">
      <c r="A53" s="145" t="str">
        <f>'Endowed Funds'!B:B</f>
        <v/>
      </c>
      <c r="B53" t="str">
        <f>IFERROR(__xludf.DUMMYFUNCTION("IFERROR(FILTER('Fund Data'!$D:$D, 'Fund Data'!$C:$C = $A53, 'Fund Data'!$A:$A = B$1, 'Fund Data'!$B:$B = 12),"""")"),"")</f>
        <v/>
      </c>
      <c r="C53" t="str">
        <f>IFERROR(__xludf.DUMMYFUNCTION("IFERROR(FILTER('Fund Data'!$D:$D, 'Fund Data'!$C:$C = $A53, 'Fund Data'!$A:$A = C$1, 'Fund Data'!$B:$B = 12),"""")"),"")</f>
        <v/>
      </c>
      <c r="D53" t="str">
        <f>IFERROR(__xludf.DUMMYFUNCTION("IFERROR(FILTER('Fund Data'!$D:$D, 'Fund Data'!$C:$C = $A53, 'Fund Data'!$A:$A = D$1, 'Fund Data'!$B:$B = 12),"""")"),"")</f>
        <v/>
      </c>
      <c r="E53" t="str">
        <f>IFERROR(__xludf.DUMMYFUNCTION("IFERROR(FILTER('Fund Data'!$D:$D, 'Fund Data'!$C:$C = $A53, 'Fund Data'!$A:$A = E$1, 'Fund Data'!$B:$B = 12),"""")"),"")</f>
        <v/>
      </c>
      <c r="F53" t="str">
        <f>IFERROR(__xludf.DUMMYFUNCTION("IFERROR(FILTER('Fund Data'!$D:$D, 'Fund Data'!$C:$C = $A53, 'Fund Data'!$A:$A = F$1, 'Fund Data'!$B:$B = 12),"""")"),"")</f>
        <v/>
      </c>
      <c r="G53" t="str">
        <f>IFERROR(__xludf.DUMMYFUNCTION("IFERROR(FILTER('Fund Data'!$D:$D, 'Fund Data'!$C:$C = $A53, 'Fund Data'!$A:$A = G$1, 'Fund Data'!$B:$B = 12),"""")"),"")</f>
        <v/>
      </c>
      <c r="H53" t="str">
        <f>IFERROR(__xludf.DUMMYFUNCTION("IFERROR(FILTER('Fund Data'!$D:$D, 'Fund Data'!$C:$C = $A53, 'Fund Data'!$A:$A = H$1, 'Fund Data'!$B:$B = 12),"""")"),"")</f>
        <v/>
      </c>
      <c r="I53" t="str">
        <f>IFERROR(__xludf.DUMMYFUNCTION("IFERROR(FILTER('Fund Data'!$D:$D, 'Fund Data'!$C:$C = $A53, 'Fund Data'!$A:$A = I$1, 'Fund Data'!$B:$B = 12),"""")"),"")</f>
        <v/>
      </c>
      <c r="J53" t="str">
        <f>IFERROR(__xludf.DUMMYFUNCTION("IFERROR(FILTER('Fund Data'!$D:$D, 'Fund Data'!$C:$C = $A53, 'Fund Data'!$A:$A = J$1, 'Fund Data'!$B:$B = 12),"""")"),"")</f>
        <v/>
      </c>
      <c r="K53" t="str">
        <f>IFERROR(__xludf.DUMMYFUNCTION("IFERROR(FILTER('Fund Data'!$D:$D, 'Fund Data'!$C:$C = $A53, 'Fund Data'!$A:$A = K$1, 'Fund Data'!$B:$B = 12),"""")"),"")</f>
        <v/>
      </c>
      <c r="L53" t="str">
        <f>IFERROR(__xludf.DUMMYFUNCTION("IFERROR(FILTER('Fund Data'!$D:$D, 'Fund Data'!$C:$C = $A53, 'Fund Data'!$A:$A = L$1, 'Fund Data'!$B:$B = 12),"""")"),"")</f>
        <v/>
      </c>
      <c r="M53" t="str">
        <f>IFERROR(__xludf.DUMMYFUNCTION("IFERROR(FILTER('Fund Data'!$D:$D, 'Fund Data'!$C:$C = $A53, 'Fund Data'!$A:$A = M$1, 'Fund Data'!$B:$B = 12),"""")"),"")</f>
        <v/>
      </c>
      <c r="N53" t="str">
        <f>IFERROR(__xludf.DUMMYFUNCTION("IFERROR(FILTER('Fund Data'!$D:$D, 'Fund Data'!$C:$C = $A53, 'Fund Data'!$A:$A = N$1, 'Fund Data'!$B:$B = 12),"""")"),"")</f>
        <v/>
      </c>
      <c r="O53" t="str">
        <f>IFERROR(__xludf.DUMMYFUNCTION("IFERROR(FILTER('Fund Data'!$D:$D, 'Fund Data'!$C:$C = $A53, 'Fund Data'!$A:$A = O$1, 'Fund Data'!$B:$B = 12),"""")"),"")</f>
        <v/>
      </c>
      <c r="P53" t="str">
        <f>IFERROR(__xludf.DUMMYFUNCTION("IFERROR(FILTER('Fund Data'!$D:$D, 'Fund Data'!$C:$C = $A53, 'Fund Data'!$A:$A = P$1, 'Fund Data'!$B:$B = 12),"""")"),"")</f>
        <v/>
      </c>
      <c r="Q53" t="str">
        <f>IFERROR(__xludf.DUMMYFUNCTION("IFERROR(FILTER('Fund Data'!$D:$D, 'Fund Data'!$C:$C = $A53, 'Fund Data'!$A:$A = Q$1, 'Fund Data'!$B:$B = 12),"""")"),"")</f>
        <v/>
      </c>
      <c r="R53" t="str">
        <f>IFERROR(__xludf.DUMMYFUNCTION("IFERROR(FILTER('Fund Data'!$D:$D, 'Fund Data'!$C:$C = $A53, 'Fund Data'!$A:$A = R$1, 'Fund Data'!$B:$B = 12),"""")"),"")</f>
        <v/>
      </c>
      <c r="S53" t="str">
        <f>IFERROR(__xludf.DUMMYFUNCTION("IFERROR(FILTER('Fund Data'!$D:$D, 'Fund Data'!$C:$C = $A53, 'Fund Data'!$A:$A = S$1, 'Fund Data'!$B:$B = 12),"""")"),"")</f>
        <v/>
      </c>
      <c r="T53" t="str">
        <f>IFERROR(__xludf.DUMMYFUNCTION("IFERROR(FILTER('Fund Data'!$D:$D, 'Fund Data'!$C:$C = $A53, 'Fund Data'!$A:$A = T$1, 'Fund Data'!$B:$B = 12),"""")"),"")</f>
        <v/>
      </c>
      <c r="U53" t="str">
        <f>IFERROR(__xludf.DUMMYFUNCTION("IFERROR(FILTER('Fund Data'!$D:$D, 'Fund Data'!$C:$C = $A53, 'Fund Data'!$A:$A = U$1, 'Fund Data'!$B:$B = 12),"""")"),"")</f>
        <v/>
      </c>
      <c r="V53" t="str">
        <f>IFERROR(__xludf.DUMMYFUNCTION("IFERROR(FILTER('Fund Data'!$D:$D, 'Fund Data'!$C:$C = $A53, 'Fund Data'!$A:$A = V$1, 'Fund Data'!$B:$B = 12),"""")"),"")</f>
        <v/>
      </c>
      <c r="W53" t="str">
        <f>IFERROR(__xludf.DUMMYFUNCTION("IFERROR(FILTER('Fund Data'!$D:$D, 'Fund Data'!$C:$C = $A53, 'Fund Data'!$A:$A = W$1, 'Fund Data'!$B:$B = 12),"""")"),"")</f>
        <v/>
      </c>
      <c r="X53" t="str">
        <f>IFERROR(__xludf.DUMMYFUNCTION("IFERROR(FILTER('Fund Data'!$D:$D, 'Fund Data'!$C:$C = $A53, 'Fund Data'!$A:$A = X$1, 'Fund Data'!$B:$B = 12),"""")"),"")</f>
        <v/>
      </c>
      <c r="Y53" t="str">
        <f>IFERROR(__xludf.DUMMYFUNCTION("IFERROR(FILTER('Fund Data'!$D:$D, 'Fund Data'!$C:$C = $A53, 'Fund Data'!$A:$A = Y$1, 'Fund Data'!$B:$B = 12),"""")"),"")</f>
        <v/>
      </c>
      <c r="Z53" t="str">
        <f>IFERROR(__xludf.DUMMYFUNCTION("IFERROR(FILTER('Fund Data'!$D:$D, 'Fund Data'!$C:$C = $A53, 'Fund Data'!$A:$A = Z$1, 'Fund Data'!$B:$B = 12),"""")"),"")</f>
        <v/>
      </c>
      <c r="AA53" t="str">
        <f>IFERROR(__xludf.DUMMYFUNCTION("IFERROR(FILTER('Fund Data'!$D:$D, 'Fund Data'!$C:$C = $A53, 'Fund Data'!$A:$A = AA$1, 'Fund Data'!$B:$B = 12),"""")"),"")</f>
        <v/>
      </c>
      <c r="AB53" t="str">
        <f>IFERROR(__xludf.DUMMYFUNCTION("IFERROR(FILTER('Fund Data'!$D:$D, 'Fund Data'!$C:$C = $A53, 'Fund Data'!$A:$A = AB$1, 'Fund Data'!$B:$B = 12),"""")"),"")</f>
        <v/>
      </c>
      <c r="AC53" t="str">
        <f>IFERROR(__xludf.DUMMYFUNCTION("IFERROR(FILTER('Fund Data'!$D:$D, 'Fund Data'!$C:$C = $A53, 'Fund Data'!$A:$A = AC$1, 'Fund Data'!$B:$B = 12),"""")"),"")</f>
        <v/>
      </c>
      <c r="AD53" t="str">
        <f>IFERROR(__xludf.DUMMYFUNCTION("IFERROR(FILTER('Fund Data'!$D:$D, 'Fund Data'!$C:$C = $A53, 'Fund Data'!$A:$A = AD$1, 'Fund Data'!$B:$B = 12),"""")"),"")</f>
        <v/>
      </c>
      <c r="AE53" t="str">
        <f>IFERROR(__xludf.DUMMYFUNCTION("IFERROR(FILTER('Fund Data'!$D:$D, 'Fund Data'!$C:$C = $A53, 'Fund Data'!$A:$A = AE$1, 'Fund Data'!$B:$B = 12),"""")"),"")</f>
        <v/>
      </c>
    </row>
    <row r="54">
      <c r="A54" s="145" t="str">
        <f>'Endowed Funds'!B:B</f>
        <v/>
      </c>
      <c r="B54" t="str">
        <f>IFERROR(__xludf.DUMMYFUNCTION("IFERROR(FILTER('Fund Data'!$D:$D, 'Fund Data'!$C:$C = $A54, 'Fund Data'!$A:$A = B$1, 'Fund Data'!$B:$B = 12),"""")"),"")</f>
        <v/>
      </c>
      <c r="C54" t="str">
        <f>IFERROR(__xludf.DUMMYFUNCTION("IFERROR(FILTER('Fund Data'!$D:$D, 'Fund Data'!$C:$C = $A54, 'Fund Data'!$A:$A = C$1, 'Fund Data'!$B:$B = 12),"""")"),"")</f>
        <v/>
      </c>
      <c r="D54" t="str">
        <f>IFERROR(__xludf.DUMMYFUNCTION("IFERROR(FILTER('Fund Data'!$D:$D, 'Fund Data'!$C:$C = $A54, 'Fund Data'!$A:$A = D$1, 'Fund Data'!$B:$B = 12),"""")"),"")</f>
        <v/>
      </c>
      <c r="E54" t="str">
        <f>IFERROR(__xludf.DUMMYFUNCTION("IFERROR(FILTER('Fund Data'!$D:$D, 'Fund Data'!$C:$C = $A54, 'Fund Data'!$A:$A = E$1, 'Fund Data'!$B:$B = 12),"""")"),"")</f>
        <v/>
      </c>
      <c r="F54" t="str">
        <f>IFERROR(__xludf.DUMMYFUNCTION("IFERROR(FILTER('Fund Data'!$D:$D, 'Fund Data'!$C:$C = $A54, 'Fund Data'!$A:$A = F$1, 'Fund Data'!$B:$B = 12),"""")"),"")</f>
        <v/>
      </c>
      <c r="G54" t="str">
        <f>IFERROR(__xludf.DUMMYFUNCTION("IFERROR(FILTER('Fund Data'!$D:$D, 'Fund Data'!$C:$C = $A54, 'Fund Data'!$A:$A = G$1, 'Fund Data'!$B:$B = 12),"""")"),"")</f>
        <v/>
      </c>
      <c r="H54" t="str">
        <f>IFERROR(__xludf.DUMMYFUNCTION("IFERROR(FILTER('Fund Data'!$D:$D, 'Fund Data'!$C:$C = $A54, 'Fund Data'!$A:$A = H$1, 'Fund Data'!$B:$B = 12),"""")"),"")</f>
        <v/>
      </c>
      <c r="I54" t="str">
        <f>IFERROR(__xludf.DUMMYFUNCTION("IFERROR(FILTER('Fund Data'!$D:$D, 'Fund Data'!$C:$C = $A54, 'Fund Data'!$A:$A = I$1, 'Fund Data'!$B:$B = 12),"""")"),"")</f>
        <v/>
      </c>
      <c r="J54" t="str">
        <f>IFERROR(__xludf.DUMMYFUNCTION("IFERROR(FILTER('Fund Data'!$D:$D, 'Fund Data'!$C:$C = $A54, 'Fund Data'!$A:$A = J$1, 'Fund Data'!$B:$B = 12),"""")"),"")</f>
        <v/>
      </c>
      <c r="K54" t="str">
        <f>IFERROR(__xludf.DUMMYFUNCTION("IFERROR(FILTER('Fund Data'!$D:$D, 'Fund Data'!$C:$C = $A54, 'Fund Data'!$A:$A = K$1, 'Fund Data'!$B:$B = 12),"""")"),"")</f>
        <v/>
      </c>
      <c r="L54" t="str">
        <f>IFERROR(__xludf.DUMMYFUNCTION("IFERROR(FILTER('Fund Data'!$D:$D, 'Fund Data'!$C:$C = $A54, 'Fund Data'!$A:$A = L$1, 'Fund Data'!$B:$B = 12),"""")"),"")</f>
        <v/>
      </c>
      <c r="M54" t="str">
        <f>IFERROR(__xludf.DUMMYFUNCTION("IFERROR(FILTER('Fund Data'!$D:$D, 'Fund Data'!$C:$C = $A54, 'Fund Data'!$A:$A = M$1, 'Fund Data'!$B:$B = 12),"""")"),"")</f>
        <v/>
      </c>
      <c r="N54" t="str">
        <f>IFERROR(__xludf.DUMMYFUNCTION("IFERROR(FILTER('Fund Data'!$D:$D, 'Fund Data'!$C:$C = $A54, 'Fund Data'!$A:$A = N$1, 'Fund Data'!$B:$B = 12),"""")"),"")</f>
        <v/>
      </c>
      <c r="O54" t="str">
        <f>IFERROR(__xludf.DUMMYFUNCTION("IFERROR(FILTER('Fund Data'!$D:$D, 'Fund Data'!$C:$C = $A54, 'Fund Data'!$A:$A = O$1, 'Fund Data'!$B:$B = 12),"""")"),"")</f>
        <v/>
      </c>
      <c r="P54" t="str">
        <f>IFERROR(__xludf.DUMMYFUNCTION("IFERROR(FILTER('Fund Data'!$D:$D, 'Fund Data'!$C:$C = $A54, 'Fund Data'!$A:$A = P$1, 'Fund Data'!$B:$B = 12),"""")"),"")</f>
        <v/>
      </c>
      <c r="Q54" t="str">
        <f>IFERROR(__xludf.DUMMYFUNCTION("IFERROR(FILTER('Fund Data'!$D:$D, 'Fund Data'!$C:$C = $A54, 'Fund Data'!$A:$A = Q$1, 'Fund Data'!$B:$B = 12),"""")"),"")</f>
        <v/>
      </c>
      <c r="R54" t="str">
        <f>IFERROR(__xludf.DUMMYFUNCTION("IFERROR(FILTER('Fund Data'!$D:$D, 'Fund Data'!$C:$C = $A54, 'Fund Data'!$A:$A = R$1, 'Fund Data'!$B:$B = 12),"""")"),"")</f>
        <v/>
      </c>
      <c r="S54" t="str">
        <f>IFERROR(__xludf.DUMMYFUNCTION("IFERROR(FILTER('Fund Data'!$D:$D, 'Fund Data'!$C:$C = $A54, 'Fund Data'!$A:$A = S$1, 'Fund Data'!$B:$B = 12),"""")"),"")</f>
        <v/>
      </c>
      <c r="T54" t="str">
        <f>IFERROR(__xludf.DUMMYFUNCTION("IFERROR(FILTER('Fund Data'!$D:$D, 'Fund Data'!$C:$C = $A54, 'Fund Data'!$A:$A = T$1, 'Fund Data'!$B:$B = 12),"""")"),"")</f>
        <v/>
      </c>
      <c r="U54" t="str">
        <f>IFERROR(__xludf.DUMMYFUNCTION("IFERROR(FILTER('Fund Data'!$D:$D, 'Fund Data'!$C:$C = $A54, 'Fund Data'!$A:$A = U$1, 'Fund Data'!$B:$B = 12),"""")"),"")</f>
        <v/>
      </c>
      <c r="V54" t="str">
        <f>IFERROR(__xludf.DUMMYFUNCTION("IFERROR(FILTER('Fund Data'!$D:$D, 'Fund Data'!$C:$C = $A54, 'Fund Data'!$A:$A = V$1, 'Fund Data'!$B:$B = 12),"""")"),"")</f>
        <v/>
      </c>
      <c r="W54" t="str">
        <f>IFERROR(__xludf.DUMMYFUNCTION("IFERROR(FILTER('Fund Data'!$D:$D, 'Fund Data'!$C:$C = $A54, 'Fund Data'!$A:$A = W$1, 'Fund Data'!$B:$B = 12),"""")"),"")</f>
        <v/>
      </c>
      <c r="X54" t="str">
        <f>IFERROR(__xludf.DUMMYFUNCTION("IFERROR(FILTER('Fund Data'!$D:$D, 'Fund Data'!$C:$C = $A54, 'Fund Data'!$A:$A = X$1, 'Fund Data'!$B:$B = 12),"""")"),"")</f>
        <v/>
      </c>
      <c r="Y54" t="str">
        <f>IFERROR(__xludf.DUMMYFUNCTION("IFERROR(FILTER('Fund Data'!$D:$D, 'Fund Data'!$C:$C = $A54, 'Fund Data'!$A:$A = Y$1, 'Fund Data'!$B:$B = 12),"""")"),"")</f>
        <v/>
      </c>
      <c r="Z54" t="str">
        <f>IFERROR(__xludf.DUMMYFUNCTION("IFERROR(FILTER('Fund Data'!$D:$D, 'Fund Data'!$C:$C = $A54, 'Fund Data'!$A:$A = Z$1, 'Fund Data'!$B:$B = 12),"""")"),"")</f>
        <v/>
      </c>
      <c r="AA54" t="str">
        <f>IFERROR(__xludf.DUMMYFUNCTION("IFERROR(FILTER('Fund Data'!$D:$D, 'Fund Data'!$C:$C = $A54, 'Fund Data'!$A:$A = AA$1, 'Fund Data'!$B:$B = 12),"""")"),"")</f>
        <v/>
      </c>
      <c r="AB54" t="str">
        <f>IFERROR(__xludf.DUMMYFUNCTION("IFERROR(FILTER('Fund Data'!$D:$D, 'Fund Data'!$C:$C = $A54, 'Fund Data'!$A:$A = AB$1, 'Fund Data'!$B:$B = 12),"""")"),"")</f>
        <v/>
      </c>
      <c r="AC54" t="str">
        <f>IFERROR(__xludf.DUMMYFUNCTION("IFERROR(FILTER('Fund Data'!$D:$D, 'Fund Data'!$C:$C = $A54, 'Fund Data'!$A:$A = AC$1, 'Fund Data'!$B:$B = 12),"""")"),"")</f>
        <v/>
      </c>
      <c r="AD54" t="str">
        <f>IFERROR(__xludf.DUMMYFUNCTION("IFERROR(FILTER('Fund Data'!$D:$D, 'Fund Data'!$C:$C = $A54, 'Fund Data'!$A:$A = AD$1, 'Fund Data'!$B:$B = 12),"""")"),"")</f>
        <v/>
      </c>
      <c r="AE54" t="str">
        <f>IFERROR(__xludf.DUMMYFUNCTION("IFERROR(FILTER('Fund Data'!$D:$D, 'Fund Data'!$C:$C = $A54, 'Fund Data'!$A:$A = AE$1, 'Fund Data'!$B:$B = 12),"""")"),"")</f>
        <v/>
      </c>
    </row>
    <row r="55">
      <c r="A55" s="145" t="str">
        <f>'Endowed Funds'!B:B</f>
        <v/>
      </c>
      <c r="B55" t="str">
        <f>IFERROR(__xludf.DUMMYFUNCTION("IFERROR(FILTER('Fund Data'!$D:$D, 'Fund Data'!$C:$C = $A55, 'Fund Data'!$A:$A = B$1, 'Fund Data'!$B:$B = 12),"""")"),"")</f>
        <v/>
      </c>
      <c r="C55" t="str">
        <f>IFERROR(__xludf.DUMMYFUNCTION("IFERROR(FILTER('Fund Data'!$D:$D, 'Fund Data'!$C:$C = $A55, 'Fund Data'!$A:$A = C$1, 'Fund Data'!$B:$B = 12),"""")"),"")</f>
        <v/>
      </c>
      <c r="D55" t="str">
        <f>IFERROR(__xludf.DUMMYFUNCTION("IFERROR(FILTER('Fund Data'!$D:$D, 'Fund Data'!$C:$C = $A55, 'Fund Data'!$A:$A = D$1, 'Fund Data'!$B:$B = 12),"""")"),"")</f>
        <v/>
      </c>
      <c r="E55" t="str">
        <f>IFERROR(__xludf.DUMMYFUNCTION("IFERROR(FILTER('Fund Data'!$D:$D, 'Fund Data'!$C:$C = $A55, 'Fund Data'!$A:$A = E$1, 'Fund Data'!$B:$B = 12),"""")"),"")</f>
        <v/>
      </c>
      <c r="F55" t="str">
        <f>IFERROR(__xludf.DUMMYFUNCTION("IFERROR(FILTER('Fund Data'!$D:$D, 'Fund Data'!$C:$C = $A55, 'Fund Data'!$A:$A = F$1, 'Fund Data'!$B:$B = 12),"""")"),"")</f>
        <v/>
      </c>
      <c r="G55" t="str">
        <f>IFERROR(__xludf.DUMMYFUNCTION("IFERROR(FILTER('Fund Data'!$D:$D, 'Fund Data'!$C:$C = $A55, 'Fund Data'!$A:$A = G$1, 'Fund Data'!$B:$B = 12),"""")"),"")</f>
        <v/>
      </c>
      <c r="H55" t="str">
        <f>IFERROR(__xludf.DUMMYFUNCTION("IFERROR(FILTER('Fund Data'!$D:$D, 'Fund Data'!$C:$C = $A55, 'Fund Data'!$A:$A = H$1, 'Fund Data'!$B:$B = 12),"""")"),"")</f>
        <v/>
      </c>
      <c r="I55" t="str">
        <f>IFERROR(__xludf.DUMMYFUNCTION("IFERROR(FILTER('Fund Data'!$D:$D, 'Fund Data'!$C:$C = $A55, 'Fund Data'!$A:$A = I$1, 'Fund Data'!$B:$B = 12),"""")"),"")</f>
        <v/>
      </c>
      <c r="J55" t="str">
        <f>IFERROR(__xludf.DUMMYFUNCTION("IFERROR(FILTER('Fund Data'!$D:$D, 'Fund Data'!$C:$C = $A55, 'Fund Data'!$A:$A = J$1, 'Fund Data'!$B:$B = 12),"""")"),"")</f>
        <v/>
      </c>
      <c r="K55" t="str">
        <f>IFERROR(__xludf.DUMMYFUNCTION("IFERROR(FILTER('Fund Data'!$D:$D, 'Fund Data'!$C:$C = $A55, 'Fund Data'!$A:$A = K$1, 'Fund Data'!$B:$B = 12),"""")"),"")</f>
        <v/>
      </c>
      <c r="L55" t="str">
        <f>IFERROR(__xludf.DUMMYFUNCTION("IFERROR(FILTER('Fund Data'!$D:$D, 'Fund Data'!$C:$C = $A55, 'Fund Data'!$A:$A = L$1, 'Fund Data'!$B:$B = 12),"""")"),"")</f>
        <v/>
      </c>
      <c r="M55" t="str">
        <f>IFERROR(__xludf.DUMMYFUNCTION("IFERROR(FILTER('Fund Data'!$D:$D, 'Fund Data'!$C:$C = $A55, 'Fund Data'!$A:$A = M$1, 'Fund Data'!$B:$B = 12),"""")"),"")</f>
        <v/>
      </c>
      <c r="N55" t="str">
        <f>IFERROR(__xludf.DUMMYFUNCTION("IFERROR(FILTER('Fund Data'!$D:$D, 'Fund Data'!$C:$C = $A55, 'Fund Data'!$A:$A = N$1, 'Fund Data'!$B:$B = 12),"""")"),"")</f>
        <v/>
      </c>
      <c r="O55" t="str">
        <f>IFERROR(__xludf.DUMMYFUNCTION("IFERROR(FILTER('Fund Data'!$D:$D, 'Fund Data'!$C:$C = $A55, 'Fund Data'!$A:$A = O$1, 'Fund Data'!$B:$B = 12),"""")"),"")</f>
        <v/>
      </c>
      <c r="P55" t="str">
        <f>IFERROR(__xludf.DUMMYFUNCTION("IFERROR(FILTER('Fund Data'!$D:$D, 'Fund Data'!$C:$C = $A55, 'Fund Data'!$A:$A = P$1, 'Fund Data'!$B:$B = 12),"""")"),"")</f>
        <v/>
      </c>
      <c r="Q55" t="str">
        <f>IFERROR(__xludf.DUMMYFUNCTION("IFERROR(FILTER('Fund Data'!$D:$D, 'Fund Data'!$C:$C = $A55, 'Fund Data'!$A:$A = Q$1, 'Fund Data'!$B:$B = 12),"""")"),"")</f>
        <v/>
      </c>
      <c r="R55" t="str">
        <f>IFERROR(__xludf.DUMMYFUNCTION("IFERROR(FILTER('Fund Data'!$D:$D, 'Fund Data'!$C:$C = $A55, 'Fund Data'!$A:$A = R$1, 'Fund Data'!$B:$B = 12),"""")"),"")</f>
        <v/>
      </c>
      <c r="S55" t="str">
        <f>IFERROR(__xludf.DUMMYFUNCTION("IFERROR(FILTER('Fund Data'!$D:$D, 'Fund Data'!$C:$C = $A55, 'Fund Data'!$A:$A = S$1, 'Fund Data'!$B:$B = 12),"""")"),"")</f>
        <v/>
      </c>
      <c r="T55" t="str">
        <f>IFERROR(__xludf.DUMMYFUNCTION("IFERROR(FILTER('Fund Data'!$D:$D, 'Fund Data'!$C:$C = $A55, 'Fund Data'!$A:$A = T$1, 'Fund Data'!$B:$B = 12),"""")"),"")</f>
        <v/>
      </c>
      <c r="U55" t="str">
        <f>IFERROR(__xludf.DUMMYFUNCTION("IFERROR(FILTER('Fund Data'!$D:$D, 'Fund Data'!$C:$C = $A55, 'Fund Data'!$A:$A = U$1, 'Fund Data'!$B:$B = 12),"""")"),"")</f>
        <v/>
      </c>
      <c r="V55" t="str">
        <f>IFERROR(__xludf.DUMMYFUNCTION("IFERROR(FILTER('Fund Data'!$D:$D, 'Fund Data'!$C:$C = $A55, 'Fund Data'!$A:$A = V$1, 'Fund Data'!$B:$B = 12),"""")"),"")</f>
        <v/>
      </c>
      <c r="W55" t="str">
        <f>IFERROR(__xludf.DUMMYFUNCTION("IFERROR(FILTER('Fund Data'!$D:$D, 'Fund Data'!$C:$C = $A55, 'Fund Data'!$A:$A = W$1, 'Fund Data'!$B:$B = 12),"""")"),"")</f>
        <v/>
      </c>
      <c r="X55" t="str">
        <f>IFERROR(__xludf.DUMMYFUNCTION("IFERROR(FILTER('Fund Data'!$D:$D, 'Fund Data'!$C:$C = $A55, 'Fund Data'!$A:$A = X$1, 'Fund Data'!$B:$B = 12),"""")"),"")</f>
        <v/>
      </c>
      <c r="Y55" t="str">
        <f>IFERROR(__xludf.DUMMYFUNCTION("IFERROR(FILTER('Fund Data'!$D:$D, 'Fund Data'!$C:$C = $A55, 'Fund Data'!$A:$A = Y$1, 'Fund Data'!$B:$B = 12),"""")"),"")</f>
        <v/>
      </c>
      <c r="Z55" t="str">
        <f>IFERROR(__xludf.DUMMYFUNCTION("IFERROR(FILTER('Fund Data'!$D:$D, 'Fund Data'!$C:$C = $A55, 'Fund Data'!$A:$A = Z$1, 'Fund Data'!$B:$B = 12),"""")"),"")</f>
        <v/>
      </c>
      <c r="AA55" t="str">
        <f>IFERROR(__xludf.DUMMYFUNCTION("IFERROR(FILTER('Fund Data'!$D:$D, 'Fund Data'!$C:$C = $A55, 'Fund Data'!$A:$A = AA$1, 'Fund Data'!$B:$B = 12),"""")"),"")</f>
        <v/>
      </c>
      <c r="AB55" t="str">
        <f>IFERROR(__xludf.DUMMYFUNCTION("IFERROR(FILTER('Fund Data'!$D:$D, 'Fund Data'!$C:$C = $A55, 'Fund Data'!$A:$A = AB$1, 'Fund Data'!$B:$B = 12),"""")"),"")</f>
        <v/>
      </c>
      <c r="AC55" t="str">
        <f>IFERROR(__xludf.DUMMYFUNCTION("IFERROR(FILTER('Fund Data'!$D:$D, 'Fund Data'!$C:$C = $A55, 'Fund Data'!$A:$A = AC$1, 'Fund Data'!$B:$B = 12),"""")"),"")</f>
        <v/>
      </c>
      <c r="AD55" t="str">
        <f>IFERROR(__xludf.DUMMYFUNCTION("IFERROR(FILTER('Fund Data'!$D:$D, 'Fund Data'!$C:$C = $A55, 'Fund Data'!$A:$A = AD$1, 'Fund Data'!$B:$B = 12),"""")"),"")</f>
        <v/>
      </c>
      <c r="AE55" t="str">
        <f>IFERROR(__xludf.DUMMYFUNCTION("IFERROR(FILTER('Fund Data'!$D:$D, 'Fund Data'!$C:$C = $A55, 'Fund Data'!$A:$A = AE$1, 'Fund Data'!$B:$B = 12),"""")"),"")</f>
        <v/>
      </c>
    </row>
    <row r="56">
      <c r="A56" s="145" t="str">
        <f>'Endowed Funds'!B:B</f>
        <v/>
      </c>
      <c r="B56" t="str">
        <f>IFERROR(__xludf.DUMMYFUNCTION("IFERROR(FILTER('Fund Data'!$D:$D, 'Fund Data'!$C:$C = $A56, 'Fund Data'!$A:$A = B$1, 'Fund Data'!$B:$B = 12),"""")"),"")</f>
        <v/>
      </c>
      <c r="C56" t="str">
        <f>IFERROR(__xludf.DUMMYFUNCTION("IFERROR(FILTER('Fund Data'!$D:$D, 'Fund Data'!$C:$C = $A56, 'Fund Data'!$A:$A = C$1, 'Fund Data'!$B:$B = 12),"""")"),"")</f>
        <v/>
      </c>
      <c r="D56" t="str">
        <f>IFERROR(__xludf.DUMMYFUNCTION("IFERROR(FILTER('Fund Data'!$D:$D, 'Fund Data'!$C:$C = $A56, 'Fund Data'!$A:$A = D$1, 'Fund Data'!$B:$B = 12),"""")"),"")</f>
        <v/>
      </c>
      <c r="E56" t="str">
        <f>IFERROR(__xludf.DUMMYFUNCTION("IFERROR(FILTER('Fund Data'!$D:$D, 'Fund Data'!$C:$C = $A56, 'Fund Data'!$A:$A = E$1, 'Fund Data'!$B:$B = 12),"""")"),"")</f>
        <v/>
      </c>
      <c r="F56" t="str">
        <f>IFERROR(__xludf.DUMMYFUNCTION("IFERROR(FILTER('Fund Data'!$D:$D, 'Fund Data'!$C:$C = $A56, 'Fund Data'!$A:$A = F$1, 'Fund Data'!$B:$B = 12),"""")"),"")</f>
        <v/>
      </c>
      <c r="G56" t="str">
        <f>IFERROR(__xludf.DUMMYFUNCTION("IFERROR(FILTER('Fund Data'!$D:$D, 'Fund Data'!$C:$C = $A56, 'Fund Data'!$A:$A = G$1, 'Fund Data'!$B:$B = 12),"""")"),"")</f>
        <v/>
      </c>
      <c r="H56" t="str">
        <f>IFERROR(__xludf.DUMMYFUNCTION("IFERROR(FILTER('Fund Data'!$D:$D, 'Fund Data'!$C:$C = $A56, 'Fund Data'!$A:$A = H$1, 'Fund Data'!$B:$B = 12),"""")"),"")</f>
        <v/>
      </c>
      <c r="I56" t="str">
        <f>IFERROR(__xludf.DUMMYFUNCTION("IFERROR(FILTER('Fund Data'!$D:$D, 'Fund Data'!$C:$C = $A56, 'Fund Data'!$A:$A = I$1, 'Fund Data'!$B:$B = 12),"""")"),"")</f>
        <v/>
      </c>
      <c r="J56" t="str">
        <f>IFERROR(__xludf.DUMMYFUNCTION("IFERROR(FILTER('Fund Data'!$D:$D, 'Fund Data'!$C:$C = $A56, 'Fund Data'!$A:$A = J$1, 'Fund Data'!$B:$B = 12),"""")"),"")</f>
        <v/>
      </c>
      <c r="K56" t="str">
        <f>IFERROR(__xludf.DUMMYFUNCTION("IFERROR(FILTER('Fund Data'!$D:$D, 'Fund Data'!$C:$C = $A56, 'Fund Data'!$A:$A = K$1, 'Fund Data'!$B:$B = 12),"""")"),"")</f>
        <v/>
      </c>
      <c r="L56" t="str">
        <f>IFERROR(__xludf.DUMMYFUNCTION("IFERROR(FILTER('Fund Data'!$D:$D, 'Fund Data'!$C:$C = $A56, 'Fund Data'!$A:$A = L$1, 'Fund Data'!$B:$B = 12),"""")"),"")</f>
        <v/>
      </c>
      <c r="M56" t="str">
        <f>IFERROR(__xludf.DUMMYFUNCTION("IFERROR(FILTER('Fund Data'!$D:$D, 'Fund Data'!$C:$C = $A56, 'Fund Data'!$A:$A = M$1, 'Fund Data'!$B:$B = 12),"""")"),"")</f>
        <v/>
      </c>
      <c r="N56" t="str">
        <f>IFERROR(__xludf.DUMMYFUNCTION("IFERROR(FILTER('Fund Data'!$D:$D, 'Fund Data'!$C:$C = $A56, 'Fund Data'!$A:$A = N$1, 'Fund Data'!$B:$B = 12),"""")"),"")</f>
        <v/>
      </c>
      <c r="O56" t="str">
        <f>IFERROR(__xludf.DUMMYFUNCTION("IFERROR(FILTER('Fund Data'!$D:$D, 'Fund Data'!$C:$C = $A56, 'Fund Data'!$A:$A = O$1, 'Fund Data'!$B:$B = 12),"""")"),"")</f>
        <v/>
      </c>
      <c r="P56" t="str">
        <f>IFERROR(__xludf.DUMMYFUNCTION("IFERROR(FILTER('Fund Data'!$D:$D, 'Fund Data'!$C:$C = $A56, 'Fund Data'!$A:$A = P$1, 'Fund Data'!$B:$B = 12),"""")"),"")</f>
        <v/>
      </c>
      <c r="Q56" t="str">
        <f>IFERROR(__xludf.DUMMYFUNCTION("IFERROR(FILTER('Fund Data'!$D:$D, 'Fund Data'!$C:$C = $A56, 'Fund Data'!$A:$A = Q$1, 'Fund Data'!$B:$B = 12),"""")"),"")</f>
        <v/>
      </c>
      <c r="R56" t="str">
        <f>IFERROR(__xludf.DUMMYFUNCTION("IFERROR(FILTER('Fund Data'!$D:$D, 'Fund Data'!$C:$C = $A56, 'Fund Data'!$A:$A = R$1, 'Fund Data'!$B:$B = 12),"""")"),"")</f>
        <v/>
      </c>
      <c r="S56" t="str">
        <f>IFERROR(__xludf.DUMMYFUNCTION("IFERROR(FILTER('Fund Data'!$D:$D, 'Fund Data'!$C:$C = $A56, 'Fund Data'!$A:$A = S$1, 'Fund Data'!$B:$B = 12),"""")"),"")</f>
        <v/>
      </c>
      <c r="T56" t="str">
        <f>IFERROR(__xludf.DUMMYFUNCTION("IFERROR(FILTER('Fund Data'!$D:$D, 'Fund Data'!$C:$C = $A56, 'Fund Data'!$A:$A = T$1, 'Fund Data'!$B:$B = 12),"""")"),"")</f>
        <v/>
      </c>
      <c r="U56" t="str">
        <f>IFERROR(__xludf.DUMMYFUNCTION("IFERROR(FILTER('Fund Data'!$D:$D, 'Fund Data'!$C:$C = $A56, 'Fund Data'!$A:$A = U$1, 'Fund Data'!$B:$B = 12),"""")"),"")</f>
        <v/>
      </c>
      <c r="V56" t="str">
        <f>IFERROR(__xludf.DUMMYFUNCTION("IFERROR(FILTER('Fund Data'!$D:$D, 'Fund Data'!$C:$C = $A56, 'Fund Data'!$A:$A = V$1, 'Fund Data'!$B:$B = 12),"""")"),"")</f>
        <v/>
      </c>
      <c r="W56" t="str">
        <f>IFERROR(__xludf.DUMMYFUNCTION("IFERROR(FILTER('Fund Data'!$D:$D, 'Fund Data'!$C:$C = $A56, 'Fund Data'!$A:$A = W$1, 'Fund Data'!$B:$B = 12),"""")"),"")</f>
        <v/>
      </c>
      <c r="X56" t="str">
        <f>IFERROR(__xludf.DUMMYFUNCTION("IFERROR(FILTER('Fund Data'!$D:$D, 'Fund Data'!$C:$C = $A56, 'Fund Data'!$A:$A = X$1, 'Fund Data'!$B:$B = 12),"""")"),"")</f>
        <v/>
      </c>
      <c r="Y56" t="str">
        <f>IFERROR(__xludf.DUMMYFUNCTION("IFERROR(FILTER('Fund Data'!$D:$D, 'Fund Data'!$C:$C = $A56, 'Fund Data'!$A:$A = Y$1, 'Fund Data'!$B:$B = 12),"""")"),"")</f>
        <v/>
      </c>
      <c r="Z56" t="str">
        <f>IFERROR(__xludf.DUMMYFUNCTION("IFERROR(FILTER('Fund Data'!$D:$D, 'Fund Data'!$C:$C = $A56, 'Fund Data'!$A:$A = Z$1, 'Fund Data'!$B:$B = 12),"""")"),"")</f>
        <v/>
      </c>
      <c r="AA56" t="str">
        <f>IFERROR(__xludf.DUMMYFUNCTION("IFERROR(FILTER('Fund Data'!$D:$D, 'Fund Data'!$C:$C = $A56, 'Fund Data'!$A:$A = AA$1, 'Fund Data'!$B:$B = 12),"""")"),"")</f>
        <v/>
      </c>
      <c r="AB56" t="str">
        <f>IFERROR(__xludf.DUMMYFUNCTION("IFERROR(FILTER('Fund Data'!$D:$D, 'Fund Data'!$C:$C = $A56, 'Fund Data'!$A:$A = AB$1, 'Fund Data'!$B:$B = 12),"""")"),"")</f>
        <v/>
      </c>
      <c r="AC56" t="str">
        <f>IFERROR(__xludf.DUMMYFUNCTION("IFERROR(FILTER('Fund Data'!$D:$D, 'Fund Data'!$C:$C = $A56, 'Fund Data'!$A:$A = AC$1, 'Fund Data'!$B:$B = 12),"""")"),"")</f>
        <v/>
      </c>
      <c r="AD56" t="str">
        <f>IFERROR(__xludf.DUMMYFUNCTION("IFERROR(FILTER('Fund Data'!$D:$D, 'Fund Data'!$C:$C = $A56, 'Fund Data'!$A:$A = AD$1, 'Fund Data'!$B:$B = 12),"""")"),"")</f>
        <v/>
      </c>
      <c r="AE56" t="str">
        <f>IFERROR(__xludf.DUMMYFUNCTION("IFERROR(FILTER('Fund Data'!$D:$D, 'Fund Data'!$C:$C = $A56, 'Fund Data'!$A:$A = AE$1, 'Fund Data'!$B:$B = 12),"""")"),"")</f>
        <v/>
      </c>
    </row>
    <row r="57">
      <c r="A57" s="145" t="str">
        <f>'Endowed Funds'!B:B</f>
        <v/>
      </c>
      <c r="B57" t="str">
        <f>IFERROR(__xludf.DUMMYFUNCTION("IFERROR(FILTER('Fund Data'!$D:$D, 'Fund Data'!$C:$C = $A57, 'Fund Data'!$A:$A = B$1, 'Fund Data'!$B:$B = 12),"""")"),"")</f>
        <v/>
      </c>
      <c r="C57" t="str">
        <f>IFERROR(__xludf.DUMMYFUNCTION("IFERROR(FILTER('Fund Data'!$D:$D, 'Fund Data'!$C:$C = $A57, 'Fund Data'!$A:$A = C$1, 'Fund Data'!$B:$B = 12),"""")"),"")</f>
        <v/>
      </c>
      <c r="D57" t="str">
        <f>IFERROR(__xludf.DUMMYFUNCTION("IFERROR(FILTER('Fund Data'!$D:$D, 'Fund Data'!$C:$C = $A57, 'Fund Data'!$A:$A = D$1, 'Fund Data'!$B:$B = 12),"""")"),"")</f>
        <v/>
      </c>
      <c r="E57" t="str">
        <f>IFERROR(__xludf.DUMMYFUNCTION("IFERROR(FILTER('Fund Data'!$D:$D, 'Fund Data'!$C:$C = $A57, 'Fund Data'!$A:$A = E$1, 'Fund Data'!$B:$B = 12),"""")"),"")</f>
        <v/>
      </c>
      <c r="F57" t="str">
        <f>IFERROR(__xludf.DUMMYFUNCTION("IFERROR(FILTER('Fund Data'!$D:$D, 'Fund Data'!$C:$C = $A57, 'Fund Data'!$A:$A = F$1, 'Fund Data'!$B:$B = 12),"""")"),"")</f>
        <v/>
      </c>
      <c r="G57" t="str">
        <f>IFERROR(__xludf.DUMMYFUNCTION("IFERROR(FILTER('Fund Data'!$D:$D, 'Fund Data'!$C:$C = $A57, 'Fund Data'!$A:$A = G$1, 'Fund Data'!$B:$B = 12),"""")"),"")</f>
        <v/>
      </c>
      <c r="H57" t="str">
        <f>IFERROR(__xludf.DUMMYFUNCTION("IFERROR(FILTER('Fund Data'!$D:$D, 'Fund Data'!$C:$C = $A57, 'Fund Data'!$A:$A = H$1, 'Fund Data'!$B:$B = 12),"""")"),"")</f>
        <v/>
      </c>
      <c r="I57" t="str">
        <f>IFERROR(__xludf.DUMMYFUNCTION("IFERROR(FILTER('Fund Data'!$D:$D, 'Fund Data'!$C:$C = $A57, 'Fund Data'!$A:$A = I$1, 'Fund Data'!$B:$B = 12),"""")"),"")</f>
        <v/>
      </c>
      <c r="J57" t="str">
        <f>IFERROR(__xludf.DUMMYFUNCTION("IFERROR(FILTER('Fund Data'!$D:$D, 'Fund Data'!$C:$C = $A57, 'Fund Data'!$A:$A = J$1, 'Fund Data'!$B:$B = 12),"""")"),"")</f>
        <v/>
      </c>
      <c r="K57" t="str">
        <f>IFERROR(__xludf.DUMMYFUNCTION("IFERROR(FILTER('Fund Data'!$D:$D, 'Fund Data'!$C:$C = $A57, 'Fund Data'!$A:$A = K$1, 'Fund Data'!$B:$B = 12),"""")"),"")</f>
        <v/>
      </c>
      <c r="L57" t="str">
        <f>IFERROR(__xludf.DUMMYFUNCTION("IFERROR(FILTER('Fund Data'!$D:$D, 'Fund Data'!$C:$C = $A57, 'Fund Data'!$A:$A = L$1, 'Fund Data'!$B:$B = 12),"""")"),"")</f>
        <v/>
      </c>
      <c r="M57" t="str">
        <f>IFERROR(__xludf.DUMMYFUNCTION("IFERROR(FILTER('Fund Data'!$D:$D, 'Fund Data'!$C:$C = $A57, 'Fund Data'!$A:$A = M$1, 'Fund Data'!$B:$B = 12),"""")"),"")</f>
        <v/>
      </c>
      <c r="N57" t="str">
        <f>IFERROR(__xludf.DUMMYFUNCTION("IFERROR(FILTER('Fund Data'!$D:$D, 'Fund Data'!$C:$C = $A57, 'Fund Data'!$A:$A = N$1, 'Fund Data'!$B:$B = 12),"""")"),"")</f>
        <v/>
      </c>
      <c r="O57" t="str">
        <f>IFERROR(__xludf.DUMMYFUNCTION("IFERROR(FILTER('Fund Data'!$D:$D, 'Fund Data'!$C:$C = $A57, 'Fund Data'!$A:$A = O$1, 'Fund Data'!$B:$B = 12),"""")"),"")</f>
        <v/>
      </c>
      <c r="P57" t="str">
        <f>IFERROR(__xludf.DUMMYFUNCTION("IFERROR(FILTER('Fund Data'!$D:$D, 'Fund Data'!$C:$C = $A57, 'Fund Data'!$A:$A = P$1, 'Fund Data'!$B:$B = 12),"""")"),"")</f>
        <v/>
      </c>
      <c r="Q57" t="str">
        <f>IFERROR(__xludf.DUMMYFUNCTION("IFERROR(FILTER('Fund Data'!$D:$D, 'Fund Data'!$C:$C = $A57, 'Fund Data'!$A:$A = Q$1, 'Fund Data'!$B:$B = 12),"""")"),"")</f>
        <v/>
      </c>
      <c r="R57" t="str">
        <f>IFERROR(__xludf.DUMMYFUNCTION("IFERROR(FILTER('Fund Data'!$D:$D, 'Fund Data'!$C:$C = $A57, 'Fund Data'!$A:$A = R$1, 'Fund Data'!$B:$B = 12),"""")"),"")</f>
        <v/>
      </c>
      <c r="S57" t="str">
        <f>IFERROR(__xludf.DUMMYFUNCTION("IFERROR(FILTER('Fund Data'!$D:$D, 'Fund Data'!$C:$C = $A57, 'Fund Data'!$A:$A = S$1, 'Fund Data'!$B:$B = 12),"""")"),"")</f>
        <v/>
      </c>
      <c r="T57" t="str">
        <f>IFERROR(__xludf.DUMMYFUNCTION("IFERROR(FILTER('Fund Data'!$D:$D, 'Fund Data'!$C:$C = $A57, 'Fund Data'!$A:$A = T$1, 'Fund Data'!$B:$B = 12),"""")"),"")</f>
        <v/>
      </c>
      <c r="U57" t="str">
        <f>IFERROR(__xludf.DUMMYFUNCTION("IFERROR(FILTER('Fund Data'!$D:$D, 'Fund Data'!$C:$C = $A57, 'Fund Data'!$A:$A = U$1, 'Fund Data'!$B:$B = 12),"""")"),"")</f>
        <v/>
      </c>
      <c r="V57" t="str">
        <f>IFERROR(__xludf.DUMMYFUNCTION("IFERROR(FILTER('Fund Data'!$D:$D, 'Fund Data'!$C:$C = $A57, 'Fund Data'!$A:$A = V$1, 'Fund Data'!$B:$B = 12),"""")"),"")</f>
        <v/>
      </c>
      <c r="W57" t="str">
        <f>IFERROR(__xludf.DUMMYFUNCTION("IFERROR(FILTER('Fund Data'!$D:$D, 'Fund Data'!$C:$C = $A57, 'Fund Data'!$A:$A = W$1, 'Fund Data'!$B:$B = 12),"""")"),"")</f>
        <v/>
      </c>
      <c r="X57" t="str">
        <f>IFERROR(__xludf.DUMMYFUNCTION("IFERROR(FILTER('Fund Data'!$D:$D, 'Fund Data'!$C:$C = $A57, 'Fund Data'!$A:$A = X$1, 'Fund Data'!$B:$B = 12),"""")"),"")</f>
        <v/>
      </c>
      <c r="Y57" t="str">
        <f>IFERROR(__xludf.DUMMYFUNCTION("IFERROR(FILTER('Fund Data'!$D:$D, 'Fund Data'!$C:$C = $A57, 'Fund Data'!$A:$A = Y$1, 'Fund Data'!$B:$B = 12),"""")"),"")</f>
        <v/>
      </c>
      <c r="Z57" t="str">
        <f>IFERROR(__xludf.DUMMYFUNCTION("IFERROR(FILTER('Fund Data'!$D:$D, 'Fund Data'!$C:$C = $A57, 'Fund Data'!$A:$A = Z$1, 'Fund Data'!$B:$B = 12),"""")"),"")</f>
        <v/>
      </c>
      <c r="AA57" t="str">
        <f>IFERROR(__xludf.DUMMYFUNCTION("IFERROR(FILTER('Fund Data'!$D:$D, 'Fund Data'!$C:$C = $A57, 'Fund Data'!$A:$A = AA$1, 'Fund Data'!$B:$B = 12),"""")"),"")</f>
        <v/>
      </c>
      <c r="AB57" t="str">
        <f>IFERROR(__xludf.DUMMYFUNCTION("IFERROR(FILTER('Fund Data'!$D:$D, 'Fund Data'!$C:$C = $A57, 'Fund Data'!$A:$A = AB$1, 'Fund Data'!$B:$B = 12),"""")"),"")</f>
        <v/>
      </c>
      <c r="AC57" t="str">
        <f>IFERROR(__xludf.DUMMYFUNCTION("IFERROR(FILTER('Fund Data'!$D:$D, 'Fund Data'!$C:$C = $A57, 'Fund Data'!$A:$A = AC$1, 'Fund Data'!$B:$B = 12),"""")"),"")</f>
        <v/>
      </c>
      <c r="AD57" t="str">
        <f>IFERROR(__xludf.DUMMYFUNCTION("IFERROR(FILTER('Fund Data'!$D:$D, 'Fund Data'!$C:$C = $A57, 'Fund Data'!$A:$A = AD$1, 'Fund Data'!$B:$B = 12),"""")"),"")</f>
        <v/>
      </c>
      <c r="AE57" t="str">
        <f>IFERROR(__xludf.DUMMYFUNCTION("IFERROR(FILTER('Fund Data'!$D:$D, 'Fund Data'!$C:$C = $A57, 'Fund Data'!$A:$A = AE$1, 'Fund Data'!$B:$B = 12),"""")"),"")</f>
        <v/>
      </c>
    </row>
    <row r="58">
      <c r="A58" s="145" t="str">
        <f>'Endowed Funds'!B:B</f>
        <v/>
      </c>
      <c r="B58" t="str">
        <f>IFERROR(__xludf.DUMMYFUNCTION("IFERROR(FILTER('Fund Data'!$D:$D, 'Fund Data'!$C:$C = $A58, 'Fund Data'!$A:$A = B$1, 'Fund Data'!$B:$B = 12),"""")"),"")</f>
        <v/>
      </c>
      <c r="C58" t="str">
        <f>IFERROR(__xludf.DUMMYFUNCTION("IFERROR(FILTER('Fund Data'!$D:$D, 'Fund Data'!$C:$C = $A58, 'Fund Data'!$A:$A = C$1, 'Fund Data'!$B:$B = 12),"""")"),"")</f>
        <v/>
      </c>
      <c r="D58" t="str">
        <f>IFERROR(__xludf.DUMMYFUNCTION("IFERROR(FILTER('Fund Data'!$D:$D, 'Fund Data'!$C:$C = $A58, 'Fund Data'!$A:$A = D$1, 'Fund Data'!$B:$B = 12),"""")"),"")</f>
        <v/>
      </c>
      <c r="E58" t="str">
        <f>IFERROR(__xludf.DUMMYFUNCTION("IFERROR(FILTER('Fund Data'!$D:$D, 'Fund Data'!$C:$C = $A58, 'Fund Data'!$A:$A = E$1, 'Fund Data'!$B:$B = 12),"""")"),"")</f>
        <v/>
      </c>
      <c r="F58" t="str">
        <f>IFERROR(__xludf.DUMMYFUNCTION("IFERROR(FILTER('Fund Data'!$D:$D, 'Fund Data'!$C:$C = $A58, 'Fund Data'!$A:$A = F$1, 'Fund Data'!$B:$B = 12),"""")"),"")</f>
        <v/>
      </c>
      <c r="G58" t="str">
        <f>IFERROR(__xludf.DUMMYFUNCTION("IFERROR(FILTER('Fund Data'!$D:$D, 'Fund Data'!$C:$C = $A58, 'Fund Data'!$A:$A = G$1, 'Fund Data'!$B:$B = 12),"""")"),"")</f>
        <v/>
      </c>
      <c r="H58" t="str">
        <f>IFERROR(__xludf.DUMMYFUNCTION("IFERROR(FILTER('Fund Data'!$D:$D, 'Fund Data'!$C:$C = $A58, 'Fund Data'!$A:$A = H$1, 'Fund Data'!$B:$B = 12),"""")"),"")</f>
        <v/>
      </c>
      <c r="I58" t="str">
        <f>IFERROR(__xludf.DUMMYFUNCTION("IFERROR(FILTER('Fund Data'!$D:$D, 'Fund Data'!$C:$C = $A58, 'Fund Data'!$A:$A = I$1, 'Fund Data'!$B:$B = 12),"""")"),"")</f>
        <v/>
      </c>
      <c r="J58" t="str">
        <f>IFERROR(__xludf.DUMMYFUNCTION("IFERROR(FILTER('Fund Data'!$D:$D, 'Fund Data'!$C:$C = $A58, 'Fund Data'!$A:$A = J$1, 'Fund Data'!$B:$B = 12),"""")"),"")</f>
        <v/>
      </c>
      <c r="K58" t="str">
        <f>IFERROR(__xludf.DUMMYFUNCTION("IFERROR(FILTER('Fund Data'!$D:$D, 'Fund Data'!$C:$C = $A58, 'Fund Data'!$A:$A = K$1, 'Fund Data'!$B:$B = 12),"""")"),"")</f>
        <v/>
      </c>
      <c r="L58" t="str">
        <f>IFERROR(__xludf.DUMMYFUNCTION("IFERROR(FILTER('Fund Data'!$D:$D, 'Fund Data'!$C:$C = $A58, 'Fund Data'!$A:$A = L$1, 'Fund Data'!$B:$B = 12),"""")"),"")</f>
        <v/>
      </c>
      <c r="M58" t="str">
        <f>IFERROR(__xludf.DUMMYFUNCTION("IFERROR(FILTER('Fund Data'!$D:$D, 'Fund Data'!$C:$C = $A58, 'Fund Data'!$A:$A = M$1, 'Fund Data'!$B:$B = 12),"""")"),"")</f>
        <v/>
      </c>
      <c r="N58" t="str">
        <f>IFERROR(__xludf.DUMMYFUNCTION("IFERROR(FILTER('Fund Data'!$D:$D, 'Fund Data'!$C:$C = $A58, 'Fund Data'!$A:$A = N$1, 'Fund Data'!$B:$B = 12),"""")"),"")</f>
        <v/>
      </c>
      <c r="O58" t="str">
        <f>IFERROR(__xludf.DUMMYFUNCTION("IFERROR(FILTER('Fund Data'!$D:$D, 'Fund Data'!$C:$C = $A58, 'Fund Data'!$A:$A = O$1, 'Fund Data'!$B:$B = 12),"""")"),"")</f>
        <v/>
      </c>
      <c r="P58" t="str">
        <f>IFERROR(__xludf.DUMMYFUNCTION("IFERROR(FILTER('Fund Data'!$D:$D, 'Fund Data'!$C:$C = $A58, 'Fund Data'!$A:$A = P$1, 'Fund Data'!$B:$B = 12),"""")"),"")</f>
        <v/>
      </c>
      <c r="Q58" t="str">
        <f>IFERROR(__xludf.DUMMYFUNCTION("IFERROR(FILTER('Fund Data'!$D:$D, 'Fund Data'!$C:$C = $A58, 'Fund Data'!$A:$A = Q$1, 'Fund Data'!$B:$B = 12),"""")"),"")</f>
        <v/>
      </c>
      <c r="R58" t="str">
        <f>IFERROR(__xludf.DUMMYFUNCTION("IFERROR(FILTER('Fund Data'!$D:$D, 'Fund Data'!$C:$C = $A58, 'Fund Data'!$A:$A = R$1, 'Fund Data'!$B:$B = 12),"""")"),"")</f>
        <v/>
      </c>
      <c r="S58" t="str">
        <f>IFERROR(__xludf.DUMMYFUNCTION("IFERROR(FILTER('Fund Data'!$D:$D, 'Fund Data'!$C:$C = $A58, 'Fund Data'!$A:$A = S$1, 'Fund Data'!$B:$B = 12),"""")"),"")</f>
        <v/>
      </c>
      <c r="T58" t="str">
        <f>IFERROR(__xludf.DUMMYFUNCTION("IFERROR(FILTER('Fund Data'!$D:$D, 'Fund Data'!$C:$C = $A58, 'Fund Data'!$A:$A = T$1, 'Fund Data'!$B:$B = 12),"""")"),"")</f>
        <v/>
      </c>
      <c r="U58" t="str">
        <f>IFERROR(__xludf.DUMMYFUNCTION("IFERROR(FILTER('Fund Data'!$D:$D, 'Fund Data'!$C:$C = $A58, 'Fund Data'!$A:$A = U$1, 'Fund Data'!$B:$B = 12),"""")"),"")</f>
        <v/>
      </c>
      <c r="V58" t="str">
        <f>IFERROR(__xludf.DUMMYFUNCTION("IFERROR(FILTER('Fund Data'!$D:$D, 'Fund Data'!$C:$C = $A58, 'Fund Data'!$A:$A = V$1, 'Fund Data'!$B:$B = 12),"""")"),"")</f>
        <v/>
      </c>
      <c r="W58" t="str">
        <f>IFERROR(__xludf.DUMMYFUNCTION("IFERROR(FILTER('Fund Data'!$D:$D, 'Fund Data'!$C:$C = $A58, 'Fund Data'!$A:$A = W$1, 'Fund Data'!$B:$B = 12),"""")"),"")</f>
        <v/>
      </c>
      <c r="X58" t="str">
        <f>IFERROR(__xludf.DUMMYFUNCTION("IFERROR(FILTER('Fund Data'!$D:$D, 'Fund Data'!$C:$C = $A58, 'Fund Data'!$A:$A = X$1, 'Fund Data'!$B:$B = 12),"""")"),"")</f>
        <v/>
      </c>
      <c r="Y58" t="str">
        <f>IFERROR(__xludf.DUMMYFUNCTION("IFERROR(FILTER('Fund Data'!$D:$D, 'Fund Data'!$C:$C = $A58, 'Fund Data'!$A:$A = Y$1, 'Fund Data'!$B:$B = 12),"""")"),"")</f>
        <v/>
      </c>
      <c r="Z58" t="str">
        <f>IFERROR(__xludf.DUMMYFUNCTION("IFERROR(FILTER('Fund Data'!$D:$D, 'Fund Data'!$C:$C = $A58, 'Fund Data'!$A:$A = Z$1, 'Fund Data'!$B:$B = 12),"""")"),"")</f>
        <v/>
      </c>
      <c r="AA58" t="str">
        <f>IFERROR(__xludf.DUMMYFUNCTION("IFERROR(FILTER('Fund Data'!$D:$D, 'Fund Data'!$C:$C = $A58, 'Fund Data'!$A:$A = AA$1, 'Fund Data'!$B:$B = 12),"""")"),"")</f>
        <v/>
      </c>
      <c r="AB58" t="str">
        <f>IFERROR(__xludf.DUMMYFUNCTION("IFERROR(FILTER('Fund Data'!$D:$D, 'Fund Data'!$C:$C = $A58, 'Fund Data'!$A:$A = AB$1, 'Fund Data'!$B:$B = 12),"""")"),"")</f>
        <v/>
      </c>
      <c r="AC58" t="str">
        <f>IFERROR(__xludf.DUMMYFUNCTION("IFERROR(FILTER('Fund Data'!$D:$D, 'Fund Data'!$C:$C = $A58, 'Fund Data'!$A:$A = AC$1, 'Fund Data'!$B:$B = 12),"""")"),"")</f>
        <v/>
      </c>
      <c r="AD58" t="str">
        <f>IFERROR(__xludf.DUMMYFUNCTION("IFERROR(FILTER('Fund Data'!$D:$D, 'Fund Data'!$C:$C = $A58, 'Fund Data'!$A:$A = AD$1, 'Fund Data'!$B:$B = 12),"""")"),"")</f>
        <v/>
      </c>
      <c r="AE58" t="str">
        <f>IFERROR(__xludf.DUMMYFUNCTION("IFERROR(FILTER('Fund Data'!$D:$D, 'Fund Data'!$C:$C = $A58, 'Fund Data'!$A:$A = AE$1, 'Fund Data'!$B:$B = 12),"""")"),"")</f>
        <v/>
      </c>
    </row>
    <row r="59">
      <c r="A59" s="145" t="str">
        <f>'Endowed Funds'!B:B</f>
        <v/>
      </c>
      <c r="B59" t="str">
        <f>IFERROR(__xludf.DUMMYFUNCTION("IFERROR(FILTER('Fund Data'!$D:$D, 'Fund Data'!$C:$C = $A59, 'Fund Data'!$A:$A = B$1, 'Fund Data'!$B:$B = 12),"""")"),"")</f>
        <v/>
      </c>
      <c r="C59" t="str">
        <f>IFERROR(__xludf.DUMMYFUNCTION("IFERROR(FILTER('Fund Data'!$D:$D, 'Fund Data'!$C:$C = $A59, 'Fund Data'!$A:$A = C$1, 'Fund Data'!$B:$B = 12),"""")"),"")</f>
        <v/>
      </c>
      <c r="D59" t="str">
        <f>IFERROR(__xludf.DUMMYFUNCTION("IFERROR(FILTER('Fund Data'!$D:$D, 'Fund Data'!$C:$C = $A59, 'Fund Data'!$A:$A = D$1, 'Fund Data'!$B:$B = 12),"""")"),"")</f>
        <v/>
      </c>
      <c r="E59" t="str">
        <f>IFERROR(__xludf.DUMMYFUNCTION("IFERROR(FILTER('Fund Data'!$D:$D, 'Fund Data'!$C:$C = $A59, 'Fund Data'!$A:$A = E$1, 'Fund Data'!$B:$B = 12),"""")"),"")</f>
        <v/>
      </c>
      <c r="F59" t="str">
        <f>IFERROR(__xludf.DUMMYFUNCTION("IFERROR(FILTER('Fund Data'!$D:$D, 'Fund Data'!$C:$C = $A59, 'Fund Data'!$A:$A = F$1, 'Fund Data'!$B:$B = 12),"""")"),"")</f>
        <v/>
      </c>
      <c r="G59" t="str">
        <f>IFERROR(__xludf.DUMMYFUNCTION("IFERROR(FILTER('Fund Data'!$D:$D, 'Fund Data'!$C:$C = $A59, 'Fund Data'!$A:$A = G$1, 'Fund Data'!$B:$B = 12),"""")"),"")</f>
        <v/>
      </c>
      <c r="H59" t="str">
        <f>IFERROR(__xludf.DUMMYFUNCTION("IFERROR(FILTER('Fund Data'!$D:$D, 'Fund Data'!$C:$C = $A59, 'Fund Data'!$A:$A = H$1, 'Fund Data'!$B:$B = 12),"""")"),"")</f>
        <v/>
      </c>
      <c r="I59" t="str">
        <f>IFERROR(__xludf.DUMMYFUNCTION("IFERROR(FILTER('Fund Data'!$D:$D, 'Fund Data'!$C:$C = $A59, 'Fund Data'!$A:$A = I$1, 'Fund Data'!$B:$B = 12),"""")"),"")</f>
        <v/>
      </c>
      <c r="J59" t="str">
        <f>IFERROR(__xludf.DUMMYFUNCTION("IFERROR(FILTER('Fund Data'!$D:$D, 'Fund Data'!$C:$C = $A59, 'Fund Data'!$A:$A = J$1, 'Fund Data'!$B:$B = 12),"""")"),"")</f>
        <v/>
      </c>
      <c r="K59" t="str">
        <f>IFERROR(__xludf.DUMMYFUNCTION("IFERROR(FILTER('Fund Data'!$D:$D, 'Fund Data'!$C:$C = $A59, 'Fund Data'!$A:$A = K$1, 'Fund Data'!$B:$B = 12),"""")"),"")</f>
        <v/>
      </c>
      <c r="L59" t="str">
        <f>IFERROR(__xludf.DUMMYFUNCTION("IFERROR(FILTER('Fund Data'!$D:$D, 'Fund Data'!$C:$C = $A59, 'Fund Data'!$A:$A = L$1, 'Fund Data'!$B:$B = 12),"""")"),"")</f>
        <v/>
      </c>
      <c r="M59" t="str">
        <f>IFERROR(__xludf.DUMMYFUNCTION("IFERROR(FILTER('Fund Data'!$D:$D, 'Fund Data'!$C:$C = $A59, 'Fund Data'!$A:$A = M$1, 'Fund Data'!$B:$B = 12),"""")"),"")</f>
        <v/>
      </c>
      <c r="N59" t="str">
        <f>IFERROR(__xludf.DUMMYFUNCTION("IFERROR(FILTER('Fund Data'!$D:$D, 'Fund Data'!$C:$C = $A59, 'Fund Data'!$A:$A = N$1, 'Fund Data'!$B:$B = 12),"""")"),"")</f>
        <v/>
      </c>
      <c r="O59" t="str">
        <f>IFERROR(__xludf.DUMMYFUNCTION("IFERROR(FILTER('Fund Data'!$D:$D, 'Fund Data'!$C:$C = $A59, 'Fund Data'!$A:$A = O$1, 'Fund Data'!$B:$B = 12),"""")"),"")</f>
        <v/>
      </c>
      <c r="P59" t="str">
        <f>IFERROR(__xludf.DUMMYFUNCTION("IFERROR(FILTER('Fund Data'!$D:$D, 'Fund Data'!$C:$C = $A59, 'Fund Data'!$A:$A = P$1, 'Fund Data'!$B:$B = 12),"""")"),"")</f>
        <v/>
      </c>
      <c r="Q59" t="str">
        <f>IFERROR(__xludf.DUMMYFUNCTION("IFERROR(FILTER('Fund Data'!$D:$D, 'Fund Data'!$C:$C = $A59, 'Fund Data'!$A:$A = Q$1, 'Fund Data'!$B:$B = 12),"""")"),"")</f>
        <v/>
      </c>
      <c r="R59" t="str">
        <f>IFERROR(__xludf.DUMMYFUNCTION("IFERROR(FILTER('Fund Data'!$D:$D, 'Fund Data'!$C:$C = $A59, 'Fund Data'!$A:$A = R$1, 'Fund Data'!$B:$B = 12),"""")"),"")</f>
        <v/>
      </c>
      <c r="S59" t="str">
        <f>IFERROR(__xludf.DUMMYFUNCTION("IFERROR(FILTER('Fund Data'!$D:$D, 'Fund Data'!$C:$C = $A59, 'Fund Data'!$A:$A = S$1, 'Fund Data'!$B:$B = 12),"""")"),"")</f>
        <v/>
      </c>
      <c r="T59" t="str">
        <f>IFERROR(__xludf.DUMMYFUNCTION("IFERROR(FILTER('Fund Data'!$D:$D, 'Fund Data'!$C:$C = $A59, 'Fund Data'!$A:$A = T$1, 'Fund Data'!$B:$B = 12),"""")"),"")</f>
        <v/>
      </c>
      <c r="U59" t="str">
        <f>IFERROR(__xludf.DUMMYFUNCTION("IFERROR(FILTER('Fund Data'!$D:$D, 'Fund Data'!$C:$C = $A59, 'Fund Data'!$A:$A = U$1, 'Fund Data'!$B:$B = 12),"""")"),"")</f>
        <v/>
      </c>
      <c r="V59" t="str">
        <f>IFERROR(__xludf.DUMMYFUNCTION("IFERROR(FILTER('Fund Data'!$D:$D, 'Fund Data'!$C:$C = $A59, 'Fund Data'!$A:$A = V$1, 'Fund Data'!$B:$B = 12),"""")"),"")</f>
        <v/>
      </c>
      <c r="W59" t="str">
        <f>IFERROR(__xludf.DUMMYFUNCTION("IFERROR(FILTER('Fund Data'!$D:$D, 'Fund Data'!$C:$C = $A59, 'Fund Data'!$A:$A = W$1, 'Fund Data'!$B:$B = 12),"""")"),"")</f>
        <v/>
      </c>
      <c r="X59" t="str">
        <f>IFERROR(__xludf.DUMMYFUNCTION("IFERROR(FILTER('Fund Data'!$D:$D, 'Fund Data'!$C:$C = $A59, 'Fund Data'!$A:$A = X$1, 'Fund Data'!$B:$B = 12),"""")"),"")</f>
        <v/>
      </c>
      <c r="Y59" t="str">
        <f>IFERROR(__xludf.DUMMYFUNCTION("IFERROR(FILTER('Fund Data'!$D:$D, 'Fund Data'!$C:$C = $A59, 'Fund Data'!$A:$A = Y$1, 'Fund Data'!$B:$B = 12),"""")"),"")</f>
        <v/>
      </c>
      <c r="Z59" t="str">
        <f>IFERROR(__xludf.DUMMYFUNCTION("IFERROR(FILTER('Fund Data'!$D:$D, 'Fund Data'!$C:$C = $A59, 'Fund Data'!$A:$A = Z$1, 'Fund Data'!$B:$B = 12),"""")"),"")</f>
        <v/>
      </c>
      <c r="AA59" t="str">
        <f>IFERROR(__xludf.DUMMYFUNCTION("IFERROR(FILTER('Fund Data'!$D:$D, 'Fund Data'!$C:$C = $A59, 'Fund Data'!$A:$A = AA$1, 'Fund Data'!$B:$B = 12),"""")"),"")</f>
        <v/>
      </c>
      <c r="AB59" t="str">
        <f>IFERROR(__xludf.DUMMYFUNCTION("IFERROR(FILTER('Fund Data'!$D:$D, 'Fund Data'!$C:$C = $A59, 'Fund Data'!$A:$A = AB$1, 'Fund Data'!$B:$B = 12),"""")"),"")</f>
        <v/>
      </c>
      <c r="AC59" t="str">
        <f>IFERROR(__xludf.DUMMYFUNCTION("IFERROR(FILTER('Fund Data'!$D:$D, 'Fund Data'!$C:$C = $A59, 'Fund Data'!$A:$A = AC$1, 'Fund Data'!$B:$B = 12),"""")"),"")</f>
        <v/>
      </c>
      <c r="AD59" t="str">
        <f>IFERROR(__xludf.DUMMYFUNCTION("IFERROR(FILTER('Fund Data'!$D:$D, 'Fund Data'!$C:$C = $A59, 'Fund Data'!$A:$A = AD$1, 'Fund Data'!$B:$B = 12),"""")"),"")</f>
        <v/>
      </c>
      <c r="AE59" t="str">
        <f>IFERROR(__xludf.DUMMYFUNCTION("IFERROR(FILTER('Fund Data'!$D:$D, 'Fund Data'!$C:$C = $A59, 'Fund Data'!$A:$A = AE$1, 'Fund Data'!$B:$B = 12),"""")"),"")</f>
        <v/>
      </c>
    </row>
    <row r="60">
      <c r="A60" s="145" t="str">
        <f>'Endowed Funds'!B:B</f>
        <v/>
      </c>
      <c r="B60" t="str">
        <f>IFERROR(__xludf.DUMMYFUNCTION("IFERROR(FILTER('Fund Data'!$D:$D, 'Fund Data'!$C:$C = $A60, 'Fund Data'!$A:$A = B$1, 'Fund Data'!$B:$B = 12),"""")"),"")</f>
        <v/>
      </c>
      <c r="C60" t="str">
        <f>IFERROR(__xludf.DUMMYFUNCTION("IFERROR(FILTER('Fund Data'!$D:$D, 'Fund Data'!$C:$C = $A60, 'Fund Data'!$A:$A = C$1, 'Fund Data'!$B:$B = 12),"""")"),"")</f>
        <v/>
      </c>
      <c r="D60" t="str">
        <f>IFERROR(__xludf.DUMMYFUNCTION("IFERROR(FILTER('Fund Data'!$D:$D, 'Fund Data'!$C:$C = $A60, 'Fund Data'!$A:$A = D$1, 'Fund Data'!$B:$B = 12),"""")"),"")</f>
        <v/>
      </c>
      <c r="E60" t="str">
        <f>IFERROR(__xludf.DUMMYFUNCTION("IFERROR(FILTER('Fund Data'!$D:$D, 'Fund Data'!$C:$C = $A60, 'Fund Data'!$A:$A = E$1, 'Fund Data'!$B:$B = 12),"""")"),"")</f>
        <v/>
      </c>
      <c r="F60" t="str">
        <f>IFERROR(__xludf.DUMMYFUNCTION("IFERROR(FILTER('Fund Data'!$D:$D, 'Fund Data'!$C:$C = $A60, 'Fund Data'!$A:$A = F$1, 'Fund Data'!$B:$B = 12),"""")"),"")</f>
        <v/>
      </c>
      <c r="G60" t="str">
        <f>IFERROR(__xludf.DUMMYFUNCTION("IFERROR(FILTER('Fund Data'!$D:$D, 'Fund Data'!$C:$C = $A60, 'Fund Data'!$A:$A = G$1, 'Fund Data'!$B:$B = 12),"""")"),"")</f>
        <v/>
      </c>
      <c r="H60" t="str">
        <f>IFERROR(__xludf.DUMMYFUNCTION("IFERROR(FILTER('Fund Data'!$D:$D, 'Fund Data'!$C:$C = $A60, 'Fund Data'!$A:$A = H$1, 'Fund Data'!$B:$B = 12),"""")"),"")</f>
        <v/>
      </c>
      <c r="I60" t="str">
        <f>IFERROR(__xludf.DUMMYFUNCTION("IFERROR(FILTER('Fund Data'!$D:$D, 'Fund Data'!$C:$C = $A60, 'Fund Data'!$A:$A = I$1, 'Fund Data'!$B:$B = 12),"""")"),"")</f>
        <v/>
      </c>
      <c r="J60" t="str">
        <f>IFERROR(__xludf.DUMMYFUNCTION("IFERROR(FILTER('Fund Data'!$D:$D, 'Fund Data'!$C:$C = $A60, 'Fund Data'!$A:$A = J$1, 'Fund Data'!$B:$B = 12),"""")"),"")</f>
        <v/>
      </c>
      <c r="K60" t="str">
        <f>IFERROR(__xludf.DUMMYFUNCTION("IFERROR(FILTER('Fund Data'!$D:$D, 'Fund Data'!$C:$C = $A60, 'Fund Data'!$A:$A = K$1, 'Fund Data'!$B:$B = 12),"""")"),"")</f>
        <v/>
      </c>
      <c r="L60" t="str">
        <f>IFERROR(__xludf.DUMMYFUNCTION("IFERROR(FILTER('Fund Data'!$D:$D, 'Fund Data'!$C:$C = $A60, 'Fund Data'!$A:$A = L$1, 'Fund Data'!$B:$B = 12),"""")"),"")</f>
        <v/>
      </c>
      <c r="M60" t="str">
        <f>IFERROR(__xludf.DUMMYFUNCTION("IFERROR(FILTER('Fund Data'!$D:$D, 'Fund Data'!$C:$C = $A60, 'Fund Data'!$A:$A = M$1, 'Fund Data'!$B:$B = 12),"""")"),"")</f>
        <v/>
      </c>
      <c r="N60" t="str">
        <f>IFERROR(__xludf.DUMMYFUNCTION("IFERROR(FILTER('Fund Data'!$D:$D, 'Fund Data'!$C:$C = $A60, 'Fund Data'!$A:$A = N$1, 'Fund Data'!$B:$B = 12),"""")"),"")</f>
        <v/>
      </c>
      <c r="O60" t="str">
        <f>IFERROR(__xludf.DUMMYFUNCTION("IFERROR(FILTER('Fund Data'!$D:$D, 'Fund Data'!$C:$C = $A60, 'Fund Data'!$A:$A = O$1, 'Fund Data'!$B:$B = 12),"""")"),"")</f>
        <v/>
      </c>
      <c r="P60" t="str">
        <f>IFERROR(__xludf.DUMMYFUNCTION("IFERROR(FILTER('Fund Data'!$D:$D, 'Fund Data'!$C:$C = $A60, 'Fund Data'!$A:$A = P$1, 'Fund Data'!$B:$B = 12),"""")"),"")</f>
        <v/>
      </c>
      <c r="Q60" t="str">
        <f>IFERROR(__xludf.DUMMYFUNCTION("IFERROR(FILTER('Fund Data'!$D:$D, 'Fund Data'!$C:$C = $A60, 'Fund Data'!$A:$A = Q$1, 'Fund Data'!$B:$B = 12),"""")"),"")</f>
        <v/>
      </c>
      <c r="R60" t="str">
        <f>IFERROR(__xludf.DUMMYFUNCTION("IFERROR(FILTER('Fund Data'!$D:$D, 'Fund Data'!$C:$C = $A60, 'Fund Data'!$A:$A = R$1, 'Fund Data'!$B:$B = 12),"""")"),"")</f>
        <v/>
      </c>
      <c r="S60" t="str">
        <f>IFERROR(__xludf.DUMMYFUNCTION("IFERROR(FILTER('Fund Data'!$D:$D, 'Fund Data'!$C:$C = $A60, 'Fund Data'!$A:$A = S$1, 'Fund Data'!$B:$B = 12),"""")"),"")</f>
        <v/>
      </c>
      <c r="T60" t="str">
        <f>IFERROR(__xludf.DUMMYFUNCTION("IFERROR(FILTER('Fund Data'!$D:$D, 'Fund Data'!$C:$C = $A60, 'Fund Data'!$A:$A = T$1, 'Fund Data'!$B:$B = 12),"""")"),"")</f>
        <v/>
      </c>
      <c r="U60" t="str">
        <f>IFERROR(__xludf.DUMMYFUNCTION("IFERROR(FILTER('Fund Data'!$D:$D, 'Fund Data'!$C:$C = $A60, 'Fund Data'!$A:$A = U$1, 'Fund Data'!$B:$B = 12),"""")"),"")</f>
        <v/>
      </c>
      <c r="V60" t="str">
        <f>IFERROR(__xludf.DUMMYFUNCTION("IFERROR(FILTER('Fund Data'!$D:$D, 'Fund Data'!$C:$C = $A60, 'Fund Data'!$A:$A = V$1, 'Fund Data'!$B:$B = 12),"""")"),"")</f>
        <v/>
      </c>
      <c r="W60" t="str">
        <f>IFERROR(__xludf.DUMMYFUNCTION("IFERROR(FILTER('Fund Data'!$D:$D, 'Fund Data'!$C:$C = $A60, 'Fund Data'!$A:$A = W$1, 'Fund Data'!$B:$B = 12),"""")"),"")</f>
        <v/>
      </c>
      <c r="X60" t="str">
        <f>IFERROR(__xludf.DUMMYFUNCTION("IFERROR(FILTER('Fund Data'!$D:$D, 'Fund Data'!$C:$C = $A60, 'Fund Data'!$A:$A = X$1, 'Fund Data'!$B:$B = 12),"""")"),"")</f>
        <v/>
      </c>
      <c r="Y60" t="str">
        <f>IFERROR(__xludf.DUMMYFUNCTION("IFERROR(FILTER('Fund Data'!$D:$D, 'Fund Data'!$C:$C = $A60, 'Fund Data'!$A:$A = Y$1, 'Fund Data'!$B:$B = 12),"""")"),"")</f>
        <v/>
      </c>
      <c r="Z60" t="str">
        <f>IFERROR(__xludf.DUMMYFUNCTION("IFERROR(FILTER('Fund Data'!$D:$D, 'Fund Data'!$C:$C = $A60, 'Fund Data'!$A:$A = Z$1, 'Fund Data'!$B:$B = 12),"""")"),"")</f>
        <v/>
      </c>
      <c r="AA60" t="str">
        <f>IFERROR(__xludf.DUMMYFUNCTION("IFERROR(FILTER('Fund Data'!$D:$D, 'Fund Data'!$C:$C = $A60, 'Fund Data'!$A:$A = AA$1, 'Fund Data'!$B:$B = 12),"""")"),"")</f>
        <v/>
      </c>
      <c r="AB60" t="str">
        <f>IFERROR(__xludf.DUMMYFUNCTION("IFERROR(FILTER('Fund Data'!$D:$D, 'Fund Data'!$C:$C = $A60, 'Fund Data'!$A:$A = AB$1, 'Fund Data'!$B:$B = 12),"""")"),"")</f>
        <v/>
      </c>
      <c r="AC60" t="str">
        <f>IFERROR(__xludf.DUMMYFUNCTION("IFERROR(FILTER('Fund Data'!$D:$D, 'Fund Data'!$C:$C = $A60, 'Fund Data'!$A:$A = AC$1, 'Fund Data'!$B:$B = 12),"""")"),"")</f>
        <v/>
      </c>
      <c r="AD60" t="str">
        <f>IFERROR(__xludf.DUMMYFUNCTION("IFERROR(FILTER('Fund Data'!$D:$D, 'Fund Data'!$C:$C = $A60, 'Fund Data'!$A:$A = AD$1, 'Fund Data'!$B:$B = 12),"""")"),"")</f>
        <v/>
      </c>
      <c r="AE60" t="str">
        <f>IFERROR(__xludf.DUMMYFUNCTION("IFERROR(FILTER('Fund Data'!$D:$D, 'Fund Data'!$C:$C = $A60, 'Fund Data'!$A:$A = AE$1, 'Fund Data'!$B:$B = 12),"""")"),"")</f>
        <v/>
      </c>
    </row>
    <row r="61">
      <c r="A61" s="145" t="str">
        <f>'Endowed Funds'!B:B</f>
        <v/>
      </c>
      <c r="B61" t="str">
        <f>IFERROR(__xludf.DUMMYFUNCTION("IFERROR(FILTER('Fund Data'!$D:$D, 'Fund Data'!$C:$C = $A61, 'Fund Data'!$A:$A = B$1, 'Fund Data'!$B:$B = 12),"""")"),"")</f>
        <v/>
      </c>
      <c r="C61" t="str">
        <f>IFERROR(__xludf.DUMMYFUNCTION("IFERROR(FILTER('Fund Data'!$D:$D, 'Fund Data'!$C:$C = $A61, 'Fund Data'!$A:$A = C$1, 'Fund Data'!$B:$B = 12),"""")"),"")</f>
        <v/>
      </c>
      <c r="D61" t="str">
        <f>IFERROR(__xludf.DUMMYFUNCTION("IFERROR(FILTER('Fund Data'!$D:$D, 'Fund Data'!$C:$C = $A61, 'Fund Data'!$A:$A = D$1, 'Fund Data'!$B:$B = 12),"""")"),"")</f>
        <v/>
      </c>
      <c r="E61" t="str">
        <f>IFERROR(__xludf.DUMMYFUNCTION("IFERROR(FILTER('Fund Data'!$D:$D, 'Fund Data'!$C:$C = $A61, 'Fund Data'!$A:$A = E$1, 'Fund Data'!$B:$B = 12),"""")"),"")</f>
        <v/>
      </c>
      <c r="F61" t="str">
        <f>IFERROR(__xludf.DUMMYFUNCTION("IFERROR(FILTER('Fund Data'!$D:$D, 'Fund Data'!$C:$C = $A61, 'Fund Data'!$A:$A = F$1, 'Fund Data'!$B:$B = 12),"""")"),"")</f>
        <v/>
      </c>
      <c r="G61" t="str">
        <f>IFERROR(__xludf.DUMMYFUNCTION("IFERROR(FILTER('Fund Data'!$D:$D, 'Fund Data'!$C:$C = $A61, 'Fund Data'!$A:$A = G$1, 'Fund Data'!$B:$B = 12),"""")"),"")</f>
        <v/>
      </c>
      <c r="H61" t="str">
        <f>IFERROR(__xludf.DUMMYFUNCTION("IFERROR(FILTER('Fund Data'!$D:$D, 'Fund Data'!$C:$C = $A61, 'Fund Data'!$A:$A = H$1, 'Fund Data'!$B:$B = 12),"""")"),"")</f>
        <v/>
      </c>
      <c r="I61" t="str">
        <f>IFERROR(__xludf.DUMMYFUNCTION("IFERROR(FILTER('Fund Data'!$D:$D, 'Fund Data'!$C:$C = $A61, 'Fund Data'!$A:$A = I$1, 'Fund Data'!$B:$B = 12),"""")"),"")</f>
        <v/>
      </c>
      <c r="J61" t="str">
        <f>IFERROR(__xludf.DUMMYFUNCTION("IFERROR(FILTER('Fund Data'!$D:$D, 'Fund Data'!$C:$C = $A61, 'Fund Data'!$A:$A = J$1, 'Fund Data'!$B:$B = 12),"""")"),"")</f>
        <v/>
      </c>
      <c r="K61" t="str">
        <f>IFERROR(__xludf.DUMMYFUNCTION("IFERROR(FILTER('Fund Data'!$D:$D, 'Fund Data'!$C:$C = $A61, 'Fund Data'!$A:$A = K$1, 'Fund Data'!$B:$B = 12),"""")"),"")</f>
        <v/>
      </c>
      <c r="L61" t="str">
        <f>IFERROR(__xludf.DUMMYFUNCTION("IFERROR(FILTER('Fund Data'!$D:$D, 'Fund Data'!$C:$C = $A61, 'Fund Data'!$A:$A = L$1, 'Fund Data'!$B:$B = 12),"""")"),"")</f>
        <v/>
      </c>
      <c r="M61" t="str">
        <f>IFERROR(__xludf.DUMMYFUNCTION("IFERROR(FILTER('Fund Data'!$D:$D, 'Fund Data'!$C:$C = $A61, 'Fund Data'!$A:$A = M$1, 'Fund Data'!$B:$B = 12),"""")"),"")</f>
        <v/>
      </c>
      <c r="N61" t="str">
        <f>IFERROR(__xludf.DUMMYFUNCTION("IFERROR(FILTER('Fund Data'!$D:$D, 'Fund Data'!$C:$C = $A61, 'Fund Data'!$A:$A = N$1, 'Fund Data'!$B:$B = 12),"""")"),"")</f>
        <v/>
      </c>
      <c r="O61" t="str">
        <f>IFERROR(__xludf.DUMMYFUNCTION("IFERROR(FILTER('Fund Data'!$D:$D, 'Fund Data'!$C:$C = $A61, 'Fund Data'!$A:$A = O$1, 'Fund Data'!$B:$B = 12),"""")"),"")</f>
        <v/>
      </c>
      <c r="P61" t="str">
        <f>IFERROR(__xludf.DUMMYFUNCTION("IFERROR(FILTER('Fund Data'!$D:$D, 'Fund Data'!$C:$C = $A61, 'Fund Data'!$A:$A = P$1, 'Fund Data'!$B:$B = 12),"""")"),"")</f>
        <v/>
      </c>
      <c r="Q61" t="str">
        <f>IFERROR(__xludf.DUMMYFUNCTION("IFERROR(FILTER('Fund Data'!$D:$D, 'Fund Data'!$C:$C = $A61, 'Fund Data'!$A:$A = Q$1, 'Fund Data'!$B:$B = 12),"""")"),"")</f>
        <v/>
      </c>
      <c r="R61" t="str">
        <f>IFERROR(__xludf.DUMMYFUNCTION("IFERROR(FILTER('Fund Data'!$D:$D, 'Fund Data'!$C:$C = $A61, 'Fund Data'!$A:$A = R$1, 'Fund Data'!$B:$B = 12),"""")"),"")</f>
        <v/>
      </c>
      <c r="S61" t="str">
        <f>IFERROR(__xludf.DUMMYFUNCTION("IFERROR(FILTER('Fund Data'!$D:$D, 'Fund Data'!$C:$C = $A61, 'Fund Data'!$A:$A = S$1, 'Fund Data'!$B:$B = 12),"""")"),"")</f>
        <v/>
      </c>
      <c r="T61" t="str">
        <f>IFERROR(__xludf.DUMMYFUNCTION("IFERROR(FILTER('Fund Data'!$D:$D, 'Fund Data'!$C:$C = $A61, 'Fund Data'!$A:$A = T$1, 'Fund Data'!$B:$B = 12),"""")"),"")</f>
        <v/>
      </c>
      <c r="U61" t="str">
        <f>IFERROR(__xludf.DUMMYFUNCTION("IFERROR(FILTER('Fund Data'!$D:$D, 'Fund Data'!$C:$C = $A61, 'Fund Data'!$A:$A = U$1, 'Fund Data'!$B:$B = 12),"""")"),"")</f>
        <v/>
      </c>
      <c r="V61" t="str">
        <f>IFERROR(__xludf.DUMMYFUNCTION("IFERROR(FILTER('Fund Data'!$D:$D, 'Fund Data'!$C:$C = $A61, 'Fund Data'!$A:$A = V$1, 'Fund Data'!$B:$B = 12),"""")"),"")</f>
        <v/>
      </c>
      <c r="W61" t="str">
        <f>IFERROR(__xludf.DUMMYFUNCTION("IFERROR(FILTER('Fund Data'!$D:$D, 'Fund Data'!$C:$C = $A61, 'Fund Data'!$A:$A = W$1, 'Fund Data'!$B:$B = 12),"""")"),"")</f>
        <v/>
      </c>
      <c r="X61" t="str">
        <f>IFERROR(__xludf.DUMMYFUNCTION("IFERROR(FILTER('Fund Data'!$D:$D, 'Fund Data'!$C:$C = $A61, 'Fund Data'!$A:$A = X$1, 'Fund Data'!$B:$B = 12),"""")"),"")</f>
        <v/>
      </c>
      <c r="Y61" t="str">
        <f>IFERROR(__xludf.DUMMYFUNCTION("IFERROR(FILTER('Fund Data'!$D:$D, 'Fund Data'!$C:$C = $A61, 'Fund Data'!$A:$A = Y$1, 'Fund Data'!$B:$B = 12),"""")"),"")</f>
        <v/>
      </c>
      <c r="Z61" t="str">
        <f>IFERROR(__xludf.DUMMYFUNCTION("IFERROR(FILTER('Fund Data'!$D:$D, 'Fund Data'!$C:$C = $A61, 'Fund Data'!$A:$A = Z$1, 'Fund Data'!$B:$B = 12),"""")"),"")</f>
        <v/>
      </c>
      <c r="AA61" t="str">
        <f>IFERROR(__xludf.DUMMYFUNCTION("IFERROR(FILTER('Fund Data'!$D:$D, 'Fund Data'!$C:$C = $A61, 'Fund Data'!$A:$A = AA$1, 'Fund Data'!$B:$B = 12),"""")"),"")</f>
        <v/>
      </c>
      <c r="AB61" t="str">
        <f>IFERROR(__xludf.DUMMYFUNCTION("IFERROR(FILTER('Fund Data'!$D:$D, 'Fund Data'!$C:$C = $A61, 'Fund Data'!$A:$A = AB$1, 'Fund Data'!$B:$B = 12),"""")"),"")</f>
        <v/>
      </c>
      <c r="AC61" t="str">
        <f>IFERROR(__xludf.DUMMYFUNCTION("IFERROR(FILTER('Fund Data'!$D:$D, 'Fund Data'!$C:$C = $A61, 'Fund Data'!$A:$A = AC$1, 'Fund Data'!$B:$B = 12),"""")"),"")</f>
        <v/>
      </c>
      <c r="AD61" t="str">
        <f>IFERROR(__xludf.DUMMYFUNCTION("IFERROR(FILTER('Fund Data'!$D:$D, 'Fund Data'!$C:$C = $A61, 'Fund Data'!$A:$A = AD$1, 'Fund Data'!$B:$B = 12),"""")"),"")</f>
        <v/>
      </c>
      <c r="AE61" t="str">
        <f>IFERROR(__xludf.DUMMYFUNCTION("IFERROR(FILTER('Fund Data'!$D:$D, 'Fund Data'!$C:$C = $A61, 'Fund Data'!$A:$A = AE$1, 'Fund Data'!$B:$B = 12),"""")"),"")</f>
        <v/>
      </c>
    </row>
    <row r="62">
      <c r="A62" s="145" t="str">
        <f>'Endowed Funds'!B:B</f>
        <v/>
      </c>
      <c r="B62" t="str">
        <f>IFERROR(__xludf.DUMMYFUNCTION("IFERROR(FILTER('Fund Data'!$D:$D, 'Fund Data'!$C:$C = $A62, 'Fund Data'!$A:$A = B$1, 'Fund Data'!$B:$B = 12),"""")"),"")</f>
        <v/>
      </c>
      <c r="C62" t="str">
        <f>IFERROR(__xludf.DUMMYFUNCTION("IFERROR(FILTER('Fund Data'!$D:$D, 'Fund Data'!$C:$C = $A62, 'Fund Data'!$A:$A = C$1, 'Fund Data'!$B:$B = 12),"""")"),"")</f>
        <v/>
      </c>
      <c r="D62" t="str">
        <f>IFERROR(__xludf.DUMMYFUNCTION("IFERROR(FILTER('Fund Data'!$D:$D, 'Fund Data'!$C:$C = $A62, 'Fund Data'!$A:$A = D$1, 'Fund Data'!$B:$B = 12),"""")"),"")</f>
        <v/>
      </c>
      <c r="E62" t="str">
        <f>IFERROR(__xludf.DUMMYFUNCTION("IFERROR(FILTER('Fund Data'!$D:$D, 'Fund Data'!$C:$C = $A62, 'Fund Data'!$A:$A = E$1, 'Fund Data'!$B:$B = 12),"""")"),"")</f>
        <v/>
      </c>
      <c r="F62" t="str">
        <f>IFERROR(__xludf.DUMMYFUNCTION("IFERROR(FILTER('Fund Data'!$D:$D, 'Fund Data'!$C:$C = $A62, 'Fund Data'!$A:$A = F$1, 'Fund Data'!$B:$B = 12),"""")"),"")</f>
        <v/>
      </c>
      <c r="G62" t="str">
        <f>IFERROR(__xludf.DUMMYFUNCTION("IFERROR(FILTER('Fund Data'!$D:$D, 'Fund Data'!$C:$C = $A62, 'Fund Data'!$A:$A = G$1, 'Fund Data'!$B:$B = 12),"""")"),"")</f>
        <v/>
      </c>
      <c r="H62" t="str">
        <f>IFERROR(__xludf.DUMMYFUNCTION("IFERROR(FILTER('Fund Data'!$D:$D, 'Fund Data'!$C:$C = $A62, 'Fund Data'!$A:$A = H$1, 'Fund Data'!$B:$B = 12),"""")"),"")</f>
        <v/>
      </c>
      <c r="I62" t="str">
        <f>IFERROR(__xludf.DUMMYFUNCTION("IFERROR(FILTER('Fund Data'!$D:$D, 'Fund Data'!$C:$C = $A62, 'Fund Data'!$A:$A = I$1, 'Fund Data'!$B:$B = 12),"""")"),"")</f>
        <v/>
      </c>
      <c r="J62" t="str">
        <f>IFERROR(__xludf.DUMMYFUNCTION("IFERROR(FILTER('Fund Data'!$D:$D, 'Fund Data'!$C:$C = $A62, 'Fund Data'!$A:$A = J$1, 'Fund Data'!$B:$B = 12),"""")"),"")</f>
        <v/>
      </c>
      <c r="K62" t="str">
        <f>IFERROR(__xludf.DUMMYFUNCTION("IFERROR(FILTER('Fund Data'!$D:$D, 'Fund Data'!$C:$C = $A62, 'Fund Data'!$A:$A = K$1, 'Fund Data'!$B:$B = 12),"""")"),"")</f>
        <v/>
      </c>
      <c r="L62" t="str">
        <f>IFERROR(__xludf.DUMMYFUNCTION("IFERROR(FILTER('Fund Data'!$D:$D, 'Fund Data'!$C:$C = $A62, 'Fund Data'!$A:$A = L$1, 'Fund Data'!$B:$B = 12),"""")"),"")</f>
        <v/>
      </c>
      <c r="M62" t="str">
        <f>IFERROR(__xludf.DUMMYFUNCTION("IFERROR(FILTER('Fund Data'!$D:$D, 'Fund Data'!$C:$C = $A62, 'Fund Data'!$A:$A = M$1, 'Fund Data'!$B:$B = 12),"""")"),"")</f>
        <v/>
      </c>
      <c r="N62" t="str">
        <f>IFERROR(__xludf.DUMMYFUNCTION("IFERROR(FILTER('Fund Data'!$D:$D, 'Fund Data'!$C:$C = $A62, 'Fund Data'!$A:$A = N$1, 'Fund Data'!$B:$B = 12),"""")"),"")</f>
        <v/>
      </c>
      <c r="O62" t="str">
        <f>IFERROR(__xludf.DUMMYFUNCTION("IFERROR(FILTER('Fund Data'!$D:$D, 'Fund Data'!$C:$C = $A62, 'Fund Data'!$A:$A = O$1, 'Fund Data'!$B:$B = 12),"""")"),"")</f>
        <v/>
      </c>
      <c r="P62" t="str">
        <f>IFERROR(__xludf.DUMMYFUNCTION("IFERROR(FILTER('Fund Data'!$D:$D, 'Fund Data'!$C:$C = $A62, 'Fund Data'!$A:$A = P$1, 'Fund Data'!$B:$B = 12),"""")"),"")</f>
        <v/>
      </c>
      <c r="Q62" t="str">
        <f>IFERROR(__xludf.DUMMYFUNCTION("IFERROR(FILTER('Fund Data'!$D:$D, 'Fund Data'!$C:$C = $A62, 'Fund Data'!$A:$A = Q$1, 'Fund Data'!$B:$B = 12),"""")"),"")</f>
        <v/>
      </c>
      <c r="R62" t="str">
        <f>IFERROR(__xludf.DUMMYFUNCTION("IFERROR(FILTER('Fund Data'!$D:$D, 'Fund Data'!$C:$C = $A62, 'Fund Data'!$A:$A = R$1, 'Fund Data'!$B:$B = 12),"""")"),"")</f>
        <v/>
      </c>
      <c r="S62" t="str">
        <f>IFERROR(__xludf.DUMMYFUNCTION("IFERROR(FILTER('Fund Data'!$D:$D, 'Fund Data'!$C:$C = $A62, 'Fund Data'!$A:$A = S$1, 'Fund Data'!$B:$B = 12),"""")"),"")</f>
        <v/>
      </c>
      <c r="T62" t="str">
        <f>IFERROR(__xludf.DUMMYFUNCTION("IFERROR(FILTER('Fund Data'!$D:$D, 'Fund Data'!$C:$C = $A62, 'Fund Data'!$A:$A = T$1, 'Fund Data'!$B:$B = 12),"""")"),"")</f>
        <v/>
      </c>
      <c r="U62" t="str">
        <f>IFERROR(__xludf.DUMMYFUNCTION("IFERROR(FILTER('Fund Data'!$D:$D, 'Fund Data'!$C:$C = $A62, 'Fund Data'!$A:$A = U$1, 'Fund Data'!$B:$B = 12),"""")"),"")</f>
        <v/>
      </c>
      <c r="V62" t="str">
        <f>IFERROR(__xludf.DUMMYFUNCTION("IFERROR(FILTER('Fund Data'!$D:$D, 'Fund Data'!$C:$C = $A62, 'Fund Data'!$A:$A = V$1, 'Fund Data'!$B:$B = 12),"""")"),"")</f>
        <v/>
      </c>
      <c r="W62" t="str">
        <f>IFERROR(__xludf.DUMMYFUNCTION("IFERROR(FILTER('Fund Data'!$D:$D, 'Fund Data'!$C:$C = $A62, 'Fund Data'!$A:$A = W$1, 'Fund Data'!$B:$B = 12),"""")"),"")</f>
        <v/>
      </c>
      <c r="X62" t="str">
        <f>IFERROR(__xludf.DUMMYFUNCTION("IFERROR(FILTER('Fund Data'!$D:$D, 'Fund Data'!$C:$C = $A62, 'Fund Data'!$A:$A = X$1, 'Fund Data'!$B:$B = 12),"""")"),"")</f>
        <v/>
      </c>
      <c r="Y62" t="str">
        <f>IFERROR(__xludf.DUMMYFUNCTION("IFERROR(FILTER('Fund Data'!$D:$D, 'Fund Data'!$C:$C = $A62, 'Fund Data'!$A:$A = Y$1, 'Fund Data'!$B:$B = 12),"""")"),"")</f>
        <v/>
      </c>
      <c r="Z62" t="str">
        <f>IFERROR(__xludf.DUMMYFUNCTION("IFERROR(FILTER('Fund Data'!$D:$D, 'Fund Data'!$C:$C = $A62, 'Fund Data'!$A:$A = Z$1, 'Fund Data'!$B:$B = 12),"""")"),"")</f>
        <v/>
      </c>
      <c r="AA62" t="str">
        <f>IFERROR(__xludf.DUMMYFUNCTION("IFERROR(FILTER('Fund Data'!$D:$D, 'Fund Data'!$C:$C = $A62, 'Fund Data'!$A:$A = AA$1, 'Fund Data'!$B:$B = 12),"""")"),"")</f>
        <v/>
      </c>
      <c r="AB62" t="str">
        <f>IFERROR(__xludf.DUMMYFUNCTION("IFERROR(FILTER('Fund Data'!$D:$D, 'Fund Data'!$C:$C = $A62, 'Fund Data'!$A:$A = AB$1, 'Fund Data'!$B:$B = 12),"""")"),"")</f>
        <v/>
      </c>
      <c r="AC62" t="str">
        <f>IFERROR(__xludf.DUMMYFUNCTION("IFERROR(FILTER('Fund Data'!$D:$D, 'Fund Data'!$C:$C = $A62, 'Fund Data'!$A:$A = AC$1, 'Fund Data'!$B:$B = 12),"""")"),"")</f>
        <v/>
      </c>
      <c r="AD62" t="str">
        <f>IFERROR(__xludf.DUMMYFUNCTION("IFERROR(FILTER('Fund Data'!$D:$D, 'Fund Data'!$C:$C = $A62, 'Fund Data'!$A:$A = AD$1, 'Fund Data'!$B:$B = 12),"""")"),"")</f>
        <v/>
      </c>
      <c r="AE62" t="str">
        <f>IFERROR(__xludf.DUMMYFUNCTION("IFERROR(FILTER('Fund Data'!$D:$D, 'Fund Data'!$C:$C = $A62, 'Fund Data'!$A:$A = AE$1, 'Fund Data'!$B:$B = 12),"""")"),"")</f>
        <v/>
      </c>
    </row>
    <row r="63">
      <c r="A63" s="145" t="str">
        <f>'Endowed Funds'!B:B</f>
        <v/>
      </c>
      <c r="B63" t="str">
        <f>IFERROR(__xludf.DUMMYFUNCTION("IFERROR(FILTER('Fund Data'!$D:$D, 'Fund Data'!$C:$C = $A63, 'Fund Data'!$A:$A = B$1, 'Fund Data'!$B:$B = 12),"""")"),"")</f>
        <v/>
      </c>
      <c r="C63" t="str">
        <f>IFERROR(__xludf.DUMMYFUNCTION("IFERROR(FILTER('Fund Data'!$D:$D, 'Fund Data'!$C:$C = $A63, 'Fund Data'!$A:$A = C$1, 'Fund Data'!$B:$B = 12),"""")"),"")</f>
        <v/>
      </c>
      <c r="D63" t="str">
        <f>IFERROR(__xludf.DUMMYFUNCTION("IFERROR(FILTER('Fund Data'!$D:$D, 'Fund Data'!$C:$C = $A63, 'Fund Data'!$A:$A = D$1, 'Fund Data'!$B:$B = 12),"""")"),"")</f>
        <v/>
      </c>
      <c r="E63" t="str">
        <f>IFERROR(__xludf.DUMMYFUNCTION("IFERROR(FILTER('Fund Data'!$D:$D, 'Fund Data'!$C:$C = $A63, 'Fund Data'!$A:$A = E$1, 'Fund Data'!$B:$B = 12),"""")"),"")</f>
        <v/>
      </c>
      <c r="F63" t="str">
        <f>IFERROR(__xludf.DUMMYFUNCTION("IFERROR(FILTER('Fund Data'!$D:$D, 'Fund Data'!$C:$C = $A63, 'Fund Data'!$A:$A = F$1, 'Fund Data'!$B:$B = 12),"""")"),"")</f>
        <v/>
      </c>
      <c r="G63" t="str">
        <f>IFERROR(__xludf.DUMMYFUNCTION("IFERROR(FILTER('Fund Data'!$D:$D, 'Fund Data'!$C:$C = $A63, 'Fund Data'!$A:$A = G$1, 'Fund Data'!$B:$B = 12),"""")"),"")</f>
        <v/>
      </c>
      <c r="H63" t="str">
        <f>IFERROR(__xludf.DUMMYFUNCTION("IFERROR(FILTER('Fund Data'!$D:$D, 'Fund Data'!$C:$C = $A63, 'Fund Data'!$A:$A = H$1, 'Fund Data'!$B:$B = 12),"""")"),"")</f>
        <v/>
      </c>
      <c r="I63" t="str">
        <f>IFERROR(__xludf.DUMMYFUNCTION("IFERROR(FILTER('Fund Data'!$D:$D, 'Fund Data'!$C:$C = $A63, 'Fund Data'!$A:$A = I$1, 'Fund Data'!$B:$B = 12),"""")"),"")</f>
        <v/>
      </c>
      <c r="J63" t="str">
        <f>IFERROR(__xludf.DUMMYFUNCTION("IFERROR(FILTER('Fund Data'!$D:$D, 'Fund Data'!$C:$C = $A63, 'Fund Data'!$A:$A = J$1, 'Fund Data'!$B:$B = 12),"""")"),"")</f>
        <v/>
      </c>
      <c r="K63" t="str">
        <f>IFERROR(__xludf.DUMMYFUNCTION("IFERROR(FILTER('Fund Data'!$D:$D, 'Fund Data'!$C:$C = $A63, 'Fund Data'!$A:$A = K$1, 'Fund Data'!$B:$B = 12),"""")"),"")</f>
        <v/>
      </c>
      <c r="L63" t="str">
        <f>IFERROR(__xludf.DUMMYFUNCTION("IFERROR(FILTER('Fund Data'!$D:$D, 'Fund Data'!$C:$C = $A63, 'Fund Data'!$A:$A = L$1, 'Fund Data'!$B:$B = 12),"""")"),"")</f>
        <v/>
      </c>
      <c r="M63" t="str">
        <f>IFERROR(__xludf.DUMMYFUNCTION("IFERROR(FILTER('Fund Data'!$D:$D, 'Fund Data'!$C:$C = $A63, 'Fund Data'!$A:$A = M$1, 'Fund Data'!$B:$B = 12),"""")"),"")</f>
        <v/>
      </c>
      <c r="N63" t="str">
        <f>IFERROR(__xludf.DUMMYFUNCTION("IFERROR(FILTER('Fund Data'!$D:$D, 'Fund Data'!$C:$C = $A63, 'Fund Data'!$A:$A = N$1, 'Fund Data'!$B:$B = 12),"""")"),"")</f>
        <v/>
      </c>
      <c r="O63" t="str">
        <f>IFERROR(__xludf.DUMMYFUNCTION("IFERROR(FILTER('Fund Data'!$D:$D, 'Fund Data'!$C:$C = $A63, 'Fund Data'!$A:$A = O$1, 'Fund Data'!$B:$B = 12),"""")"),"")</f>
        <v/>
      </c>
      <c r="P63" t="str">
        <f>IFERROR(__xludf.DUMMYFUNCTION("IFERROR(FILTER('Fund Data'!$D:$D, 'Fund Data'!$C:$C = $A63, 'Fund Data'!$A:$A = P$1, 'Fund Data'!$B:$B = 12),"""")"),"")</f>
        <v/>
      </c>
      <c r="Q63" t="str">
        <f>IFERROR(__xludf.DUMMYFUNCTION("IFERROR(FILTER('Fund Data'!$D:$D, 'Fund Data'!$C:$C = $A63, 'Fund Data'!$A:$A = Q$1, 'Fund Data'!$B:$B = 12),"""")"),"")</f>
        <v/>
      </c>
      <c r="R63" t="str">
        <f>IFERROR(__xludf.DUMMYFUNCTION("IFERROR(FILTER('Fund Data'!$D:$D, 'Fund Data'!$C:$C = $A63, 'Fund Data'!$A:$A = R$1, 'Fund Data'!$B:$B = 12),"""")"),"")</f>
        <v/>
      </c>
      <c r="S63" t="str">
        <f>IFERROR(__xludf.DUMMYFUNCTION("IFERROR(FILTER('Fund Data'!$D:$D, 'Fund Data'!$C:$C = $A63, 'Fund Data'!$A:$A = S$1, 'Fund Data'!$B:$B = 12),"""")"),"")</f>
        <v/>
      </c>
      <c r="T63" t="str">
        <f>IFERROR(__xludf.DUMMYFUNCTION("IFERROR(FILTER('Fund Data'!$D:$D, 'Fund Data'!$C:$C = $A63, 'Fund Data'!$A:$A = T$1, 'Fund Data'!$B:$B = 12),"""")"),"")</f>
        <v/>
      </c>
      <c r="U63" t="str">
        <f>IFERROR(__xludf.DUMMYFUNCTION("IFERROR(FILTER('Fund Data'!$D:$D, 'Fund Data'!$C:$C = $A63, 'Fund Data'!$A:$A = U$1, 'Fund Data'!$B:$B = 12),"""")"),"")</f>
        <v/>
      </c>
      <c r="V63" t="str">
        <f>IFERROR(__xludf.DUMMYFUNCTION("IFERROR(FILTER('Fund Data'!$D:$D, 'Fund Data'!$C:$C = $A63, 'Fund Data'!$A:$A = V$1, 'Fund Data'!$B:$B = 12),"""")"),"")</f>
        <v/>
      </c>
      <c r="W63" t="str">
        <f>IFERROR(__xludf.DUMMYFUNCTION("IFERROR(FILTER('Fund Data'!$D:$D, 'Fund Data'!$C:$C = $A63, 'Fund Data'!$A:$A = W$1, 'Fund Data'!$B:$B = 12),"""")"),"")</f>
        <v/>
      </c>
      <c r="X63" t="str">
        <f>IFERROR(__xludf.DUMMYFUNCTION("IFERROR(FILTER('Fund Data'!$D:$D, 'Fund Data'!$C:$C = $A63, 'Fund Data'!$A:$A = X$1, 'Fund Data'!$B:$B = 12),"""")"),"")</f>
        <v/>
      </c>
      <c r="Y63" t="str">
        <f>IFERROR(__xludf.DUMMYFUNCTION("IFERROR(FILTER('Fund Data'!$D:$D, 'Fund Data'!$C:$C = $A63, 'Fund Data'!$A:$A = Y$1, 'Fund Data'!$B:$B = 12),"""")"),"")</f>
        <v/>
      </c>
      <c r="Z63" t="str">
        <f>IFERROR(__xludf.DUMMYFUNCTION("IFERROR(FILTER('Fund Data'!$D:$D, 'Fund Data'!$C:$C = $A63, 'Fund Data'!$A:$A = Z$1, 'Fund Data'!$B:$B = 12),"""")"),"")</f>
        <v/>
      </c>
      <c r="AA63" t="str">
        <f>IFERROR(__xludf.DUMMYFUNCTION("IFERROR(FILTER('Fund Data'!$D:$D, 'Fund Data'!$C:$C = $A63, 'Fund Data'!$A:$A = AA$1, 'Fund Data'!$B:$B = 12),"""")"),"")</f>
        <v/>
      </c>
      <c r="AB63" t="str">
        <f>IFERROR(__xludf.DUMMYFUNCTION("IFERROR(FILTER('Fund Data'!$D:$D, 'Fund Data'!$C:$C = $A63, 'Fund Data'!$A:$A = AB$1, 'Fund Data'!$B:$B = 12),"""")"),"")</f>
        <v/>
      </c>
      <c r="AC63" t="str">
        <f>IFERROR(__xludf.DUMMYFUNCTION("IFERROR(FILTER('Fund Data'!$D:$D, 'Fund Data'!$C:$C = $A63, 'Fund Data'!$A:$A = AC$1, 'Fund Data'!$B:$B = 12),"""")"),"")</f>
        <v/>
      </c>
      <c r="AD63" t="str">
        <f>IFERROR(__xludf.DUMMYFUNCTION("IFERROR(FILTER('Fund Data'!$D:$D, 'Fund Data'!$C:$C = $A63, 'Fund Data'!$A:$A = AD$1, 'Fund Data'!$B:$B = 12),"""")"),"")</f>
        <v/>
      </c>
      <c r="AE63" t="str">
        <f>IFERROR(__xludf.DUMMYFUNCTION("IFERROR(FILTER('Fund Data'!$D:$D, 'Fund Data'!$C:$C = $A63, 'Fund Data'!$A:$A = AE$1, 'Fund Data'!$B:$B = 12),"""")"),"")</f>
        <v/>
      </c>
    </row>
    <row r="64">
      <c r="A64" s="145" t="str">
        <f>'Endowed Funds'!B:B</f>
        <v/>
      </c>
      <c r="B64" t="str">
        <f>IFERROR(__xludf.DUMMYFUNCTION("IFERROR(FILTER('Fund Data'!$D:$D, 'Fund Data'!$C:$C = $A64, 'Fund Data'!$A:$A = B$1, 'Fund Data'!$B:$B = 12),"""")"),"")</f>
        <v/>
      </c>
      <c r="C64" t="str">
        <f>IFERROR(__xludf.DUMMYFUNCTION("IFERROR(FILTER('Fund Data'!$D:$D, 'Fund Data'!$C:$C = $A64, 'Fund Data'!$A:$A = C$1, 'Fund Data'!$B:$B = 12),"""")"),"")</f>
        <v/>
      </c>
      <c r="D64" t="str">
        <f>IFERROR(__xludf.DUMMYFUNCTION("IFERROR(FILTER('Fund Data'!$D:$D, 'Fund Data'!$C:$C = $A64, 'Fund Data'!$A:$A = D$1, 'Fund Data'!$B:$B = 12),"""")"),"")</f>
        <v/>
      </c>
      <c r="E64" t="str">
        <f>IFERROR(__xludf.DUMMYFUNCTION("IFERROR(FILTER('Fund Data'!$D:$D, 'Fund Data'!$C:$C = $A64, 'Fund Data'!$A:$A = E$1, 'Fund Data'!$B:$B = 12),"""")"),"")</f>
        <v/>
      </c>
      <c r="F64" t="str">
        <f>IFERROR(__xludf.DUMMYFUNCTION("IFERROR(FILTER('Fund Data'!$D:$D, 'Fund Data'!$C:$C = $A64, 'Fund Data'!$A:$A = F$1, 'Fund Data'!$B:$B = 12),"""")"),"")</f>
        <v/>
      </c>
      <c r="G64" t="str">
        <f>IFERROR(__xludf.DUMMYFUNCTION("IFERROR(FILTER('Fund Data'!$D:$D, 'Fund Data'!$C:$C = $A64, 'Fund Data'!$A:$A = G$1, 'Fund Data'!$B:$B = 12),"""")"),"")</f>
        <v/>
      </c>
      <c r="H64" t="str">
        <f>IFERROR(__xludf.DUMMYFUNCTION("IFERROR(FILTER('Fund Data'!$D:$D, 'Fund Data'!$C:$C = $A64, 'Fund Data'!$A:$A = H$1, 'Fund Data'!$B:$B = 12),"""")"),"")</f>
        <v/>
      </c>
      <c r="I64" t="str">
        <f>IFERROR(__xludf.DUMMYFUNCTION("IFERROR(FILTER('Fund Data'!$D:$D, 'Fund Data'!$C:$C = $A64, 'Fund Data'!$A:$A = I$1, 'Fund Data'!$B:$B = 12),"""")"),"")</f>
        <v/>
      </c>
      <c r="J64" t="str">
        <f>IFERROR(__xludf.DUMMYFUNCTION("IFERROR(FILTER('Fund Data'!$D:$D, 'Fund Data'!$C:$C = $A64, 'Fund Data'!$A:$A = J$1, 'Fund Data'!$B:$B = 12),"""")"),"")</f>
        <v/>
      </c>
      <c r="K64" t="str">
        <f>IFERROR(__xludf.DUMMYFUNCTION("IFERROR(FILTER('Fund Data'!$D:$D, 'Fund Data'!$C:$C = $A64, 'Fund Data'!$A:$A = K$1, 'Fund Data'!$B:$B = 12),"""")"),"")</f>
        <v/>
      </c>
      <c r="L64" t="str">
        <f>IFERROR(__xludf.DUMMYFUNCTION("IFERROR(FILTER('Fund Data'!$D:$D, 'Fund Data'!$C:$C = $A64, 'Fund Data'!$A:$A = L$1, 'Fund Data'!$B:$B = 12),"""")"),"")</f>
        <v/>
      </c>
      <c r="M64" t="str">
        <f>IFERROR(__xludf.DUMMYFUNCTION("IFERROR(FILTER('Fund Data'!$D:$D, 'Fund Data'!$C:$C = $A64, 'Fund Data'!$A:$A = M$1, 'Fund Data'!$B:$B = 12),"""")"),"")</f>
        <v/>
      </c>
      <c r="N64" t="str">
        <f>IFERROR(__xludf.DUMMYFUNCTION("IFERROR(FILTER('Fund Data'!$D:$D, 'Fund Data'!$C:$C = $A64, 'Fund Data'!$A:$A = N$1, 'Fund Data'!$B:$B = 12),"""")"),"")</f>
        <v/>
      </c>
      <c r="O64" t="str">
        <f>IFERROR(__xludf.DUMMYFUNCTION("IFERROR(FILTER('Fund Data'!$D:$D, 'Fund Data'!$C:$C = $A64, 'Fund Data'!$A:$A = O$1, 'Fund Data'!$B:$B = 12),"""")"),"")</f>
        <v/>
      </c>
      <c r="P64" t="str">
        <f>IFERROR(__xludf.DUMMYFUNCTION("IFERROR(FILTER('Fund Data'!$D:$D, 'Fund Data'!$C:$C = $A64, 'Fund Data'!$A:$A = P$1, 'Fund Data'!$B:$B = 12),"""")"),"")</f>
        <v/>
      </c>
      <c r="Q64" t="str">
        <f>IFERROR(__xludf.DUMMYFUNCTION("IFERROR(FILTER('Fund Data'!$D:$D, 'Fund Data'!$C:$C = $A64, 'Fund Data'!$A:$A = Q$1, 'Fund Data'!$B:$B = 12),"""")"),"")</f>
        <v/>
      </c>
      <c r="R64" t="str">
        <f>IFERROR(__xludf.DUMMYFUNCTION("IFERROR(FILTER('Fund Data'!$D:$D, 'Fund Data'!$C:$C = $A64, 'Fund Data'!$A:$A = R$1, 'Fund Data'!$B:$B = 12),"""")"),"")</f>
        <v/>
      </c>
      <c r="S64" t="str">
        <f>IFERROR(__xludf.DUMMYFUNCTION("IFERROR(FILTER('Fund Data'!$D:$D, 'Fund Data'!$C:$C = $A64, 'Fund Data'!$A:$A = S$1, 'Fund Data'!$B:$B = 12),"""")"),"")</f>
        <v/>
      </c>
      <c r="T64" t="str">
        <f>IFERROR(__xludf.DUMMYFUNCTION("IFERROR(FILTER('Fund Data'!$D:$D, 'Fund Data'!$C:$C = $A64, 'Fund Data'!$A:$A = T$1, 'Fund Data'!$B:$B = 12),"""")"),"")</f>
        <v/>
      </c>
      <c r="U64" t="str">
        <f>IFERROR(__xludf.DUMMYFUNCTION("IFERROR(FILTER('Fund Data'!$D:$D, 'Fund Data'!$C:$C = $A64, 'Fund Data'!$A:$A = U$1, 'Fund Data'!$B:$B = 12),"""")"),"")</f>
        <v/>
      </c>
      <c r="V64" t="str">
        <f>IFERROR(__xludf.DUMMYFUNCTION("IFERROR(FILTER('Fund Data'!$D:$D, 'Fund Data'!$C:$C = $A64, 'Fund Data'!$A:$A = V$1, 'Fund Data'!$B:$B = 12),"""")"),"")</f>
        <v/>
      </c>
      <c r="W64" t="str">
        <f>IFERROR(__xludf.DUMMYFUNCTION("IFERROR(FILTER('Fund Data'!$D:$D, 'Fund Data'!$C:$C = $A64, 'Fund Data'!$A:$A = W$1, 'Fund Data'!$B:$B = 12),"""")"),"")</f>
        <v/>
      </c>
      <c r="X64" t="str">
        <f>IFERROR(__xludf.DUMMYFUNCTION("IFERROR(FILTER('Fund Data'!$D:$D, 'Fund Data'!$C:$C = $A64, 'Fund Data'!$A:$A = X$1, 'Fund Data'!$B:$B = 12),"""")"),"")</f>
        <v/>
      </c>
      <c r="Y64" t="str">
        <f>IFERROR(__xludf.DUMMYFUNCTION("IFERROR(FILTER('Fund Data'!$D:$D, 'Fund Data'!$C:$C = $A64, 'Fund Data'!$A:$A = Y$1, 'Fund Data'!$B:$B = 12),"""")"),"")</f>
        <v/>
      </c>
      <c r="Z64" t="str">
        <f>IFERROR(__xludf.DUMMYFUNCTION("IFERROR(FILTER('Fund Data'!$D:$D, 'Fund Data'!$C:$C = $A64, 'Fund Data'!$A:$A = Z$1, 'Fund Data'!$B:$B = 12),"""")"),"")</f>
        <v/>
      </c>
      <c r="AA64" t="str">
        <f>IFERROR(__xludf.DUMMYFUNCTION("IFERROR(FILTER('Fund Data'!$D:$D, 'Fund Data'!$C:$C = $A64, 'Fund Data'!$A:$A = AA$1, 'Fund Data'!$B:$B = 12),"""")"),"")</f>
        <v/>
      </c>
      <c r="AB64" t="str">
        <f>IFERROR(__xludf.DUMMYFUNCTION("IFERROR(FILTER('Fund Data'!$D:$D, 'Fund Data'!$C:$C = $A64, 'Fund Data'!$A:$A = AB$1, 'Fund Data'!$B:$B = 12),"""")"),"")</f>
        <v/>
      </c>
      <c r="AC64" t="str">
        <f>IFERROR(__xludf.DUMMYFUNCTION("IFERROR(FILTER('Fund Data'!$D:$D, 'Fund Data'!$C:$C = $A64, 'Fund Data'!$A:$A = AC$1, 'Fund Data'!$B:$B = 12),"""")"),"")</f>
        <v/>
      </c>
      <c r="AD64" t="str">
        <f>IFERROR(__xludf.DUMMYFUNCTION("IFERROR(FILTER('Fund Data'!$D:$D, 'Fund Data'!$C:$C = $A64, 'Fund Data'!$A:$A = AD$1, 'Fund Data'!$B:$B = 12),"""")"),"")</f>
        <v/>
      </c>
      <c r="AE64" t="str">
        <f>IFERROR(__xludf.DUMMYFUNCTION("IFERROR(FILTER('Fund Data'!$D:$D, 'Fund Data'!$C:$C = $A64, 'Fund Data'!$A:$A = AE$1, 'Fund Data'!$B:$B = 12),"""")"),"")</f>
        <v/>
      </c>
    </row>
    <row r="65">
      <c r="A65" s="145" t="str">
        <f>'Endowed Funds'!B:B</f>
        <v/>
      </c>
      <c r="B65" t="str">
        <f>IFERROR(__xludf.DUMMYFUNCTION("IFERROR(FILTER('Fund Data'!$D:$D, 'Fund Data'!$C:$C = $A65, 'Fund Data'!$A:$A = B$1, 'Fund Data'!$B:$B = 12),"""")"),"")</f>
        <v/>
      </c>
      <c r="C65" t="str">
        <f>IFERROR(__xludf.DUMMYFUNCTION("IFERROR(FILTER('Fund Data'!$D:$D, 'Fund Data'!$C:$C = $A65, 'Fund Data'!$A:$A = C$1, 'Fund Data'!$B:$B = 12),"""")"),"")</f>
        <v/>
      </c>
      <c r="D65" t="str">
        <f>IFERROR(__xludf.DUMMYFUNCTION("IFERROR(FILTER('Fund Data'!$D:$D, 'Fund Data'!$C:$C = $A65, 'Fund Data'!$A:$A = D$1, 'Fund Data'!$B:$B = 12),"""")"),"")</f>
        <v/>
      </c>
      <c r="E65" t="str">
        <f>IFERROR(__xludf.DUMMYFUNCTION("IFERROR(FILTER('Fund Data'!$D:$D, 'Fund Data'!$C:$C = $A65, 'Fund Data'!$A:$A = E$1, 'Fund Data'!$B:$B = 12),"""")"),"")</f>
        <v/>
      </c>
      <c r="F65" t="str">
        <f>IFERROR(__xludf.DUMMYFUNCTION("IFERROR(FILTER('Fund Data'!$D:$D, 'Fund Data'!$C:$C = $A65, 'Fund Data'!$A:$A = F$1, 'Fund Data'!$B:$B = 12),"""")"),"")</f>
        <v/>
      </c>
      <c r="G65" t="str">
        <f>IFERROR(__xludf.DUMMYFUNCTION("IFERROR(FILTER('Fund Data'!$D:$D, 'Fund Data'!$C:$C = $A65, 'Fund Data'!$A:$A = G$1, 'Fund Data'!$B:$B = 12),"""")"),"")</f>
        <v/>
      </c>
      <c r="H65" t="str">
        <f>IFERROR(__xludf.DUMMYFUNCTION("IFERROR(FILTER('Fund Data'!$D:$D, 'Fund Data'!$C:$C = $A65, 'Fund Data'!$A:$A = H$1, 'Fund Data'!$B:$B = 12),"""")"),"")</f>
        <v/>
      </c>
      <c r="I65" t="str">
        <f>IFERROR(__xludf.DUMMYFUNCTION("IFERROR(FILTER('Fund Data'!$D:$D, 'Fund Data'!$C:$C = $A65, 'Fund Data'!$A:$A = I$1, 'Fund Data'!$B:$B = 12),"""")"),"")</f>
        <v/>
      </c>
      <c r="J65" t="str">
        <f>IFERROR(__xludf.DUMMYFUNCTION("IFERROR(FILTER('Fund Data'!$D:$D, 'Fund Data'!$C:$C = $A65, 'Fund Data'!$A:$A = J$1, 'Fund Data'!$B:$B = 12),"""")"),"")</f>
        <v/>
      </c>
      <c r="K65" t="str">
        <f>IFERROR(__xludf.DUMMYFUNCTION("IFERROR(FILTER('Fund Data'!$D:$D, 'Fund Data'!$C:$C = $A65, 'Fund Data'!$A:$A = K$1, 'Fund Data'!$B:$B = 12),"""")"),"")</f>
        <v/>
      </c>
      <c r="L65" t="str">
        <f>IFERROR(__xludf.DUMMYFUNCTION("IFERROR(FILTER('Fund Data'!$D:$D, 'Fund Data'!$C:$C = $A65, 'Fund Data'!$A:$A = L$1, 'Fund Data'!$B:$B = 12),"""")"),"")</f>
        <v/>
      </c>
      <c r="M65" t="str">
        <f>IFERROR(__xludf.DUMMYFUNCTION("IFERROR(FILTER('Fund Data'!$D:$D, 'Fund Data'!$C:$C = $A65, 'Fund Data'!$A:$A = M$1, 'Fund Data'!$B:$B = 12),"""")"),"")</f>
        <v/>
      </c>
      <c r="N65" t="str">
        <f>IFERROR(__xludf.DUMMYFUNCTION("IFERROR(FILTER('Fund Data'!$D:$D, 'Fund Data'!$C:$C = $A65, 'Fund Data'!$A:$A = N$1, 'Fund Data'!$B:$B = 12),"""")"),"")</f>
        <v/>
      </c>
      <c r="O65" t="str">
        <f>IFERROR(__xludf.DUMMYFUNCTION("IFERROR(FILTER('Fund Data'!$D:$D, 'Fund Data'!$C:$C = $A65, 'Fund Data'!$A:$A = O$1, 'Fund Data'!$B:$B = 12),"""")"),"")</f>
        <v/>
      </c>
      <c r="P65" t="str">
        <f>IFERROR(__xludf.DUMMYFUNCTION("IFERROR(FILTER('Fund Data'!$D:$D, 'Fund Data'!$C:$C = $A65, 'Fund Data'!$A:$A = P$1, 'Fund Data'!$B:$B = 12),"""")"),"")</f>
        <v/>
      </c>
      <c r="Q65" t="str">
        <f>IFERROR(__xludf.DUMMYFUNCTION("IFERROR(FILTER('Fund Data'!$D:$D, 'Fund Data'!$C:$C = $A65, 'Fund Data'!$A:$A = Q$1, 'Fund Data'!$B:$B = 12),"""")"),"")</f>
        <v/>
      </c>
      <c r="R65" t="str">
        <f>IFERROR(__xludf.DUMMYFUNCTION("IFERROR(FILTER('Fund Data'!$D:$D, 'Fund Data'!$C:$C = $A65, 'Fund Data'!$A:$A = R$1, 'Fund Data'!$B:$B = 12),"""")"),"")</f>
        <v/>
      </c>
      <c r="S65" t="str">
        <f>IFERROR(__xludf.DUMMYFUNCTION("IFERROR(FILTER('Fund Data'!$D:$D, 'Fund Data'!$C:$C = $A65, 'Fund Data'!$A:$A = S$1, 'Fund Data'!$B:$B = 12),"""")"),"")</f>
        <v/>
      </c>
      <c r="T65" t="str">
        <f>IFERROR(__xludf.DUMMYFUNCTION("IFERROR(FILTER('Fund Data'!$D:$D, 'Fund Data'!$C:$C = $A65, 'Fund Data'!$A:$A = T$1, 'Fund Data'!$B:$B = 12),"""")"),"")</f>
        <v/>
      </c>
      <c r="U65" t="str">
        <f>IFERROR(__xludf.DUMMYFUNCTION("IFERROR(FILTER('Fund Data'!$D:$D, 'Fund Data'!$C:$C = $A65, 'Fund Data'!$A:$A = U$1, 'Fund Data'!$B:$B = 12),"""")"),"")</f>
        <v/>
      </c>
      <c r="V65" t="str">
        <f>IFERROR(__xludf.DUMMYFUNCTION("IFERROR(FILTER('Fund Data'!$D:$D, 'Fund Data'!$C:$C = $A65, 'Fund Data'!$A:$A = V$1, 'Fund Data'!$B:$B = 12),"""")"),"")</f>
        <v/>
      </c>
      <c r="W65" t="str">
        <f>IFERROR(__xludf.DUMMYFUNCTION("IFERROR(FILTER('Fund Data'!$D:$D, 'Fund Data'!$C:$C = $A65, 'Fund Data'!$A:$A = W$1, 'Fund Data'!$B:$B = 12),"""")"),"")</f>
        <v/>
      </c>
      <c r="X65" t="str">
        <f>IFERROR(__xludf.DUMMYFUNCTION("IFERROR(FILTER('Fund Data'!$D:$D, 'Fund Data'!$C:$C = $A65, 'Fund Data'!$A:$A = X$1, 'Fund Data'!$B:$B = 12),"""")"),"")</f>
        <v/>
      </c>
      <c r="Y65" t="str">
        <f>IFERROR(__xludf.DUMMYFUNCTION("IFERROR(FILTER('Fund Data'!$D:$D, 'Fund Data'!$C:$C = $A65, 'Fund Data'!$A:$A = Y$1, 'Fund Data'!$B:$B = 12),"""")"),"")</f>
        <v/>
      </c>
      <c r="Z65" t="str">
        <f>IFERROR(__xludf.DUMMYFUNCTION("IFERROR(FILTER('Fund Data'!$D:$D, 'Fund Data'!$C:$C = $A65, 'Fund Data'!$A:$A = Z$1, 'Fund Data'!$B:$B = 12),"""")"),"")</f>
        <v/>
      </c>
      <c r="AA65" t="str">
        <f>IFERROR(__xludf.DUMMYFUNCTION("IFERROR(FILTER('Fund Data'!$D:$D, 'Fund Data'!$C:$C = $A65, 'Fund Data'!$A:$A = AA$1, 'Fund Data'!$B:$B = 12),"""")"),"")</f>
        <v/>
      </c>
      <c r="AB65" t="str">
        <f>IFERROR(__xludf.DUMMYFUNCTION("IFERROR(FILTER('Fund Data'!$D:$D, 'Fund Data'!$C:$C = $A65, 'Fund Data'!$A:$A = AB$1, 'Fund Data'!$B:$B = 12),"""")"),"")</f>
        <v/>
      </c>
      <c r="AC65" t="str">
        <f>IFERROR(__xludf.DUMMYFUNCTION("IFERROR(FILTER('Fund Data'!$D:$D, 'Fund Data'!$C:$C = $A65, 'Fund Data'!$A:$A = AC$1, 'Fund Data'!$B:$B = 12),"""")"),"")</f>
        <v/>
      </c>
      <c r="AD65" t="str">
        <f>IFERROR(__xludf.DUMMYFUNCTION("IFERROR(FILTER('Fund Data'!$D:$D, 'Fund Data'!$C:$C = $A65, 'Fund Data'!$A:$A = AD$1, 'Fund Data'!$B:$B = 12),"""")"),"")</f>
        <v/>
      </c>
      <c r="AE65" t="str">
        <f>IFERROR(__xludf.DUMMYFUNCTION("IFERROR(FILTER('Fund Data'!$D:$D, 'Fund Data'!$C:$C = $A65, 'Fund Data'!$A:$A = AE$1, 'Fund Data'!$B:$B = 12),"""")"),"")</f>
        <v/>
      </c>
    </row>
    <row r="66">
      <c r="A66" s="145" t="str">
        <f>'Endowed Funds'!B:B</f>
        <v/>
      </c>
      <c r="B66" t="str">
        <f>IFERROR(__xludf.DUMMYFUNCTION("IFERROR(FILTER('Fund Data'!$D:$D, 'Fund Data'!$C:$C = $A66, 'Fund Data'!$A:$A = B$1, 'Fund Data'!$B:$B = 12),"""")"),"")</f>
        <v/>
      </c>
      <c r="C66" t="str">
        <f>IFERROR(__xludf.DUMMYFUNCTION("IFERROR(FILTER('Fund Data'!$D:$D, 'Fund Data'!$C:$C = $A66, 'Fund Data'!$A:$A = C$1, 'Fund Data'!$B:$B = 12),"""")"),"")</f>
        <v/>
      </c>
      <c r="D66" t="str">
        <f>IFERROR(__xludf.DUMMYFUNCTION("IFERROR(FILTER('Fund Data'!$D:$D, 'Fund Data'!$C:$C = $A66, 'Fund Data'!$A:$A = D$1, 'Fund Data'!$B:$B = 12),"""")"),"")</f>
        <v/>
      </c>
      <c r="E66" t="str">
        <f>IFERROR(__xludf.DUMMYFUNCTION("IFERROR(FILTER('Fund Data'!$D:$D, 'Fund Data'!$C:$C = $A66, 'Fund Data'!$A:$A = E$1, 'Fund Data'!$B:$B = 12),"""")"),"")</f>
        <v/>
      </c>
      <c r="F66" t="str">
        <f>IFERROR(__xludf.DUMMYFUNCTION("IFERROR(FILTER('Fund Data'!$D:$D, 'Fund Data'!$C:$C = $A66, 'Fund Data'!$A:$A = F$1, 'Fund Data'!$B:$B = 12),"""")"),"")</f>
        <v/>
      </c>
      <c r="G66" t="str">
        <f>IFERROR(__xludf.DUMMYFUNCTION("IFERROR(FILTER('Fund Data'!$D:$D, 'Fund Data'!$C:$C = $A66, 'Fund Data'!$A:$A = G$1, 'Fund Data'!$B:$B = 12),"""")"),"")</f>
        <v/>
      </c>
      <c r="H66" t="str">
        <f>IFERROR(__xludf.DUMMYFUNCTION("IFERROR(FILTER('Fund Data'!$D:$D, 'Fund Data'!$C:$C = $A66, 'Fund Data'!$A:$A = H$1, 'Fund Data'!$B:$B = 12),"""")"),"")</f>
        <v/>
      </c>
      <c r="I66" t="str">
        <f>IFERROR(__xludf.DUMMYFUNCTION("IFERROR(FILTER('Fund Data'!$D:$D, 'Fund Data'!$C:$C = $A66, 'Fund Data'!$A:$A = I$1, 'Fund Data'!$B:$B = 12),"""")"),"")</f>
        <v/>
      </c>
      <c r="J66" t="str">
        <f>IFERROR(__xludf.DUMMYFUNCTION("IFERROR(FILTER('Fund Data'!$D:$D, 'Fund Data'!$C:$C = $A66, 'Fund Data'!$A:$A = J$1, 'Fund Data'!$B:$B = 12),"""")"),"")</f>
        <v/>
      </c>
      <c r="K66" t="str">
        <f>IFERROR(__xludf.DUMMYFUNCTION("IFERROR(FILTER('Fund Data'!$D:$D, 'Fund Data'!$C:$C = $A66, 'Fund Data'!$A:$A = K$1, 'Fund Data'!$B:$B = 12),"""")"),"")</f>
        <v/>
      </c>
      <c r="L66" t="str">
        <f>IFERROR(__xludf.DUMMYFUNCTION("IFERROR(FILTER('Fund Data'!$D:$D, 'Fund Data'!$C:$C = $A66, 'Fund Data'!$A:$A = L$1, 'Fund Data'!$B:$B = 12),"""")"),"")</f>
        <v/>
      </c>
      <c r="M66" t="str">
        <f>IFERROR(__xludf.DUMMYFUNCTION("IFERROR(FILTER('Fund Data'!$D:$D, 'Fund Data'!$C:$C = $A66, 'Fund Data'!$A:$A = M$1, 'Fund Data'!$B:$B = 12),"""")"),"")</f>
        <v/>
      </c>
      <c r="N66" t="str">
        <f>IFERROR(__xludf.DUMMYFUNCTION("IFERROR(FILTER('Fund Data'!$D:$D, 'Fund Data'!$C:$C = $A66, 'Fund Data'!$A:$A = N$1, 'Fund Data'!$B:$B = 12),"""")"),"")</f>
        <v/>
      </c>
      <c r="O66" t="str">
        <f>IFERROR(__xludf.DUMMYFUNCTION("IFERROR(FILTER('Fund Data'!$D:$D, 'Fund Data'!$C:$C = $A66, 'Fund Data'!$A:$A = O$1, 'Fund Data'!$B:$B = 12),"""")"),"")</f>
        <v/>
      </c>
      <c r="P66" t="str">
        <f>IFERROR(__xludf.DUMMYFUNCTION("IFERROR(FILTER('Fund Data'!$D:$D, 'Fund Data'!$C:$C = $A66, 'Fund Data'!$A:$A = P$1, 'Fund Data'!$B:$B = 12),"""")"),"")</f>
        <v/>
      </c>
      <c r="Q66" t="str">
        <f>IFERROR(__xludf.DUMMYFUNCTION("IFERROR(FILTER('Fund Data'!$D:$D, 'Fund Data'!$C:$C = $A66, 'Fund Data'!$A:$A = Q$1, 'Fund Data'!$B:$B = 12),"""")"),"")</f>
        <v/>
      </c>
      <c r="R66" t="str">
        <f>IFERROR(__xludf.DUMMYFUNCTION("IFERROR(FILTER('Fund Data'!$D:$D, 'Fund Data'!$C:$C = $A66, 'Fund Data'!$A:$A = R$1, 'Fund Data'!$B:$B = 12),"""")"),"")</f>
        <v/>
      </c>
      <c r="S66" t="str">
        <f>IFERROR(__xludf.DUMMYFUNCTION("IFERROR(FILTER('Fund Data'!$D:$D, 'Fund Data'!$C:$C = $A66, 'Fund Data'!$A:$A = S$1, 'Fund Data'!$B:$B = 12),"""")"),"")</f>
        <v/>
      </c>
      <c r="T66" t="str">
        <f>IFERROR(__xludf.DUMMYFUNCTION("IFERROR(FILTER('Fund Data'!$D:$D, 'Fund Data'!$C:$C = $A66, 'Fund Data'!$A:$A = T$1, 'Fund Data'!$B:$B = 12),"""")"),"")</f>
        <v/>
      </c>
      <c r="U66" t="str">
        <f>IFERROR(__xludf.DUMMYFUNCTION("IFERROR(FILTER('Fund Data'!$D:$D, 'Fund Data'!$C:$C = $A66, 'Fund Data'!$A:$A = U$1, 'Fund Data'!$B:$B = 12),"""")"),"")</f>
        <v/>
      </c>
      <c r="V66" t="str">
        <f>IFERROR(__xludf.DUMMYFUNCTION("IFERROR(FILTER('Fund Data'!$D:$D, 'Fund Data'!$C:$C = $A66, 'Fund Data'!$A:$A = V$1, 'Fund Data'!$B:$B = 12),"""")"),"")</f>
        <v/>
      </c>
      <c r="W66" t="str">
        <f>IFERROR(__xludf.DUMMYFUNCTION("IFERROR(FILTER('Fund Data'!$D:$D, 'Fund Data'!$C:$C = $A66, 'Fund Data'!$A:$A = W$1, 'Fund Data'!$B:$B = 12),"""")"),"")</f>
        <v/>
      </c>
      <c r="X66" t="str">
        <f>IFERROR(__xludf.DUMMYFUNCTION("IFERROR(FILTER('Fund Data'!$D:$D, 'Fund Data'!$C:$C = $A66, 'Fund Data'!$A:$A = X$1, 'Fund Data'!$B:$B = 12),"""")"),"")</f>
        <v/>
      </c>
      <c r="Y66" t="str">
        <f>IFERROR(__xludf.DUMMYFUNCTION("IFERROR(FILTER('Fund Data'!$D:$D, 'Fund Data'!$C:$C = $A66, 'Fund Data'!$A:$A = Y$1, 'Fund Data'!$B:$B = 12),"""")"),"")</f>
        <v/>
      </c>
      <c r="Z66" t="str">
        <f>IFERROR(__xludf.DUMMYFUNCTION("IFERROR(FILTER('Fund Data'!$D:$D, 'Fund Data'!$C:$C = $A66, 'Fund Data'!$A:$A = Z$1, 'Fund Data'!$B:$B = 12),"""")"),"")</f>
        <v/>
      </c>
      <c r="AA66" t="str">
        <f>IFERROR(__xludf.DUMMYFUNCTION("IFERROR(FILTER('Fund Data'!$D:$D, 'Fund Data'!$C:$C = $A66, 'Fund Data'!$A:$A = AA$1, 'Fund Data'!$B:$B = 12),"""")"),"")</f>
        <v/>
      </c>
      <c r="AB66" t="str">
        <f>IFERROR(__xludf.DUMMYFUNCTION("IFERROR(FILTER('Fund Data'!$D:$D, 'Fund Data'!$C:$C = $A66, 'Fund Data'!$A:$A = AB$1, 'Fund Data'!$B:$B = 12),"""")"),"")</f>
        <v/>
      </c>
      <c r="AC66" t="str">
        <f>IFERROR(__xludf.DUMMYFUNCTION("IFERROR(FILTER('Fund Data'!$D:$D, 'Fund Data'!$C:$C = $A66, 'Fund Data'!$A:$A = AC$1, 'Fund Data'!$B:$B = 12),"""")"),"")</f>
        <v/>
      </c>
      <c r="AD66" t="str">
        <f>IFERROR(__xludf.DUMMYFUNCTION("IFERROR(FILTER('Fund Data'!$D:$D, 'Fund Data'!$C:$C = $A66, 'Fund Data'!$A:$A = AD$1, 'Fund Data'!$B:$B = 12),"""")"),"")</f>
        <v/>
      </c>
      <c r="AE66" t="str">
        <f>IFERROR(__xludf.DUMMYFUNCTION("IFERROR(FILTER('Fund Data'!$D:$D, 'Fund Data'!$C:$C = $A66, 'Fund Data'!$A:$A = AE$1, 'Fund Data'!$B:$B = 12),"""")"),"")</f>
        <v/>
      </c>
    </row>
    <row r="67">
      <c r="A67" s="145" t="str">
        <f>'Endowed Funds'!B:B</f>
        <v/>
      </c>
      <c r="B67" t="str">
        <f>IFERROR(__xludf.DUMMYFUNCTION("IFERROR(FILTER('Fund Data'!$D:$D, 'Fund Data'!$C:$C = $A67, 'Fund Data'!$A:$A = B$1, 'Fund Data'!$B:$B = 12),"""")"),"")</f>
        <v/>
      </c>
      <c r="C67" t="str">
        <f>IFERROR(__xludf.DUMMYFUNCTION("IFERROR(FILTER('Fund Data'!$D:$D, 'Fund Data'!$C:$C = $A67, 'Fund Data'!$A:$A = C$1, 'Fund Data'!$B:$B = 12),"""")"),"")</f>
        <v/>
      </c>
      <c r="D67" t="str">
        <f>IFERROR(__xludf.DUMMYFUNCTION("IFERROR(FILTER('Fund Data'!$D:$D, 'Fund Data'!$C:$C = $A67, 'Fund Data'!$A:$A = D$1, 'Fund Data'!$B:$B = 12),"""")"),"")</f>
        <v/>
      </c>
      <c r="E67" t="str">
        <f>IFERROR(__xludf.DUMMYFUNCTION("IFERROR(FILTER('Fund Data'!$D:$D, 'Fund Data'!$C:$C = $A67, 'Fund Data'!$A:$A = E$1, 'Fund Data'!$B:$B = 12),"""")"),"")</f>
        <v/>
      </c>
      <c r="F67" t="str">
        <f>IFERROR(__xludf.DUMMYFUNCTION("IFERROR(FILTER('Fund Data'!$D:$D, 'Fund Data'!$C:$C = $A67, 'Fund Data'!$A:$A = F$1, 'Fund Data'!$B:$B = 12),"""")"),"")</f>
        <v/>
      </c>
      <c r="G67" t="str">
        <f>IFERROR(__xludf.DUMMYFUNCTION("IFERROR(FILTER('Fund Data'!$D:$D, 'Fund Data'!$C:$C = $A67, 'Fund Data'!$A:$A = G$1, 'Fund Data'!$B:$B = 12),"""")"),"")</f>
        <v/>
      </c>
      <c r="H67" t="str">
        <f>IFERROR(__xludf.DUMMYFUNCTION("IFERROR(FILTER('Fund Data'!$D:$D, 'Fund Data'!$C:$C = $A67, 'Fund Data'!$A:$A = H$1, 'Fund Data'!$B:$B = 12),"""")"),"")</f>
        <v/>
      </c>
      <c r="I67" t="str">
        <f>IFERROR(__xludf.DUMMYFUNCTION("IFERROR(FILTER('Fund Data'!$D:$D, 'Fund Data'!$C:$C = $A67, 'Fund Data'!$A:$A = I$1, 'Fund Data'!$B:$B = 12),"""")"),"")</f>
        <v/>
      </c>
      <c r="J67" t="str">
        <f>IFERROR(__xludf.DUMMYFUNCTION("IFERROR(FILTER('Fund Data'!$D:$D, 'Fund Data'!$C:$C = $A67, 'Fund Data'!$A:$A = J$1, 'Fund Data'!$B:$B = 12),"""")"),"")</f>
        <v/>
      </c>
      <c r="K67" t="str">
        <f>IFERROR(__xludf.DUMMYFUNCTION("IFERROR(FILTER('Fund Data'!$D:$D, 'Fund Data'!$C:$C = $A67, 'Fund Data'!$A:$A = K$1, 'Fund Data'!$B:$B = 12),"""")"),"")</f>
        <v/>
      </c>
      <c r="L67" t="str">
        <f>IFERROR(__xludf.DUMMYFUNCTION("IFERROR(FILTER('Fund Data'!$D:$D, 'Fund Data'!$C:$C = $A67, 'Fund Data'!$A:$A = L$1, 'Fund Data'!$B:$B = 12),"""")"),"")</f>
        <v/>
      </c>
      <c r="M67" t="str">
        <f>IFERROR(__xludf.DUMMYFUNCTION("IFERROR(FILTER('Fund Data'!$D:$D, 'Fund Data'!$C:$C = $A67, 'Fund Data'!$A:$A = M$1, 'Fund Data'!$B:$B = 12),"""")"),"")</f>
        <v/>
      </c>
      <c r="N67" t="str">
        <f>IFERROR(__xludf.DUMMYFUNCTION("IFERROR(FILTER('Fund Data'!$D:$D, 'Fund Data'!$C:$C = $A67, 'Fund Data'!$A:$A = N$1, 'Fund Data'!$B:$B = 12),"""")"),"")</f>
        <v/>
      </c>
      <c r="O67" t="str">
        <f>IFERROR(__xludf.DUMMYFUNCTION("IFERROR(FILTER('Fund Data'!$D:$D, 'Fund Data'!$C:$C = $A67, 'Fund Data'!$A:$A = O$1, 'Fund Data'!$B:$B = 12),"""")"),"")</f>
        <v/>
      </c>
      <c r="P67" t="str">
        <f>IFERROR(__xludf.DUMMYFUNCTION("IFERROR(FILTER('Fund Data'!$D:$D, 'Fund Data'!$C:$C = $A67, 'Fund Data'!$A:$A = P$1, 'Fund Data'!$B:$B = 12),"""")"),"")</f>
        <v/>
      </c>
      <c r="Q67" t="str">
        <f>IFERROR(__xludf.DUMMYFUNCTION("IFERROR(FILTER('Fund Data'!$D:$D, 'Fund Data'!$C:$C = $A67, 'Fund Data'!$A:$A = Q$1, 'Fund Data'!$B:$B = 12),"""")"),"")</f>
        <v/>
      </c>
      <c r="R67" t="str">
        <f>IFERROR(__xludf.DUMMYFUNCTION("IFERROR(FILTER('Fund Data'!$D:$D, 'Fund Data'!$C:$C = $A67, 'Fund Data'!$A:$A = R$1, 'Fund Data'!$B:$B = 12),"""")"),"")</f>
        <v/>
      </c>
      <c r="S67" t="str">
        <f>IFERROR(__xludf.DUMMYFUNCTION("IFERROR(FILTER('Fund Data'!$D:$D, 'Fund Data'!$C:$C = $A67, 'Fund Data'!$A:$A = S$1, 'Fund Data'!$B:$B = 12),"""")"),"")</f>
        <v/>
      </c>
      <c r="T67" t="str">
        <f>IFERROR(__xludf.DUMMYFUNCTION("IFERROR(FILTER('Fund Data'!$D:$D, 'Fund Data'!$C:$C = $A67, 'Fund Data'!$A:$A = T$1, 'Fund Data'!$B:$B = 12),"""")"),"")</f>
        <v/>
      </c>
      <c r="U67" t="str">
        <f>IFERROR(__xludf.DUMMYFUNCTION("IFERROR(FILTER('Fund Data'!$D:$D, 'Fund Data'!$C:$C = $A67, 'Fund Data'!$A:$A = U$1, 'Fund Data'!$B:$B = 12),"""")"),"")</f>
        <v/>
      </c>
      <c r="V67" t="str">
        <f>IFERROR(__xludf.DUMMYFUNCTION("IFERROR(FILTER('Fund Data'!$D:$D, 'Fund Data'!$C:$C = $A67, 'Fund Data'!$A:$A = V$1, 'Fund Data'!$B:$B = 12),"""")"),"")</f>
        <v/>
      </c>
      <c r="W67" t="str">
        <f>IFERROR(__xludf.DUMMYFUNCTION("IFERROR(FILTER('Fund Data'!$D:$D, 'Fund Data'!$C:$C = $A67, 'Fund Data'!$A:$A = W$1, 'Fund Data'!$B:$B = 12),"""")"),"")</f>
        <v/>
      </c>
      <c r="X67" t="str">
        <f>IFERROR(__xludf.DUMMYFUNCTION("IFERROR(FILTER('Fund Data'!$D:$D, 'Fund Data'!$C:$C = $A67, 'Fund Data'!$A:$A = X$1, 'Fund Data'!$B:$B = 12),"""")"),"")</f>
        <v/>
      </c>
      <c r="Y67" t="str">
        <f>IFERROR(__xludf.DUMMYFUNCTION("IFERROR(FILTER('Fund Data'!$D:$D, 'Fund Data'!$C:$C = $A67, 'Fund Data'!$A:$A = Y$1, 'Fund Data'!$B:$B = 12),"""")"),"")</f>
        <v/>
      </c>
      <c r="Z67" t="str">
        <f>IFERROR(__xludf.DUMMYFUNCTION("IFERROR(FILTER('Fund Data'!$D:$D, 'Fund Data'!$C:$C = $A67, 'Fund Data'!$A:$A = Z$1, 'Fund Data'!$B:$B = 12),"""")"),"")</f>
        <v/>
      </c>
      <c r="AA67" t="str">
        <f>IFERROR(__xludf.DUMMYFUNCTION("IFERROR(FILTER('Fund Data'!$D:$D, 'Fund Data'!$C:$C = $A67, 'Fund Data'!$A:$A = AA$1, 'Fund Data'!$B:$B = 12),"""")"),"")</f>
        <v/>
      </c>
      <c r="AB67" t="str">
        <f>IFERROR(__xludf.DUMMYFUNCTION("IFERROR(FILTER('Fund Data'!$D:$D, 'Fund Data'!$C:$C = $A67, 'Fund Data'!$A:$A = AB$1, 'Fund Data'!$B:$B = 12),"""")"),"")</f>
        <v/>
      </c>
      <c r="AC67" t="str">
        <f>IFERROR(__xludf.DUMMYFUNCTION("IFERROR(FILTER('Fund Data'!$D:$D, 'Fund Data'!$C:$C = $A67, 'Fund Data'!$A:$A = AC$1, 'Fund Data'!$B:$B = 12),"""")"),"")</f>
        <v/>
      </c>
      <c r="AD67" t="str">
        <f>IFERROR(__xludf.DUMMYFUNCTION("IFERROR(FILTER('Fund Data'!$D:$D, 'Fund Data'!$C:$C = $A67, 'Fund Data'!$A:$A = AD$1, 'Fund Data'!$B:$B = 12),"""")"),"")</f>
        <v/>
      </c>
      <c r="AE67" t="str">
        <f>IFERROR(__xludf.DUMMYFUNCTION("IFERROR(FILTER('Fund Data'!$D:$D, 'Fund Data'!$C:$C = $A67, 'Fund Data'!$A:$A = AE$1, 'Fund Data'!$B:$B = 12),"""")"),"")</f>
        <v/>
      </c>
    </row>
    <row r="68">
      <c r="A68" s="145" t="str">
        <f>'Endowed Funds'!B:B</f>
        <v/>
      </c>
      <c r="B68" t="str">
        <f>IFERROR(__xludf.DUMMYFUNCTION("IFERROR(FILTER('Fund Data'!$D:$D, 'Fund Data'!$C:$C = $A68, 'Fund Data'!$A:$A = B$1, 'Fund Data'!$B:$B = 12),"""")"),"")</f>
        <v/>
      </c>
      <c r="C68" t="str">
        <f>IFERROR(__xludf.DUMMYFUNCTION("IFERROR(FILTER('Fund Data'!$D:$D, 'Fund Data'!$C:$C = $A68, 'Fund Data'!$A:$A = C$1, 'Fund Data'!$B:$B = 12),"""")"),"")</f>
        <v/>
      </c>
      <c r="D68" t="str">
        <f>IFERROR(__xludf.DUMMYFUNCTION("IFERROR(FILTER('Fund Data'!$D:$D, 'Fund Data'!$C:$C = $A68, 'Fund Data'!$A:$A = D$1, 'Fund Data'!$B:$B = 12),"""")"),"")</f>
        <v/>
      </c>
      <c r="E68" t="str">
        <f>IFERROR(__xludf.DUMMYFUNCTION("IFERROR(FILTER('Fund Data'!$D:$D, 'Fund Data'!$C:$C = $A68, 'Fund Data'!$A:$A = E$1, 'Fund Data'!$B:$B = 12),"""")"),"")</f>
        <v/>
      </c>
      <c r="F68" t="str">
        <f>IFERROR(__xludf.DUMMYFUNCTION("IFERROR(FILTER('Fund Data'!$D:$D, 'Fund Data'!$C:$C = $A68, 'Fund Data'!$A:$A = F$1, 'Fund Data'!$B:$B = 12),"""")"),"")</f>
        <v/>
      </c>
      <c r="G68" t="str">
        <f>IFERROR(__xludf.DUMMYFUNCTION("IFERROR(FILTER('Fund Data'!$D:$D, 'Fund Data'!$C:$C = $A68, 'Fund Data'!$A:$A = G$1, 'Fund Data'!$B:$B = 12),"""")"),"")</f>
        <v/>
      </c>
      <c r="H68" t="str">
        <f>IFERROR(__xludf.DUMMYFUNCTION("IFERROR(FILTER('Fund Data'!$D:$D, 'Fund Data'!$C:$C = $A68, 'Fund Data'!$A:$A = H$1, 'Fund Data'!$B:$B = 12),"""")"),"")</f>
        <v/>
      </c>
      <c r="I68" t="str">
        <f>IFERROR(__xludf.DUMMYFUNCTION("IFERROR(FILTER('Fund Data'!$D:$D, 'Fund Data'!$C:$C = $A68, 'Fund Data'!$A:$A = I$1, 'Fund Data'!$B:$B = 12),"""")"),"")</f>
        <v/>
      </c>
      <c r="J68" t="str">
        <f>IFERROR(__xludf.DUMMYFUNCTION("IFERROR(FILTER('Fund Data'!$D:$D, 'Fund Data'!$C:$C = $A68, 'Fund Data'!$A:$A = J$1, 'Fund Data'!$B:$B = 12),"""")"),"")</f>
        <v/>
      </c>
      <c r="K68" t="str">
        <f>IFERROR(__xludf.DUMMYFUNCTION("IFERROR(FILTER('Fund Data'!$D:$D, 'Fund Data'!$C:$C = $A68, 'Fund Data'!$A:$A = K$1, 'Fund Data'!$B:$B = 12),"""")"),"")</f>
        <v/>
      </c>
      <c r="L68" t="str">
        <f>IFERROR(__xludf.DUMMYFUNCTION("IFERROR(FILTER('Fund Data'!$D:$D, 'Fund Data'!$C:$C = $A68, 'Fund Data'!$A:$A = L$1, 'Fund Data'!$B:$B = 12),"""")"),"")</f>
        <v/>
      </c>
      <c r="M68" t="str">
        <f>IFERROR(__xludf.DUMMYFUNCTION("IFERROR(FILTER('Fund Data'!$D:$D, 'Fund Data'!$C:$C = $A68, 'Fund Data'!$A:$A = M$1, 'Fund Data'!$B:$B = 12),"""")"),"")</f>
        <v/>
      </c>
      <c r="N68" t="str">
        <f>IFERROR(__xludf.DUMMYFUNCTION("IFERROR(FILTER('Fund Data'!$D:$D, 'Fund Data'!$C:$C = $A68, 'Fund Data'!$A:$A = N$1, 'Fund Data'!$B:$B = 12),"""")"),"")</f>
        <v/>
      </c>
      <c r="O68" t="str">
        <f>IFERROR(__xludf.DUMMYFUNCTION("IFERROR(FILTER('Fund Data'!$D:$D, 'Fund Data'!$C:$C = $A68, 'Fund Data'!$A:$A = O$1, 'Fund Data'!$B:$B = 12),"""")"),"")</f>
        <v/>
      </c>
      <c r="P68" t="str">
        <f>IFERROR(__xludf.DUMMYFUNCTION("IFERROR(FILTER('Fund Data'!$D:$D, 'Fund Data'!$C:$C = $A68, 'Fund Data'!$A:$A = P$1, 'Fund Data'!$B:$B = 12),"""")"),"")</f>
        <v/>
      </c>
      <c r="Q68" t="str">
        <f>IFERROR(__xludf.DUMMYFUNCTION("IFERROR(FILTER('Fund Data'!$D:$D, 'Fund Data'!$C:$C = $A68, 'Fund Data'!$A:$A = Q$1, 'Fund Data'!$B:$B = 12),"""")"),"")</f>
        <v/>
      </c>
      <c r="R68" t="str">
        <f>IFERROR(__xludf.DUMMYFUNCTION("IFERROR(FILTER('Fund Data'!$D:$D, 'Fund Data'!$C:$C = $A68, 'Fund Data'!$A:$A = R$1, 'Fund Data'!$B:$B = 12),"""")"),"")</f>
        <v/>
      </c>
      <c r="S68" t="str">
        <f>IFERROR(__xludf.DUMMYFUNCTION("IFERROR(FILTER('Fund Data'!$D:$D, 'Fund Data'!$C:$C = $A68, 'Fund Data'!$A:$A = S$1, 'Fund Data'!$B:$B = 12),"""")"),"")</f>
        <v/>
      </c>
      <c r="T68" t="str">
        <f>IFERROR(__xludf.DUMMYFUNCTION("IFERROR(FILTER('Fund Data'!$D:$D, 'Fund Data'!$C:$C = $A68, 'Fund Data'!$A:$A = T$1, 'Fund Data'!$B:$B = 12),"""")"),"")</f>
        <v/>
      </c>
      <c r="U68" t="str">
        <f>IFERROR(__xludf.DUMMYFUNCTION("IFERROR(FILTER('Fund Data'!$D:$D, 'Fund Data'!$C:$C = $A68, 'Fund Data'!$A:$A = U$1, 'Fund Data'!$B:$B = 12),"""")"),"")</f>
        <v/>
      </c>
      <c r="V68" t="str">
        <f>IFERROR(__xludf.DUMMYFUNCTION("IFERROR(FILTER('Fund Data'!$D:$D, 'Fund Data'!$C:$C = $A68, 'Fund Data'!$A:$A = V$1, 'Fund Data'!$B:$B = 12),"""")"),"")</f>
        <v/>
      </c>
      <c r="W68" t="str">
        <f>IFERROR(__xludf.DUMMYFUNCTION("IFERROR(FILTER('Fund Data'!$D:$D, 'Fund Data'!$C:$C = $A68, 'Fund Data'!$A:$A = W$1, 'Fund Data'!$B:$B = 12),"""")"),"")</f>
        <v/>
      </c>
      <c r="X68" t="str">
        <f>IFERROR(__xludf.DUMMYFUNCTION("IFERROR(FILTER('Fund Data'!$D:$D, 'Fund Data'!$C:$C = $A68, 'Fund Data'!$A:$A = X$1, 'Fund Data'!$B:$B = 12),"""")"),"")</f>
        <v/>
      </c>
      <c r="Y68" t="str">
        <f>IFERROR(__xludf.DUMMYFUNCTION("IFERROR(FILTER('Fund Data'!$D:$D, 'Fund Data'!$C:$C = $A68, 'Fund Data'!$A:$A = Y$1, 'Fund Data'!$B:$B = 12),"""")"),"")</f>
        <v/>
      </c>
      <c r="Z68" t="str">
        <f>IFERROR(__xludf.DUMMYFUNCTION("IFERROR(FILTER('Fund Data'!$D:$D, 'Fund Data'!$C:$C = $A68, 'Fund Data'!$A:$A = Z$1, 'Fund Data'!$B:$B = 12),"""")"),"")</f>
        <v/>
      </c>
      <c r="AA68" t="str">
        <f>IFERROR(__xludf.DUMMYFUNCTION("IFERROR(FILTER('Fund Data'!$D:$D, 'Fund Data'!$C:$C = $A68, 'Fund Data'!$A:$A = AA$1, 'Fund Data'!$B:$B = 12),"""")"),"")</f>
        <v/>
      </c>
      <c r="AB68" t="str">
        <f>IFERROR(__xludf.DUMMYFUNCTION("IFERROR(FILTER('Fund Data'!$D:$D, 'Fund Data'!$C:$C = $A68, 'Fund Data'!$A:$A = AB$1, 'Fund Data'!$B:$B = 12),"""")"),"")</f>
        <v/>
      </c>
      <c r="AC68" t="str">
        <f>IFERROR(__xludf.DUMMYFUNCTION("IFERROR(FILTER('Fund Data'!$D:$D, 'Fund Data'!$C:$C = $A68, 'Fund Data'!$A:$A = AC$1, 'Fund Data'!$B:$B = 12),"""")"),"")</f>
        <v/>
      </c>
      <c r="AD68" t="str">
        <f>IFERROR(__xludf.DUMMYFUNCTION("IFERROR(FILTER('Fund Data'!$D:$D, 'Fund Data'!$C:$C = $A68, 'Fund Data'!$A:$A = AD$1, 'Fund Data'!$B:$B = 12),"""")"),"")</f>
        <v/>
      </c>
      <c r="AE68" t="str">
        <f>IFERROR(__xludf.DUMMYFUNCTION("IFERROR(FILTER('Fund Data'!$D:$D, 'Fund Data'!$C:$C = $A68, 'Fund Data'!$A:$A = AE$1, 'Fund Data'!$B:$B = 12),"""")"),"")</f>
        <v/>
      </c>
    </row>
    <row r="69">
      <c r="A69" s="145" t="str">
        <f>'Endowed Funds'!B:B</f>
        <v/>
      </c>
      <c r="B69" t="str">
        <f>IFERROR(__xludf.DUMMYFUNCTION("IFERROR(FILTER('Fund Data'!$D:$D, 'Fund Data'!$C:$C = $A69, 'Fund Data'!$A:$A = B$1, 'Fund Data'!$B:$B = 12),"""")"),"")</f>
        <v/>
      </c>
      <c r="C69" t="str">
        <f>IFERROR(__xludf.DUMMYFUNCTION("IFERROR(FILTER('Fund Data'!$D:$D, 'Fund Data'!$C:$C = $A69, 'Fund Data'!$A:$A = C$1, 'Fund Data'!$B:$B = 12),"""")"),"")</f>
        <v/>
      </c>
      <c r="D69" t="str">
        <f>IFERROR(__xludf.DUMMYFUNCTION("IFERROR(FILTER('Fund Data'!$D:$D, 'Fund Data'!$C:$C = $A69, 'Fund Data'!$A:$A = D$1, 'Fund Data'!$B:$B = 12),"""")"),"")</f>
        <v/>
      </c>
      <c r="E69" t="str">
        <f>IFERROR(__xludf.DUMMYFUNCTION("IFERROR(FILTER('Fund Data'!$D:$D, 'Fund Data'!$C:$C = $A69, 'Fund Data'!$A:$A = E$1, 'Fund Data'!$B:$B = 12),"""")"),"")</f>
        <v/>
      </c>
      <c r="F69" t="str">
        <f>IFERROR(__xludf.DUMMYFUNCTION("IFERROR(FILTER('Fund Data'!$D:$D, 'Fund Data'!$C:$C = $A69, 'Fund Data'!$A:$A = F$1, 'Fund Data'!$B:$B = 12),"""")"),"")</f>
        <v/>
      </c>
      <c r="G69" t="str">
        <f>IFERROR(__xludf.DUMMYFUNCTION("IFERROR(FILTER('Fund Data'!$D:$D, 'Fund Data'!$C:$C = $A69, 'Fund Data'!$A:$A = G$1, 'Fund Data'!$B:$B = 12),"""")"),"")</f>
        <v/>
      </c>
      <c r="H69" t="str">
        <f>IFERROR(__xludf.DUMMYFUNCTION("IFERROR(FILTER('Fund Data'!$D:$D, 'Fund Data'!$C:$C = $A69, 'Fund Data'!$A:$A = H$1, 'Fund Data'!$B:$B = 12),"""")"),"")</f>
        <v/>
      </c>
      <c r="I69" t="str">
        <f>IFERROR(__xludf.DUMMYFUNCTION("IFERROR(FILTER('Fund Data'!$D:$D, 'Fund Data'!$C:$C = $A69, 'Fund Data'!$A:$A = I$1, 'Fund Data'!$B:$B = 12),"""")"),"")</f>
        <v/>
      </c>
      <c r="J69" t="str">
        <f>IFERROR(__xludf.DUMMYFUNCTION("IFERROR(FILTER('Fund Data'!$D:$D, 'Fund Data'!$C:$C = $A69, 'Fund Data'!$A:$A = J$1, 'Fund Data'!$B:$B = 12),"""")"),"")</f>
        <v/>
      </c>
      <c r="K69" t="str">
        <f>IFERROR(__xludf.DUMMYFUNCTION("IFERROR(FILTER('Fund Data'!$D:$D, 'Fund Data'!$C:$C = $A69, 'Fund Data'!$A:$A = K$1, 'Fund Data'!$B:$B = 12),"""")"),"")</f>
        <v/>
      </c>
      <c r="L69" t="str">
        <f>IFERROR(__xludf.DUMMYFUNCTION("IFERROR(FILTER('Fund Data'!$D:$D, 'Fund Data'!$C:$C = $A69, 'Fund Data'!$A:$A = L$1, 'Fund Data'!$B:$B = 12),"""")"),"")</f>
        <v/>
      </c>
      <c r="M69" t="str">
        <f>IFERROR(__xludf.DUMMYFUNCTION("IFERROR(FILTER('Fund Data'!$D:$D, 'Fund Data'!$C:$C = $A69, 'Fund Data'!$A:$A = M$1, 'Fund Data'!$B:$B = 12),"""")"),"")</f>
        <v/>
      </c>
      <c r="N69" t="str">
        <f>IFERROR(__xludf.DUMMYFUNCTION("IFERROR(FILTER('Fund Data'!$D:$D, 'Fund Data'!$C:$C = $A69, 'Fund Data'!$A:$A = N$1, 'Fund Data'!$B:$B = 12),"""")"),"")</f>
        <v/>
      </c>
      <c r="O69" t="str">
        <f>IFERROR(__xludf.DUMMYFUNCTION("IFERROR(FILTER('Fund Data'!$D:$D, 'Fund Data'!$C:$C = $A69, 'Fund Data'!$A:$A = O$1, 'Fund Data'!$B:$B = 12),"""")"),"")</f>
        <v/>
      </c>
      <c r="P69" t="str">
        <f>IFERROR(__xludf.DUMMYFUNCTION("IFERROR(FILTER('Fund Data'!$D:$D, 'Fund Data'!$C:$C = $A69, 'Fund Data'!$A:$A = P$1, 'Fund Data'!$B:$B = 12),"""")"),"")</f>
        <v/>
      </c>
      <c r="Q69" t="str">
        <f>IFERROR(__xludf.DUMMYFUNCTION("IFERROR(FILTER('Fund Data'!$D:$D, 'Fund Data'!$C:$C = $A69, 'Fund Data'!$A:$A = Q$1, 'Fund Data'!$B:$B = 12),"""")"),"")</f>
        <v/>
      </c>
      <c r="R69" t="str">
        <f>IFERROR(__xludf.DUMMYFUNCTION("IFERROR(FILTER('Fund Data'!$D:$D, 'Fund Data'!$C:$C = $A69, 'Fund Data'!$A:$A = R$1, 'Fund Data'!$B:$B = 12),"""")"),"")</f>
        <v/>
      </c>
      <c r="S69" t="str">
        <f>IFERROR(__xludf.DUMMYFUNCTION("IFERROR(FILTER('Fund Data'!$D:$D, 'Fund Data'!$C:$C = $A69, 'Fund Data'!$A:$A = S$1, 'Fund Data'!$B:$B = 12),"""")"),"")</f>
        <v/>
      </c>
      <c r="T69" t="str">
        <f>IFERROR(__xludf.DUMMYFUNCTION("IFERROR(FILTER('Fund Data'!$D:$D, 'Fund Data'!$C:$C = $A69, 'Fund Data'!$A:$A = T$1, 'Fund Data'!$B:$B = 12),"""")"),"")</f>
        <v/>
      </c>
      <c r="U69" t="str">
        <f>IFERROR(__xludf.DUMMYFUNCTION("IFERROR(FILTER('Fund Data'!$D:$D, 'Fund Data'!$C:$C = $A69, 'Fund Data'!$A:$A = U$1, 'Fund Data'!$B:$B = 12),"""")"),"")</f>
        <v/>
      </c>
      <c r="V69" t="str">
        <f>IFERROR(__xludf.DUMMYFUNCTION("IFERROR(FILTER('Fund Data'!$D:$D, 'Fund Data'!$C:$C = $A69, 'Fund Data'!$A:$A = V$1, 'Fund Data'!$B:$B = 12),"""")"),"")</f>
        <v/>
      </c>
      <c r="W69" t="str">
        <f>IFERROR(__xludf.DUMMYFUNCTION("IFERROR(FILTER('Fund Data'!$D:$D, 'Fund Data'!$C:$C = $A69, 'Fund Data'!$A:$A = W$1, 'Fund Data'!$B:$B = 12),"""")"),"")</f>
        <v/>
      </c>
      <c r="X69" t="str">
        <f>IFERROR(__xludf.DUMMYFUNCTION("IFERROR(FILTER('Fund Data'!$D:$D, 'Fund Data'!$C:$C = $A69, 'Fund Data'!$A:$A = X$1, 'Fund Data'!$B:$B = 12),"""")"),"")</f>
        <v/>
      </c>
      <c r="Y69" t="str">
        <f>IFERROR(__xludf.DUMMYFUNCTION("IFERROR(FILTER('Fund Data'!$D:$D, 'Fund Data'!$C:$C = $A69, 'Fund Data'!$A:$A = Y$1, 'Fund Data'!$B:$B = 12),"""")"),"")</f>
        <v/>
      </c>
      <c r="Z69" t="str">
        <f>IFERROR(__xludf.DUMMYFUNCTION("IFERROR(FILTER('Fund Data'!$D:$D, 'Fund Data'!$C:$C = $A69, 'Fund Data'!$A:$A = Z$1, 'Fund Data'!$B:$B = 12),"""")"),"")</f>
        <v/>
      </c>
      <c r="AA69" t="str">
        <f>IFERROR(__xludf.DUMMYFUNCTION("IFERROR(FILTER('Fund Data'!$D:$D, 'Fund Data'!$C:$C = $A69, 'Fund Data'!$A:$A = AA$1, 'Fund Data'!$B:$B = 12),"""")"),"")</f>
        <v/>
      </c>
      <c r="AB69" t="str">
        <f>IFERROR(__xludf.DUMMYFUNCTION("IFERROR(FILTER('Fund Data'!$D:$D, 'Fund Data'!$C:$C = $A69, 'Fund Data'!$A:$A = AB$1, 'Fund Data'!$B:$B = 12),"""")"),"")</f>
        <v/>
      </c>
      <c r="AC69" t="str">
        <f>IFERROR(__xludf.DUMMYFUNCTION("IFERROR(FILTER('Fund Data'!$D:$D, 'Fund Data'!$C:$C = $A69, 'Fund Data'!$A:$A = AC$1, 'Fund Data'!$B:$B = 12),"""")"),"")</f>
        <v/>
      </c>
      <c r="AD69" t="str">
        <f>IFERROR(__xludf.DUMMYFUNCTION("IFERROR(FILTER('Fund Data'!$D:$D, 'Fund Data'!$C:$C = $A69, 'Fund Data'!$A:$A = AD$1, 'Fund Data'!$B:$B = 12),"""")"),"")</f>
        <v/>
      </c>
      <c r="AE69" t="str">
        <f>IFERROR(__xludf.DUMMYFUNCTION("IFERROR(FILTER('Fund Data'!$D:$D, 'Fund Data'!$C:$C = $A69, 'Fund Data'!$A:$A = AE$1, 'Fund Data'!$B:$B = 12),"""")"),"")</f>
        <v/>
      </c>
    </row>
    <row r="70">
      <c r="A70" s="145" t="str">
        <f>'Endowed Funds'!B:B</f>
        <v/>
      </c>
      <c r="B70" t="str">
        <f>IFERROR(__xludf.DUMMYFUNCTION("IFERROR(FILTER('Fund Data'!$D:$D, 'Fund Data'!$C:$C = $A70, 'Fund Data'!$A:$A = B$1, 'Fund Data'!$B:$B = 12),"""")"),"")</f>
        <v/>
      </c>
      <c r="C70" t="str">
        <f>IFERROR(__xludf.DUMMYFUNCTION("IFERROR(FILTER('Fund Data'!$D:$D, 'Fund Data'!$C:$C = $A70, 'Fund Data'!$A:$A = C$1, 'Fund Data'!$B:$B = 12),"""")"),"")</f>
        <v/>
      </c>
      <c r="D70" t="str">
        <f>IFERROR(__xludf.DUMMYFUNCTION("IFERROR(FILTER('Fund Data'!$D:$D, 'Fund Data'!$C:$C = $A70, 'Fund Data'!$A:$A = D$1, 'Fund Data'!$B:$B = 12),"""")"),"")</f>
        <v/>
      </c>
      <c r="E70" t="str">
        <f>IFERROR(__xludf.DUMMYFUNCTION("IFERROR(FILTER('Fund Data'!$D:$D, 'Fund Data'!$C:$C = $A70, 'Fund Data'!$A:$A = E$1, 'Fund Data'!$B:$B = 12),"""")"),"")</f>
        <v/>
      </c>
      <c r="F70" t="str">
        <f>IFERROR(__xludf.DUMMYFUNCTION("IFERROR(FILTER('Fund Data'!$D:$D, 'Fund Data'!$C:$C = $A70, 'Fund Data'!$A:$A = F$1, 'Fund Data'!$B:$B = 12),"""")"),"")</f>
        <v/>
      </c>
      <c r="G70" t="str">
        <f>IFERROR(__xludf.DUMMYFUNCTION("IFERROR(FILTER('Fund Data'!$D:$D, 'Fund Data'!$C:$C = $A70, 'Fund Data'!$A:$A = G$1, 'Fund Data'!$B:$B = 12),"""")"),"")</f>
        <v/>
      </c>
      <c r="H70" t="str">
        <f>IFERROR(__xludf.DUMMYFUNCTION("IFERROR(FILTER('Fund Data'!$D:$D, 'Fund Data'!$C:$C = $A70, 'Fund Data'!$A:$A = H$1, 'Fund Data'!$B:$B = 12),"""")"),"")</f>
        <v/>
      </c>
      <c r="I70" t="str">
        <f>IFERROR(__xludf.DUMMYFUNCTION("IFERROR(FILTER('Fund Data'!$D:$D, 'Fund Data'!$C:$C = $A70, 'Fund Data'!$A:$A = I$1, 'Fund Data'!$B:$B = 12),"""")"),"")</f>
        <v/>
      </c>
      <c r="J70" t="str">
        <f>IFERROR(__xludf.DUMMYFUNCTION("IFERROR(FILTER('Fund Data'!$D:$D, 'Fund Data'!$C:$C = $A70, 'Fund Data'!$A:$A = J$1, 'Fund Data'!$B:$B = 12),"""")"),"")</f>
        <v/>
      </c>
      <c r="K70" t="str">
        <f>IFERROR(__xludf.DUMMYFUNCTION("IFERROR(FILTER('Fund Data'!$D:$D, 'Fund Data'!$C:$C = $A70, 'Fund Data'!$A:$A = K$1, 'Fund Data'!$B:$B = 12),"""")"),"")</f>
        <v/>
      </c>
      <c r="L70" t="str">
        <f>IFERROR(__xludf.DUMMYFUNCTION("IFERROR(FILTER('Fund Data'!$D:$D, 'Fund Data'!$C:$C = $A70, 'Fund Data'!$A:$A = L$1, 'Fund Data'!$B:$B = 12),"""")"),"")</f>
        <v/>
      </c>
      <c r="M70" t="str">
        <f>IFERROR(__xludf.DUMMYFUNCTION("IFERROR(FILTER('Fund Data'!$D:$D, 'Fund Data'!$C:$C = $A70, 'Fund Data'!$A:$A = M$1, 'Fund Data'!$B:$B = 12),"""")"),"")</f>
        <v/>
      </c>
      <c r="N70" t="str">
        <f>IFERROR(__xludf.DUMMYFUNCTION("IFERROR(FILTER('Fund Data'!$D:$D, 'Fund Data'!$C:$C = $A70, 'Fund Data'!$A:$A = N$1, 'Fund Data'!$B:$B = 12),"""")"),"")</f>
        <v/>
      </c>
      <c r="O70" t="str">
        <f>IFERROR(__xludf.DUMMYFUNCTION("IFERROR(FILTER('Fund Data'!$D:$D, 'Fund Data'!$C:$C = $A70, 'Fund Data'!$A:$A = O$1, 'Fund Data'!$B:$B = 12),"""")"),"")</f>
        <v/>
      </c>
      <c r="P70" t="str">
        <f>IFERROR(__xludf.DUMMYFUNCTION("IFERROR(FILTER('Fund Data'!$D:$D, 'Fund Data'!$C:$C = $A70, 'Fund Data'!$A:$A = P$1, 'Fund Data'!$B:$B = 12),"""")"),"")</f>
        <v/>
      </c>
      <c r="Q70" t="str">
        <f>IFERROR(__xludf.DUMMYFUNCTION("IFERROR(FILTER('Fund Data'!$D:$D, 'Fund Data'!$C:$C = $A70, 'Fund Data'!$A:$A = Q$1, 'Fund Data'!$B:$B = 12),"""")"),"")</f>
        <v/>
      </c>
      <c r="R70" t="str">
        <f>IFERROR(__xludf.DUMMYFUNCTION("IFERROR(FILTER('Fund Data'!$D:$D, 'Fund Data'!$C:$C = $A70, 'Fund Data'!$A:$A = R$1, 'Fund Data'!$B:$B = 12),"""")"),"")</f>
        <v/>
      </c>
      <c r="S70" t="str">
        <f>IFERROR(__xludf.DUMMYFUNCTION("IFERROR(FILTER('Fund Data'!$D:$D, 'Fund Data'!$C:$C = $A70, 'Fund Data'!$A:$A = S$1, 'Fund Data'!$B:$B = 12),"""")"),"")</f>
        <v/>
      </c>
      <c r="T70" t="str">
        <f>IFERROR(__xludf.DUMMYFUNCTION("IFERROR(FILTER('Fund Data'!$D:$D, 'Fund Data'!$C:$C = $A70, 'Fund Data'!$A:$A = T$1, 'Fund Data'!$B:$B = 12),"""")"),"")</f>
        <v/>
      </c>
      <c r="U70" t="str">
        <f>IFERROR(__xludf.DUMMYFUNCTION("IFERROR(FILTER('Fund Data'!$D:$D, 'Fund Data'!$C:$C = $A70, 'Fund Data'!$A:$A = U$1, 'Fund Data'!$B:$B = 12),"""")"),"")</f>
        <v/>
      </c>
      <c r="V70" t="str">
        <f>IFERROR(__xludf.DUMMYFUNCTION("IFERROR(FILTER('Fund Data'!$D:$D, 'Fund Data'!$C:$C = $A70, 'Fund Data'!$A:$A = V$1, 'Fund Data'!$B:$B = 12),"""")"),"")</f>
        <v/>
      </c>
      <c r="W70" t="str">
        <f>IFERROR(__xludf.DUMMYFUNCTION("IFERROR(FILTER('Fund Data'!$D:$D, 'Fund Data'!$C:$C = $A70, 'Fund Data'!$A:$A = W$1, 'Fund Data'!$B:$B = 12),"""")"),"")</f>
        <v/>
      </c>
      <c r="X70" t="str">
        <f>IFERROR(__xludf.DUMMYFUNCTION("IFERROR(FILTER('Fund Data'!$D:$D, 'Fund Data'!$C:$C = $A70, 'Fund Data'!$A:$A = X$1, 'Fund Data'!$B:$B = 12),"""")"),"")</f>
        <v/>
      </c>
      <c r="Y70" t="str">
        <f>IFERROR(__xludf.DUMMYFUNCTION("IFERROR(FILTER('Fund Data'!$D:$D, 'Fund Data'!$C:$C = $A70, 'Fund Data'!$A:$A = Y$1, 'Fund Data'!$B:$B = 12),"""")"),"")</f>
        <v/>
      </c>
      <c r="Z70" t="str">
        <f>IFERROR(__xludf.DUMMYFUNCTION("IFERROR(FILTER('Fund Data'!$D:$D, 'Fund Data'!$C:$C = $A70, 'Fund Data'!$A:$A = Z$1, 'Fund Data'!$B:$B = 12),"""")"),"")</f>
        <v/>
      </c>
      <c r="AA70" t="str">
        <f>IFERROR(__xludf.DUMMYFUNCTION("IFERROR(FILTER('Fund Data'!$D:$D, 'Fund Data'!$C:$C = $A70, 'Fund Data'!$A:$A = AA$1, 'Fund Data'!$B:$B = 12),"""")"),"")</f>
        <v/>
      </c>
      <c r="AB70" t="str">
        <f>IFERROR(__xludf.DUMMYFUNCTION("IFERROR(FILTER('Fund Data'!$D:$D, 'Fund Data'!$C:$C = $A70, 'Fund Data'!$A:$A = AB$1, 'Fund Data'!$B:$B = 12),"""")"),"")</f>
        <v/>
      </c>
      <c r="AC70" t="str">
        <f>IFERROR(__xludf.DUMMYFUNCTION("IFERROR(FILTER('Fund Data'!$D:$D, 'Fund Data'!$C:$C = $A70, 'Fund Data'!$A:$A = AC$1, 'Fund Data'!$B:$B = 12),"""")"),"")</f>
        <v/>
      </c>
      <c r="AD70" t="str">
        <f>IFERROR(__xludf.DUMMYFUNCTION("IFERROR(FILTER('Fund Data'!$D:$D, 'Fund Data'!$C:$C = $A70, 'Fund Data'!$A:$A = AD$1, 'Fund Data'!$B:$B = 12),"""")"),"")</f>
        <v/>
      </c>
      <c r="AE70" t="str">
        <f>IFERROR(__xludf.DUMMYFUNCTION("IFERROR(FILTER('Fund Data'!$D:$D, 'Fund Data'!$C:$C = $A70, 'Fund Data'!$A:$A = AE$1, 'Fund Data'!$B:$B = 12),"""")"),"")</f>
        <v/>
      </c>
    </row>
    <row r="71">
      <c r="A71" s="145" t="str">
        <f>'Endowed Funds'!B:B</f>
        <v/>
      </c>
      <c r="B71" t="str">
        <f>IFERROR(__xludf.DUMMYFUNCTION("IFERROR(FILTER('Fund Data'!$D:$D, 'Fund Data'!$C:$C = $A71, 'Fund Data'!$A:$A = B$1, 'Fund Data'!$B:$B = 12),"""")"),"")</f>
        <v/>
      </c>
      <c r="C71" t="str">
        <f>IFERROR(__xludf.DUMMYFUNCTION("IFERROR(FILTER('Fund Data'!$D:$D, 'Fund Data'!$C:$C = $A71, 'Fund Data'!$A:$A = C$1, 'Fund Data'!$B:$B = 12),"""")"),"")</f>
        <v/>
      </c>
      <c r="D71" t="str">
        <f>IFERROR(__xludf.DUMMYFUNCTION("IFERROR(FILTER('Fund Data'!$D:$D, 'Fund Data'!$C:$C = $A71, 'Fund Data'!$A:$A = D$1, 'Fund Data'!$B:$B = 12),"""")"),"")</f>
        <v/>
      </c>
      <c r="E71" t="str">
        <f>IFERROR(__xludf.DUMMYFUNCTION("IFERROR(FILTER('Fund Data'!$D:$D, 'Fund Data'!$C:$C = $A71, 'Fund Data'!$A:$A = E$1, 'Fund Data'!$B:$B = 12),"""")"),"")</f>
        <v/>
      </c>
      <c r="F71" t="str">
        <f>IFERROR(__xludf.DUMMYFUNCTION("IFERROR(FILTER('Fund Data'!$D:$D, 'Fund Data'!$C:$C = $A71, 'Fund Data'!$A:$A = F$1, 'Fund Data'!$B:$B = 12),"""")"),"")</f>
        <v/>
      </c>
      <c r="G71" t="str">
        <f>IFERROR(__xludf.DUMMYFUNCTION("IFERROR(FILTER('Fund Data'!$D:$D, 'Fund Data'!$C:$C = $A71, 'Fund Data'!$A:$A = G$1, 'Fund Data'!$B:$B = 12),"""")"),"")</f>
        <v/>
      </c>
      <c r="H71" t="str">
        <f>IFERROR(__xludf.DUMMYFUNCTION("IFERROR(FILTER('Fund Data'!$D:$D, 'Fund Data'!$C:$C = $A71, 'Fund Data'!$A:$A = H$1, 'Fund Data'!$B:$B = 12),"""")"),"")</f>
        <v/>
      </c>
      <c r="I71" t="str">
        <f>IFERROR(__xludf.DUMMYFUNCTION("IFERROR(FILTER('Fund Data'!$D:$D, 'Fund Data'!$C:$C = $A71, 'Fund Data'!$A:$A = I$1, 'Fund Data'!$B:$B = 12),"""")"),"")</f>
        <v/>
      </c>
      <c r="J71" t="str">
        <f>IFERROR(__xludf.DUMMYFUNCTION("IFERROR(FILTER('Fund Data'!$D:$D, 'Fund Data'!$C:$C = $A71, 'Fund Data'!$A:$A = J$1, 'Fund Data'!$B:$B = 12),"""")"),"")</f>
        <v/>
      </c>
      <c r="K71" t="str">
        <f>IFERROR(__xludf.DUMMYFUNCTION("IFERROR(FILTER('Fund Data'!$D:$D, 'Fund Data'!$C:$C = $A71, 'Fund Data'!$A:$A = K$1, 'Fund Data'!$B:$B = 12),"""")"),"")</f>
        <v/>
      </c>
      <c r="L71" t="str">
        <f>IFERROR(__xludf.DUMMYFUNCTION("IFERROR(FILTER('Fund Data'!$D:$D, 'Fund Data'!$C:$C = $A71, 'Fund Data'!$A:$A = L$1, 'Fund Data'!$B:$B = 12),"""")"),"")</f>
        <v/>
      </c>
      <c r="M71" t="str">
        <f>IFERROR(__xludf.DUMMYFUNCTION("IFERROR(FILTER('Fund Data'!$D:$D, 'Fund Data'!$C:$C = $A71, 'Fund Data'!$A:$A = M$1, 'Fund Data'!$B:$B = 12),"""")"),"")</f>
        <v/>
      </c>
      <c r="N71" t="str">
        <f>IFERROR(__xludf.DUMMYFUNCTION("IFERROR(FILTER('Fund Data'!$D:$D, 'Fund Data'!$C:$C = $A71, 'Fund Data'!$A:$A = N$1, 'Fund Data'!$B:$B = 12),"""")"),"")</f>
        <v/>
      </c>
      <c r="O71" t="str">
        <f>IFERROR(__xludf.DUMMYFUNCTION("IFERROR(FILTER('Fund Data'!$D:$D, 'Fund Data'!$C:$C = $A71, 'Fund Data'!$A:$A = O$1, 'Fund Data'!$B:$B = 12),"""")"),"")</f>
        <v/>
      </c>
      <c r="P71" t="str">
        <f>IFERROR(__xludf.DUMMYFUNCTION("IFERROR(FILTER('Fund Data'!$D:$D, 'Fund Data'!$C:$C = $A71, 'Fund Data'!$A:$A = P$1, 'Fund Data'!$B:$B = 12),"""")"),"")</f>
        <v/>
      </c>
      <c r="Q71" t="str">
        <f>IFERROR(__xludf.DUMMYFUNCTION("IFERROR(FILTER('Fund Data'!$D:$D, 'Fund Data'!$C:$C = $A71, 'Fund Data'!$A:$A = Q$1, 'Fund Data'!$B:$B = 12),"""")"),"")</f>
        <v/>
      </c>
      <c r="R71" t="str">
        <f>IFERROR(__xludf.DUMMYFUNCTION("IFERROR(FILTER('Fund Data'!$D:$D, 'Fund Data'!$C:$C = $A71, 'Fund Data'!$A:$A = R$1, 'Fund Data'!$B:$B = 12),"""")"),"")</f>
        <v/>
      </c>
      <c r="S71" t="str">
        <f>IFERROR(__xludf.DUMMYFUNCTION("IFERROR(FILTER('Fund Data'!$D:$D, 'Fund Data'!$C:$C = $A71, 'Fund Data'!$A:$A = S$1, 'Fund Data'!$B:$B = 12),"""")"),"")</f>
        <v/>
      </c>
      <c r="T71" t="str">
        <f>IFERROR(__xludf.DUMMYFUNCTION("IFERROR(FILTER('Fund Data'!$D:$D, 'Fund Data'!$C:$C = $A71, 'Fund Data'!$A:$A = T$1, 'Fund Data'!$B:$B = 12),"""")"),"")</f>
        <v/>
      </c>
      <c r="U71" t="str">
        <f>IFERROR(__xludf.DUMMYFUNCTION("IFERROR(FILTER('Fund Data'!$D:$D, 'Fund Data'!$C:$C = $A71, 'Fund Data'!$A:$A = U$1, 'Fund Data'!$B:$B = 12),"""")"),"")</f>
        <v/>
      </c>
      <c r="V71" t="str">
        <f>IFERROR(__xludf.DUMMYFUNCTION("IFERROR(FILTER('Fund Data'!$D:$D, 'Fund Data'!$C:$C = $A71, 'Fund Data'!$A:$A = V$1, 'Fund Data'!$B:$B = 12),"""")"),"")</f>
        <v/>
      </c>
      <c r="W71" t="str">
        <f>IFERROR(__xludf.DUMMYFUNCTION("IFERROR(FILTER('Fund Data'!$D:$D, 'Fund Data'!$C:$C = $A71, 'Fund Data'!$A:$A = W$1, 'Fund Data'!$B:$B = 12),"""")"),"")</f>
        <v/>
      </c>
      <c r="X71" t="str">
        <f>IFERROR(__xludf.DUMMYFUNCTION("IFERROR(FILTER('Fund Data'!$D:$D, 'Fund Data'!$C:$C = $A71, 'Fund Data'!$A:$A = X$1, 'Fund Data'!$B:$B = 12),"""")"),"")</f>
        <v/>
      </c>
      <c r="Y71" t="str">
        <f>IFERROR(__xludf.DUMMYFUNCTION("IFERROR(FILTER('Fund Data'!$D:$D, 'Fund Data'!$C:$C = $A71, 'Fund Data'!$A:$A = Y$1, 'Fund Data'!$B:$B = 12),"""")"),"")</f>
        <v/>
      </c>
      <c r="Z71" t="str">
        <f>IFERROR(__xludf.DUMMYFUNCTION("IFERROR(FILTER('Fund Data'!$D:$D, 'Fund Data'!$C:$C = $A71, 'Fund Data'!$A:$A = Z$1, 'Fund Data'!$B:$B = 12),"""")"),"")</f>
        <v/>
      </c>
      <c r="AA71" t="str">
        <f>IFERROR(__xludf.DUMMYFUNCTION("IFERROR(FILTER('Fund Data'!$D:$D, 'Fund Data'!$C:$C = $A71, 'Fund Data'!$A:$A = AA$1, 'Fund Data'!$B:$B = 12),"""")"),"")</f>
        <v/>
      </c>
      <c r="AB71" t="str">
        <f>IFERROR(__xludf.DUMMYFUNCTION("IFERROR(FILTER('Fund Data'!$D:$D, 'Fund Data'!$C:$C = $A71, 'Fund Data'!$A:$A = AB$1, 'Fund Data'!$B:$B = 12),"""")"),"")</f>
        <v/>
      </c>
      <c r="AC71" t="str">
        <f>IFERROR(__xludf.DUMMYFUNCTION("IFERROR(FILTER('Fund Data'!$D:$D, 'Fund Data'!$C:$C = $A71, 'Fund Data'!$A:$A = AC$1, 'Fund Data'!$B:$B = 12),"""")"),"")</f>
        <v/>
      </c>
      <c r="AD71" t="str">
        <f>IFERROR(__xludf.DUMMYFUNCTION("IFERROR(FILTER('Fund Data'!$D:$D, 'Fund Data'!$C:$C = $A71, 'Fund Data'!$A:$A = AD$1, 'Fund Data'!$B:$B = 12),"""")"),"")</f>
        <v/>
      </c>
      <c r="AE71" t="str">
        <f>IFERROR(__xludf.DUMMYFUNCTION("IFERROR(FILTER('Fund Data'!$D:$D, 'Fund Data'!$C:$C = $A71, 'Fund Data'!$A:$A = AE$1, 'Fund Data'!$B:$B = 12),"""")"),"")</f>
        <v/>
      </c>
    </row>
    <row r="72">
      <c r="A72" s="145" t="str">
        <f>'Endowed Funds'!B:B</f>
        <v/>
      </c>
      <c r="B72" t="str">
        <f>IFERROR(__xludf.DUMMYFUNCTION("IFERROR(FILTER('Fund Data'!$D:$D, 'Fund Data'!$C:$C = $A72, 'Fund Data'!$A:$A = B$1, 'Fund Data'!$B:$B = 12),"""")"),"")</f>
        <v/>
      </c>
      <c r="C72" t="str">
        <f>IFERROR(__xludf.DUMMYFUNCTION("IFERROR(FILTER('Fund Data'!$D:$D, 'Fund Data'!$C:$C = $A72, 'Fund Data'!$A:$A = C$1, 'Fund Data'!$B:$B = 12),"""")"),"")</f>
        <v/>
      </c>
      <c r="D72" t="str">
        <f>IFERROR(__xludf.DUMMYFUNCTION("IFERROR(FILTER('Fund Data'!$D:$D, 'Fund Data'!$C:$C = $A72, 'Fund Data'!$A:$A = D$1, 'Fund Data'!$B:$B = 12),"""")"),"")</f>
        <v/>
      </c>
      <c r="E72" t="str">
        <f>IFERROR(__xludf.DUMMYFUNCTION("IFERROR(FILTER('Fund Data'!$D:$D, 'Fund Data'!$C:$C = $A72, 'Fund Data'!$A:$A = E$1, 'Fund Data'!$B:$B = 12),"""")"),"")</f>
        <v/>
      </c>
      <c r="F72" t="str">
        <f>IFERROR(__xludf.DUMMYFUNCTION("IFERROR(FILTER('Fund Data'!$D:$D, 'Fund Data'!$C:$C = $A72, 'Fund Data'!$A:$A = F$1, 'Fund Data'!$B:$B = 12),"""")"),"")</f>
        <v/>
      </c>
      <c r="G72" t="str">
        <f>IFERROR(__xludf.DUMMYFUNCTION("IFERROR(FILTER('Fund Data'!$D:$D, 'Fund Data'!$C:$C = $A72, 'Fund Data'!$A:$A = G$1, 'Fund Data'!$B:$B = 12),"""")"),"")</f>
        <v/>
      </c>
      <c r="H72" t="str">
        <f>IFERROR(__xludf.DUMMYFUNCTION("IFERROR(FILTER('Fund Data'!$D:$D, 'Fund Data'!$C:$C = $A72, 'Fund Data'!$A:$A = H$1, 'Fund Data'!$B:$B = 12),"""")"),"")</f>
        <v/>
      </c>
      <c r="I72" t="str">
        <f>IFERROR(__xludf.DUMMYFUNCTION("IFERROR(FILTER('Fund Data'!$D:$D, 'Fund Data'!$C:$C = $A72, 'Fund Data'!$A:$A = I$1, 'Fund Data'!$B:$B = 12),"""")"),"")</f>
        <v/>
      </c>
      <c r="J72" t="str">
        <f>IFERROR(__xludf.DUMMYFUNCTION("IFERROR(FILTER('Fund Data'!$D:$D, 'Fund Data'!$C:$C = $A72, 'Fund Data'!$A:$A = J$1, 'Fund Data'!$B:$B = 12),"""")"),"")</f>
        <v/>
      </c>
      <c r="K72" t="str">
        <f>IFERROR(__xludf.DUMMYFUNCTION("IFERROR(FILTER('Fund Data'!$D:$D, 'Fund Data'!$C:$C = $A72, 'Fund Data'!$A:$A = K$1, 'Fund Data'!$B:$B = 12),"""")"),"")</f>
        <v/>
      </c>
      <c r="L72" t="str">
        <f>IFERROR(__xludf.DUMMYFUNCTION("IFERROR(FILTER('Fund Data'!$D:$D, 'Fund Data'!$C:$C = $A72, 'Fund Data'!$A:$A = L$1, 'Fund Data'!$B:$B = 12),"""")"),"")</f>
        <v/>
      </c>
      <c r="M72" t="str">
        <f>IFERROR(__xludf.DUMMYFUNCTION("IFERROR(FILTER('Fund Data'!$D:$D, 'Fund Data'!$C:$C = $A72, 'Fund Data'!$A:$A = M$1, 'Fund Data'!$B:$B = 12),"""")"),"")</f>
        <v/>
      </c>
      <c r="N72" t="str">
        <f>IFERROR(__xludf.DUMMYFUNCTION("IFERROR(FILTER('Fund Data'!$D:$D, 'Fund Data'!$C:$C = $A72, 'Fund Data'!$A:$A = N$1, 'Fund Data'!$B:$B = 12),"""")"),"")</f>
        <v/>
      </c>
      <c r="O72" t="str">
        <f>IFERROR(__xludf.DUMMYFUNCTION("IFERROR(FILTER('Fund Data'!$D:$D, 'Fund Data'!$C:$C = $A72, 'Fund Data'!$A:$A = O$1, 'Fund Data'!$B:$B = 12),"""")"),"")</f>
        <v/>
      </c>
      <c r="P72" t="str">
        <f>IFERROR(__xludf.DUMMYFUNCTION("IFERROR(FILTER('Fund Data'!$D:$D, 'Fund Data'!$C:$C = $A72, 'Fund Data'!$A:$A = P$1, 'Fund Data'!$B:$B = 12),"""")"),"")</f>
        <v/>
      </c>
      <c r="Q72" t="str">
        <f>IFERROR(__xludf.DUMMYFUNCTION("IFERROR(FILTER('Fund Data'!$D:$D, 'Fund Data'!$C:$C = $A72, 'Fund Data'!$A:$A = Q$1, 'Fund Data'!$B:$B = 12),"""")"),"")</f>
        <v/>
      </c>
      <c r="R72" t="str">
        <f>IFERROR(__xludf.DUMMYFUNCTION("IFERROR(FILTER('Fund Data'!$D:$D, 'Fund Data'!$C:$C = $A72, 'Fund Data'!$A:$A = R$1, 'Fund Data'!$B:$B = 12),"""")"),"")</f>
        <v/>
      </c>
      <c r="S72" t="str">
        <f>IFERROR(__xludf.DUMMYFUNCTION("IFERROR(FILTER('Fund Data'!$D:$D, 'Fund Data'!$C:$C = $A72, 'Fund Data'!$A:$A = S$1, 'Fund Data'!$B:$B = 12),"""")"),"")</f>
        <v/>
      </c>
      <c r="T72" t="str">
        <f>IFERROR(__xludf.DUMMYFUNCTION("IFERROR(FILTER('Fund Data'!$D:$D, 'Fund Data'!$C:$C = $A72, 'Fund Data'!$A:$A = T$1, 'Fund Data'!$B:$B = 12),"""")"),"")</f>
        <v/>
      </c>
      <c r="U72" t="str">
        <f>IFERROR(__xludf.DUMMYFUNCTION("IFERROR(FILTER('Fund Data'!$D:$D, 'Fund Data'!$C:$C = $A72, 'Fund Data'!$A:$A = U$1, 'Fund Data'!$B:$B = 12),"""")"),"")</f>
        <v/>
      </c>
      <c r="V72" t="str">
        <f>IFERROR(__xludf.DUMMYFUNCTION("IFERROR(FILTER('Fund Data'!$D:$D, 'Fund Data'!$C:$C = $A72, 'Fund Data'!$A:$A = V$1, 'Fund Data'!$B:$B = 12),"""")"),"")</f>
        <v/>
      </c>
      <c r="W72" t="str">
        <f>IFERROR(__xludf.DUMMYFUNCTION("IFERROR(FILTER('Fund Data'!$D:$D, 'Fund Data'!$C:$C = $A72, 'Fund Data'!$A:$A = W$1, 'Fund Data'!$B:$B = 12),"""")"),"")</f>
        <v/>
      </c>
      <c r="X72" t="str">
        <f>IFERROR(__xludf.DUMMYFUNCTION("IFERROR(FILTER('Fund Data'!$D:$D, 'Fund Data'!$C:$C = $A72, 'Fund Data'!$A:$A = X$1, 'Fund Data'!$B:$B = 12),"""")"),"")</f>
        <v/>
      </c>
      <c r="Y72" t="str">
        <f>IFERROR(__xludf.DUMMYFUNCTION("IFERROR(FILTER('Fund Data'!$D:$D, 'Fund Data'!$C:$C = $A72, 'Fund Data'!$A:$A = Y$1, 'Fund Data'!$B:$B = 12),"""")"),"")</f>
        <v/>
      </c>
      <c r="Z72" t="str">
        <f>IFERROR(__xludf.DUMMYFUNCTION("IFERROR(FILTER('Fund Data'!$D:$D, 'Fund Data'!$C:$C = $A72, 'Fund Data'!$A:$A = Z$1, 'Fund Data'!$B:$B = 12),"""")"),"")</f>
        <v/>
      </c>
      <c r="AA72" t="str">
        <f>IFERROR(__xludf.DUMMYFUNCTION("IFERROR(FILTER('Fund Data'!$D:$D, 'Fund Data'!$C:$C = $A72, 'Fund Data'!$A:$A = AA$1, 'Fund Data'!$B:$B = 12),"""")"),"")</f>
        <v/>
      </c>
      <c r="AB72" t="str">
        <f>IFERROR(__xludf.DUMMYFUNCTION("IFERROR(FILTER('Fund Data'!$D:$D, 'Fund Data'!$C:$C = $A72, 'Fund Data'!$A:$A = AB$1, 'Fund Data'!$B:$B = 12),"""")"),"")</f>
        <v/>
      </c>
      <c r="AC72" t="str">
        <f>IFERROR(__xludf.DUMMYFUNCTION("IFERROR(FILTER('Fund Data'!$D:$D, 'Fund Data'!$C:$C = $A72, 'Fund Data'!$A:$A = AC$1, 'Fund Data'!$B:$B = 12),"""")"),"")</f>
        <v/>
      </c>
      <c r="AD72" t="str">
        <f>IFERROR(__xludf.DUMMYFUNCTION("IFERROR(FILTER('Fund Data'!$D:$D, 'Fund Data'!$C:$C = $A72, 'Fund Data'!$A:$A = AD$1, 'Fund Data'!$B:$B = 12),"""")"),"")</f>
        <v/>
      </c>
      <c r="AE72" t="str">
        <f>IFERROR(__xludf.DUMMYFUNCTION("IFERROR(FILTER('Fund Data'!$D:$D, 'Fund Data'!$C:$C = $A72, 'Fund Data'!$A:$A = AE$1, 'Fund Data'!$B:$B = 12),"""")"),"")</f>
        <v/>
      </c>
    </row>
    <row r="73">
      <c r="A73" s="145" t="str">
        <f>'Endowed Funds'!B:B</f>
        <v/>
      </c>
      <c r="B73" t="str">
        <f>IFERROR(__xludf.DUMMYFUNCTION("IFERROR(FILTER('Fund Data'!$D:$D, 'Fund Data'!$C:$C = $A73, 'Fund Data'!$A:$A = B$1, 'Fund Data'!$B:$B = 12),"""")"),"")</f>
        <v/>
      </c>
      <c r="C73" t="str">
        <f>IFERROR(__xludf.DUMMYFUNCTION("IFERROR(FILTER('Fund Data'!$D:$D, 'Fund Data'!$C:$C = $A73, 'Fund Data'!$A:$A = C$1, 'Fund Data'!$B:$B = 12),"""")"),"")</f>
        <v/>
      </c>
      <c r="D73" t="str">
        <f>IFERROR(__xludf.DUMMYFUNCTION("IFERROR(FILTER('Fund Data'!$D:$D, 'Fund Data'!$C:$C = $A73, 'Fund Data'!$A:$A = D$1, 'Fund Data'!$B:$B = 12),"""")"),"")</f>
        <v/>
      </c>
      <c r="E73" t="str">
        <f>IFERROR(__xludf.DUMMYFUNCTION("IFERROR(FILTER('Fund Data'!$D:$D, 'Fund Data'!$C:$C = $A73, 'Fund Data'!$A:$A = E$1, 'Fund Data'!$B:$B = 12),"""")"),"")</f>
        <v/>
      </c>
      <c r="F73" t="str">
        <f>IFERROR(__xludf.DUMMYFUNCTION("IFERROR(FILTER('Fund Data'!$D:$D, 'Fund Data'!$C:$C = $A73, 'Fund Data'!$A:$A = F$1, 'Fund Data'!$B:$B = 12),"""")"),"")</f>
        <v/>
      </c>
      <c r="G73" t="str">
        <f>IFERROR(__xludf.DUMMYFUNCTION("IFERROR(FILTER('Fund Data'!$D:$D, 'Fund Data'!$C:$C = $A73, 'Fund Data'!$A:$A = G$1, 'Fund Data'!$B:$B = 12),"""")"),"")</f>
        <v/>
      </c>
      <c r="H73" t="str">
        <f>IFERROR(__xludf.DUMMYFUNCTION("IFERROR(FILTER('Fund Data'!$D:$D, 'Fund Data'!$C:$C = $A73, 'Fund Data'!$A:$A = H$1, 'Fund Data'!$B:$B = 12),"""")"),"")</f>
        <v/>
      </c>
      <c r="I73" t="str">
        <f>IFERROR(__xludf.DUMMYFUNCTION("IFERROR(FILTER('Fund Data'!$D:$D, 'Fund Data'!$C:$C = $A73, 'Fund Data'!$A:$A = I$1, 'Fund Data'!$B:$B = 12),"""")"),"")</f>
        <v/>
      </c>
      <c r="J73" t="str">
        <f>IFERROR(__xludf.DUMMYFUNCTION("IFERROR(FILTER('Fund Data'!$D:$D, 'Fund Data'!$C:$C = $A73, 'Fund Data'!$A:$A = J$1, 'Fund Data'!$B:$B = 12),"""")"),"")</f>
        <v/>
      </c>
      <c r="K73" t="str">
        <f>IFERROR(__xludf.DUMMYFUNCTION("IFERROR(FILTER('Fund Data'!$D:$D, 'Fund Data'!$C:$C = $A73, 'Fund Data'!$A:$A = K$1, 'Fund Data'!$B:$B = 12),"""")"),"")</f>
        <v/>
      </c>
      <c r="L73" t="str">
        <f>IFERROR(__xludf.DUMMYFUNCTION("IFERROR(FILTER('Fund Data'!$D:$D, 'Fund Data'!$C:$C = $A73, 'Fund Data'!$A:$A = L$1, 'Fund Data'!$B:$B = 12),"""")"),"")</f>
        <v/>
      </c>
      <c r="M73" t="str">
        <f>IFERROR(__xludf.DUMMYFUNCTION("IFERROR(FILTER('Fund Data'!$D:$D, 'Fund Data'!$C:$C = $A73, 'Fund Data'!$A:$A = M$1, 'Fund Data'!$B:$B = 12),"""")"),"")</f>
        <v/>
      </c>
      <c r="N73" t="str">
        <f>IFERROR(__xludf.DUMMYFUNCTION("IFERROR(FILTER('Fund Data'!$D:$D, 'Fund Data'!$C:$C = $A73, 'Fund Data'!$A:$A = N$1, 'Fund Data'!$B:$B = 12),"""")"),"")</f>
        <v/>
      </c>
      <c r="O73" t="str">
        <f>IFERROR(__xludf.DUMMYFUNCTION("IFERROR(FILTER('Fund Data'!$D:$D, 'Fund Data'!$C:$C = $A73, 'Fund Data'!$A:$A = O$1, 'Fund Data'!$B:$B = 12),"""")"),"")</f>
        <v/>
      </c>
      <c r="P73" t="str">
        <f>IFERROR(__xludf.DUMMYFUNCTION("IFERROR(FILTER('Fund Data'!$D:$D, 'Fund Data'!$C:$C = $A73, 'Fund Data'!$A:$A = P$1, 'Fund Data'!$B:$B = 12),"""")"),"")</f>
        <v/>
      </c>
      <c r="Q73" t="str">
        <f>IFERROR(__xludf.DUMMYFUNCTION("IFERROR(FILTER('Fund Data'!$D:$D, 'Fund Data'!$C:$C = $A73, 'Fund Data'!$A:$A = Q$1, 'Fund Data'!$B:$B = 12),"""")"),"")</f>
        <v/>
      </c>
      <c r="R73" t="str">
        <f>IFERROR(__xludf.DUMMYFUNCTION("IFERROR(FILTER('Fund Data'!$D:$D, 'Fund Data'!$C:$C = $A73, 'Fund Data'!$A:$A = R$1, 'Fund Data'!$B:$B = 12),"""")"),"")</f>
        <v/>
      </c>
      <c r="S73" t="str">
        <f>IFERROR(__xludf.DUMMYFUNCTION("IFERROR(FILTER('Fund Data'!$D:$D, 'Fund Data'!$C:$C = $A73, 'Fund Data'!$A:$A = S$1, 'Fund Data'!$B:$B = 12),"""")"),"")</f>
        <v/>
      </c>
      <c r="T73" t="str">
        <f>IFERROR(__xludf.DUMMYFUNCTION("IFERROR(FILTER('Fund Data'!$D:$D, 'Fund Data'!$C:$C = $A73, 'Fund Data'!$A:$A = T$1, 'Fund Data'!$B:$B = 12),"""")"),"")</f>
        <v/>
      </c>
      <c r="U73" t="str">
        <f>IFERROR(__xludf.DUMMYFUNCTION("IFERROR(FILTER('Fund Data'!$D:$D, 'Fund Data'!$C:$C = $A73, 'Fund Data'!$A:$A = U$1, 'Fund Data'!$B:$B = 12),"""")"),"")</f>
        <v/>
      </c>
      <c r="V73" t="str">
        <f>IFERROR(__xludf.DUMMYFUNCTION("IFERROR(FILTER('Fund Data'!$D:$D, 'Fund Data'!$C:$C = $A73, 'Fund Data'!$A:$A = V$1, 'Fund Data'!$B:$B = 12),"""")"),"")</f>
        <v/>
      </c>
      <c r="W73" t="str">
        <f>IFERROR(__xludf.DUMMYFUNCTION("IFERROR(FILTER('Fund Data'!$D:$D, 'Fund Data'!$C:$C = $A73, 'Fund Data'!$A:$A = W$1, 'Fund Data'!$B:$B = 12),"""")"),"")</f>
        <v/>
      </c>
      <c r="X73" t="str">
        <f>IFERROR(__xludf.DUMMYFUNCTION("IFERROR(FILTER('Fund Data'!$D:$D, 'Fund Data'!$C:$C = $A73, 'Fund Data'!$A:$A = X$1, 'Fund Data'!$B:$B = 12),"""")"),"")</f>
        <v/>
      </c>
      <c r="Y73" t="str">
        <f>IFERROR(__xludf.DUMMYFUNCTION("IFERROR(FILTER('Fund Data'!$D:$D, 'Fund Data'!$C:$C = $A73, 'Fund Data'!$A:$A = Y$1, 'Fund Data'!$B:$B = 12),"""")"),"")</f>
        <v/>
      </c>
      <c r="Z73" t="str">
        <f>IFERROR(__xludf.DUMMYFUNCTION("IFERROR(FILTER('Fund Data'!$D:$D, 'Fund Data'!$C:$C = $A73, 'Fund Data'!$A:$A = Z$1, 'Fund Data'!$B:$B = 12),"""")"),"")</f>
        <v/>
      </c>
      <c r="AA73" t="str">
        <f>IFERROR(__xludf.DUMMYFUNCTION("IFERROR(FILTER('Fund Data'!$D:$D, 'Fund Data'!$C:$C = $A73, 'Fund Data'!$A:$A = AA$1, 'Fund Data'!$B:$B = 12),"""")"),"")</f>
        <v/>
      </c>
      <c r="AB73" t="str">
        <f>IFERROR(__xludf.DUMMYFUNCTION("IFERROR(FILTER('Fund Data'!$D:$D, 'Fund Data'!$C:$C = $A73, 'Fund Data'!$A:$A = AB$1, 'Fund Data'!$B:$B = 12),"""")"),"")</f>
        <v/>
      </c>
      <c r="AC73" t="str">
        <f>IFERROR(__xludf.DUMMYFUNCTION("IFERROR(FILTER('Fund Data'!$D:$D, 'Fund Data'!$C:$C = $A73, 'Fund Data'!$A:$A = AC$1, 'Fund Data'!$B:$B = 12),"""")"),"")</f>
        <v/>
      </c>
      <c r="AD73" t="str">
        <f>IFERROR(__xludf.DUMMYFUNCTION("IFERROR(FILTER('Fund Data'!$D:$D, 'Fund Data'!$C:$C = $A73, 'Fund Data'!$A:$A = AD$1, 'Fund Data'!$B:$B = 12),"""")"),"")</f>
        <v/>
      </c>
      <c r="AE73" t="str">
        <f>IFERROR(__xludf.DUMMYFUNCTION("IFERROR(FILTER('Fund Data'!$D:$D, 'Fund Data'!$C:$C = $A73, 'Fund Data'!$A:$A = AE$1, 'Fund Data'!$B:$B = 12),"""")"),"")</f>
        <v/>
      </c>
    </row>
    <row r="74">
      <c r="A74" s="145" t="str">
        <f>'Endowed Funds'!B:B</f>
        <v/>
      </c>
      <c r="B74" t="str">
        <f>IFERROR(__xludf.DUMMYFUNCTION("IFERROR(FILTER('Fund Data'!$D:$D, 'Fund Data'!$C:$C = $A74, 'Fund Data'!$A:$A = B$1, 'Fund Data'!$B:$B = 12),"""")"),"")</f>
        <v/>
      </c>
      <c r="C74" t="str">
        <f>IFERROR(__xludf.DUMMYFUNCTION("IFERROR(FILTER('Fund Data'!$D:$D, 'Fund Data'!$C:$C = $A74, 'Fund Data'!$A:$A = C$1, 'Fund Data'!$B:$B = 12),"""")"),"")</f>
        <v/>
      </c>
      <c r="D74" t="str">
        <f>IFERROR(__xludf.DUMMYFUNCTION("IFERROR(FILTER('Fund Data'!$D:$D, 'Fund Data'!$C:$C = $A74, 'Fund Data'!$A:$A = D$1, 'Fund Data'!$B:$B = 12),"""")"),"")</f>
        <v/>
      </c>
      <c r="E74" t="str">
        <f>IFERROR(__xludf.DUMMYFUNCTION("IFERROR(FILTER('Fund Data'!$D:$D, 'Fund Data'!$C:$C = $A74, 'Fund Data'!$A:$A = E$1, 'Fund Data'!$B:$B = 12),"""")"),"")</f>
        <v/>
      </c>
      <c r="F74" t="str">
        <f>IFERROR(__xludf.DUMMYFUNCTION("IFERROR(FILTER('Fund Data'!$D:$D, 'Fund Data'!$C:$C = $A74, 'Fund Data'!$A:$A = F$1, 'Fund Data'!$B:$B = 12),"""")"),"")</f>
        <v/>
      </c>
      <c r="G74" t="str">
        <f>IFERROR(__xludf.DUMMYFUNCTION("IFERROR(FILTER('Fund Data'!$D:$D, 'Fund Data'!$C:$C = $A74, 'Fund Data'!$A:$A = G$1, 'Fund Data'!$B:$B = 12),"""")"),"")</f>
        <v/>
      </c>
      <c r="H74" t="str">
        <f>IFERROR(__xludf.DUMMYFUNCTION("IFERROR(FILTER('Fund Data'!$D:$D, 'Fund Data'!$C:$C = $A74, 'Fund Data'!$A:$A = H$1, 'Fund Data'!$B:$B = 12),"""")"),"")</f>
        <v/>
      </c>
      <c r="I74" t="str">
        <f>IFERROR(__xludf.DUMMYFUNCTION("IFERROR(FILTER('Fund Data'!$D:$D, 'Fund Data'!$C:$C = $A74, 'Fund Data'!$A:$A = I$1, 'Fund Data'!$B:$B = 12),"""")"),"")</f>
        <v/>
      </c>
      <c r="J74" t="str">
        <f>IFERROR(__xludf.DUMMYFUNCTION("IFERROR(FILTER('Fund Data'!$D:$D, 'Fund Data'!$C:$C = $A74, 'Fund Data'!$A:$A = J$1, 'Fund Data'!$B:$B = 12),"""")"),"")</f>
        <v/>
      </c>
      <c r="K74" t="str">
        <f>IFERROR(__xludf.DUMMYFUNCTION("IFERROR(FILTER('Fund Data'!$D:$D, 'Fund Data'!$C:$C = $A74, 'Fund Data'!$A:$A = K$1, 'Fund Data'!$B:$B = 12),"""")"),"")</f>
        <v/>
      </c>
      <c r="L74" t="str">
        <f>IFERROR(__xludf.DUMMYFUNCTION("IFERROR(FILTER('Fund Data'!$D:$D, 'Fund Data'!$C:$C = $A74, 'Fund Data'!$A:$A = L$1, 'Fund Data'!$B:$B = 12),"""")"),"")</f>
        <v/>
      </c>
      <c r="M74" t="str">
        <f>IFERROR(__xludf.DUMMYFUNCTION("IFERROR(FILTER('Fund Data'!$D:$D, 'Fund Data'!$C:$C = $A74, 'Fund Data'!$A:$A = M$1, 'Fund Data'!$B:$B = 12),"""")"),"")</f>
        <v/>
      </c>
      <c r="N74" t="str">
        <f>IFERROR(__xludf.DUMMYFUNCTION("IFERROR(FILTER('Fund Data'!$D:$D, 'Fund Data'!$C:$C = $A74, 'Fund Data'!$A:$A = N$1, 'Fund Data'!$B:$B = 12),"""")"),"")</f>
        <v/>
      </c>
      <c r="O74" t="str">
        <f>IFERROR(__xludf.DUMMYFUNCTION("IFERROR(FILTER('Fund Data'!$D:$D, 'Fund Data'!$C:$C = $A74, 'Fund Data'!$A:$A = O$1, 'Fund Data'!$B:$B = 12),"""")"),"")</f>
        <v/>
      </c>
      <c r="P74" t="str">
        <f>IFERROR(__xludf.DUMMYFUNCTION("IFERROR(FILTER('Fund Data'!$D:$D, 'Fund Data'!$C:$C = $A74, 'Fund Data'!$A:$A = P$1, 'Fund Data'!$B:$B = 12),"""")"),"")</f>
        <v/>
      </c>
      <c r="Q74" t="str">
        <f>IFERROR(__xludf.DUMMYFUNCTION("IFERROR(FILTER('Fund Data'!$D:$D, 'Fund Data'!$C:$C = $A74, 'Fund Data'!$A:$A = Q$1, 'Fund Data'!$B:$B = 12),"""")"),"")</f>
        <v/>
      </c>
      <c r="R74" t="str">
        <f>IFERROR(__xludf.DUMMYFUNCTION("IFERROR(FILTER('Fund Data'!$D:$D, 'Fund Data'!$C:$C = $A74, 'Fund Data'!$A:$A = R$1, 'Fund Data'!$B:$B = 12),"""")"),"")</f>
        <v/>
      </c>
      <c r="S74" t="str">
        <f>IFERROR(__xludf.DUMMYFUNCTION("IFERROR(FILTER('Fund Data'!$D:$D, 'Fund Data'!$C:$C = $A74, 'Fund Data'!$A:$A = S$1, 'Fund Data'!$B:$B = 12),"""")"),"")</f>
        <v/>
      </c>
      <c r="T74" t="str">
        <f>IFERROR(__xludf.DUMMYFUNCTION("IFERROR(FILTER('Fund Data'!$D:$D, 'Fund Data'!$C:$C = $A74, 'Fund Data'!$A:$A = T$1, 'Fund Data'!$B:$B = 12),"""")"),"")</f>
        <v/>
      </c>
      <c r="U74" t="str">
        <f>IFERROR(__xludf.DUMMYFUNCTION("IFERROR(FILTER('Fund Data'!$D:$D, 'Fund Data'!$C:$C = $A74, 'Fund Data'!$A:$A = U$1, 'Fund Data'!$B:$B = 12),"""")"),"")</f>
        <v/>
      </c>
      <c r="V74" t="str">
        <f>IFERROR(__xludf.DUMMYFUNCTION("IFERROR(FILTER('Fund Data'!$D:$D, 'Fund Data'!$C:$C = $A74, 'Fund Data'!$A:$A = V$1, 'Fund Data'!$B:$B = 12),"""")"),"")</f>
        <v/>
      </c>
      <c r="W74" t="str">
        <f>IFERROR(__xludf.DUMMYFUNCTION("IFERROR(FILTER('Fund Data'!$D:$D, 'Fund Data'!$C:$C = $A74, 'Fund Data'!$A:$A = W$1, 'Fund Data'!$B:$B = 12),"""")"),"")</f>
        <v/>
      </c>
      <c r="X74" t="str">
        <f>IFERROR(__xludf.DUMMYFUNCTION("IFERROR(FILTER('Fund Data'!$D:$D, 'Fund Data'!$C:$C = $A74, 'Fund Data'!$A:$A = X$1, 'Fund Data'!$B:$B = 12),"""")"),"")</f>
        <v/>
      </c>
      <c r="Y74" t="str">
        <f>IFERROR(__xludf.DUMMYFUNCTION("IFERROR(FILTER('Fund Data'!$D:$D, 'Fund Data'!$C:$C = $A74, 'Fund Data'!$A:$A = Y$1, 'Fund Data'!$B:$B = 12),"""")"),"")</f>
        <v/>
      </c>
      <c r="Z74" t="str">
        <f>IFERROR(__xludf.DUMMYFUNCTION("IFERROR(FILTER('Fund Data'!$D:$D, 'Fund Data'!$C:$C = $A74, 'Fund Data'!$A:$A = Z$1, 'Fund Data'!$B:$B = 12),"""")"),"")</f>
        <v/>
      </c>
      <c r="AA74" t="str">
        <f>IFERROR(__xludf.DUMMYFUNCTION("IFERROR(FILTER('Fund Data'!$D:$D, 'Fund Data'!$C:$C = $A74, 'Fund Data'!$A:$A = AA$1, 'Fund Data'!$B:$B = 12),"""")"),"")</f>
        <v/>
      </c>
      <c r="AB74" t="str">
        <f>IFERROR(__xludf.DUMMYFUNCTION("IFERROR(FILTER('Fund Data'!$D:$D, 'Fund Data'!$C:$C = $A74, 'Fund Data'!$A:$A = AB$1, 'Fund Data'!$B:$B = 12),"""")"),"")</f>
        <v/>
      </c>
      <c r="AC74" t="str">
        <f>IFERROR(__xludf.DUMMYFUNCTION("IFERROR(FILTER('Fund Data'!$D:$D, 'Fund Data'!$C:$C = $A74, 'Fund Data'!$A:$A = AC$1, 'Fund Data'!$B:$B = 12),"""")"),"")</f>
        <v/>
      </c>
      <c r="AD74" t="str">
        <f>IFERROR(__xludf.DUMMYFUNCTION("IFERROR(FILTER('Fund Data'!$D:$D, 'Fund Data'!$C:$C = $A74, 'Fund Data'!$A:$A = AD$1, 'Fund Data'!$B:$B = 12),"""")"),"")</f>
        <v/>
      </c>
      <c r="AE74" t="str">
        <f>IFERROR(__xludf.DUMMYFUNCTION("IFERROR(FILTER('Fund Data'!$D:$D, 'Fund Data'!$C:$C = $A74, 'Fund Data'!$A:$A = AE$1, 'Fund Data'!$B:$B = 12),"""")"),"")</f>
        <v/>
      </c>
    </row>
    <row r="75">
      <c r="A75" s="145" t="str">
        <f>'Endowed Funds'!B:B</f>
        <v/>
      </c>
      <c r="B75" t="str">
        <f>IFERROR(__xludf.DUMMYFUNCTION("IFERROR(FILTER('Fund Data'!$D:$D, 'Fund Data'!$C:$C = $A75, 'Fund Data'!$A:$A = B$1, 'Fund Data'!$B:$B = 12),"""")"),"")</f>
        <v/>
      </c>
      <c r="C75" t="str">
        <f>IFERROR(__xludf.DUMMYFUNCTION("IFERROR(FILTER('Fund Data'!$D:$D, 'Fund Data'!$C:$C = $A75, 'Fund Data'!$A:$A = C$1, 'Fund Data'!$B:$B = 12),"""")"),"")</f>
        <v/>
      </c>
      <c r="D75" t="str">
        <f>IFERROR(__xludf.DUMMYFUNCTION("IFERROR(FILTER('Fund Data'!$D:$D, 'Fund Data'!$C:$C = $A75, 'Fund Data'!$A:$A = D$1, 'Fund Data'!$B:$B = 12),"""")"),"")</f>
        <v/>
      </c>
      <c r="E75" t="str">
        <f>IFERROR(__xludf.DUMMYFUNCTION("IFERROR(FILTER('Fund Data'!$D:$D, 'Fund Data'!$C:$C = $A75, 'Fund Data'!$A:$A = E$1, 'Fund Data'!$B:$B = 12),"""")"),"")</f>
        <v/>
      </c>
      <c r="F75" t="str">
        <f>IFERROR(__xludf.DUMMYFUNCTION("IFERROR(FILTER('Fund Data'!$D:$D, 'Fund Data'!$C:$C = $A75, 'Fund Data'!$A:$A = F$1, 'Fund Data'!$B:$B = 12),"""")"),"")</f>
        <v/>
      </c>
      <c r="G75" t="str">
        <f>IFERROR(__xludf.DUMMYFUNCTION("IFERROR(FILTER('Fund Data'!$D:$D, 'Fund Data'!$C:$C = $A75, 'Fund Data'!$A:$A = G$1, 'Fund Data'!$B:$B = 12),"""")"),"")</f>
        <v/>
      </c>
      <c r="H75" t="str">
        <f>IFERROR(__xludf.DUMMYFUNCTION("IFERROR(FILTER('Fund Data'!$D:$D, 'Fund Data'!$C:$C = $A75, 'Fund Data'!$A:$A = H$1, 'Fund Data'!$B:$B = 12),"""")"),"")</f>
        <v/>
      </c>
      <c r="I75" t="str">
        <f>IFERROR(__xludf.DUMMYFUNCTION("IFERROR(FILTER('Fund Data'!$D:$D, 'Fund Data'!$C:$C = $A75, 'Fund Data'!$A:$A = I$1, 'Fund Data'!$B:$B = 12),"""")"),"")</f>
        <v/>
      </c>
      <c r="J75" t="str">
        <f>IFERROR(__xludf.DUMMYFUNCTION("IFERROR(FILTER('Fund Data'!$D:$D, 'Fund Data'!$C:$C = $A75, 'Fund Data'!$A:$A = J$1, 'Fund Data'!$B:$B = 12),"""")"),"")</f>
        <v/>
      </c>
      <c r="K75" t="str">
        <f>IFERROR(__xludf.DUMMYFUNCTION("IFERROR(FILTER('Fund Data'!$D:$D, 'Fund Data'!$C:$C = $A75, 'Fund Data'!$A:$A = K$1, 'Fund Data'!$B:$B = 12),"""")"),"")</f>
        <v/>
      </c>
      <c r="L75" t="str">
        <f>IFERROR(__xludf.DUMMYFUNCTION("IFERROR(FILTER('Fund Data'!$D:$D, 'Fund Data'!$C:$C = $A75, 'Fund Data'!$A:$A = L$1, 'Fund Data'!$B:$B = 12),"""")"),"")</f>
        <v/>
      </c>
      <c r="M75" t="str">
        <f>IFERROR(__xludf.DUMMYFUNCTION("IFERROR(FILTER('Fund Data'!$D:$D, 'Fund Data'!$C:$C = $A75, 'Fund Data'!$A:$A = M$1, 'Fund Data'!$B:$B = 12),"""")"),"")</f>
        <v/>
      </c>
      <c r="N75" t="str">
        <f>IFERROR(__xludf.DUMMYFUNCTION("IFERROR(FILTER('Fund Data'!$D:$D, 'Fund Data'!$C:$C = $A75, 'Fund Data'!$A:$A = N$1, 'Fund Data'!$B:$B = 12),"""")"),"")</f>
        <v/>
      </c>
      <c r="O75" t="str">
        <f>IFERROR(__xludf.DUMMYFUNCTION("IFERROR(FILTER('Fund Data'!$D:$D, 'Fund Data'!$C:$C = $A75, 'Fund Data'!$A:$A = O$1, 'Fund Data'!$B:$B = 12),"""")"),"")</f>
        <v/>
      </c>
      <c r="P75" t="str">
        <f>IFERROR(__xludf.DUMMYFUNCTION("IFERROR(FILTER('Fund Data'!$D:$D, 'Fund Data'!$C:$C = $A75, 'Fund Data'!$A:$A = P$1, 'Fund Data'!$B:$B = 12),"""")"),"")</f>
        <v/>
      </c>
      <c r="Q75" t="str">
        <f>IFERROR(__xludf.DUMMYFUNCTION("IFERROR(FILTER('Fund Data'!$D:$D, 'Fund Data'!$C:$C = $A75, 'Fund Data'!$A:$A = Q$1, 'Fund Data'!$B:$B = 12),"""")"),"")</f>
        <v/>
      </c>
      <c r="R75" t="str">
        <f>IFERROR(__xludf.DUMMYFUNCTION("IFERROR(FILTER('Fund Data'!$D:$D, 'Fund Data'!$C:$C = $A75, 'Fund Data'!$A:$A = R$1, 'Fund Data'!$B:$B = 12),"""")"),"")</f>
        <v/>
      </c>
      <c r="S75" t="str">
        <f>IFERROR(__xludf.DUMMYFUNCTION("IFERROR(FILTER('Fund Data'!$D:$D, 'Fund Data'!$C:$C = $A75, 'Fund Data'!$A:$A = S$1, 'Fund Data'!$B:$B = 12),"""")"),"")</f>
        <v/>
      </c>
      <c r="T75" t="str">
        <f>IFERROR(__xludf.DUMMYFUNCTION("IFERROR(FILTER('Fund Data'!$D:$D, 'Fund Data'!$C:$C = $A75, 'Fund Data'!$A:$A = T$1, 'Fund Data'!$B:$B = 12),"""")"),"")</f>
        <v/>
      </c>
      <c r="U75" t="str">
        <f>IFERROR(__xludf.DUMMYFUNCTION("IFERROR(FILTER('Fund Data'!$D:$D, 'Fund Data'!$C:$C = $A75, 'Fund Data'!$A:$A = U$1, 'Fund Data'!$B:$B = 12),"""")"),"")</f>
        <v/>
      </c>
      <c r="V75" t="str">
        <f>IFERROR(__xludf.DUMMYFUNCTION("IFERROR(FILTER('Fund Data'!$D:$D, 'Fund Data'!$C:$C = $A75, 'Fund Data'!$A:$A = V$1, 'Fund Data'!$B:$B = 12),"""")"),"")</f>
        <v/>
      </c>
      <c r="W75" t="str">
        <f>IFERROR(__xludf.DUMMYFUNCTION("IFERROR(FILTER('Fund Data'!$D:$D, 'Fund Data'!$C:$C = $A75, 'Fund Data'!$A:$A = W$1, 'Fund Data'!$B:$B = 12),"""")"),"")</f>
        <v/>
      </c>
      <c r="X75" t="str">
        <f>IFERROR(__xludf.DUMMYFUNCTION("IFERROR(FILTER('Fund Data'!$D:$D, 'Fund Data'!$C:$C = $A75, 'Fund Data'!$A:$A = X$1, 'Fund Data'!$B:$B = 12),"""")"),"")</f>
        <v/>
      </c>
      <c r="Y75" t="str">
        <f>IFERROR(__xludf.DUMMYFUNCTION("IFERROR(FILTER('Fund Data'!$D:$D, 'Fund Data'!$C:$C = $A75, 'Fund Data'!$A:$A = Y$1, 'Fund Data'!$B:$B = 12),"""")"),"")</f>
        <v/>
      </c>
      <c r="Z75" t="str">
        <f>IFERROR(__xludf.DUMMYFUNCTION("IFERROR(FILTER('Fund Data'!$D:$D, 'Fund Data'!$C:$C = $A75, 'Fund Data'!$A:$A = Z$1, 'Fund Data'!$B:$B = 12),"""")"),"")</f>
        <v/>
      </c>
      <c r="AA75" t="str">
        <f>IFERROR(__xludf.DUMMYFUNCTION("IFERROR(FILTER('Fund Data'!$D:$D, 'Fund Data'!$C:$C = $A75, 'Fund Data'!$A:$A = AA$1, 'Fund Data'!$B:$B = 12),"""")"),"")</f>
        <v/>
      </c>
      <c r="AB75" t="str">
        <f>IFERROR(__xludf.DUMMYFUNCTION("IFERROR(FILTER('Fund Data'!$D:$D, 'Fund Data'!$C:$C = $A75, 'Fund Data'!$A:$A = AB$1, 'Fund Data'!$B:$B = 12),"""")"),"")</f>
        <v/>
      </c>
      <c r="AC75" t="str">
        <f>IFERROR(__xludf.DUMMYFUNCTION("IFERROR(FILTER('Fund Data'!$D:$D, 'Fund Data'!$C:$C = $A75, 'Fund Data'!$A:$A = AC$1, 'Fund Data'!$B:$B = 12),"""")"),"")</f>
        <v/>
      </c>
      <c r="AD75" t="str">
        <f>IFERROR(__xludf.DUMMYFUNCTION("IFERROR(FILTER('Fund Data'!$D:$D, 'Fund Data'!$C:$C = $A75, 'Fund Data'!$A:$A = AD$1, 'Fund Data'!$B:$B = 12),"""")"),"")</f>
        <v/>
      </c>
      <c r="AE75" t="str">
        <f>IFERROR(__xludf.DUMMYFUNCTION("IFERROR(FILTER('Fund Data'!$D:$D, 'Fund Data'!$C:$C = $A75, 'Fund Data'!$A:$A = AE$1, 'Fund Data'!$B:$B = 12),"""")"),"")</f>
        <v/>
      </c>
    </row>
    <row r="76">
      <c r="A76" s="145" t="str">
        <f>'Endowed Funds'!B:B</f>
        <v/>
      </c>
      <c r="B76" t="str">
        <f>IFERROR(__xludf.DUMMYFUNCTION("IFERROR(FILTER('Fund Data'!$D:$D, 'Fund Data'!$C:$C = $A76, 'Fund Data'!$A:$A = B$1, 'Fund Data'!$B:$B = 12),"""")"),"")</f>
        <v/>
      </c>
      <c r="C76" t="str">
        <f>IFERROR(__xludf.DUMMYFUNCTION("IFERROR(FILTER('Fund Data'!$D:$D, 'Fund Data'!$C:$C = $A76, 'Fund Data'!$A:$A = C$1, 'Fund Data'!$B:$B = 12),"""")"),"")</f>
        <v/>
      </c>
      <c r="D76" t="str">
        <f>IFERROR(__xludf.DUMMYFUNCTION("IFERROR(FILTER('Fund Data'!$D:$D, 'Fund Data'!$C:$C = $A76, 'Fund Data'!$A:$A = D$1, 'Fund Data'!$B:$B = 12),"""")"),"")</f>
        <v/>
      </c>
      <c r="E76" t="str">
        <f>IFERROR(__xludf.DUMMYFUNCTION("IFERROR(FILTER('Fund Data'!$D:$D, 'Fund Data'!$C:$C = $A76, 'Fund Data'!$A:$A = E$1, 'Fund Data'!$B:$B = 12),"""")"),"")</f>
        <v/>
      </c>
      <c r="F76" t="str">
        <f>IFERROR(__xludf.DUMMYFUNCTION("IFERROR(FILTER('Fund Data'!$D:$D, 'Fund Data'!$C:$C = $A76, 'Fund Data'!$A:$A = F$1, 'Fund Data'!$B:$B = 12),"""")"),"")</f>
        <v/>
      </c>
      <c r="G76" t="str">
        <f>IFERROR(__xludf.DUMMYFUNCTION("IFERROR(FILTER('Fund Data'!$D:$D, 'Fund Data'!$C:$C = $A76, 'Fund Data'!$A:$A = G$1, 'Fund Data'!$B:$B = 12),"""")"),"")</f>
        <v/>
      </c>
      <c r="H76" t="str">
        <f>IFERROR(__xludf.DUMMYFUNCTION("IFERROR(FILTER('Fund Data'!$D:$D, 'Fund Data'!$C:$C = $A76, 'Fund Data'!$A:$A = H$1, 'Fund Data'!$B:$B = 12),"""")"),"")</f>
        <v/>
      </c>
      <c r="I76" t="str">
        <f>IFERROR(__xludf.DUMMYFUNCTION("IFERROR(FILTER('Fund Data'!$D:$D, 'Fund Data'!$C:$C = $A76, 'Fund Data'!$A:$A = I$1, 'Fund Data'!$B:$B = 12),"""")"),"")</f>
        <v/>
      </c>
      <c r="J76" t="str">
        <f>IFERROR(__xludf.DUMMYFUNCTION("IFERROR(FILTER('Fund Data'!$D:$D, 'Fund Data'!$C:$C = $A76, 'Fund Data'!$A:$A = J$1, 'Fund Data'!$B:$B = 12),"""")"),"")</f>
        <v/>
      </c>
      <c r="K76" t="str">
        <f>IFERROR(__xludf.DUMMYFUNCTION("IFERROR(FILTER('Fund Data'!$D:$D, 'Fund Data'!$C:$C = $A76, 'Fund Data'!$A:$A = K$1, 'Fund Data'!$B:$B = 12),"""")"),"")</f>
        <v/>
      </c>
      <c r="L76" t="str">
        <f>IFERROR(__xludf.DUMMYFUNCTION("IFERROR(FILTER('Fund Data'!$D:$D, 'Fund Data'!$C:$C = $A76, 'Fund Data'!$A:$A = L$1, 'Fund Data'!$B:$B = 12),"""")"),"")</f>
        <v/>
      </c>
      <c r="M76" t="str">
        <f>IFERROR(__xludf.DUMMYFUNCTION("IFERROR(FILTER('Fund Data'!$D:$D, 'Fund Data'!$C:$C = $A76, 'Fund Data'!$A:$A = M$1, 'Fund Data'!$B:$B = 12),"""")"),"")</f>
        <v/>
      </c>
      <c r="N76" t="str">
        <f>IFERROR(__xludf.DUMMYFUNCTION("IFERROR(FILTER('Fund Data'!$D:$D, 'Fund Data'!$C:$C = $A76, 'Fund Data'!$A:$A = N$1, 'Fund Data'!$B:$B = 12),"""")"),"")</f>
        <v/>
      </c>
      <c r="O76" t="str">
        <f>IFERROR(__xludf.DUMMYFUNCTION("IFERROR(FILTER('Fund Data'!$D:$D, 'Fund Data'!$C:$C = $A76, 'Fund Data'!$A:$A = O$1, 'Fund Data'!$B:$B = 12),"""")"),"")</f>
        <v/>
      </c>
      <c r="P76" t="str">
        <f>IFERROR(__xludf.DUMMYFUNCTION("IFERROR(FILTER('Fund Data'!$D:$D, 'Fund Data'!$C:$C = $A76, 'Fund Data'!$A:$A = P$1, 'Fund Data'!$B:$B = 12),"""")"),"")</f>
        <v/>
      </c>
      <c r="Q76" t="str">
        <f>IFERROR(__xludf.DUMMYFUNCTION("IFERROR(FILTER('Fund Data'!$D:$D, 'Fund Data'!$C:$C = $A76, 'Fund Data'!$A:$A = Q$1, 'Fund Data'!$B:$B = 12),"""")"),"")</f>
        <v/>
      </c>
      <c r="R76" t="str">
        <f>IFERROR(__xludf.DUMMYFUNCTION("IFERROR(FILTER('Fund Data'!$D:$D, 'Fund Data'!$C:$C = $A76, 'Fund Data'!$A:$A = R$1, 'Fund Data'!$B:$B = 12),"""")"),"")</f>
        <v/>
      </c>
      <c r="S76" t="str">
        <f>IFERROR(__xludf.DUMMYFUNCTION("IFERROR(FILTER('Fund Data'!$D:$D, 'Fund Data'!$C:$C = $A76, 'Fund Data'!$A:$A = S$1, 'Fund Data'!$B:$B = 12),"""")"),"")</f>
        <v/>
      </c>
      <c r="T76" t="str">
        <f>IFERROR(__xludf.DUMMYFUNCTION("IFERROR(FILTER('Fund Data'!$D:$D, 'Fund Data'!$C:$C = $A76, 'Fund Data'!$A:$A = T$1, 'Fund Data'!$B:$B = 12),"""")"),"")</f>
        <v/>
      </c>
      <c r="U76" t="str">
        <f>IFERROR(__xludf.DUMMYFUNCTION("IFERROR(FILTER('Fund Data'!$D:$D, 'Fund Data'!$C:$C = $A76, 'Fund Data'!$A:$A = U$1, 'Fund Data'!$B:$B = 12),"""")"),"")</f>
        <v/>
      </c>
      <c r="V76" t="str">
        <f>IFERROR(__xludf.DUMMYFUNCTION("IFERROR(FILTER('Fund Data'!$D:$D, 'Fund Data'!$C:$C = $A76, 'Fund Data'!$A:$A = V$1, 'Fund Data'!$B:$B = 12),"""")"),"")</f>
        <v/>
      </c>
      <c r="W76" t="str">
        <f>IFERROR(__xludf.DUMMYFUNCTION("IFERROR(FILTER('Fund Data'!$D:$D, 'Fund Data'!$C:$C = $A76, 'Fund Data'!$A:$A = W$1, 'Fund Data'!$B:$B = 12),"""")"),"")</f>
        <v/>
      </c>
      <c r="X76" t="str">
        <f>IFERROR(__xludf.DUMMYFUNCTION("IFERROR(FILTER('Fund Data'!$D:$D, 'Fund Data'!$C:$C = $A76, 'Fund Data'!$A:$A = X$1, 'Fund Data'!$B:$B = 12),"""")"),"")</f>
        <v/>
      </c>
      <c r="Y76" t="str">
        <f>IFERROR(__xludf.DUMMYFUNCTION("IFERROR(FILTER('Fund Data'!$D:$D, 'Fund Data'!$C:$C = $A76, 'Fund Data'!$A:$A = Y$1, 'Fund Data'!$B:$B = 12),"""")"),"")</f>
        <v/>
      </c>
      <c r="Z76" t="str">
        <f>IFERROR(__xludf.DUMMYFUNCTION("IFERROR(FILTER('Fund Data'!$D:$D, 'Fund Data'!$C:$C = $A76, 'Fund Data'!$A:$A = Z$1, 'Fund Data'!$B:$B = 12),"""")"),"")</f>
        <v/>
      </c>
      <c r="AA76" t="str">
        <f>IFERROR(__xludf.DUMMYFUNCTION("IFERROR(FILTER('Fund Data'!$D:$D, 'Fund Data'!$C:$C = $A76, 'Fund Data'!$A:$A = AA$1, 'Fund Data'!$B:$B = 12),"""")"),"")</f>
        <v/>
      </c>
      <c r="AB76" t="str">
        <f>IFERROR(__xludf.DUMMYFUNCTION("IFERROR(FILTER('Fund Data'!$D:$D, 'Fund Data'!$C:$C = $A76, 'Fund Data'!$A:$A = AB$1, 'Fund Data'!$B:$B = 12),"""")"),"")</f>
        <v/>
      </c>
      <c r="AC76" t="str">
        <f>IFERROR(__xludf.DUMMYFUNCTION("IFERROR(FILTER('Fund Data'!$D:$D, 'Fund Data'!$C:$C = $A76, 'Fund Data'!$A:$A = AC$1, 'Fund Data'!$B:$B = 12),"""")"),"")</f>
        <v/>
      </c>
      <c r="AD76" t="str">
        <f>IFERROR(__xludf.DUMMYFUNCTION("IFERROR(FILTER('Fund Data'!$D:$D, 'Fund Data'!$C:$C = $A76, 'Fund Data'!$A:$A = AD$1, 'Fund Data'!$B:$B = 12),"""")"),"")</f>
        <v/>
      </c>
      <c r="AE76" t="str">
        <f>IFERROR(__xludf.DUMMYFUNCTION("IFERROR(FILTER('Fund Data'!$D:$D, 'Fund Data'!$C:$C = $A76, 'Fund Data'!$A:$A = AE$1, 'Fund Data'!$B:$B = 12),"""")"),"")</f>
        <v/>
      </c>
    </row>
    <row r="77">
      <c r="A77" s="145" t="str">
        <f>'Endowed Funds'!B:B</f>
        <v/>
      </c>
      <c r="B77" t="str">
        <f>IFERROR(__xludf.DUMMYFUNCTION("IFERROR(FILTER('Fund Data'!$D:$D, 'Fund Data'!$C:$C = $A77, 'Fund Data'!$A:$A = B$1, 'Fund Data'!$B:$B = 12),"""")"),"")</f>
        <v/>
      </c>
      <c r="C77" t="str">
        <f>IFERROR(__xludf.DUMMYFUNCTION("IFERROR(FILTER('Fund Data'!$D:$D, 'Fund Data'!$C:$C = $A77, 'Fund Data'!$A:$A = C$1, 'Fund Data'!$B:$B = 12),"""")"),"")</f>
        <v/>
      </c>
      <c r="D77" t="str">
        <f>IFERROR(__xludf.DUMMYFUNCTION("IFERROR(FILTER('Fund Data'!$D:$D, 'Fund Data'!$C:$C = $A77, 'Fund Data'!$A:$A = D$1, 'Fund Data'!$B:$B = 12),"""")"),"")</f>
        <v/>
      </c>
      <c r="E77" t="str">
        <f>IFERROR(__xludf.DUMMYFUNCTION("IFERROR(FILTER('Fund Data'!$D:$D, 'Fund Data'!$C:$C = $A77, 'Fund Data'!$A:$A = E$1, 'Fund Data'!$B:$B = 12),"""")"),"")</f>
        <v/>
      </c>
      <c r="F77" t="str">
        <f>IFERROR(__xludf.DUMMYFUNCTION("IFERROR(FILTER('Fund Data'!$D:$D, 'Fund Data'!$C:$C = $A77, 'Fund Data'!$A:$A = F$1, 'Fund Data'!$B:$B = 12),"""")"),"")</f>
        <v/>
      </c>
      <c r="G77" t="str">
        <f>IFERROR(__xludf.DUMMYFUNCTION("IFERROR(FILTER('Fund Data'!$D:$D, 'Fund Data'!$C:$C = $A77, 'Fund Data'!$A:$A = G$1, 'Fund Data'!$B:$B = 12),"""")"),"")</f>
        <v/>
      </c>
      <c r="H77" t="str">
        <f>IFERROR(__xludf.DUMMYFUNCTION("IFERROR(FILTER('Fund Data'!$D:$D, 'Fund Data'!$C:$C = $A77, 'Fund Data'!$A:$A = H$1, 'Fund Data'!$B:$B = 12),"""")"),"")</f>
        <v/>
      </c>
      <c r="I77" t="str">
        <f>IFERROR(__xludf.DUMMYFUNCTION("IFERROR(FILTER('Fund Data'!$D:$D, 'Fund Data'!$C:$C = $A77, 'Fund Data'!$A:$A = I$1, 'Fund Data'!$B:$B = 12),"""")"),"")</f>
        <v/>
      </c>
      <c r="J77" t="str">
        <f>IFERROR(__xludf.DUMMYFUNCTION("IFERROR(FILTER('Fund Data'!$D:$D, 'Fund Data'!$C:$C = $A77, 'Fund Data'!$A:$A = J$1, 'Fund Data'!$B:$B = 12),"""")"),"")</f>
        <v/>
      </c>
      <c r="K77" t="str">
        <f>IFERROR(__xludf.DUMMYFUNCTION("IFERROR(FILTER('Fund Data'!$D:$D, 'Fund Data'!$C:$C = $A77, 'Fund Data'!$A:$A = K$1, 'Fund Data'!$B:$B = 12),"""")"),"")</f>
        <v/>
      </c>
      <c r="L77" t="str">
        <f>IFERROR(__xludf.DUMMYFUNCTION("IFERROR(FILTER('Fund Data'!$D:$D, 'Fund Data'!$C:$C = $A77, 'Fund Data'!$A:$A = L$1, 'Fund Data'!$B:$B = 12),"""")"),"")</f>
        <v/>
      </c>
      <c r="M77" t="str">
        <f>IFERROR(__xludf.DUMMYFUNCTION("IFERROR(FILTER('Fund Data'!$D:$D, 'Fund Data'!$C:$C = $A77, 'Fund Data'!$A:$A = M$1, 'Fund Data'!$B:$B = 12),"""")"),"")</f>
        <v/>
      </c>
      <c r="N77" t="str">
        <f>IFERROR(__xludf.DUMMYFUNCTION("IFERROR(FILTER('Fund Data'!$D:$D, 'Fund Data'!$C:$C = $A77, 'Fund Data'!$A:$A = N$1, 'Fund Data'!$B:$B = 12),"""")"),"")</f>
        <v/>
      </c>
      <c r="O77" t="str">
        <f>IFERROR(__xludf.DUMMYFUNCTION("IFERROR(FILTER('Fund Data'!$D:$D, 'Fund Data'!$C:$C = $A77, 'Fund Data'!$A:$A = O$1, 'Fund Data'!$B:$B = 12),"""")"),"")</f>
        <v/>
      </c>
      <c r="P77" t="str">
        <f>IFERROR(__xludf.DUMMYFUNCTION("IFERROR(FILTER('Fund Data'!$D:$D, 'Fund Data'!$C:$C = $A77, 'Fund Data'!$A:$A = P$1, 'Fund Data'!$B:$B = 12),"""")"),"")</f>
        <v/>
      </c>
      <c r="Q77" t="str">
        <f>IFERROR(__xludf.DUMMYFUNCTION("IFERROR(FILTER('Fund Data'!$D:$D, 'Fund Data'!$C:$C = $A77, 'Fund Data'!$A:$A = Q$1, 'Fund Data'!$B:$B = 12),"""")"),"")</f>
        <v/>
      </c>
      <c r="R77" t="str">
        <f>IFERROR(__xludf.DUMMYFUNCTION("IFERROR(FILTER('Fund Data'!$D:$D, 'Fund Data'!$C:$C = $A77, 'Fund Data'!$A:$A = R$1, 'Fund Data'!$B:$B = 12),"""")"),"")</f>
        <v/>
      </c>
      <c r="S77" t="str">
        <f>IFERROR(__xludf.DUMMYFUNCTION("IFERROR(FILTER('Fund Data'!$D:$D, 'Fund Data'!$C:$C = $A77, 'Fund Data'!$A:$A = S$1, 'Fund Data'!$B:$B = 12),"""")"),"")</f>
        <v/>
      </c>
      <c r="T77" t="str">
        <f>IFERROR(__xludf.DUMMYFUNCTION("IFERROR(FILTER('Fund Data'!$D:$D, 'Fund Data'!$C:$C = $A77, 'Fund Data'!$A:$A = T$1, 'Fund Data'!$B:$B = 12),"""")"),"")</f>
        <v/>
      </c>
      <c r="U77" t="str">
        <f>IFERROR(__xludf.DUMMYFUNCTION("IFERROR(FILTER('Fund Data'!$D:$D, 'Fund Data'!$C:$C = $A77, 'Fund Data'!$A:$A = U$1, 'Fund Data'!$B:$B = 12),"""")"),"")</f>
        <v/>
      </c>
      <c r="V77" t="str">
        <f>IFERROR(__xludf.DUMMYFUNCTION("IFERROR(FILTER('Fund Data'!$D:$D, 'Fund Data'!$C:$C = $A77, 'Fund Data'!$A:$A = V$1, 'Fund Data'!$B:$B = 12),"""")"),"")</f>
        <v/>
      </c>
      <c r="W77" t="str">
        <f>IFERROR(__xludf.DUMMYFUNCTION("IFERROR(FILTER('Fund Data'!$D:$D, 'Fund Data'!$C:$C = $A77, 'Fund Data'!$A:$A = W$1, 'Fund Data'!$B:$B = 12),"""")"),"")</f>
        <v/>
      </c>
      <c r="X77" t="str">
        <f>IFERROR(__xludf.DUMMYFUNCTION("IFERROR(FILTER('Fund Data'!$D:$D, 'Fund Data'!$C:$C = $A77, 'Fund Data'!$A:$A = X$1, 'Fund Data'!$B:$B = 12),"""")"),"")</f>
        <v/>
      </c>
      <c r="Y77" t="str">
        <f>IFERROR(__xludf.DUMMYFUNCTION("IFERROR(FILTER('Fund Data'!$D:$D, 'Fund Data'!$C:$C = $A77, 'Fund Data'!$A:$A = Y$1, 'Fund Data'!$B:$B = 12),"""")"),"")</f>
        <v/>
      </c>
      <c r="Z77" t="str">
        <f>IFERROR(__xludf.DUMMYFUNCTION("IFERROR(FILTER('Fund Data'!$D:$D, 'Fund Data'!$C:$C = $A77, 'Fund Data'!$A:$A = Z$1, 'Fund Data'!$B:$B = 12),"""")"),"")</f>
        <v/>
      </c>
      <c r="AA77" t="str">
        <f>IFERROR(__xludf.DUMMYFUNCTION("IFERROR(FILTER('Fund Data'!$D:$D, 'Fund Data'!$C:$C = $A77, 'Fund Data'!$A:$A = AA$1, 'Fund Data'!$B:$B = 12),"""")"),"")</f>
        <v/>
      </c>
      <c r="AB77" t="str">
        <f>IFERROR(__xludf.DUMMYFUNCTION("IFERROR(FILTER('Fund Data'!$D:$D, 'Fund Data'!$C:$C = $A77, 'Fund Data'!$A:$A = AB$1, 'Fund Data'!$B:$B = 12),"""")"),"")</f>
        <v/>
      </c>
      <c r="AC77" t="str">
        <f>IFERROR(__xludf.DUMMYFUNCTION("IFERROR(FILTER('Fund Data'!$D:$D, 'Fund Data'!$C:$C = $A77, 'Fund Data'!$A:$A = AC$1, 'Fund Data'!$B:$B = 12),"""")"),"")</f>
        <v/>
      </c>
      <c r="AD77" t="str">
        <f>IFERROR(__xludf.DUMMYFUNCTION("IFERROR(FILTER('Fund Data'!$D:$D, 'Fund Data'!$C:$C = $A77, 'Fund Data'!$A:$A = AD$1, 'Fund Data'!$B:$B = 12),"""")"),"")</f>
        <v/>
      </c>
      <c r="AE77" t="str">
        <f>IFERROR(__xludf.DUMMYFUNCTION("IFERROR(FILTER('Fund Data'!$D:$D, 'Fund Data'!$C:$C = $A77, 'Fund Data'!$A:$A = AE$1, 'Fund Data'!$B:$B = 12),"""")"),"")</f>
        <v/>
      </c>
    </row>
    <row r="78">
      <c r="A78" s="145" t="str">
        <f>'Endowed Funds'!B:B</f>
        <v/>
      </c>
      <c r="B78" t="str">
        <f>IFERROR(__xludf.DUMMYFUNCTION("IFERROR(FILTER('Fund Data'!$D:$D, 'Fund Data'!$C:$C = $A78, 'Fund Data'!$A:$A = B$1, 'Fund Data'!$B:$B = 12),"""")"),"")</f>
        <v/>
      </c>
      <c r="C78" t="str">
        <f>IFERROR(__xludf.DUMMYFUNCTION("IFERROR(FILTER('Fund Data'!$D:$D, 'Fund Data'!$C:$C = $A78, 'Fund Data'!$A:$A = C$1, 'Fund Data'!$B:$B = 12),"""")"),"")</f>
        <v/>
      </c>
      <c r="D78" t="str">
        <f>IFERROR(__xludf.DUMMYFUNCTION("IFERROR(FILTER('Fund Data'!$D:$D, 'Fund Data'!$C:$C = $A78, 'Fund Data'!$A:$A = D$1, 'Fund Data'!$B:$B = 12),"""")"),"")</f>
        <v/>
      </c>
      <c r="E78" t="str">
        <f>IFERROR(__xludf.DUMMYFUNCTION("IFERROR(FILTER('Fund Data'!$D:$D, 'Fund Data'!$C:$C = $A78, 'Fund Data'!$A:$A = E$1, 'Fund Data'!$B:$B = 12),"""")"),"")</f>
        <v/>
      </c>
      <c r="F78" t="str">
        <f>IFERROR(__xludf.DUMMYFUNCTION("IFERROR(FILTER('Fund Data'!$D:$D, 'Fund Data'!$C:$C = $A78, 'Fund Data'!$A:$A = F$1, 'Fund Data'!$B:$B = 12),"""")"),"")</f>
        <v/>
      </c>
      <c r="G78" t="str">
        <f>IFERROR(__xludf.DUMMYFUNCTION("IFERROR(FILTER('Fund Data'!$D:$D, 'Fund Data'!$C:$C = $A78, 'Fund Data'!$A:$A = G$1, 'Fund Data'!$B:$B = 12),"""")"),"")</f>
        <v/>
      </c>
      <c r="H78" t="str">
        <f>IFERROR(__xludf.DUMMYFUNCTION("IFERROR(FILTER('Fund Data'!$D:$D, 'Fund Data'!$C:$C = $A78, 'Fund Data'!$A:$A = H$1, 'Fund Data'!$B:$B = 12),"""")"),"")</f>
        <v/>
      </c>
      <c r="I78" t="str">
        <f>IFERROR(__xludf.DUMMYFUNCTION("IFERROR(FILTER('Fund Data'!$D:$D, 'Fund Data'!$C:$C = $A78, 'Fund Data'!$A:$A = I$1, 'Fund Data'!$B:$B = 12),"""")"),"")</f>
        <v/>
      </c>
      <c r="J78" t="str">
        <f>IFERROR(__xludf.DUMMYFUNCTION("IFERROR(FILTER('Fund Data'!$D:$D, 'Fund Data'!$C:$C = $A78, 'Fund Data'!$A:$A = J$1, 'Fund Data'!$B:$B = 12),"""")"),"")</f>
        <v/>
      </c>
      <c r="K78" t="str">
        <f>IFERROR(__xludf.DUMMYFUNCTION("IFERROR(FILTER('Fund Data'!$D:$D, 'Fund Data'!$C:$C = $A78, 'Fund Data'!$A:$A = K$1, 'Fund Data'!$B:$B = 12),"""")"),"")</f>
        <v/>
      </c>
      <c r="L78" t="str">
        <f>IFERROR(__xludf.DUMMYFUNCTION("IFERROR(FILTER('Fund Data'!$D:$D, 'Fund Data'!$C:$C = $A78, 'Fund Data'!$A:$A = L$1, 'Fund Data'!$B:$B = 12),"""")"),"")</f>
        <v/>
      </c>
      <c r="M78" t="str">
        <f>IFERROR(__xludf.DUMMYFUNCTION("IFERROR(FILTER('Fund Data'!$D:$D, 'Fund Data'!$C:$C = $A78, 'Fund Data'!$A:$A = M$1, 'Fund Data'!$B:$B = 12),"""")"),"")</f>
        <v/>
      </c>
      <c r="N78" t="str">
        <f>IFERROR(__xludf.DUMMYFUNCTION("IFERROR(FILTER('Fund Data'!$D:$D, 'Fund Data'!$C:$C = $A78, 'Fund Data'!$A:$A = N$1, 'Fund Data'!$B:$B = 12),"""")"),"")</f>
        <v/>
      </c>
      <c r="O78" t="str">
        <f>IFERROR(__xludf.DUMMYFUNCTION("IFERROR(FILTER('Fund Data'!$D:$D, 'Fund Data'!$C:$C = $A78, 'Fund Data'!$A:$A = O$1, 'Fund Data'!$B:$B = 12),"""")"),"")</f>
        <v/>
      </c>
      <c r="P78" t="str">
        <f>IFERROR(__xludf.DUMMYFUNCTION("IFERROR(FILTER('Fund Data'!$D:$D, 'Fund Data'!$C:$C = $A78, 'Fund Data'!$A:$A = P$1, 'Fund Data'!$B:$B = 12),"""")"),"")</f>
        <v/>
      </c>
      <c r="Q78" t="str">
        <f>IFERROR(__xludf.DUMMYFUNCTION("IFERROR(FILTER('Fund Data'!$D:$D, 'Fund Data'!$C:$C = $A78, 'Fund Data'!$A:$A = Q$1, 'Fund Data'!$B:$B = 12),"""")"),"")</f>
        <v/>
      </c>
      <c r="R78" t="str">
        <f>IFERROR(__xludf.DUMMYFUNCTION("IFERROR(FILTER('Fund Data'!$D:$D, 'Fund Data'!$C:$C = $A78, 'Fund Data'!$A:$A = R$1, 'Fund Data'!$B:$B = 12),"""")"),"")</f>
        <v/>
      </c>
      <c r="S78" t="str">
        <f>IFERROR(__xludf.DUMMYFUNCTION("IFERROR(FILTER('Fund Data'!$D:$D, 'Fund Data'!$C:$C = $A78, 'Fund Data'!$A:$A = S$1, 'Fund Data'!$B:$B = 12),"""")"),"")</f>
        <v/>
      </c>
      <c r="T78" t="str">
        <f>IFERROR(__xludf.DUMMYFUNCTION("IFERROR(FILTER('Fund Data'!$D:$D, 'Fund Data'!$C:$C = $A78, 'Fund Data'!$A:$A = T$1, 'Fund Data'!$B:$B = 12),"""")"),"")</f>
        <v/>
      </c>
      <c r="U78" t="str">
        <f>IFERROR(__xludf.DUMMYFUNCTION("IFERROR(FILTER('Fund Data'!$D:$D, 'Fund Data'!$C:$C = $A78, 'Fund Data'!$A:$A = U$1, 'Fund Data'!$B:$B = 12),"""")"),"")</f>
        <v/>
      </c>
      <c r="V78" t="str">
        <f>IFERROR(__xludf.DUMMYFUNCTION("IFERROR(FILTER('Fund Data'!$D:$D, 'Fund Data'!$C:$C = $A78, 'Fund Data'!$A:$A = V$1, 'Fund Data'!$B:$B = 12),"""")"),"")</f>
        <v/>
      </c>
      <c r="W78" t="str">
        <f>IFERROR(__xludf.DUMMYFUNCTION("IFERROR(FILTER('Fund Data'!$D:$D, 'Fund Data'!$C:$C = $A78, 'Fund Data'!$A:$A = W$1, 'Fund Data'!$B:$B = 12),"""")"),"")</f>
        <v/>
      </c>
      <c r="X78" t="str">
        <f>IFERROR(__xludf.DUMMYFUNCTION("IFERROR(FILTER('Fund Data'!$D:$D, 'Fund Data'!$C:$C = $A78, 'Fund Data'!$A:$A = X$1, 'Fund Data'!$B:$B = 12),"""")"),"")</f>
        <v/>
      </c>
      <c r="Y78" t="str">
        <f>IFERROR(__xludf.DUMMYFUNCTION("IFERROR(FILTER('Fund Data'!$D:$D, 'Fund Data'!$C:$C = $A78, 'Fund Data'!$A:$A = Y$1, 'Fund Data'!$B:$B = 12),"""")"),"")</f>
        <v/>
      </c>
      <c r="Z78" t="str">
        <f>IFERROR(__xludf.DUMMYFUNCTION("IFERROR(FILTER('Fund Data'!$D:$D, 'Fund Data'!$C:$C = $A78, 'Fund Data'!$A:$A = Z$1, 'Fund Data'!$B:$B = 12),"""")"),"")</f>
        <v/>
      </c>
      <c r="AA78" t="str">
        <f>IFERROR(__xludf.DUMMYFUNCTION("IFERROR(FILTER('Fund Data'!$D:$D, 'Fund Data'!$C:$C = $A78, 'Fund Data'!$A:$A = AA$1, 'Fund Data'!$B:$B = 12),"""")"),"")</f>
        <v/>
      </c>
      <c r="AB78" t="str">
        <f>IFERROR(__xludf.DUMMYFUNCTION("IFERROR(FILTER('Fund Data'!$D:$D, 'Fund Data'!$C:$C = $A78, 'Fund Data'!$A:$A = AB$1, 'Fund Data'!$B:$B = 12),"""")"),"")</f>
        <v/>
      </c>
      <c r="AC78" t="str">
        <f>IFERROR(__xludf.DUMMYFUNCTION("IFERROR(FILTER('Fund Data'!$D:$D, 'Fund Data'!$C:$C = $A78, 'Fund Data'!$A:$A = AC$1, 'Fund Data'!$B:$B = 12),"""")"),"")</f>
        <v/>
      </c>
      <c r="AD78" t="str">
        <f>IFERROR(__xludf.DUMMYFUNCTION("IFERROR(FILTER('Fund Data'!$D:$D, 'Fund Data'!$C:$C = $A78, 'Fund Data'!$A:$A = AD$1, 'Fund Data'!$B:$B = 12),"""")"),"")</f>
        <v/>
      </c>
      <c r="AE78" t="str">
        <f>IFERROR(__xludf.DUMMYFUNCTION("IFERROR(FILTER('Fund Data'!$D:$D, 'Fund Data'!$C:$C = $A78, 'Fund Data'!$A:$A = AE$1, 'Fund Data'!$B:$B = 12),"""")"),"")</f>
        <v/>
      </c>
    </row>
    <row r="79">
      <c r="A79" s="145" t="str">
        <f>'Endowed Funds'!B:B</f>
        <v/>
      </c>
      <c r="B79" t="str">
        <f>IFERROR(__xludf.DUMMYFUNCTION("IFERROR(FILTER('Fund Data'!$D:$D, 'Fund Data'!$C:$C = $A79, 'Fund Data'!$A:$A = B$1, 'Fund Data'!$B:$B = 12),"""")"),"")</f>
        <v/>
      </c>
      <c r="C79" t="str">
        <f>IFERROR(__xludf.DUMMYFUNCTION("IFERROR(FILTER('Fund Data'!$D:$D, 'Fund Data'!$C:$C = $A79, 'Fund Data'!$A:$A = C$1, 'Fund Data'!$B:$B = 12),"""")"),"")</f>
        <v/>
      </c>
      <c r="D79" t="str">
        <f>IFERROR(__xludf.DUMMYFUNCTION("IFERROR(FILTER('Fund Data'!$D:$D, 'Fund Data'!$C:$C = $A79, 'Fund Data'!$A:$A = D$1, 'Fund Data'!$B:$B = 12),"""")"),"")</f>
        <v/>
      </c>
      <c r="E79" t="str">
        <f>IFERROR(__xludf.DUMMYFUNCTION("IFERROR(FILTER('Fund Data'!$D:$D, 'Fund Data'!$C:$C = $A79, 'Fund Data'!$A:$A = E$1, 'Fund Data'!$B:$B = 12),"""")"),"")</f>
        <v/>
      </c>
      <c r="F79" t="str">
        <f>IFERROR(__xludf.DUMMYFUNCTION("IFERROR(FILTER('Fund Data'!$D:$D, 'Fund Data'!$C:$C = $A79, 'Fund Data'!$A:$A = F$1, 'Fund Data'!$B:$B = 12),"""")"),"")</f>
        <v/>
      </c>
      <c r="G79" t="str">
        <f>IFERROR(__xludf.DUMMYFUNCTION("IFERROR(FILTER('Fund Data'!$D:$D, 'Fund Data'!$C:$C = $A79, 'Fund Data'!$A:$A = G$1, 'Fund Data'!$B:$B = 12),"""")"),"")</f>
        <v/>
      </c>
      <c r="H79" t="str">
        <f>IFERROR(__xludf.DUMMYFUNCTION("IFERROR(FILTER('Fund Data'!$D:$D, 'Fund Data'!$C:$C = $A79, 'Fund Data'!$A:$A = H$1, 'Fund Data'!$B:$B = 12),"""")"),"")</f>
        <v/>
      </c>
      <c r="I79" t="str">
        <f>IFERROR(__xludf.DUMMYFUNCTION("IFERROR(FILTER('Fund Data'!$D:$D, 'Fund Data'!$C:$C = $A79, 'Fund Data'!$A:$A = I$1, 'Fund Data'!$B:$B = 12),"""")"),"")</f>
        <v/>
      </c>
      <c r="J79" t="str">
        <f>IFERROR(__xludf.DUMMYFUNCTION("IFERROR(FILTER('Fund Data'!$D:$D, 'Fund Data'!$C:$C = $A79, 'Fund Data'!$A:$A = J$1, 'Fund Data'!$B:$B = 12),"""")"),"")</f>
        <v/>
      </c>
      <c r="K79" t="str">
        <f>IFERROR(__xludf.DUMMYFUNCTION("IFERROR(FILTER('Fund Data'!$D:$D, 'Fund Data'!$C:$C = $A79, 'Fund Data'!$A:$A = K$1, 'Fund Data'!$B:$B = 12),"""")"),"")</f>
        <v/>
      </c>
      <c r="L79" t="str">
        <f>IFERROR(__xludf.DUMMYFUNCTION("IFERROR(FILTER('Fund Data'!$D:$D, 'Fund Data'!$C:$C = $A79, 'Fund Data'!$A:$A = L$1, 'Fund Data'!$B:$B = 12),"""")"),"")</f>
        <v/>
      </c>
      <c r="M79" t="str">
        <f>IFERROR(__xludf.DUMMYFUNCTION("IFERROR(FILTER('Fund Data'!$D:$D, 'Fund Data'!$C:$C = $A79, 'Fund Data'!$A:$A = M$1, 'Fund Data'!$B:$B = 12),"""")"),"")</f>
        <v/>
      </c>
      <c r="N79" t="str">
        <f>IFERROR(__xludf.DUMMYFUNCTION("IFERROR(FILTER('Fund Data'!$D:$D, 'Fund Data'!$C:$C = $A79, 'Fund Data'!$A:$A = N$1, 'Fund Data'!$B:$B = 12),"""")"),"")</f>
        <v/>
      </c>
      <c r="O79" t="str">
        <f>IFERROR(__xludf.DUMMYFUNCTION("IFERROR(FILTER('Fund Data'!$D:$D, 'Fund Data'!$C:$C = $A79, 'Fund Data'!$A:$A = O$1, 'Fund Data'!$B:$B = 12),"""")"),"")</f>
        <v/>
      </c>
      <c r="P79" t="str">
        <f>IFERROR(__xludf.DUMMYFUNCTION("IFERROR(FILTER('Fund Data'!$D:$D, 'Fund Data'!$C:$C = $A79, 'Fund Data'!$A:$A = P$1, 'Fund Data'!$B:$B = 12),"""")"),"")</f>
        <v/>
      </c>
      <c r="Q79" t="str">
        <f>IFERROR(__xludf.DUMMYFUNCTION("IFERROR(FILTER('Fund Data'!$D:$D, 'Fund Data'!$C:$C = $A79, 'Fund Data'!$A:$A = Q$1, 'Fund Data'!$B:$B = 12),"""")"),"")</f>
        <v/>
      </c>
      <c r="R79" t="str">
        <f>IFERROR(__xludf.DUMMYFUNCTION("IFERROR(FILTER('Fund Data'!$D:$D, 'Fund Data'!$C:$C = $A79, 'Fund Data'!$A:$A = R$1, 'Fund Data'!$B:$B = 12),"""")"),"")</f>
        <v/>
      </c>
      <c r="S79" t="str">
        <f>IFERROR(__xludf.DUMMYFUNCTION("IFERROR(FILTER('Fund Data'!$D:$D, 'Fund Data'!$C:$C = $A79, 'Fund Data'!$A:$A = S$1, 'Fund Data'!$B:$B = 12),"""")"),"")</f>
        <v/>
      </c>
      <c r="T79" t="str">
        <f>IFERROR(__xludf.DUMMYFUNCTION("IFERROR(FILTER('Fund Data'!$D:$D, 'Fund Data'!$C:$C = $A79, 'Fund Data'!$A:$A = T$1, 'Fund Data'!$B:$B = 12),"""")"),"")</f>
        <v/>
      </c>
      <c r="U79" t="str">
        <f>IFERROR(__xludf.DUMMYFUNCTION("IFERROR(FILTER('Fund Data'!$D:$D, 'Fund Data'!$C:$C = $A79, 'Fund Data'!$A:$A = U$1, 'Fund Data'!$B:$B = 12),"""")"),"")</f>
        <v/>
      </c>
      <c r="V79" t="str">
        <f>IFERROR(__xludf.DUMMYFUNCTION("IFERROR(FILTER('Fund Data'!$D:$D, 'Fund Data'!$C:$C = $A79, 'Fund Data'!$A:$A = V$1, 'Fund Data'!$B:$B = 12),"""")"),"")</f>
        <v/>
      </c>
      <c r="W79" t="str">
        <f>IFERROR(__xludf.DUMMYFUNCTION("IFERROR(FILTER('Fund Data'!$D:$D, 'Fund Data'!$C:$C = $A79, 'Fund Data'!$A:$A = W$1, 'Fund Data'!$B:$B = 12),"""")"),"")</f>
        <v/>
      </c>
      <c r="X79" t="str">
        <f>IFERROR(__xludf.DUMMYFUNCTION("IFERROR(FILTER('Fund Data'!$D:$D, 'Fund Data'!$C:$C = $A79, 'Fund Data'!$A:$A = X$1, 'Fund Data'!$B:$B = 12),"""")"),"")</f>
        <v/>
      </c>
      <c r="Y79" t="str">
        <f>IFERROR(__xludf.DUMMYFUNCTION("IFERROR(FILTER('Fund Data'!$D:$D, 'Fund Data'!$C:$C = $A79, 'Fund Data'!$A:$A = Y$1, 'Fund Data'!$B:$B = 12),"""")"),"")</f>
        <v/>
      </c>
      <c r="Z79" t="str">
        <f>IFERROR(__xludf.DUMMYFUNCTION("IFERROR(FILTER('Fund Data'!$D:$D, 'Fund Data'!$C:$C = $A79, 'Fund Data'!$A:$A = Z$1, 'Fund Data'!$B:$B = 12),"""")"),"")</f>
        <v/>
      </c>
      <c r="AA79" t="str">
        <f>IFERROR(__xludf.DUMMYFUNCTION("IFERROR(FILTER('Fund Data'!$D:$D, 'Fund Data'!$C:$C = $A79, 'Fund Data'!$A:$A = AA$1, 'Fund Data'!$B:$B = 12),"""")"),"")</f>
        <v/>
      </c>
      <c r="AB79" t="str">
        <f>IFERROR(__xludf.DUMMYFUNCTION("IFERROR(FILTER('Fund Data'!$D:$D, 'Fund Data'!$C:$C = $A79, 'Fund Data'!$A:$A = AB$1, 'Fund Data'!$B:$B = 12),"""")"),"")</f>
        <v/>
      </c>
      <c r="AC79" t="str">
        <f>IFERROR(__xludf.DUMMYFUNCTION("IFERROR(FILTER('Fund Data'!$D:$D, 'Fund Data'!$C:$C = $A79, 'Fund Data'!$A:$A = AC$1, 'Fund Data'!$B:$B = 12),"""")"),"")</f>
        <v/>
      </c>
      <c r="AD79" t="str">
        <f>IFERROR(__xludf.DUMMYFUNCTION("IFERROR(FILTER('Fund Data'!$D:$D, 'Fund Data'!$C:$C = $A79, 'Fund Data'!$A:$A = AD$1, 'Fund Data'!$B:$B = 12),"""")"),"")</f>
        <v/>
      </c>
      <c r="AE79" t="str">
        <f>IFERROR(__xludf.DUMMYFUNCTION("IFERROR(FILTER('Fund Data'!$D:$D, 'Fund Data'!$C:$C = $A79, 'Fund Data'!$A:$A = AE$1, 'Fund Data'!$B:$B = 12),"""")"),"")</f>
        <v/>
      </c>
    </row>
    <row r="80">
      <c r="A80" s="145" t="str">
        <f>'Endowed Funds'!B:B</f>
        <v/>
      </c>
      <c r="B80" t="str">
        <f>IFERROR(__xludf.DUMMYFUNCTION("IFERROR(FILTER('Fund Data'!$D:$D, 'Fund Data'!$C:$C = $A80, 'Fund Data'!$A:$A = B$1, 'Fund Data'!$B:$B = 12),"""")"),"")</f>
        <v/>
      </c>
      <c r="C80" t="str">
        <f>IFERROR(__xludf.DUMMYFUNCTION("IFERROR(FILTER('Fund Data'!$D:$D, 'Fund Data'!$C:$C = $A80, 'Fund Data'!$A:$A = C$1, 'Fund Data'!$B:$B = 12),"""")"),"")</f>
        <v/>
      </c>
      <c r="D80" t="str">
        <f>IFERROR(__xludf.DUMMYFUNCTION("IFERROR(FILTER('Fund Data'!$D:$D, 'Fund Data'!$C:$C = $A80, 'Fund Data'!$A:$A = D$1, 'Fund Data'!$B:$B = 12),"""")"),"")</f>
        <v/>
      </c>
      <c r="E80" t="str">
        <f>IFERROR(__xludf.DUMMYFUNCTION("IFERROR(FILTER('Fund Data'!$D:$D, 'Fund Data'!$C:$C = $A80, 'Fund Data'!$A:$A = E$1, 'Fund Data'!$B:$B = 12),"""")"),"")</f>
        <v/>
      </c>
      <c r="F80" t="str">
        <f>IFERROR(__xludf.DUMMYFUNCTION("IFERROR(FILTER('Fund Data'!$D:$D, 'Fund Data'!$C:$C = $A80, 'Fund Data'!$A:$A = F$1, 'Fund Data'!$B:$B = 12),"""")"),"")</f>
        <v/>
      </c>
      <c r="G80" t="str">
        <f>IFERROR(__xludf.DUMMYFUNCTION("IFERROR(FILTER('Fund Data'!$D:$D, 'Fund Data'!$C:$C = $A80, 'Fund Data'!$A:$A = G$1, 'Fund Data'!$B:$B = 12),"""")"),"")</f>
        <v/>
      </c>
      <c r="H80" t="str">
        <f>IFERROR(__xludf.DUMMYFUNCTION("IFERROR(FILTER('Fund Data'!$D:$D, 'Fund Data'!$C:$C = $A80, 'Fund Data'!$A:$A = H$1, 'Fund Data'!$B:$B = 12),"""")"),"")</f>
        <v/>
      </c>
      <c r="I80" t="str">
        <f>IFERROR(__xludf.DUMMYFUNCTION("IFERROR(FILTER('Fund Data'!$D:$D, 'Fund Data'!$C:$C = $A80, 'Fund Data'!$A:$A = I$1, 'Fund Data'!$B:$B = 12),"""")"),"")</f>
        <v/>
      </c>
      <c r="J80" t="str">
        <f>IFERROR(__xludf.DUMMYFUNCTION("IFERROR(FILTER('Fund Data'!$D:$D, 'Fund Data'!$C:$C = $A80, 'Fund Data'!$A:$A = J$1, 'Fund Data'!$B:$B = 12),"""")"),"")</f>
        <v/>
      </c>
      <c r="K80" t="str">
        <f>IFERROR(__xludf.DUMMYFUNCTION("IFERROR(FILTER('Fund Data'!$D:$D, 'Fund Data'!$C:$C = $A80, 'Fund Data'!$A:$A = K$1, 'Fund Data'!$B:$B = 12),"""")"),"")</f>
        <v/>
      </c>
      <c r="L80" t="str">
        <f>IFERROR(__xludf.DUMMYFUNCTION("IFERROR(FILTER('Fund Data'!$D:$D, 'Fund Data'!$C:$C = $A80, 'Fund Data'!$A:$A = L$1, 'Fund Data'!$B:$B = 12),"""")"),"")</f>
        <v/>
      </c>
      <c r="M80" t="str">
        <f>IFERROR(__xludf.DUMMYFUNCTION("IFERROR(FILTER('Fund Data'!$D:$D, 'Fund Data'!$C:$C = $A80, 'Fund Data'!$A:$A = M$1, 'Fund Data'!$B:$B = 12),"""")"),"")</f>
        <v/>
      </c>
      <c r="N80" t="str">
        <f>IFERROR(__xludf.DUMMYFUNCTION("IFERROR(FILTER('Fund Data'!$D:$D, 'Fund Data'!$C:$C = $A80, 'Fund Data'!$A:$A = N$1, 'Fund Data'!$B:$B = 12),"""")"),"")</f>
        <v/>
      </c>
      <c r="O80" t="str">
        <f>IFERROR(__xludf.DUMMYFUNCTION("IFERROR(FILTER('Fund Data'!$D:$D, 'Fund Data'!$C:$C = $A80, 'Fund Data'!$A:$A = O$1, 'Fund Data'!$B:$B = 12),"""")"),"")</f>
        <v/>
      </c>
      <c r="P80" t="str">
        <f>IFERROR(__xludf.DUMMYFUNCTION("IFERROR(FILTER('Fund Data'!$D:$D, 'Fund Data'!$C:$C = $A80, 'Fund Data'!$A:$A = P$1, 'Fund Data'!$B:$B = 12),"""")"),"")</f>
        <v/>
      </c>
      <c r="Q80" t="str">
        <f>IFERROR(__xludf.DUMMYFUNCTION("IFERROR(FILTER('Fund Data'!$D:$D, 'Fund Data'!$C:$C = $A80, 'Fund Data'!$A:$A = Q$1, 'Fund Data'!$B:$B = 12),"""")"),"")</f>
        <v/>
      </c>
      <c r="R80" t="str">
        <f>IFERROR(__xludf.DUMMYFUNCTION("IFERROR(FILTER('Fund Data'!$D:$D, 'Fund Data'!$C:$C = $A80, 'Fund Data'!$A:$A = R$1, 'Fund Data'!$B:$B = 12),"""")"),"")</f>
        <v/>
      </c>
      <c r="S80" t="str">
        <f>IFERROR(__xludf.DUMMYFUNCTION("IFERROR(FILTER('Fund Data'!$D:$D, 'Fund Data'!$C:$C = $A80, 'Fund Data'!$A:$A = S$1, 'Fund Data'!$B:$B = 12),"""")"),"")</f>
        <v/>
      </c>
      <c r="T80" t="str">
        <f>IFERROR(__xludf.DUMMYFUNCTION("IFERROR(FILTER('Fund Data'!$D:$D, 'Fund Data'!$C:$C = $A80, 'Fund Data'!$A:$A = T$1, 'Fund Data'!$B:$B = 12),"""")"),"")</f>
        <v/>
      </c>
      <c r="U80" t="str">
        <f>IFERROR(__xludf.DUMMYFUNCTION("IFERROR(FILTER('Fund Data'!$D:$D, 'Fund Data'!$C:$C = $A80, 'Fund Data'!$A:$A = U$1, 'Fund Data'!$B:$B = 12),"""")"),"")</f>
        <v/>
      </c>
      <c r="V80" t="str">
        <f>IFERROR(__xludf.DUMMYFUNCTION("IFERROR(FILTER('Fund Data'!$D:$D, 'Fund Data'!$C:$C = $A80, 'Fund Data'!$A:$A = V$1, 'Fund Data'!$B:$B = 12),"""")"),"")</f>
        <v/>
      </c>
      <c r="W80" t="str">
        <f>IFERROR(__xludf.DUMMYFUNCTION("IFERROR(FILTER('Fund Data'!$D:$D, 'Fund Data'!$C:$C = $A80, 'Fund Data'!$A:$A = W$1, 'Fund Data'!$B:$B = 12),"""")"),"")</f>
        <v/>
      </c>
      <c r="X80" t="str">
        <f>IFERROR(__xludf.DUMMYFUNCTION("IFERROR(FILTER('Fund Data'!$D:$D, 'Fund Data'!$C:$C = $A80, 'Fund Data'!$A:$A = X$1, 'Fund Data'!$B:$B = 12),"""")"),"")</f>
        <v/>
      </c>
      <c r="Y80" t="str">
        <f>IFERROR(__xludf.DUMMYFUNCTION("IFERROR(FILTER('Fund Data'!$D:$D, 'Fund Data'!$C:$C = $A80, 'Fund Data'!$A:$A = Y$1, 'Fund Data'!$B:$B = 12),"""")"),"")</f>
        <v/>
      </c>
      <c r="Z80" t="str">
        <f>IFERROR(__xludf.DUMMYFUNCTION("IFERROR(FILTER('Fund Data'!$D:$D, 'Fund Data'!$C:$C = $A80, 'Fund Data'!$A:$A = Z$1, 'Fund Data'!$B:$B = 12),"""")"),"")</f>
        <v/>
      </c>
      <c r="AA80" t="str">
        <f>IFERROR(__xludf.DUMMYFUNCTION("IFERROR(FILTER('Fund Data'!$D:$D, 'Fund Data'!$C:$C = $A80, 'Fund Data'!$A:$A = AA$1, 'Fund Data'!$B:$B = 12),"""")"),"")</f>
        <v/>
      </c>
      <c r="AB80" t="str">
        <f>IFERROR(__xludf.DUMMYFUNCTION("IFERROR(FILTER('Fund Data'!$D:$D, 'Fund Data'!$C:$C = $A80, 'Fund Data'!$A:$A = AB$1, 'Fund Data'!$B:$B = 12),"""")"),"")</f>
        <v/>
      </c>
      <c r="AC80" t="str">
        <f>IFERROR(__xludf.DUMMYFUNCTION("IFERROR(FILTER('Fund Data'!$D:$D, 'Fund Data'!$C:$C = $A80, 'Fund Data'!$A:$A = AC$1, 'Fund Data'!$B:$B = 12),"""")"),"")</f>
        <v/>
      </c>
      <c r="AD80" t="str">
        <f>IFERROR(__xludf.DUMMYFUNCTION("IFERROR(FILTER('Fund Data'!$D:$D, 'Fund Data'!$C:$C = $A80, 'Fund Data'!$A:$A = AD$1, 'Fund Data'!$B:$B = 12),"""")"),"")</f>
        <v/>
      </c>
      <c r="AE80" t="str">
        <f>IFERROR(__xludf.DUMMYFUNCTION("IFERROR(FILTER('Fund Data'!$D:$D, 'Fund Data'!$C:$C = $A80, 'Fund Data'!$A:$A = AE$1, 'Fund Data'!$B:$B = 12),"""")"),"")</f>
        <v/>
      </c>
    </row>
    <row r="81">
      <c r="A81" s="145" t="str">
        <f>'Endowed Funds'!B:B</f>
        <v/>
      </c>
      <c r="B81" t="str">
        <f>IFERROR(__xludf.DUMMYFUNCTION("IFERROR(FILTER('Fund Data'!$D:$D, 'Fund Data'!$C:$C = $A81, 'Fund Data'!$A:$A = B$1, 'Fund Data'!$B:$B = 12),"""")"),"")</f>
        <v/>
      </c>
      <c r="C81" t="str">
        <f>IFERROR(__xludf.DUMMYFUNCTION("IFERROR(FILTER('Fund Data'!$D:$D, 'Fund Data'!$C:$C = $A81, 'Fund Data'!$A:$A = C$1, 'Fund Data'!$B:$B = 12),"""")"),"")</f>
        <v/>
      </c>
      <c r="D81" t="str">
        <f>IFERROR(__xludf.DUMMYFUNCTION("IFERROR(FILTER('Fund Data'!$D:$D, 'Fund Data'!$C:$C = $A81, 'Fund Data'!$A:$A = D$1, 'Fund Data'!$B:$B = 12),"""")"),"")</f>
        <v/>
      </c>
      <c r="E81" t="str">
        <f>IFERROR(__xludf.DUMMYFUNCTION("IFERROR(FILTER('Fund Data'!$D:$D, 'Fund Data'!$C:$C = $A81, 'Fund Data'!$A:$A = E$1, 'Fund Data'!$B:$B = 12),"""")"),"")</f>
        <v/>
      </c>
      <c r="F81" t="str">
        <f>IFERROR(__xludf.DUMMYFUNCTION("IFERROR(FILTER('Fund Data'!$D:$D, 'Fund Data'!$C:$C = $A81, 'Fund Data'!$A:$A = F$1, 'Fund Data'!$B:$B = 12),"""")"),"")</f>
        <v/>
      </c>
      <c r="G81" t="str">
        <f>IFERROR(__xludf.DUMMYFUNCTION("IFERROR(FILTER('Fund Data'!$D:$D, 'Fund Data'!$C:$C = $A81, 'Fund Data'!$A:$A = G$1, 'Fund Data'!$B:$B = 12),"""")"),"")</f>
        <v/>
      </c>
      <c r="H81" t="str">
        <f>IFERROR(__xludf.DUMMYFUNCTION("IFERROR(FILTER('Fund Data'!$D:$D, 'Fund Data'!$C:$C = $A81, 'Fund Data'!$A:$A = H$1, 'Fund Data'!$B:$B = 12),"""")"),"")</f>
        <v/>
      </c>
      <c r="I81" t="str">
        <f>IFERROR(__xludf.DUMMYFUNCTION("IFERROR(FILTER('Fund Data'!$D:$D, 'Fund Data'!$C:$C = $A81, 'Fund Data'!$A:$A = I$1, 'Fund Data'!$B:$B = 12),"""")"),"")</f>
        <v/>
      </c>
      <c r="J81" t="str">
        <f>IFERROR(__xludf.DUMMYFUNCTION("IFERROR(FILTER('Fund Data'!$D:$D, 'Fund Data'!$C:$C = $A81, 'Fund Data'!$A:$A = J$1, 'Fund Data'!$B:$B = 12),"""")"),"")</f>
        <v/>
      </c>
      <c r="K81" t="str">
        <f>IFERROR(__xludf.DUMMYFUNCTION("IFERROR(FILTER('Fund Data'!$D:$D, 'Fund Data'!$C:$C = $A81, 'Fund Data'!$A:$A = K$1, 'Fund Data'!$B:$B = 12),"""")"),"")</f>
        <v/>
      </c>
      <c r="L81" t="str">
        <f>IFERROR(__xludf.DUMMYFUNCTION("IFERROR(FILTER('Fund Data'!$D:$D, 'Fund Data'!$C:$C = $A81, 'Fund Data'!$A:$A = L$1, 'Fund Data'!$B:$B = 12),"""")"),"")</f>
        <v/>
      </c>
      <c r="M81" t="str">
        <f>IFERROR(__xludf.DUMMYFUNCTION("IFERROR(FILTER('Fund Data'!$D:$D, 'Fund Data'!$C:$C = $A81, 'Fund Data'!$A:$A = M$1, 'Fund Data'!$B:$B = 12),"""")"),"")</f>
        <v/>
      </c>
      <c r="N81" t="str">
        <f>IFERROR(__xludf.DUMMYFUNCTION("IFERROR(FILTER('Fund Data'!$D:$D, 'Fund Data'!$C:$C = $A81, 'Fund Data'!$A:$A = N$1, 'Fund Data'!$B:$B = 12),"""")"),"")</f>
        <v/>
      </c>
      <c r="O81" t="str">
        <f>IFERROR(__xludf.DUMMYFUNCTION("IFERROR(FILTER('Fund Data'!$D:$D, 'Fund Data'!$C:$C = $A81, 'Fund Data'!$A:$A = O$1, 'Fund Data'!$B:$B = 12),"""")"),"")</f>
        <v/>
      </c>
      <c r="P81" t="str">
        <f>IFERROR(__xludf.DUMMYFUNCTION("IFERROR(FILTER('Fund Data'!$D:$D, 'Fund Data'!$C:$C = $A81, 'Fund Data'!$A:$A = P$1, 'Fund Data'!$B:$B = 12),"""")"),"")</f>
        <v/>
      </c>
      <c r="Q81" t="str">
        <f>IFERROR(__xludf.DUMMYFUNCTION("IFERROR(FILTER('Fund Data'!$D:$D, 'Fund Data'!$C:$C = $A81, 'Fund Data'!$A:$A = Q$1, 'Fund Data'!$B:$B = 12),"""")"),"")</f>
        <v/>
      </c>
      <c r="R81" t="str">
        <f>IFERROR(__xludf.DUMMYFUNCTION("IFERROR(FILTER('Fund Data'!$D:$D, 'Fund Data'!$C:$C = $A81, 'Fund Data'!$A:$A = R$1, 'Fund Data'!$B:$B = 12),"""")"),"")</f>
        <v/>
      </c>
      <c r="S81" t="str">
        <f>IFERROR(__xludf.DUMMYFUNCTION("IFERROR(FILTER('Fund Data'!$D:$D, 'Fund Data'!$C:$C = $A81, 'Fund Data'!$A:$A = S$1, 'Fund Data'!$B:$B = 12),"""")"),"")</f>
        <v/>
      </c>
      <c r="T81" t="str">
        <f>IFERROR(__xludf.DUMMYFUNCTION("IFERROR(FILTER('Fund Data'!$D:$D, 'Fund Data'!$C:$C = $A81, 'Fund Data'!$A:$A = T$1, 'Fund Data'!$B:$B = 12),"""")"),"")</f>
        <v/>
      </c>
      <c r="U81" t="str">
        <f>IFERROR(__xludf.DUMMYFUNCTION("IFERROR(FILTER('Fund Data'!$D:$D, 'Fund Data'!$C:$C = $A81, 'Fund Data'!$A:$A = U$1, 'Fund Data'!$B:$B = 12),"""")"),"")</f>
        <v/>
      </c>
      <c r="V81" t="str">
        <f>IFERROR(__xludf.DUMMYFUNCTION("IFERROR(FILTER('Fund Data'!$D:$D, 'Fund Data'!$C:$C = $A81, 'Fund Data'!$A:$A = V$1, 'Fund Data'!$B:$B = 12),"""")"),"")</f>
        <v/>
      </c>
      <c r="W81" t="str">
        <f>IFERROR(__xludf.DUMMYFUNCTION("IFERROR(FILTER('Fund Data'!$D:$D, 'Fund Data'!$C:$C = $A81, 'Fund Data'!$A:$A = W$1, 'Fund Data'!$B:$B = 12),"""")"),"")</f>
        <v/>
      </c>
      <c r="X81" t="str">
        <f>IFERROR(__xludf.DUMMYFUNCTION("IFERROR(FILTER('Fund Data'!$D:$D, 'Fund Data'!$C:$C = $A81, 'Fund Data'!$A:$A = X$1, 'Fund Data'!$B:$B = 12),"""")"),"")</f>
        <v/>
      </c>
      <c r="Y81" t="str">
        <f>IFERROR(__xludf.DUMMYFUNCTION("IFERROR(FILTER('Fund Data'!$D:$D, 'Fund Data'!$C:$C = $A81, 'Fund Data'!$A:$A = Y$1, 'Fund Data'!$B:$B = 12),"""")"),"")</f>
        <v/>
      </c>
      <c r="Z81" t="str">
        <f>IFERROR(__xludf.DUMMYFUNCTION("IFERROR(FILTER('Fund Data'!$D:$D, 'Fund Data'!$C:$C = $A81, 'Fund Data'!$A:$A = Z$1, 'Fund Data'!$B:$B = 12),"""")"),"")</f>
        <v/>
      </c>
      <c r="AA81" t="str">
        <f>IFERROR(__xludf.DUMMYFUNCTION("IFERROR(FILTER('Fund Data'!$D:$D, 'Fund Data'!$C:$C = $A81, 'Fund Data'!$A:$A = AA$1, 'Fund Data'!$B:$B = 12),"""")"),"")</f>
        <v/>
      </c>
      <c r="AB81" t="str">
        <f>IFERROR(__xludf.DUMMYFUNCTION("IFERROR(FILTER('Fund Data'!$D:$D, 'Fund Data'!$C:$C = $A81, 'Fund Data'!$A:$A = AB$1, 'Fund Data'!$B:$B = 12),"""")"),"")</f>
        <v/>
      </c>
      <c r="AC81" t="str">
        <f>IFERROR(__xludf.DUMMYFUNCTION("IFERROR(FILTER('Fund Data'!$D:$D, 'Fund Data'!$C:$C = $A81, 'Fund Data'!$A:$A = AC$1, 'Fund Data'!$B:$B = 12),"""")"),"")</f>
        <v/>
      </c>
      <c r="AD81" t="str">
        <f>IFERROR(__xludf.DUMMYFUNCTION("IFERROR(FILTER('Fund Data'!$D:$D, 'Fund Data'!$C:$C = $A81, 'Fund Data'!$A:$A = AD$1, 'Fund Data'!$B:$B = 12),"""")"),"")</f>
        <v/>
      </c>
      <c r="AE81" t="str">
        <f>IFERROR(__xludf.DUMMYFUNCTION("IFERROR(FILTER('Fund Data'!$D:$D, 'Fund Data'!$C:$C = $A81, 'Fund Data'!$A:$A = AE$1, 'Fund Data'!$B:$B = 12),"""")"),"")</f>
        <v/>
      </c>
    </row>
    <row r="82">
      <c r="A82" s="145" t="str">
        <f>'Endowed Funds'!B:B</f>
        <v/>
      </c>
      <c r="B82" t="str">
        <f>IFERROR(__xludf.DUMMYFUNCTION("IFERROR(FILTER('Fund Data'!$D:$D, 'Fund Data'!$C:$C = $A82, 'Fund Data'!$A:$A = B$1, 'Fund Data'!$B:$B = 12),"""")"),"")</f>
        <v/>
      </c>
      <c r="C82" t="str">
        <f>IFERROR(__xludf.DUMMYFUNCTION("IFERROR(FILTER('Fund Data'!$D:$D, 'Fund Data'!$C:$C = $A82, 'Fund Data'!$A:$A = C$1, 'Fund Data'!$B:$B = 12),"""")"),"")</f>
        <v/>
      </c>
      <c r="D82" t="str">
        <f>IFERROR(__xludf.DUMMYFUNCTION("IFERROR(FILTER('Fund Data'!$D:$D, 'Fund Data'!$C:$C = $A82, 'Fund Data'!$A:$A = D$1, 'Fund Data'!$B:$B = 12),"""")"),"")</f>
        <v/>
      </c>
      <c r="E82" t="str">
        <f>IFERROR(__xludf.DUMMYFUNCTION("IFERROR(FILTER('Fund Data'!$D:$D, 'Fund Data'!$C:$C = $A82, 'Fund Data'!$A:$A = E$1, 'Fund Data'!$B:$B = 12),"""")"),"")</f>
        <v/>
      </c>
      <c r="F82" t="str">
        <f>IFERROR(__xludf.DUMMYFUNCTION("IFERROR(FILTER('Fund Data'!$D:$D, 'Fund Data'!$C:$C = $A82, 'Fund Data'!$A:$A = F$1, 'Fund Data'!$B:$B = 12),"""")"),"")</f>
        <v/>
      </c>
      <c r="G82" t="str">
        <f>IFERROR(__xludf.DUMMYFUNCTION("IFERROR(FILTER('Fund Data'!$D:$D, 'Fund Data'!$C:$C = $A82, 'Fund Data'!$A:$A = G$1, 'Fund Data'!$B:$B = 12),"""")"),"")</f>
        <v/>
      </c>
      <c r="H82" t="str">
        <f>IFERROR(__xludf.DUMMYFUNCTION("IFERROR(FILTER('Fund Data'!$D:$D, 'Fund Data'!$C:$C = $A82, 'Fund Data'!$A:$A = H$1, 'Fund Data'!$B:$B = 12),"""")"),"")</f>
        <v/>
      </c>
      <c r="I82" t="str">
        <f>IFERROR(__xludf.DUMMYFUNCTION("IFERROR(FILTER('Fund Data'!$D:$D, 'Fund Data'!$C:$C = $A82, 'Fund Data'!$A:$A = I$1, 'Fund Data'!$B:$B = 12),"""")"),"")</f>
        <v/>
      </c>
      <c r="J82" t="str">
        <f>IFERROR(__xludf.DUMMYFUNCTION("IFERROR(FILTER('Fund Data'!$D:$D, 'Fund Data'!$C:$C = $A82, 'Fund Data'!$A:$A = J$1, 'Fund Data'!$B:$B = 12),"""")"),"")</f>
        <v/>
      </c>
      <c r="K82" t="str">
        <f>IFERROR(__xludf.DUMMYFUNCTION("IFERROR(FILTER('Fund Data'!$D:$D, 'Fund Data'!$C:$C = $A82, 'Fund Data'!$A:$A = K$1, 'Fund Data'!$B:$B = 12),"""")"),"")</f>
        <v/>
      </c>
      <c r="L82" t="str">
        <f>IFERROR(__xludf.DUMMYFUNCTION("IFERROR(FILTER('Fund Data'!$D:$D, 'Fund Data'!$C:$C = $A82, 'Fund Data'!$A:$A = L$1, 'Fund Data'!$B:$B = 12),"""")"),"")</f>
        <v/>
      </c>
      <c r="M82" t="str">
        <f>IFERROR(__xludf.DUMMYFUNCTION("IFERROR(FILTER('Fund Data'!$D:$D, 'Fund Data'!$C:$C = $A82, 'Fund Data'!$A:$A = M$1, 'Fund Data'!$B:$B = 12),"""")"),"")</f>
        <v/>
      </c>
      <c r="N82" t="str">
        <f>IFERROR(__xludf.DUMMYFUNCTION("IFERROR(FILTER('Fund Data'!$D:$D, 'Fund Data'!$C:$C = $A82, 'Fund Data'!$A:$A = N$1, 'Fund Data'!$B:$B = 12),"""")"),"")</f>
        <v/>
      </c>
      <c r="O82" t="str">
        <f>IFERROR(__xludf.DUMMYFUNCTION("IFERROR(FILTER('Fund Data'!$D:$D, 'Fund Data'!$C:$C = $A82, 'Fund Data'!$A:$A = O$1, 'Fund Data'!$B:$B = 12),"""")"),"")</f>
        <v/>
      </c>
      <c r="P82" t="str">
        <f>IFERROR(__xludf.DUMMYFUNCTION("IFERROR(FILTER('Fund Data'!$D:$D, 'Fund Data'!$C:$C = $A82, 'Fund Data'!$A:$A = P$1, 'Fund Data'!$B:$B = 12),"""")"),"")</f>
        <v/>
      </c>
      <c r="Q82" t="str">
        <f>IFERROR(__xludf.DUMMYFUNCTION("IFERROR(FILTER('Fund Data'!$D:$D, 'Fund Data'!$C:$C = $A82, 'Fund Data'!$A:$A = Q$1, 'Fund Data'!$B:$B = 12),"""")"),"")</f>
        <v/>
      </c>
      <c r="R82" t="str">
        <f>IFERROR(__xludf.DUMMYFUNCTION("IFERROR(FILTER('Fund Data'!$D:$D, 'Fund Data'!$C:$C = $A82, 'Fund Data'!$A:$A = R$1, 'Fund Data'!$B:$B = 12),"""")"),"")</f>
        <v/>
      </c>
      <c r="S82" t="str">
        <f>IFERROR(__xludf.DUMMYFUNCTION("IFERROR(FILTER('Fund Data'!$D:$D, 'Fund Data'!$C:$C = $A82, 'Fund Data'!$A:$A = S$1, 'Fund Data'!$B:$B = 12),"""")"),"")</f>
        <v/>
      </c>
      <c r="T82" t="str">
        <f>IFERROR(__xludf.DUMMYFUNCTION("IFERROR(FILTER('Fund Data'!$D:$D, 'Fund Data'!$C:$C = $A82, 'Fund Data'!$A:$A = T$1, 'Fund Data'!$B:$B = 12),"""")"),"")</f>
        <v/>
      </c>
      <c r="U82" t="str">
        <f>IFERROR(__xludf.DUMMYFUNCTION("IFERROR(FILTER('Fund Data'!$D:$D, 'Fund Data'!$C:$C = $A82, 'Fund Data'!$A:$A = U$1, 'Fund Data'!$B:$B = 12),"""")"),"")</f>
        <v/>
      </c>
      <c r="V82" t="str">
        <f>IFERROR(__xludf.DUMMYFUNCTION("IFERROR(FILTER('Fund Data'!$D:$D, 'Fund Data'!$C:$C = $A82, 'Fund Data'!$A:$A = V$1, 'Fund Data'!$B:$B = 12),"""")"),"")</f>
        <v/>
      </c>
      <c r="W82" t="str">
        <f>IFERROR(__xludf.DUMMYFUNCTION("IFERROR(FILTER('Fund Data'!$D:$D, 'Fund Data'!$C:$C = $A82, 'Fund Data'!$A:$A = W$1, 'Fund Data'!$B:$B = 12),"""")"),"")</f>
        <v/>
      </c>
      <c r="X82" t="str">
        <f>IFERROR(__xludf.DUMMYFUNCTION("IFERROR(FILTER('Fund Data'!$D:$D, 'Fund Data'!$C:$C = $A82, 'Fund Data'!$A:$A = X$1, 'Fund Data'!$B:$B = 12),"""")"),"")</f>
        <v/>
      </c>
      <c r="Y82" t="str">
        <f>IFERROR(__xludf.DUMMYFUNCTION("IFERROR(FILTER('Fund Data'!$D:$D, 'Fund Data'!$C:$C = $A82, 'Fund Data'!$A:$A = Y$1, 'Fund Data'!$B:$B = 12),"""")"),"")</f>
        <v/>
      </c>
      <c r="Z82" t="str">
        <f>IFERROR(__xludf.DUMMYFUNCTION("IFERROR(FILTER('Fund Data'!$D:$D, 'Fund Data'!$C:$C = $A82, 'Fund Data'!$A:$A = Z$1, 'Fund Data'!$B:$B = 12),"""")"),"")</f>
        <v/>
      </c>
      <c r="AA82" t="str">
        <f>IFERROR(__xludf.DUMMYFUNCTION("IFERROR(FILTER('Fund Data'!$D:$D, 'Fund Data'!$C:$C = $A82, 'Fund Data'!$A:$A = AA$1, 'Fund Data'!$B:$B = 12),"""")"),"")</f>
        <v/>
      </c>
      <c r="AB82" t="str">
        <f>IFERROR(__xludf.DUMMYFUNCTION("IFERROR(FILTER('Fund Data'!$D:$D, 'Fund Data'!$C:$C = $A82, 'Fund Data'!$A:$A = AB$1, 'Fund Data'!$B:$B = 12),"""")"),"")</f>
        <v/>
      </c>
      <c r="AC82" t="str">
        <f>IFERROR(__xludf.DUMMYFUNCTION("IFERROR(FILTER('Fund Data'!$D:$D, 'Fund Data'!$C:$C = $A82, 'Fund Data'!$A:$A = AC$1, 'Fund Data'!$B:$B = 12),"""")"),"")</f>
        <v/>
      </c>
      <c r="AD82" t="str">
        <f>IFERROR(__xludf.DUMMYFUNCTION("IFERROR(FILTER('Fund Data'!$D:$D, 'Fund Data'!$C:$C = $A82, 'Fund Data'!$A:$A = AD$1, 'Fund Data'!$B:$B = 12),"""")"),"")</f>
        <v/>
      </c>
      <c r="AE82" t="str">
        <f>IFERROR(__xludf.DUMMYFUNCTION("IFERROR(FILTER('Fund Data'!$D:$D, 'Fund Data'!$C:$C = $A82, 'Fund Data'!$A:$A = AE$1, 'Fund Data'!$B:$B = 12),"""")"),"")</f>
        <v/>
      </c>
    </row>
    <row r="83">
      <c r="A83" s="145" t="str">
        <f>'Endowed Funds'!B:B</f>
        <v/>
      </c>
      <c r="B83" t="str">
        <f>IFERROR(__xludf.DUMMYFUNCTION("IFERROR(FILTER('Fund Data'!$D:$D, 'Fund Data'!$C:$C = $A83, 'Fund Data'!$A:$A = B$1, 'Fund Data'!$B:$B = 12),"""")"),"")</f>
        <v/>
      </c>
      <c r="C83" t="str">
        <f>IFERROR(__xludf.DUMMYFUNCTION("IFERROR(FILTER('Fund Data'!$D:$D, 'Fund Data'!$C:$C = $A83, 'Fund Data'!$A:$A = C$1, 'Fund Data'!$B:$B = 12),"""")"),"")</f>
        <v/>
      </c>
      <c r="D83" t="str">
        <f>IFERROR(__xludf.DUMMYFUNCTION("IFERROR(FILTER('Fund Data'!$D:$D, 'Fund Data'!$C:$C = $A83, 'Fund Data'!$A:$A = D$1, 'Fund Data'!$B:$B = 12),"""")"),"")</f>
        <v/>
      </c>
      <c r="E83" t="str">
        <f>IFERROR(__xludf.DUMMYFUNCTION("IFERROR(FILTER('Fund Data'!$D:$D, 'Fund Data'!$C:$C = $A83, 'Fund Data'!$A:$A = E$1, 'Fund Data'!$B:$B = 12),"""")"),"")</f>
        <v/>
      </c>
      <c r="F83" t="str">
        <f>IFERROR(__xludf.DUMMYFUNCTION("IFERROR(FILTER('Fund Data'!$D:$D, 'Fund Data'!$C:$C = $A83, 'Fund Data'!$A:$A = F$1, 'Fund Data'!$B:$B = 12),"""")"),"")</f>
        <v/>
      </c>
      <c r="G83" t="str">
        <f>IFERROR(__xludf.DUMMYFUNCTION("IFERROR(FILTER('Fund Data'!$D:$D, 'Fund Data'!$C:$C = $A83, 'Fund Data'!$A:$A = G$1, 'Fund Data'!$B:$B = 12),"""")"),"")</f>
        <v/>
      </c>
      <c r="H83" t="str">
        <f>IFERROR(__xludf.DUMMYFUNCTION("IFERROR(FILTER('Fund Data'!$D:$D, 'Fund Data'!$C:$C = $A83, 'Fund Data'!$A:$A = H$1, 'Fund Data'!$B:$B = 12),"""")"),"")</f>
        <v/>
      </c>
      <c r="I83" t="str">
        <f>IFERROR(__xludf.DUMMYFUNCTION("IFERROR(FILTER('Fund Data'!$D:$D, 'Fund Data'!$C:$C = $A83, 'Fund Data'!$A:$A = I$1, 'Fund Data'!$B:$B = 12),"""")"),"")</f>
        <v/>
      </c>
      <c r="J83" t="str">
        <f>IFERROR(__xludf.DUMMYFUNCTION("IFERROR(FILTER('Fund Data'!$D:$D, 'Fund Data'!$C:$C = $A83, 'Fund Data'!$A:$A = J$1, 'Fund Data'!$B:$B = 12),"""")"),"")</f>
        <v/>
      </c>
      <c r="K83" t="str">
        <f>IFERROR(__xludf.DUMMYFUNCTION("IFERROR(FILTER('Fund Data'!$D:$D, 'Fund Data'!$C:$C = $A83, 'Fund Data'!$A:$A = K$1, 'Fund Data'!$B:$B = 12),"""")"),"")</f>
        <v/>
      </c>
      <c r="L83" t="str">
        <f>IFERROR(__xludf.DUMMYFUNCTION("IFERROR(FILTER('Fund Data'!$D:$D, 'Fund Data'!$C:$C = $A83, 'Fund Data'!$A:$A = L$1, 'Fund Data'!$B:$B = 12),"""")"),"")</f>
        <v/>
      </c>
      <c r="M83" t="str">
        <f>IFERROR(__xludf.DUMMYFUNCTION("IFERROR(FILTER('Fund Data'!$D:$D, 'Fund Data'!$C:$C = $A83, 'Fund Data'!$A:$A = M$1, 'Fund Data'!$B:$B = 12),"""")"),"")</f>
        <v/>
      </c>
      <c r="N83" t="str">
        <f>IFERROR(__xludf.DUMMYFUNCTION("IFERROR(FILTER('Fund Data'!$D:$D, 'Fund Data'!$C:$C = $A83, 'Fund Data'!$A:$A = N$1, 'Fund Data'!$B:$B = 12),"""")"),"")</f>
        <v/>
      </c>
      <c r="O83" t="str">
        <f>IFERROR(__xludf.DUMMYFUNCTION("IFERROR(FILTER('Fund Data'!$D:$D, 'Fund Data'!$C:$C = $A83, 'Fund Data'!$A:$A = O$1, 'Fund Data'!$B:$B = 12),"""")"),"")</f>
        <v/>
      </c>
      <c r="P83" t="str">
        <f>IFERROR(__xludf.DUMMYFUNCTION("IFERROR(FILTER('Fund Data'!$D:$D, 'Fund Data'!$C:$C = $A83, 'Fund Data'!$A:$A = P$1, 'Fund Data'!$B:$B = 12),"""")"),"")</f>
        <v/>
      </c>
      <c r="Q83" t="str">
        <f>IFERROR(__xludf.DUMMYFUNCTION("IFERROR(FILTER('Fund Data'!$D:$D, 'Fund Data'!$C:$C = $A83, 'Fund Data'!$A:$A = Q$1, 'Fund Data'!$B:$B = 12),"""")"),"")</f>
        <v/>
      </c>
      <c r="R83" t="str">
        <f>IFERROR(__xludf.DUMMYFUNCTION("IFERROR(FILTER('Fund Data'!$D:$D, 'Fund Data'!$C:$C = $A83, 'Fund Data'!$A:$A = R$1, 'Fund Data'!$B:$B = 12),"""")"),"")</f>
        <v/>
      </c>
      <c r="S83" t="str">
        <f>IFERROR(__xludf.DUMMYFUNCTION("IFERROR(FILTER('Fund Data'!$D:$D, 'Fund Data'!$C:$C = $A83, 'Fund Data'!$A:$A = S$1, 'Fund Data'!$B:$B = 12),"""")"),"")</f>
        <v/>
      </c>
      <c r="T83" t="str">
        <f>IFERROR(__xludf.DUMMYFUNCTION("IFERROR(FILTER('Fund Data'!$D:$D, 'Fund Data'!$C:$C = $A83, 'Fund Data'!$A:$A = T$1, 'Fund Data'!$B:$B = 12),"""")"),"")</f>
        <v/>
      </c>
      <c r="U83" t="str">
        <f>IFERROR(__xludf.DUMMYFUNCTION("IFERROR(FILTER('Fund Data'!$D:$D, 'Fund Data'!$C:$C = $A83, 'Fund Data'!$A:$A = U$1, 'Fund Data'!$B:$B = 12),"""")"),"")</f>
        <v/>
      </c>
      <c r="V83" t="str">
        <f>IFERROR(__xludf.DUMMYFUNCTION("IFERROR(FILTER('Fund Data'!$D:$D, 'Fund Data'!$C:$C = $A83, 'Fund Data'!$A:$A = V$1, 'Fund Data'!$B:$B = 12),"""")"),"")</f>
        <v/>
      </c>
      <c r="W83" t="str">
        <f>IFERROR(__xludf.DUMMYFUNCTION("IFERROR(FILTER('Fund Data'!$D:$D, 'Fund Data'!$C:$C = $A83, 'Fund Data'!$A:$A = W$1, 'Fund Data'!$B:$B = 12),"""")"),"")</f>
        <v/>
      </c>
      <c r="X83" t="str">
        <f>IFERROR(__xludf.DUMMYFUNCTION("IFERROR(FILTER('Fund Data'!$D:$D, 'Fund Data'!$C:$C = $A83, 'Fund Data'!$A:$A = X$1, 'Fund Data'!$B:$B = 12),"""")"),"")</f>
        <v/>
      </c>
      <c r="Y83" t="str">
        <f>IFERROR(__xludf.DUMMYFUNCTION("IFERROR(FILTER('Fund Data'!$D:$D, 'Fund Data'!$C:$C = $A83, 'Fund Data'!$A:$A = Y$1, 'Fund Data'!$B:$B = 12),"""")"),"")</f>
        <v/>
      </c>
      <c r="Z83" t="str">
        <f>IFERROR(__xludf.DUMMYFUNCTION("IFERROR(FILTER('Fund Data'!$D:$D, 'Fund Data'!$C:$C = $A83, 'Fund Data'!$A:$A = Z$1, 'Fund Data'!$B:$B = 12),"""")"),"")</f>
        <v/>
      </c>
      <c r="AA83" t="str">
        <f>IFERROR(__xludf.DUMMYFUNCTION("IFERROR(FILTER('Fund Data'!$D:$D, 'Fund Data'!$C:$C = $A83, 'Fund Data'!$A:$A = AA$1, 'Fund Data'!$B:$B = 12),"""")"),"")</f>
        <v/>
      </c>
      <c r="AB83" t="str">
        <f>IFERROR(__xludf.DUMMYFUNCTION("IFERROR(FILTER('Fund Data'!$D:$D, 'Fund Data'!$C:$C = $A83, 'Fund Data'!$A:$A = AB$1, 'Fund Data'!$B:$B = 12),"""")"),"")</f>
        <v/>
      </c>
      <c r="AC83" t="str">
        <f>IFERROR(__xludf.DUMMYFUNCTION("IFERROR(FILTER('Fund Data'!$D:$D, 'Fund Data'!$C:$C = $A83, 'Fund Data'!$A:$A = AC$1, 'Fund Data'!$B:$B = 12),"""")"),"")</f>
        <v/>
      </c>
      <c r="AD83" t="str">
        <f>IFERROR(__xludf.DUMMYFUNCTION("IFERROR(FILTER('Fund Data'!$D:$D, 'Fund Data'!$C:$C = $A83, 'Fund Data'!$A:$A = AD$1, 'Fund Data'!$B:$B = 12),"""")"),"")</f>
        <v/>
      </c>
      <c r="AE83" t="str">
        <f>IFERROR(__xludf.DUMMYFUNCTION("IFERROR(FILTER('Fund Data'!$D:$D, 'Fund Data'!$C:$C = $A83, 'Fund Data'!$A:$A = AE$1, 'Fund Data'!$B:$B = 12),"""")"),"")</f>
        <v/>
      </c>
    </row>
    <row r="84">
      <c r="A84" s="145" t="str">
        <f>'Endowed Funds'!B:B</f>
        <v/>
      </c>
      <c r="B84" t="str">
        <f>IFERROR(__xludf.DUMMYFUNCTION("IFERROR(FILTER('Fund Data'!$D:$D, 'Fund Data'!$C:$C = $A84, 'Fund Data'!$A:$A = B$1, 'Fund Data'!$B:$B = 12),"""")"),"")</f>
        <v/>
      </c>
      <c r="C84" t="str">
        <f>IFERROR(__xludf.DUMMYFUNCTION("IFERROR(FILTER('Fund Data'!$D:$D, 'Fund Data'!$C:$C = $A84, 'Fund Data'!$A:$A = C$1, 'Fund Data'!$B:$B = 12),"""")"),"")</f>
        <v/>
      </c>
      <c r="D84" t="str">
        <f>IFERROR(__xludf.DUMMYFUNCTION("IFERROR(FILTER('Fund Data'!$D:$D, 'Fund Data'!$C:$C = $A84, 'Fund Data'!$A:$A = D$1, 'Fund Data'!$B:$B = 12),"""")"),"")</f>
        <v/>
      </c>
      <c r="E84" t="str">
        <f>IFERROR(__xludf.DUMMYFUNCTION("IFERROR(FILTER('Fund Data'!$D:$D, 'Fund Data'!$C:$C = $A84, 'Fund Data'!$A:$A = E$1, 'Fund Data'!$B:$B = 12),"""")"),"")</f>
        <v/>
      </c>
      <c r="F84" t="str">
        <f>IFERROR(__xludf.DUMMYFUNCTION("IFERROR(FILTER('Fund Data'!$D:$D, 'Fund Data'!$C:$C = $A84, 'Fund Data'!$A:$A = F$1, 'Fund Data'!$B:$B = 12),"""")"),"")</f>
        <v/>
      </c>
      <c r="G84" t="str">
        <f>IFERROR(__xludf.DUMMYFUNCTION("IFERROR(FILTER('Fund Data'!$D:$D, 'Fund Data'!$C:$C = $A84, 'Fund Data'!$A:$A = G$1, 'Fund Data'!$B:$B = 12),"""")"),"")</f>
        <v/>
      </c>
      <c r="H84" t="str">
        <f>IFERROR(__xludf.DUMMYFUNCTION("IFERROR(FILTER('Fund Data'!$D:$D, 'Fund Data'!$C:$C = $A84, 'Fund Data'!$A:$A = H$1, 'Fund Data'!$B:$B = 12),"""")"),"")</f>
        <v/>
      </c>
      <c r="I84" t="str">
        <f>IFERROR(__xludf.DUMMYFUNCTION("IFERROR(FILTER('Fund Data'!$D:$D, 'Fund Data'!$C:$C = $A84, 'Fund Data'!$A:$A = I$1, 'Fund Data'!$B:$B = 12),"""")"),"")</f>
        <v/>
      </c>
      <c r="J84" t="str">
        <f>IFERROR(__xludf.DUMMYFUNCTION("IFERROR(FILTER('Fund Data'!$D:$D, 'Fund Data'!$C:$C = $A84, 'Fund Data'!$A:$A = J$1, 'Fund Data'!$B:$B = 12),"""")"),"")</f>
        <v/>
      </c>
      <c r="K84" t="str">
        <f>IFERROR(__xludf.DUMMYFUNCTION("IFERROR(FILTER('Fund Data'!$D:$D, 'Fund Data'!$C:$C = $A84, 'Fund Data'!$A:$A = K$1, 'Fund Data'!$B:$B = 12),"""")"),"")</f>
        <v/>
      </c>
      <c r="L84" t="str">
        <f>IFERROR(__xludf.DUMMYFUNCTION("IFERROR(FILTER('Fund Data'!$D:$D, 'Fund Data'!$C:$C = $A84, 'Fund Data'!$A:$A = L$1, 'Fund Data'!$B:$B = 12),"""")"),"")</f>
        <v/>
      </c>
      <c r="M84" t="str">
        <f>IFERROR(__xludf.DUMMYFUNCTION("IFERROR(FILTER('Fund Data'!$D:$D, 'Fund Data'!$C:$C = $A84, 'Fund Data'!$A:$A = M$1, 'Fund Data'!$B:$B = 12),"""")"),"")</f>
        <v/>
      </c>
      <c r="N84" t="str">
        <f>IFERROR(__xludf.DUMMYFUNCTION("IFERROR(FILTER('Fund Data'!$D:$D, 'Fund Data'!$C:$C = $A84, 'Fund Data'!$A:$A = N$1, 'Fund Data'!$B:$B = 12),"""")"),"")</f>
        <v/>
      </c>
      <c r="O84" t="str">
        <f>IFERROR(__xludf.DUMMYFUNCTION("IFERROR(FILTER('Fund Data'!$D:$D, 'Fund Data'!$C:$C = $A84, 'Fund Data'!$A:$A = O$1, 'Fund Data'!$B:$B = 12),"""")"),"")</f>
        <v/>
      </c>
      <c r="P84" t="str">
        <f>IFERROR(__xludf.DUMMYFUNCTION("IFERROR(FILTER('Fund Data'!$D:$D, 'Fund Data'!$C:$C = $A84, 'Fund Data'!$A:$A = P$1, 'Fund Data'!$B:$B = 12),"""")"),"")</f>
        <v/>
      </c>
      <c r="Q84" t="str">
        <f>IFERROR(__xludf.DUMMYFUNCTION("IFERROR(FILTER('Fund Data'!$D:$D, 'Fund Data'!$C:$C = $A84, 'Fund Data'!$A:$A = Q$1, 'Fund Data'!$B:$B = 12),"""")"),"")</f>
        <v/>
      </c>
      <c r="R84" t="str">
        <f>IFERROR(__xludf.DUMMYFUNCTION("IFERROR(FILTER('Fund Data'!$D:$D, 'Fund Data'!$C:$C = $A84, 'Fund Data'!$A:$A = R$1, 'Fund Data'!$B:$B = 12),"""")"),"")</f>
        <v/>
      </c>
      <c r="S84" t="str">
        <f>IFERROR(__xludf.DUMMYFUNCTION("IFERROR(FILTER('Fund Data'!$D:$D, 'Fund Data'!$C:$C = $A84, 'Fund Data'!$A:$A = S$1, 'Fund Data'!$B:$B = 12),"""")"),"")</f>
        <v/>
      </c>
      <c r="T84" t="str">
        <f>IFERROR(__xludf.DUMMYFUNCTION("IFERROR(FILTER('Fund Data'!$D:$D, 'Fund Data'!$C:$C = $A84, 'Fund Data'!$A:$A = T$1, 'Fund Data'!$B:$B = 12),"""")"),"")</f>
        <v/>
      </c>
      <c r="U84" t="str">
        <f>IFERROR(__xludf.DUMMYFUNCTION("IFERROR(FILTER('Fund Data'!$D:$D, 'Fund Data'!$C:$C = $A84, 'Fund Data'!$A:$A = U$1, 'Fund Data'!$B:$B = 12),"""")"),"")</f>
        <v/>
      </c>
      <c r="V84" t="str">
        <f>IFERROR(__xludf.DUMMYFUNCTION("IFERROR(FILTER('Fund Data'!$D:$D, 'Fund Data'!$C:$C = $A84, 'Fund Data'!$A:$A = V$1, 'Fund Data'!$B:$B = 12),"""")"),"")</f>
        <v/>
      </c>
      <c r="W84" t="str">
        <f>IFERROR(__xludf.DUMMYFUNCTION("IFERROR(FILTER('Fund Data'!$D:$D, 'Fund Data'!$C:$C = $A84, 'Fund Data'!$A:$A = W$1, 'Fund Data'!$B:$B = 12),"""")"),"")</f>
        <v/>
      </c>
      <c r="X84" t="str">
        <f>IFERROR(__xludf.DUMMYFUNCTION("IFERROR(FILTER('Fund Data'!$D:$D, 'Fund Data'!$C:$C = $A84, 'Fund Data'!$A:$A = X$1, 'Fund Data'!$B:$B = 12),"""")"),"")</f>
        <v/>
      </c>
      <c r="Y84" t="str">
        <f>IFERROR(__xludf.DUMMYFUNCTION("IFERROR(FILTER('Fund Data'!$D:$D, 'Fund Data'!$C:$C = $A84, 'Fund Data'!$A:$A = Y$1, 'Fund Data'!$B:$B = 12),"""")"),"")</f>
        <v/>
      </c>
      <c r="Z84" t="str">
        <f>IFERROR(__xludf.DUMMYFUNCTION("IFERROR(FILTER('Fund Data'!$D:$D, 'Fund Data'!$C:$C = $A84, 'Fund Data'!$A:$A = Z$1, 'Fund Data'!$B:$B = 12),"""")"),"")</f>
        <v/>
      </c>
      <c r="AA84" t="str">
        <f>IFERROR(__xludf.DUMMYFUNCTION("IFERROR(FILTER('Fund Data'!$D:$D, 'Fund Data'!$C:$C = $A84, 'Fund Data'!$A:$A = AA$1, 'Fund Data'!$B:$B = 12),"""")"),"")</f>
        <v/>
      </c>
      <c r="AB84" t="str">
        <f>IFERROR(__xludf.DUMMYFUNCTION("IFERROR(FILTER('Fund Data'!$D:$D, 'Fund Data'!$C:$C = $A84, 'Fund Data'!$A:$A = AB$1, 'Fund Data'!$B:$B = 12),"""")"),"")</f>
        <v/>
      </c>
      <c r="AC84" t="str">
        <f>IFERROR(__xludf.DUMMYFUNCTION("IFERROR(FILTER('Fund Data'!$D:$D, 'Fund Data'!$C:$C = $A84, 'Fund Data'!$A:$A = AC$1, 'Fund Data'!$B:$B = 12),"""")"),"")</f>
        <v/>
      </c>
      <c r="AD84" t="str">
        <f>IFERROR(__xludf.DUMMYFUNCTION("IFERROR(FILTER('Fund Data'!$D:$D, 'Fund Data'!$C:$C = $A84, 'Fund Data'!$A:$A = AD$1, 'Fund Data'!$B:$B = 12),"""")"),"")</f>
        <v/>
      </c>
      <c r="AE84" t="str">
        <f>IFERROR(__xludf.DUMMYFUNCTION("IFERROR(FILTER('Fund Data'!$D:$D, 'Fund Data'!$C:$C = $A84, 'Fund Data'!$A:$A = AE$1, 'Fund Data'!$B:$B = 12),"""")"),"")</f>
        <v/>
      </c>
    </row>
    <row r="85">
      <c r="A85" s="145" t="str">
        <f>'Endowed Funds'!B:B</f>
        <v/>
      </c>
      <c r="B85" t="str">
        <f>IFERROR(__xludf.DUMMYFUNCTION("IFERROR(FILTER('Fund Data'!$D:$D, 'Fund Data'!$C:$C = $A85, 'Fund Data'!$A:$A = B$1, 'Fund Data'!$B:$B = 12),"""")"),"")</f>
        <v/>
      </c>
      <c r="C85" t="str">
        <f>IFERROR(__xludf.DUMMYFUNCTION("IFERROR(FILTER('Fund Data'!$D:$D, 'Fund Data'!$C:$C = $A85, 'Fund Data'!$A:$A = C$1, 'Fund Data'!$B:$B = 12),"""")"),"")</f>
        <v/>
      </c>
      <c r="D85" t="str">
        <f>IFERROR(__xludf.DUMMYFUNCTION("IFERROR(FILTER('Fund Data'!$D:$D, 'Fund Data'!$C:$C = $A85, 'Fund Data'!$A:$A = D$1, 'Fund Data'!$B:$B = 12),"""")"),"")</f>
        <v/>
      </c>
      <c r="E85" t="str">
        <f>IFERROR(__xludf.DUMMYFUNCTION("IFERROR(FILTER('Fund Data'!$D:$D, 'Fund Data'!$C:$C = $A85, 'Fund Data'!$A:$A = E$1, 'Fund Data'!$B:$B = 12),"""")"),"")</f>
        <v/>
      </c>
      <c r="F85" t="str">
        <f>IFERROR(__xludf.DUMMYFUNCTION("IFERROR(FILTER('Fund Data'!$D:$D, 'Fund Data'!$C:$C = $A85, 'Fund Data'!$A:$A = F$1, 'Fund Data'!$B:$B = 12),"""")"),"")</f>
        <v/>
      </c>
      <c r="G85" t="str">
        <f>IFERROR(__xludf.DUMMYFUNCTION("IFERROR(FILTER('Fund Data'!$D:$D, 'Fund Data'!$C:$C = $A85, 'Fund Data'!$A:$A = G$1, 'Fund Data'!$B:$B = 12),"""")"),"")</f>
        <v/>
      </c>
      <c r="H85" t="str">
        <f>IFERROR(__xludf.DUMMYFUNCTION("IFERROR(FILTER('Fund Data'!$D:$D, 'Fund Data'!$C:$C = $A85, 'Fund Data'!$A:$A = H$1, 'Fund Data'!$B:$B = 12),"""")"),"")</f>
        <v/>
      </c>
      <c r="I85" t="str">
        <f>IFERROR(__xludf.DUMMYFUNCTION("IFERROR(FILTER('Fund Data'!$D:$D, 'Fund Data'!$C:$C = $A85, 'Fund Data'!$A:$A = I$1, 'Fund Data'!$B:$B = 12),"""")"),"")</f>
        <v/>
      </c>
      <c r="J85" t="str">
        <f>IFERROR(__xludf.DUMMYFUNCTION("IFERROR(FILTER('Fund Data'!$D:$D, 'Fund Data'!$C:$C = $A85, 'Fund Data'!$A:$A = J$1, 'Fund Data'!$B:$B = 12),"""")"),"")</f>
        <v/>
      </c>
      <c r="K85" t="str">
        <f>IFERROR(__xludf.DUMMYFUNCTION("IFERROR(FILTER('Fund Data'!$D:$D, 'Fund Data'!$C:$C = $A85, 'Fund Data'!$A:$A = K$1, 'Fund Data'!$B:$B = 12),"""")"),"")</f>
        <v/>
      </c>
      <c r="L85" t="str">
        <f>IFERROR(__xludf.DUMMYFUNCTION("IFERROR(FILTER('Fund Data'!$D:$D, 'Fund Data'!$C:$C = $A85, 'Fund Data'!$A:$A = L$1, 'Fund Data'!$B:$B = 12),"""")"),"")</f>
        <v/>
      </c>
      <c r="M85" t="str">
        <f>IFERROR(__xludf.DUMMYFUNCTION("IFERROR(FILTER('Fund Data'!$D:$D, 'Fund Data'!$C:$C = $A85, 'Fund Data'!$A:$A = M$1, 'Fund Data'!$B:$B = 12),"""")"),"")</f>
        <v/>
      </c>
      <c r="N85" t="str">
        <f>IFERROR(__xludf.DUMMYFUNCTION("IFERROR(FILTER('Fund Data'!$D:$D, 'Fund Data'!$C:$C = $A85, 'Fund Data'!$A:$A = N$1, 'Fund Data'!$B:$B = 12),"""")"),"")</f>
        <v/>
      </c>
      <c r="O85" t="str">
        <f>IFERROR(__xludf.DUMMYFUNCTION("IFERROR(FILTER('Fund Data'!$D:$D, 'Fund Data'!$C:$C = $A85, 'Fund Data'!$A:$A = O$1, 'Fund Data'!$B:$B = 12),"""")"),"")</f>
        <v/>
      </c>
      <c r="P85" t="str">
        <f>IFERROR(__xludf.DUMMYFUNCTION("IFERROR(FILTER('Fund Data'!$D:$D, 'Fund Data'!$C:$C = $A85, 'Fund Data'!$A:$A = P$1, 'Fund Data'!$B:$B = 12),"""")"),"")</f>
        <v/>
      </c>
      <c r="Q85" t="str">
        <f>IFERROR(__xludf.DUMMYFUNCTION("IFERROR(FILTER('Fund Data'!$D:$D, 'Fund Data'!$C:$C = $A85, 'Fund Data'!$A:$A = Q$1, 'Fund Data'!$B:$B = 12),"""")"),"")</f>
        <v/>
      </c>
      <c r="R85" t="str">
        <f>IFERROR(__xludf.DUMMYFUNCTION("IFERROR(FILTER('Fund Data'!$D:$D, 'Fund Data'!$C:$C = $A85, 'Fund Data'!$A:$A = R$1, 'Fund Data'!$B:$B = 12),"""")"),"")</f>
        <v/>
      </c>
      <c r="S85" t="str">
        <f>IFERROR(__xludf.DUMMYFUNCTION("IFERROR(FILTER('Fund Data'!$D:$D, 'Fund Data'!$C:$C = $A85, 'Fund Data'!$A:$A = S$1, 'Fund Data'!$B:$B = 12),"""")"),"")</f>
        <v/>
      </c>
      <c r="T85" t="str">
        <f>IFERROR(__xludf.DUMMYFUNCTION("IFERROR(FILTER('Fund Data'!$D:$D, 'Fund Data'!$C:$C = $A85, 'Fund Data'!$A:$A = T$1, 'Fund Data'!$B:$B = 12),"""")"),"")</f>
        <v/>
      </c>
      <c r="U85" t="str">
        <f>IFERROR(__xludf.DUMMYFUNCTION("IFERROR(FILTER('Fund Data'!$D:$D, 'Fund Data'!$C:$C = $A85, 'Fund Data'!$A:$A = U$1, 'Fund Data'!$B:$B = 12),"""")"),"")</f>
        <v/>
      </c>
      <c r="V85" t="str">
        <f>IFERROR(__xludf.DUMMYFUNCTION("IFERROR(FILTER('Fund Data'!$D:$D, 'Fund Data'!$C:$C = $A85, 'Fund Data'!$A:$A = V$1, 'Fund Data'!$B:$B = 12),"""")"),"")</f>
        <v/>
      </c>
      <c r="W85" t="str">
        <f>IFERROR(__xludf.DUMMYFUNCTION("IFERROR(FILTER('Fund Data'!$D:$D, 'Fund Data'!$C:$C = $A85, 'Fund Data'!$A:$A = W$1, 'Fund Data'!$B:$B = 12),"""")"),"")</f>
        <v/>
      </c>
      <c r="X85" t="str">
        <f>IFERROR(__xludf.DUMMYFUNCTION("IFERROR(FILTER('Fund Data'!$D:$D, 'Fund Data'!$C:$C = $A85, 'Fund Data'!$A:$A = X$1, 'Fund Data'!$B:$B = 12),"""")"),"")</f>
        <v/>
      </c>
      <c r="Y85" t="str">
        <f>IFERROR(__xludf.DUMMYFUNCTION("IFERROR(FILTER('Fund Data'!$D:$D, 'Fund Data'!$C:$C = $A85, 'Fund Data'!$A:$A = Y$1, 'Fund Data'!$B:$B = 12),"""")"),"")</f>
        <v/>
      </c>
      <c r="Z85" t="str">
        <f>IFERROR(__xludf.DUMMYFUNCTION("IFERROR(FILTER('Fund Data'!$D:$D, 'Fund Data'!$C:$C = $A85, 'Fund Data'!$A:$A = Z$1, 'Fund Data'!$B:$B = 12),"""")"),"")</f>
        <v/>
      </c>
      <c r="AA85" t="str">
        <f>IFERROR(__xludf.DUMMYFUNCTION("IFERROR(FILTER('Fund Data'!$D:$D, 'Fund Data'!$C:$C = $A85, 'Fund Data'!$A:$A = AA$1, 'Fund Data'!$B:$B = 12),"""")"),"")</f>
        <v/>
      </c>
      <c r="AB85" t="str">
        <f>IFERROR(__xludf.DUMMYFUNCTION("IFERROR(FILTER('Fund Data'!$D:$D, 'Fund Data'!$C:$C = $A85, 'Fund Data'!$A:$A = AB$1, 'Fund Data'!$B:$B = 12),"""")"),"")</f>
        <v/>
      </c>
      <c r="AC85" t="str">
        <f>IFERROR(__xludf.DUMMYFUNCTION("IFERROR(FILTER('Fund Data'!$D:$D, 'Fund Data'!$C:$C = $A85, 'Fund Data'!$A:$A = AC$1, 'Fund Data'!$B:$B = 12),"""")"),"")</f>
        <v/>
      </c>
      <c r="AD85" t="str">
        <f>IFERROR(__xludf.DUMMYFUNCTION("IFERROR(FILTER('Fund Data'!$D:$D, 'Fund Data'!$C:$C = $A85, 'Fund Data'!$A:$A = AD$1, 'Fund Data'!$B:$B = 12),"""")"),"")</f>
        <v/>
      </c>
      <c r="AE85" t="str">
        <f>IFERROR(__xludf.DUMMYFUNCTION("IFERROR(FILTER('Fund Data'!$D:$D, 'Fund Data'!$C:$C = $A85, 'Fund Data'!$A:$A = AE$1, 'Fund Data'!$B:$B = 12),"""")"),"")</f>
        <v/>
      </c>
    </row>
    <row r="86">
      <c r="A86" s="145" t="str">
        <f>'Endowed Funds'!B:B</f>
        <v/>
      </c>
      <c r="B86" t="str">
        <f>IFERROR(__xludf.DUMMYFUNCTION("IFERROR(FILTER('Fund Data'!$D:$D, 'Fund Data'!$C:$C = $A86, 'Fund Data'!$A:$A = B$1, 'Fund Data'!$B:$B = 12),"""")"),"")</f>
        <v/>
      </c>
      <c r="C86" t="str">
        <f>IFERROR(__xludf.DUMMYFUNCTION("IFERROR(FILTER('Fund Data'!$D:$D, 'Fund Data'!$C:$C = $A86, 'Fund Data'!$A:$A = C$1, 'Fund Data'!$B:$B = 12),"""")"),"")</f>
        <v/>
      </c>
      <c r="D86" t="str">
        <f>IFERROR(__xludf.DUMMYFUNCTION("IFERROR(FILTER('Fund Data'!$D:$D, 'Fund Data'!$C:$C = $A86, 'Fund Data'!$A:$A = D$1, 'Fund Data'!$B:$B = 12),"""")"),"")</f>
        <v/>
      </c>
      <c r="E86" t="str">
        <f>IFERROR(__xludf.DUMMYFUNCTION("IFERROR(FILTER('Fund Data'!$D:$D, 'Fund Data'!$C:$C = $A86, 'Fund Data'!$A:$A = E$1, 'Fund Data'!$B:$B = 12),"""")"),"")</f>
        <v/>
      </c>
      <c r="F86" t="str">
        <f>IFERROR(__xludf.DUMMYFUNCTION("IFERROR(FILTER('Fund Data'!$D:$D, 'Fund Data'!$C:$C = $A86, 'Fund Data'!$A:$A = F$1, 'Fund Data'!$B:$B = 12),"""")"),"")</f>
        <v/>
      </c>
      <c r="G86" t="str">
        <f>IFERROR(__xludf.DUMMYFUNCTION("IFERROR(FILTER('Fund Data'!$D:$D, 'Fund Data'!$C:$C = $A86, 'Fund Data'!$A:$A = G$1, 'Fund Data'!$B:$B = 12),"""")"),"")</f>
        <v/>
      </c>
      <c r="H86" t="str">
        <f>IFERROR(__xludf.DUMMYFUNCTION("IFERROR(FILTER('Fund Data'!$D:$D, 'Fund Data'!$C:$C = $A86, 'Fund Data'!$A:$A = H$1, 'Fund Data'!$B:$B = 12),"""")"),"")</f>
        <v/>
      </c>
      <c r="I86" t="str">
        <f>IFERROR(__xludf.DUMMYFUNCTION("IFERROR(FILTER('Fund Data'!$D:$D, 'Fund Data'!$C:$C = $A86, 'Fund Data'!$A:$A = I$1, 'Fund Data'!$B:$B = 12),"""")"),"")</f>
        <v/>
      </c>
      <c r="J86" t="str">
        <f>IFERROR(__xludf.DUMMYFUNCTION("IFERROR(FILTER('Fund Data'!$D:$D, 'Fund Data'!$C:$C = $A86, 'Fund Data'!$A:$A = J$1, 'Fund Data'!$B:$B = 12),"""")"),"")</f>
        <v/>
      </c>
      <c r="K86" t="str">
        <f>IFERROR(__xludf.DUMMYFUNCTION("IFERROR(FILTER('Fund Data'!$D:$D, 'Fund Data'!$C:$C = $A86, 'Fund Data'!$A:$A = K$1, 'Fund Data'!$B:$B = 12),"""")"),"")</f>
        <v/>
      </c>
      <c r="L86" t="str">
        <f>IFERROR(__xludf.DUMMYFUNCTION("IFERROR(FILTER('Fund Data'!$D:$D, 'Fund Data'!$C:$C = $A86, 'Fund Data'!$A:$A = L$1, 'Fund Data'!$B:$B = 12),"""")"),"")</f>
        <v/>
      </c>
      <c r="M86" t="str">
        <f>IFERROR(__xludf.DUMMYFUNCTION("IFERROR(FILTER('Fund Data'!$D:$D, 'Fund Data'!$C:$C = $A86, 'Fund Data'!$A:$A = M$1, 'Fund Data'!$B:$B = 12),"""")"),"")</f>
        <v/>
      </c>
      <c r="N86" t="str">
        <f>IFERROR(__xludf.DUMMYFUNCTION("IFERROR(FILTER('Fund Data'!$D:$D, 'Fund Data'!$C:$C = $A86, 'Fund Data'!$A:$A = N$1, 'Fund Data'!$B:$B = 12),"""")"),"")</f>
        <v/>
      </c>
      <c r="O86" t="str">
        <f>IFERROR(__xludf.DUMMYFUNCTION("IFERROR(FILTER('Fund Data'!$D:$D, 'Fund Data'!$C:$C = $A86, 'Fund Data'!$A:$A = O$1, 'Fund Data'!$B:$B = 12),"""")"),"")</f>
        <v/>
      </c>
      <c r="P86" t="str">
        <f>IFERROR(__xludf.DUMMYFUNCTION("IFERROR(FILTER('Fund Data'!$D:$D, 'Fund Data'!$C:$C = $A86, 'Fund Data'!$A:$A = P$1, 'Fund Data'!$B:$B = 12),"""")"),"")</f>
        <v/>
      </c>
      <c r="Q86" t="str">
        <f>IFERROR(__xludf.DUMMYFUNCTION("IFERROR(FILTER('Fund Data'!$D:$D, 'Fund Data'!$C:$C = $A86, 'Fund Data'!$A:$A = Q$1, 'Fund Data'!$B:$B = 12),"""")"),"")</f>
        <v/>
      </c>
      <c r="R86" t="str">
        <f>IFERROR(__xludf.DUMMYFUNCTION("IFERROR(FILTER('Fund Data'!$D:$D, 'Fund Data'!$C:$C = $A86, 'Fund Data'!$A:$A = R$1, 'Fund Data'!$B:$B = 12),"""")"),"")</f>
        <v/>
      </c>
      <c r="S86" t="str">
        <f>IFERROR(__xludf.DUMMYFUNCTION("IFERROR(FILTER('Fund Data'!$D:$D, 'Fund Data'!$C:$C = $A86, 'Fund Data'!$A:$A = S$1, 'Fund Data'!$B:$B = 12),"""")"),"")</f>
        <v/>
      </c>
      <c r="T86" t="str">
        <f>IFERROR(__xludf.DUMMYFUNCTION("IFERROR(FILTER('Fund Data'!$D:$D, 'Fund Data'!$C:$C = $A86, 'Fund Data'!$A:$A = T$1, 'Fund Data'!$B:$B = 12),"""")"),"")</f>
        <v/>
      </c>
      <c r="U86" t="str">
        <f>IFERROR(__xludf.DUMMYFUNCTION("IFERROR(FILTER('Fund Data'!$D:$D, 'Fund Data'!$C:$C = $A86, 'Fund Data'!$A:$A = U$1, 'Fund Data'!$B:$B = 12),"""")"),"")</f>
        <v/>
      </c>
      <c r="V86" t="str">
        <f>IFERROR(__xludf.DUMMYFUNCTION("IFERROR(FILTER('Fund Data'!$D:$D, 'Fund Data'!$C:$C = $A86, 'Fund Data'!$A:$A = V$1, 'Fund Data'!$B:$B = 12),"""")"),"")</f>
        <v/>
      </c>
      <c r="W86" t="str">
        <f>IFERROR(__xludf.DUMMYFUNCTION("IFERROR(FILTER('Fund Data'!$D:$D, 'Fund Data'!$C:$C = $A86, 'Fund Data'!$A:$A = W$1, 'Fund Data'!$B:$B = 12),"""")"),"")</f>
        <v/>
      </c>
      <c r="X86" t="str">
        <f>IFERROR(__xludf.DUMMYFUNCTION("IFERROR(FILTER('Fund Data'!$D:$D, 'Fund Data'!$C:$C = $A86, 'Fund Data'!$A:$A = X$1, 'Fund Data'!$B:$B = 12),"""")"),"")</f>
        <v/>
      </c>
      <c r="Y86" t="str">
        <f>IFERROR(__xludf.DUMMYFUNCTION("IFERROR(FILTER('Fund Data'!$D:$D, 'Fund Data'!$C:$C = $A86, 'Fund Data'!$A:$A = Y$1, 'Fund Data'!$B:$B = 12),"""")"),"")</f>
        <v/>
      </c>
      <c r="Z86" t="str">
        <f>IFERROR(__xludf.DUMMYFUNCTION("IFERROR(FILTER('Fund Data'!$D:$D, 'Fund Data'!$C:$C = $A86, 'Fund Data'!$A:$A = Z$1, 'Fund Data'!$B:$B = 12),"""")"),"")</f>
        <v/>
      </c>
      <c r="AA86" t="str">
        <f>IFERROR(__xludf.DUMMYFUNCTION("IFERROR(FILTER('Fund Data'!$D:$D, 'Fund Data'!$C:$C = $A86, 'Fund Data'!$A:$A = AA$1, 'Fund Data'!$B:$B = 12),"""")"),"")</f>
        <v/>
      </c>
      <c r="AB86" t="str">
        <f>IFERROR(__xludf.DUMMYFUNCTION("IFERROR(FILTER('Fund Data'!$D:$D, 'Fund Data'!$C:$C = $A86, 'Fund Data'!$A:$A = AB$1, 'Fund Data'!$B:$B = 12),"""")"),"")</f>
        <v/>
      </c>
      <c r="AC86" t="str">
        <f>IFERROR(__xludf.DUMMYFUNCTION("IFERROR(FILTER('Fund Data'!$D:$D, 'Fund Data'!$C:$C = $A86, 'Fund Data'!$A:$A = AC$1, 'Fund Data'!$B:$B = 12),"""")"),"")</f>
        <v/>
      </c>
      <c r="AD86" t="str">
        <f>IFERROR(__xludf.DUMMYFUNCTION("IFERROR(FILTER('Fund Data'!$D:$D, 'Fund Data'!$C:$C = $A86, 'Fund Data'!$A:$A = AD$1, 'Fund Data'!$B:$B = 12),"""")"),"")</f>
        <v/>
      </c>
      <c r="AE86" t="str">
        <f>IFERROR(__xludf.DUMMYFUNCTION("IFERROR(FILTER('Fund Data'!$D:$D, 'Fund Data'!$C:$C = $A86, 'Fund Data'!$A:$A = AE$1, 'Fund Data'!$B:$B = 12),"""")"),"")</f>
        <v/>
      </c>
    </row>
    <row r="87">
      <c r="A87" s="145" t="str">
        <f>'Endowed Funds'!B:B</f>
        <v/>
      </c>
      <c r="B87" t="str">
        <f>IFERROR(__xludf.DUMMYFUNCTION("IFERROR(FILTER('Fund Data'!$D:$D, 'Fund Data'!$C:$C = $A87, 'Fund Data'!$A:$A = B$1, 'Fund Data'!$B:$B = 12),"""")"),"")</f>
        <v/>
      </c>
      <c r="C87" t="str">
        <f>IFERROR(__xludf.DUMMYFUNCTION("IFERROR(FILTER('Fund Data'!$D:$D, 'Fund Data'!$C:$C = $A87, 'Fund Data'!$A:$A = C$1, 'Fund Data'!$B:$B = 12),"""")"),"")</f>
        <v/>
      </c>
      <c r="D87" t="str">
        <f>IFERROR(__xludf.DUMMYFUNCTION("IFERROR(FILTER('Fund Data'!$D:$D, 'Fund Data'!$C:$C = $A87, 'Fund Data'!$A:$A = D$1, 'Fund Data'!$B:$B = 12),"""")"),"")</f>
        <v/>
      </c>
      <c r="E87" t="str">
        <f>IFERROR(__xludf.DUMMYFUNCTION("IFERROR(FILTER('Fund Data'!$D:$D, 'Fund Data'!$C:$C = $A87, 'Fund Data'!$A:$A = E$1, 'Fund Data'!$B:$B = 12),"""")"),"")</f>
        <v/>
      </c>
      <c r="F87" t="str">
        <f>IFERROR(__xludf.DUMMYFUNCTION("IFERROR(FILTER('Fund Data'!$D:$D, 'Fund Data'!$C:$C = $A87, 'Fund Data'!$A:$A = F$1, 'Fund Data'!$B:$B = 12),"""")"),"")</f>
        <v/>
      </c>
      <c r="G87" t="str">
        <f>IFERROR(__xludf.DUMMYFUNCTION("IFERROR(FILTER('Fund Data'!$D:$D, 'Fund Data'!$C:$C = $A87, 'Fund Data'!$A:$A = G$1, 'Fund Data'!$B:$B = 12),"""")"),"")</f>
        <v/>
      </c>
      <c r="H87" t="str">
        <f>IFERROR(__xludf.DUMMYFUNCTION("IFERROR(FILTER('Fund Data'!$D:$D, 'Fund Data'!$C:$C = $A87, 'Fund Data'!$A:$A = H$1, 'Fund Data'!$B:$B = 12),"""")"),"")</f>
        <v/>
      </c>
      <c r="I87" t="str">
        <f>IFERROR(__xludf.DUMMYFUNCTION("IFERROR(FILTER('Fund Data'!$D:$D, 'Fund Data'!$C:$C = $A87, 'Fund Data'!$A:$A = I$1, 'Fund Data'!$B:$B = 12),"""")"),"")</f>
        <v/>
      </c>
      <c r="J87" t="str">
        <f>IFERROR(__xludf.DUMMYFUNCTION("IFERROR(FILTER('Fund Data'!$D:$D, 'Fund Data'!$C:$C = $A87, 'Fund Data'!$A:$A = J$1, 'Fund Data'!$B:$B = 12),"""")"),"")</f>
        <v/>
      </c>
      <c r="K87" t="str">
        <f>IFERROR(__xludf.DUMMYFUNCTION("IFERROR(FILTER('Fund Data'!$D:$D, 'Fund Data'!$C:$C = $A87, 'Fund Data'!$A:$A = K$1, 'Fund Data'!$B:$B = 12),"""")"),"")</f>
        <v/>
      </c>
      <c r="L87" t="str">
        <f>IFERROR(__xludf.DUMMYFUNCTION("IFERROR(FILTER('Fund Data'!$D:$D, 'Fund Data'!$C:$C = $A87, 'Fund Data'!$A:$A = L$1, 'Fund Data'!$B:$B = 12),"""")"),"")</f>
        <v/>
      </c>
      <c r="M87" t="str">
        <f>IFERROR(__xludf.DUMMYFUNCTION("IFERROR(FILTER('Fund Data'!$D:$D, 'Fund Data'!$C:$C = $A87, 'Fund Data'!$A:$A = M$1, 'Fund Data'!$B:$B = 12),"""")"),"")</f>
        <v/>
      </c>
      <c r="N87" t="str">
        <f>IFERROR(__xludf.DUMMYFUNCTION("IFERROR(FILTER('Fund Data'!$D:$D, 'Fund Data'!$C:$C = $A87, 'Fund Data'!$A:$A = N$1, 'Fund Data'!$B:$B = 12),"""")"),"")</f>
        <v/>
      </c>
      <c r="O87" t="str">
        <f>IFERROR(__xludf.DUMMYFUNCTION("IFERROR(FILTER('Fund Data'!$D:$D, 'Fund Data'!$C:$C = $A87, 'Fund Data'!$A:$A = O$1, 'Fund Data'!$B:$B = 12),"""")"),"")</f>
        <v/>
      </c>
      <c r="P87" t="str">
        <f>IFERROR(__xludf.DUMMYFUNCTION("IFERROR(FILTER('Fund Data'!$D:$D, 'Fund Data'!$C:$C = $A87, 'Fund Data'!$A:$A = P$1, 'Fund Data'!$B:$B = 12),"""")"),"")</f>
        <v/>
      </c>
      <c r="Q87" t="str">
        <f>IFERROR(__xludf.DUMMYFUNCTION("IFERROR(FILTER('Fund Data'!$D:$D, 'Fund Data'!$C:$C = $A87, 'Fund Data'!$A:$A = Q$1, 'Fund Data'!$B:$B = 12),"""")"),"")</f>
        <v/>
      </c>
      <c r="R87" t="str">
        <f>IFERROR(__xludf.DUMMYFUNCTION("IFERROR(FILTER('Fund Data'!$D:$D, 'Fund Data'!$C:$C = $A87, 'Fund Data'!$A:$A = R$1, 'Fund Data'!$B:$B = 12),"""")"),"")</f>
        <v/>
      </c>
      <c r="S87" t="str">
        <f>IFERROR(__xludf.DUMMYFUNCTION("IFERROR(FILTER('Fund Data'!$D:$D, 'Fund Data'!$C:$C = $A87, 'Fund Data'!$A:$A = S$1, 'Fund Data'!$B:$B = 12),"""")"),"")</f>
        <v/>
      </c>
      <c r="T87" t="str">
        <f>IFERROR(__xludf.DUMMYFUNCTION("IFERROR(FILTER('Fund Data'!$D:$D, 'Fund Data'!$C:$C = $A87, 'Fund Data'!$A:$A = T$1, 'Fund Data'!$B:$B = 12),"""")"),"")</f>
        <v/>
      </c>
      <c r="U87" t="str">
        <f>IFERROR(__xludf.DUMMYFUNCTION("IFERROR(FILTER('Fund Data'!$D:$D, 'Fund Data'!$C:$C = $A87, 'Fund Data'!$A:$A = U$1, 'Fund Data'!$B:$B = 12),"""")"),"")</f>
        <v/>
      </c>
      <c r="V87" t="str">
        <f>IFERROR(__xludf.DUMMYFUNCTION("IFERROR(FILTER('Fund Data'!$D:$D, 'Fund Data'!$C:$C = $A87, 'Fund Data'!$A:$A = V$1, 'Fund Data'!$B:$B = 12),"""")"),"")</f>
        <v/>
      </c>
      <c r="W87" t="str">
        <f>IFERROR(__xludf.DUMMYFUNCTION("IFERROR(FILTER('Fund Data'!$D:$D, 'Fund Data'!$C:$C = $A87, 'Fund Data'!$A:$A = W$1, 'Fund Data'!$B:$B = 12),"""")"),"")</f>
        <v/>
      </c>
      <c r="X87" t="str">
        <f>IFERROR(__xludf.DUMMYFUNCTION("IFERROR(FILTER('Fund Data'!$D:$D, 'Fund Data'!$C:$C = $A87, 'Fund Data'!$A:$A = X$1, 'Fund Data'!$B:$B = 12),"""")"),"")</f>
        <v/>
      </c>
      <c r="Y87" t="str">
        <f>IFERROR(__xludf.DUMMYFUNCTION("IFERROR(FILTER('Fund Data'!$D:$D, 'Fund Data'!$C:$C = $A87, 'Fund Data'!$A:$A = Y$1, 'Fund Data'!$B:$B = 12),"""")"),"")</f>
        <v/>
      </c>
      <c r="Z87" t="str">
        <f>IFERROR(__xludf.DUMMYFUNCTION("IFERROR(FILTER('Fund Data'!$D:$D, 'Fund Data'!$C:$C = $A87, 'Fund Data'!$A:$A = Z$1, 'Fund Data'!$B:$B = 12),"""")"),"")</f>
        <v/>
      </c>
      <c r="AA87" t="str">
        <f>IFERROR(__xludf.DUMMYFUNCTION("IFERROR(FILTER('Fund Data'!$D:$D, 'Fund Data'!$C:$C = $A87, 'Fund Data'!$A:$A = AA$1, 'Fund Data'!$B:$B = 12),"""")"),"")</f>
        <v/>
      </c>
      <c r="AB87" t="str">
        <f>IFERROR(__xludf.DUMMYFUNCTION("IFERROR(FILTER('Fund Data'!$D:$D, 'Fund Data'!$C:$C = $A87, 'Fund Data'!$A:$A = AB$1, 'Fund Data'!$B:$B = 12),"""")"),"")</f>
        <v/>
      </c>
      <c r="AC87" t="str">
        <f>IFERROR(__xludf.DUMMYFUNCTION("IFERROR(FILTER('Fund Data'!$D:$D, 'Fund Data'!$C:$C = $A87, 'Fund Data'!$A:$A = AC$1, 'Fund Data'!$B:$B = 12),"""")"),"")</f>
        <v/>
      </c>
      <c r="AD87" t="str">
        <f>IFERROR(__xludf.DUMMYFUNCTION("IFERROR(FILTER('Fund Data'!$D:$D, 'Fund Data'!$C:$C = $A87, 'Fund Data'!$A:$A = AD$1, 'Fund Data'!$B:$B = 12),"""")"),"")</f>
        <v/>
      </c>
      <c r="AE87" t="str">
        <f>IFERROR(__xludf.DUMMYFUNCTION("IFERROR(FILTER('Fund Data'!$D:$D, 'Fund Data'!$C:$C = $A87, 'Fund Data'!$A:$A = AE$1, 'Fund Data'!$B:$B = 12),"""")"),"")</f>
        <v/>
      </c>
    </row>
    <row r="88">
      <c r="A88" s="145" t="str">
        <f>'Endowed Funds'!B:B</f>
        <v/>
      </c>
      <c r="B88" t="str">
        <f>IFERROR(__xludf.DUMMYFUNCTION("IFERROR(FILTER('Fund Data'!$D:$D, 'Fund Data'!$C:$C = $A88, 'Fund Data'!$A:$A = B$1, 'Fund Data'!$B:$B = 12),"""")"),"")</f>
        <v/>
      </c>
      <c r="C88" t="str">
        <f>IFERROR(__xludf.DUMMYFUNCTION("IFERROR(FILTER('Fund Data'!$D:$D, 'Fund Data'!$C:$C = $A88, 'Fund Data'!$A:$A = C$1, 'Fund Data'!$B:$B = 12),"""")"),"")</f>
        <v/>
      </c>
      <c r="D88" t="str">
        <f>IFERROR(__xludf.DUMMYFUNCTION("IFERROR(FILTER('Fund Data'!$D:$D, 'Fund Data'!$C:$C = $A88, 'Fund Data'!$A:$A = D$1, 'Fund Data'!$B:$B = 12),"""")"),"")</f>
        <v/>
      </c>
      <c r="E88" t="str">
        <f>IFERROR(__xludf.DUMMYFUNCTION("IFERROR(FILTER('Fund Data'!$D:$D, 'Fund Data'!$C:$C = $A88, 'Fund Data'!$A:$A = E$1, 'Fund Data'!$B:$B = 12),"""")"),"")</f>
        <v/>
      </c>
      <c r="F88" t="str">
        <f>IFERROR(__xludf.DUMMYFUNCTION("IFERROR(FILTER('Fund Data'!$D:$D, 'Fund Data'!$C:$C = $A88, 'Fund Data'!$A:$A = F$1, 'Fund Data'!$B:$B = 12),"""")"),"")</f>
        <v/>
      </c>
      <c r="G88" t="str">
        <f>IFERROR(__xludf.DUMMYFUNCTION("IFERROR(FILTER('Fund Data'!$D:$D, 'Fund Data'!$C:$C = $A88, 'Fund Data'!$A:$A = G$1, 'Fund Data'!$B:$B = 12),"""")"),"")</f>
        <v/>
      </c>
      <c r="H88" t="str">
        <f>IFERROR(__xludf.DUMMYFUNCTION("IFERROR(FILTER('Fund Data'!$D:$D, 'Fund Data'!$C:$C = $A88, 'Fund Data'!$A:$A = H$1, 'Fund Data'!$B:$B = 12),"""")"),"")</f>
        <v/>
      </c>
      <c r="I88" t="str">
        <f>IFERROR(__xludf.DUMMYFUNCTION("IFERROR(FILTER('Fund Data'!$D:$D, 'Fund Data'!$C:$C = $A88, 'Fund Data'!$A:$A = I$1, 'Fund Data'!$B:$B = 12),"""")"),"")</f>
        <v/>
      </c>
      <c r="J88" t="str">
        <f>IFERROR(__xludf.DUMMYFUNCTION("IFERROR(FILTER('Fund Data'!$D:$D, 'Fund Data'!$C:$C = $A88, 'Fund Data'!$A:$A = J$1, 'Fund Data'!$B:$B = 12),"""")"),"")</f>
        <v/>
      </c>
      <c r="K88" t="str">
        <f>IFERROR(__xludf.DUMMYFUNCTION("IFERROR(FILTER('Fund Data'!$D:$D, 'Fund Data'!$C:$C = $A88, 'Fund Data'!$A:$A = K$1, 'Fund Data'!$B:$B = 12),"""")"),"")</f>
        <v/>
      </c>
      <c r="L88" t="str">
        <f>IFERROR(__xludf.DUMMYFUNCTION("IFERROR(FILTER('Fund Data'!$D:$D, 'Fund Data'!$C:$C = $A88, 'Fund Data'!$A:$A = L$1, 'Fund Data'!$B:$B = 12),"""")"),"")</f>
        <v/>
      </c>
      <c r="M88" t="str">
        <f>IFERROR(__xludf.DUMMYFUNCTION("IFERROR(FILTER('Fund Data'!$D:$D, 'Fund Data'!$C:$C = $A88, 'Fund Data'!$A:$A = M$1, 'Fund Data'!$B:$B = 12),"""")"),"")</f>
        <v/>
      </c>
      <c r="N88" t="str">
        <f>IFERROR(__xludf.DUMMYFUNCTION("IFERROR(FILTER('Fund Data'!$D:$D, 'Fund Data'!$C:$C = $A88, 'Fund Data'!$A:$A = N$1, 'Fund Data'!$B:$B = 12),"""")"),"")</f>
        <v/>
      </c>
      <c r="O88" t="str">
        <f>IFERROR(__xludf.DUMMYFUNCTION("IFERROR(FILTER('Fund Data'!$D:$D, 'Fund Data'!$C:$C = $A88, 'Fund Data'!$A:$A = O$1, 'Fund Data'!$B:$B = 12),"""")"),"")</f>
        <v/>
      </c>
      <c r="P88" t="str">
        <f>IFERROR(__xludf.DUMMYFUNCTION("IFERROR(FILTER('Fund Data'!$D:$D, 'Fund Data'!$C:$C = $A88, 'Fund Data'!$A:$A = P$1, 'Fund Data'!$B:$B = 12),"""")"),"")</f>
        <v/>
      </c>
      <c r="Q88" t="str">
        <f>IFERROR(__xludf.DUMMYFUNCTION("IFERROR(FILTER('Fund Data'!$D:$D, 'Fund Data'!$C:$C = $A88, 'Fund Data'!$A:$A = Q$1, 'Fund Data'!$B:$B = 12),"""")"),"")</f>
        <v/>
      </c>
      <c r="R88" t="str">
        <f>IFERROR(__xludf.DUMMYFUNCTION("IFERROR(FILTER('Fund Data'!$D:$D, 'Fund Data'!$C:$C = $A88, 'Fund Data'!$A:$A = R$1, 'Fund Data'!$B:$B = 12),"""")"),"")</f>
        <v/>
      </c>
      <c r="S88" t="str">
        <f>IFERROR(__xludf.DUMMYFUNCTION("IFERROR(FILTER('Fund Data'!$D:$D, 'Fund Data'!$C:$C = $A88, 'Fund Data'!$A:$A = S$1, 'Fund Data'!$B:$B = 12),"""")"),"")</f>
        <v/>
      </c>
      <c r="T88" t="str">
        <f>IFERROR(__xludf.DUMMYFUNCTION("IFERROR(FILTER('Fund Data'!$D:$D, 'Fund Data'!$C:$C = $A88, 'Fund Data'!$A:$A = T$1, 'Fund Data'!$B:$B = 12),"""")"),"")</f>
        <v/>
      </c>
      <c r="U88" t="str">
        <f>IFERROR(__xludf.DUMMYFUNCTION("IFERROR(FILTER('Fund Data'!$D:$D, 'Fund Data'!$C:$C = $A88, 'Fund Data'!$A:$A = U$1, 'Fund Data'!$B:$B = 12),"""")"),"")</f>
        <v/>
      </c>
      <c r="V88" t="str">
        <f>IFERROR(__xludf.DUMMYFUNCTION("IFERROR(FILTER('Fund Data'!$D:$D, 'Fund Data'!$C:$C = $A88, 'Fund Data'!$A:$A = V$1, 'Fund Data'!$B:$B = 12),"""")"),"")</f>
        <v/>
      </c>
      <c r="W88" t="str">
        <f>IFERROR(__xludf.DUMMYFUNCTION("IFERROR(FILTER('Fund Data'!$D:$D, 'Fund Data'!$C:$C = $A88, 'Fund Data'!$A:$A = W$1, 'Fund Data'!$B:$B = 12),"""")"),"")</f>
        <v/>
      </c>
      <c r="X88" t="str">
        <f>IFERROR(__xludf.DUMMYFUNCTION("IFERROR(FILTER('Fund Data'!$D:$D, 'Fund Data'!$C:$C = $A88, 'Fund Data'!$A:$A = X$1, 'Fund Data'!$B:$B = 12),"""")"),"")</f>
        <v/>
      </c>
      <c r="Y88" t="str">
        <f>IFERROR(__xludf.DUMMYFUNCTION("IFERROR(FILTER('Fund Data'!$D:$D, 'Fund Data'!$C:$C = $A88, 'Fund Data'!$A:$A = Y$1, 'Fund Data'!$B:$B = 12),"""")"),"")</f>
        <v/>
      </c>
      <c r="Z88" t="str">
        <f>IFERROR(__xludf.DUMMYFUNCTION("IFERROR(FILTER('Fund Data'!$D:$D, 'Fund Data'!$C:$C = $A88, 'Fund Data'!$A:$A = Z$1, 'Fund Data'!$B:$B = 12),"""")"),"")</f>
        <v/>
      </c>
      <c r="AA88" t="str">
        <f>IFERROR(__xludf.DUMMYFUNCTION("IFERROR(FILTER('Fund Data'!$D:$D, 'Fund Data'!$C:$C = $A88, 'Fund Data'!$A:$A = AA$1, 'Fund Data'!$B:$B = 12),"""")"),"")</f>
        <v/>
      </c>
      <c r="AB88" t="str">
        <f>IFERROR(__xludf.DUMMYFUNCTION("IFERROR(FILTER('Fund Data'!$D:$D, 'Fund Data'!$C:$C = $A88, 'Fund Data'!$A:$A = AB$1, 'Fund Data'!$B:$B = 12),"""")"),"")</f>
        <v/>
      </c>
      <c r="AC88" t="str">
        <f>IFERROR(__xludf.DUMMYFUNCTION("IFERROR(FILTER('Fund Data'!$D:$D, 'Fund Data'!$C:$C = $A88, 'Fund Data'!$A:$A = AC$1, 'Fund Data'!$B:$B = 12),"""")"),"")</f>
        <v/>
      </c>
      <c r="AD88" t="str">
        <f>IFERROR(__xludf.DUMMYFUNCTION("IFERROR(FILTER('Fund Data'!$D:$D, 'Fund Data'!$C:$C = $A88, 'Fund Data'!$A:$A = AD$1, 'Fund Data'!$B:$B = 12),"""")"),"")</f>
        <v/>
      </c>
      <c r="AE88" t="str">
        <f>IFERROR(__xludf.DUMMYFUNCTION("IFERROR(FILTER('Fund Data'!$D:$D, 'Fund Data'!$C:$C = $A88, 'Fund Data'!$A:$A = AE$1, 'Fund Data'!$B:$B = 12),"""")"),"")</f>
        <v/>
      </c>
    </row>
    <row r="89">
      <c r="A89" s="145" t="str">
        <f>'Endowed Funds'!B:B</f>
        <v/>
      </c>
      <c r="B89" t="str">
        <f>IFERROR(__xludf.DUMMYFUNCTION("IFERROR(FILTER('Fund Data'!$D:$D, 'Fund Data'!$C:$C = $A89, 'Fund Data'!$A:$A = B$1, 'Fund Data'!$B:$B = 12),"""")"),"")</f>
        <v/>
      </c>
      <c r="C89" t="str">
        <f>IFERROR(__xludf.DUMMYFUNCTION("IFERROR(FILTER('Fund Data'!$D:$D, 'Fund Data'!$C:$C = $A89, 'Fund Data'!$A:$A = C$1, 'Fund Data'!$B:$B = 12),"""")"),"")</f>
        <v/>
      </c>
      <c r="D89" t="str">
        <f>IFERROR(__xludf.DUMMYFUNCTION("IFERROR(FILTER('Fund Data'!$D:$D, 'Fund Data'!$C:$C = $A89, 'Fund Data'!$A:$A = D$1, 'Fund Data'!$B:$B = 12),"""")"),"")</f>
        <v/>
      </c>
      <c r="E89" t="str">
        <f>IFERROR(__xludf.DUMMYFUNCTION("IFERROR(FILTER('Fund Data'!$D:$D, 'Fund Data'!$C:$C = $A89, 'Fund Data'!$A:$A = E$1, 'Fund Data'!$B:$B = 12),"""")"),"")</f>
        <v/>
      </c>
      <c r="F89" t="str">
        <f>IFERROR(__xludf.DUMMYFUNCTION("IFERROR(FILTER('Fund Data'!$D:$D, 'Fund Data'!$C:$C = $A89, 'Fund Data'!$A:$A = F$1, 'Fund Data'!$B:$B = 12),"""")"),"")</f>
        <v/>
      </c>
      <c r="G89" t="str">
        <f>IFERROR(__xludf.DUMMYFUNCTION("IFERROR(FILTER('Fund Data'!$D:$D, 'Fund Data'!$C:$C = $A89, 'Fund Data'!$A:$A = G$1, 'Fund Data'!$B:$B = 12),"""")"),"")</f>
        <v/>
      </c>
      <c r="H89" t="str">
        <f>IFERROR(__xludf.DUMMYFUNCTION("IFERROR(FILTER('Fund Data'!$D:$D, 'Fund Data'!$C:$C = $A89, 'Fund Data'!$A:$A = H$1, 'Fund Data'!$B:$B = 12),"""")"),"")</f>
        <v/>
      </c>
      <c r="I89" t="str">
        <f>IFERROR(__xludf.DUMMYFUNCTION("IFERROR(FILTER('Fund Data'!$D:$D, 'Fund Data'!$C:$C = $A89, 'Fund Data'!$A:$A = I$1, 'Fund Data'!$B:$B = 12),"""")"),"")</f>
        <v/>
      </c>
      <c r="J89" t="str">
        <f>IFERROR(__xludf.DUMMYFUNCTION("IFERROR(FILTER('Fund Data'!$D:$D, 'Fund Data'!$C:$C = $A89, 'Fund Data'!$A:$A = J$1, 'Fund Data'!$B:$B = 12),"""")"),"")</f>
        <v/>
      </c>
      <c r="K89" t="str">
        <f>IFERROR(__xludf.DUMMYFUNCTION("IFERROR(FILTER('Fund Data'!$D:$D, 'Fund Data'!$C:$C = $A89, 'Fund Data'!$A:$A = K$1, 'Fund Data'!$B:$B = 12),"""")"),"")</f>
        <v/>
      </c>
      <c r="L89" t="str">
        <f>IFERROR(__xludf.DUMMYFUNCTION("IFERROR(FILTER('Fund Data'!$D:$D, 'Fund Data'!$C:$C = $A89, 'Fund Data'!$A:$A = L$1, 'Fund Data'!$B:$B = 12),"""")"),"")</f>
        <v/>
      </c>
      <c r="M89" t="str">
        <f>IFERROR(__xludf.DUMMYFUNCTION("IFERROR(FILTER('Fund Data'!$D:$D, 'Fund Data'!$C:$C = $A89, 'Fund Data'!$A:$A = M$1, 'Fund Data'!$B:$B = 12),"""")"),"")</f>
        <v/>
      </c>
      <c r="N89" t="str">
        <f>IFERROR(__xludf.DUMMYFUNCTION("IFERROR(FILTER('Fund Data'!$D:$D, 'Fund Data'!$C:$C = $A89, 'Fund Data'!$A:$A = N$1, 'Fund Data'!$B:$B = 12),"""")"),"")</f>
        <v/>
      </c>
      <c r="O89" t="str">
        <f>IFERROR(__xludf.DUMMYFUNCTION("IFERROR(FILTER('Fund Data'!$D:$D, 'Fund Data'!$C:$C = $A89, 'Fund Data'!$A:$A = O$1, 'Fund Data'!$B:$B = 12),"""")"),"")</f>
        <v/>
      </c>
      <c r="P89" t="str">
        <f>IFERROR(__xludf.DUMMYFUNCTION("IFERROR(FILTER('Fund Data'!$D:$D, 'Fund Data'!$C:$C = $A89, 'Fund Data'!$A:$A = P$1, 'Fund Data'!$B:$B = 12),"""")"),"")</f>
        <v/>
      </c>
      <c r="Q89" t="str">
        <f>IFERROR(__xludf.DUMMYFUNCTION("IFERROR(FILTER('Fund Data'!$D:$D, 'Fund Data'!$C:$C = $A89, 'Fund Data'!$A:$A = Q$1, 'Fund Data'!$B:$B = 12),"""")"),"")</f>
        <v/>
      </c>
      <c r="R89" t="str">
        <f>IFERROR(__xludf.DUMMYFUNCTION("IFERROR(FILTER('Fund Data'!$D:$D, 'Fund Data'!$C:$C = $A89, 'Fund Data'!$A:$A = R$1, 'Fund Data'!$B:$B = 12),"""")"),"")</f>
        <v/>
      </c>
      <c r="S89" t="str">
        <f>IFERROR(__xludf.DUMMYFUNCTION("IFERROR(FILTER('Fund Data'!$D:$D, 'Fund Data'!$C:$C = $A89, 'Fund Data'!$A:$A = S$1, 'Fund Data'!$B:$B = 12),"""")"),"")</f>
        <v/>
      </c>
      <c r="T89" t="str">
        <f>IFERROR(__xludf.DUMMYFUNCTION("IFERROR(FILTER('Fund Data'!$D:$D, 'Fund Data'!$C:$C = $A89, 'Fund Data'!$A:$A = T$1, 'Fund Data'!$B:$B = 12),"""")"),"")</f>
        <v/>
      </c>
      <c r="U89" t="str">
        <f>IFERROR(__xludf.DUMMYFUNCTION("IFERROR(FILTER('Fund Data'!$D:$D, 'Fund Data'!$C:$C = $A89, 'Fund Data'!$A:$A = U$1, 'Fund Data'!$B:$B = 12),"""")"),"")</f>
        <v/>
      </c>
      <c r="V89" t="str">
        <f>IFERROR(__xludf.DUMMYFUNCTION("IFERROR(FILTER('Fund Data'!$D:$D, 'Fund Data'!$C:$C = $A89, 'Fund Data'!$A:$A = V$1, 'Fund Data'!$B:$B = 12),"""")"),"")</f>
        <v/>
      </c>
      <c r="W89" t="str">
        <f>IFERROR(__xludf.DUMMYFUNCTION("IFERROR(FILTER('Fund Data'!$D:$D, 'Fund Data'!$C:$C = $A89, 'Fund Data'!$A:$A = W$1, 'Fund Data'!$B:$B = 12),"""")"),"")</f>
        <v/>
      </c>
      <c r="X89" t="str">
        <f>IFERROR(__xludf.DUMMYFUNCTION("IFERROR(FILTER('Fund Data'!$D:$D, 'Fund Data'!$C:$C = $A89, 'Fund Data'!$A:$A = X$1, 'Fund Data'!$B:$B = 12),"""")"),"")</f>
        <v/>
      </c>
      <c r="Y89" t="str">
        <f>IFERROR(__xludf.DUMMYFUNCTION("IFERROR(FILTER('Fund Data'!$D:$D, 'Fund Data'!$C:$C = $A89, 'Fund Data'!$A:$A = Y$1, 'Fund Data'!$B:$B = 12),"""")"),"")</f>
        <v/>
      </c>
      <c r="Z89" t="str">
        <f>IFERROR(__xludf.DUMMYFUNCTION("IFERROR(FILTER('Fund Data'!$D:$D, 'Fund Data'!$C:$C = $A89, 'Fund Data'!$A:$A = Z$1, 'Fund Data'!$B:$B = 12),"""")"),"")</f>
        <v/>
      </c>
      <c r="AA89" t="str">
        <f>IFERROR(__xludf.DUMMYFUNCTION("IFERROR(FILTER('Fund Data'!$D:$D, 'Fund Data'!$C:$C = $A89, 'Fund Data'!$A:$A = AA$1, 'Fund Data'!$B:$B = 12),"""")"),"")</f>
        <v/>
      </c>
      <c r="AB89" t="str">
        <f>IFERROR(__xludf.DUMMYFUNCTION("IFERROR(FILTER('Fund Data'!$D:$D, 'Fund Data'!$C:$C = $A89, 'Fund Data'!$A:$A = AB$1, 'Fund Data'!$B:$B = 12),"""")"),"")</f>
        <v/>
      </c>
      <c r="AC89" t="str">
        <f>IFERROR(__xludf.DUMMYFUNCTION("IFERROR(FILTER('Fund Data'!$D:$D, 'Fund Data'!$C:$C = $A89, 'Fund Data'!$A:$A = AC$1, 'Fund Data'!$B:$B = 12),"""")"),"")</f>
        <v/>
      </c>
      <c r="AD89" t="str">
        <f>IFERROR(__xludf.DUMMYFUNCTION("IFERROR(FILTER('Fund Data'!$D:$D, 'Fund Data'!$C:$C = $A89, 'Fund Data'!$A:$A = AD$1, 'Fund Data'!$B:$B = 12),"""")"),"")</f>
        <v/>
      </c>
      <c r="AE89" t="str">
        <f>IFERROR(__xludf.DUMMYFUNCTION("IFERROR(FILTER('Fund Data'!$D:$D, 'Fund Data'!$C:$C = $A89, 'Fund Data'!$A:$A = AE$1, 'Fund Data'!$B:$B = 12),"""")"),"")</f>
        <v/>
      </c>
    </row>
    <row r="90">
      <c r="A90" s="145" t="str">
        <f>'Endowed Funds'!B:B</f>
        <v/>
      </c>
      <c r="B90" t="str">
        <f>IFERROR(__xludf.DUMMYFUNCTION("IFERROR(FILTER('Fund Data'!$D:$D, 'Fund Data'!$C:$C = $A90, 'Fund Data'!$A:$A = B$1, 'Fund Data'!$B:$B = 12),"""")"),"")</f>
        <v/>
      </c>
      <c r="C90" t="str">
        <f>IFERROR(__xludf.DUMMYFUNCTION("IFERROR(FILTER('Fund Data'!$D:$D, 'Fund Data'!$C:$C = $A90, 'Fund Data'!$A:$A = C$1, 'Fund Data'!$B:$B = 12),"""")"),"")</f>
        <v/>
      </c>
      <c r="D90" t="str">
        <f>IFERROR(__xludf.DUMMYFUNCTION("IFERROR(FILTER('Fund Data'!$D:$D, 'Fund Data'!$C:$C = $A90, 'Fund Data'!$A:$A = D$1, 'Fund Data'!$B:$B = 12),"""")"),"")</f>
        <v/>
      </c>
      <c r="E90" t="str">
        <f>IFERROR(__xludf.DUMMYFUNCTION("IFERROR(FILTER('Fund Data'!$D:$D, 'Fund Data'!$C:$C = $A90, 'Fund Data'!$A:$A = E$1, 'Fund Data'!$B:$B = 12),"""")"),"")</f>
        <v/>
      </c>
      <c r="F90" t="str">
        <f>IFERROR(__xludf.DUMMYFUNCTION("IFERROR(FILTER('Fund Data'!$D:$D, 'Fund Data'!$C:$C = $A90, 'Fund Data'!$A:$A = F$1, 'Fund Data'!$B:$B = 12),"""")"),"")</f>
        <v/>
      </c>
      <c r="G90" t="str">
        <f>IFERROR(__xludf.DUMMYFUNCTION("IFERROR(FILTER('Fund Data'!$D:$D, 'Fund Data'!$C:$C = $A90, 'Fund Data'!$A:$A = G$1, 'Fund Data'!$B:$B = 12),"""")"),"")</f>
        <v/>
      </c>
      <c r="H90" t="str">
        <f>IFERROR(__xludf.DUMMYFUNCTION("IFERROR(FILTER('Fund Data'!$D:$D, 'Fund Data'!$C:$C = $A90, 'Fund Data'!$A:$A = H$1, 'Fund Data'!$B:$B = 12),"""")"),"")</f>
        <v/>
      </c>
      <c r="I90" t="str">
        <f>IFERROR(__xludf.DUMMYFUNCTION("IFERROR(FILTER('Fund Data'!$D:$D, 'Fund Data'!$C:$C = $A90, 'Fund Data'!$A:$A = I$1, 'Fund Data'!$B:$B = 12),"""")"),"")</f>
        <v/>
      </c>
      <c r="J90" t="str">
        <f>IFERROR(__xludf.DUMMYFUNCTION("IFERROR(FILTER('Fund Data'!$D:$D, 'Fund Data'!$C:$C = $A90, 'Fund Data'!$A:$A = J$1, 'Fund Data'!$B:$B = 12),"""")"),"")</f>
        <v/>
      </c>
      <c r="K90" t="str">
        <f>IFERROR(__xludf.DUMMYFUNCTION("IFERROR(FILTER('Fund Data'!$D:$D, 'Fund Data'!$C:$C = $A90, 'Fund Data'!$A:$A = K$1, 'Fund Data'!$B:$B = 12),"""")"),"")</f>
        <v/>
      </c>
      <c r="L90" t="str">
        <f>IFERROR(__xludf.DUMMYFUNCTION("IFERROR(FILTER('Fund Data'!$D:$D, 'Fund Data'!$C:$C = $A90, 'Fund Data'!$A:$A = L$1, 'Fund Data'!$B:$B = 12),"""")"),"")</f>
        <v/>
      </c>
      <c r="M90" t="str">
        <f>IFERROR(__xludf.DUMMYFUNCTION("IFERROR(FILTER('Fund Data'!$D:$D, 'Fund Data'!$C:$C = $A90, 'Fund Data'!$A:$A = M$1, 'Fund Data'!$B:$B = 12),"""")"),"")</f>
        <v/>
      </c>
      <c r="N90" t="str">
        <f>IFERROR(__xludf.DUMMYFUNCTION("IFERROR(FILTER('Fund Data'!$D:$D, 'Fund Data'!$C:$C = $A90, 'Fund Data'!$A:$A = N$1, 'Fund Data'!$B:$B = 12),"""")"),"")</f>
        <v/>
      </c>
      <c r="O90" t="str">
        <f>IFERROR(__xludf.DUMMYFUNCTION("IFERROR(FILTER('Fund Data'!$D:$D, 'Fund Data'!$C:$C = $A90, 'Fund Data'!$A:$A = O$1, 'Fund Data'!$B:$B = 12),"""")"),"")</f>
        <v/>
      </c>
      <c r="P90" t="str">
        <f>IFERROR(__xludf.DUMMYFUNCTION("IFERROR(FILTER('Fund Data'!$D:$D, 'Fund Data'!$C:$C = $A90, 'Fund Data'!$A:$A = P$1, 'Fund Data'!$B:$B = 12),"""")"),"")</f>
        <v/>
      </c>
      <c r="Q90" t="str">
        <f>IFERROR(__xludf.DUMMYFUNCTION("IFERROR(FILTER('Fund Data'!$D:$D, 'Fund Data'!$C:$C = $A90, 'Fund Data'!$A:$A = Q$1, 'Fund Data'!$B:$B = 12),"""")"),"")</f>
        <v/>
      </c>
      <c r="R90" t="str">
        <f>IFERROR(__xludf.DUMMYFUNCTION("IFERROR(FILTER('Fund Data'!$D:$D, 'Fund Data'!$C:$C = $A90, 'Fund Data'!$A:$A = R$1, 'Fund Data'!$B:$B = 12),"""")"),"")</f>
        <v/>
      </c>
      <c r="S90" t="str">
        <f>IFERROR(__xludf.DUMMYFUNCTION("IFERROR(FILTER('Fund Data'!$D:$D, 'Fund Data'!$C:$C = $A90, 'Fund Data'!$A:$A = S$1, 'Fund Data'!$B:$B = 12),"""")"),"")</f>
        <v/>
      </c>
      <c r="T90" t="str">
        <f>IFERROR(__xludf.DUMMYFUNCTION("IFERROR(FILTER('Fund Data'!$D:$D, 'Fund Data'!$C:$C = $A90, 'Fund Data'!$A:$A = T$1, 'Fund Data'!$B:$B = 12),"""")"),"")</f>
        <v/>
      </c>
      <c r="U90" t="str">
        <f>IFERROR(__xludf.DUMMYFUNCTION("IFERROR(FILTER('Fund Data'!$D:$D, 'Fund Data'!$C:$C = $A90, 'Fund Data'!$A:$A = U$1, 'Fund Data'!$B:$B = 12),"""")"),"")</f>
        <v/>
      </c>
      <c r="V90" t="str">
        <f>IFERROR(__xludf.DUMMYFUNCTION("IFERROR(FILTER('Fund Data'!$D:$D, 'Fund Data'!$C:$C = $A90, 'Fund Data'!$A:$A = V$1, 'Fund Data'!$B:$B = 12),"""")"),"")</f>
        <v/>
      </c>
      <c r="W90" t="str">
        <f>IFERROR(__xludf.DUMMYFUNCTION("IFERROR(FILTER('Fund Data'!$D:$D, 'Fund Data'!$C:$C = $A90, 'Fund Data'!$A:$A = W$1, 'Fund Data'!$B:$B = 12),"""")"),"")</f>
        <v/>
      </c>
      <c r="X90" t="str">
        <f>IFERROR(__xludf.DUMMYFUNCTION("IFERROR(FILTER('Fund Data'!$D:$D, 'Fund Data'!$C:$C = $A90, 'Fund Data'!$A:$A = X$1, 'Fund Data'!$B:$B = 12),"""")"),"")</f>
        <v/>
      </c>
      <c r="Y90" t="str">
        <f>IFERROR(__xludf.DUMMYFUNCTION("IFERROR(FILTER('Fund Data'!$D:$D, 'Fund Data'!$C:$C = $A90, 'Fund Data'!$A:$A = Y$1, 'Fund Data'!$B:$B = 12),"""")"),"")</f>
        <v/>
      </c>
      <c r="Z90" t="str">
        <f>IFERROR(__xludf.DUMMYFUNCTION("IFERROR(FILTER('Fund Data'!$D:$D, 'Fund Data'!$C:$C = $A90, 'Fund Data'!$A:$A = Z$1, 'Fund Data'!$B:$B = 12),"""")"),"")</f>
        <v/>
      </c>
      <c r="AA90" t="str">
        <f>IFERROR(__xludf.DUMMYFUNCTION("IFERROR(FILTER('Fund Data'!$D:$D, 'Fund Data'!$C:$C = $A90, 'Fund Data'!$A:$A = AA$1, 'Fund Data'!$B:$B = 12),"""")"),"")</f>
        <v/>
      </c>
      <c r="AB90" t="str">
        <f>IFERROR(__xludf.DUMMYFUNCTION("IFERROR(FILTER('Fund Data'!$D:$D, 'Fund Data'!$C:$C = $A90, 'Fund Data'!$A:$A = AB$1, 'Fund Data'!$B:$B = 12),"""")"),"")</f>
        <v/>
      </c>
      <c r="AC90" t="str">
        <f>IFERROR(__xludf.DUMMYFUNCTION("IFERROR(FILTER('Fund Data'!$D:$D, 'Fund Data'!$C:$C = $A90, 'Fund Data'!$A:$A = AC$1, 'Fund Data'!$B:$B = 12),"""")"),"")</f>
        <v/>
      </c>
      <c r="AD90" t="str">
        <f>IFERROR(__xludf.DUMMYFUNCTION("IFERROR(FILTER('Fund Data'!$D:$D, 'Fund Data'!$C:$C = $A90, 'Fund Data'!$A:$A = AD$1, 'Fund Data'!$B:$B = 12),"""")"),"")</f>
        <v/>
      </c>
      <c r="AE90" t="str">
        <f>IFERROR(__xludf.DUMMYFUNCTION("IFERROR(FILTER('Fund Data'!$D:$D, 'Fund Data'!$C:$C = $A90, 'Fund Data'!$A:$A = AE$1, 'Fund Data'!$B:$B = 12),"""")"),"")</f>
        <v/>
      </c>
    </row>
    <row r="91">
      <c r="A91" s="145" t="str">
        <f>'Endowed Funds'!B:B</f>
        <v/>
      </c>
      <c r="B91" t="str">
        <f>IFERROR(__xludf.DUMMYFUNCTION("IFERROR(FILTER('Fund Data'!$D:$D, 'Fund Data'!$C:$C = $A91, 'Fund Data'!$A:$A = B$1, 'Fund Data'!$B:$B = 12),"""")"),"")</f>
        <v/>
      </c>
      <c r="C91" t="str">
        <f>IFERROR(__xludf.DUMMYFUNCTION("IFERROR(FILTER('Fund Data'!$D:$D, 'Fund Data'!$C:$C = $A91, 'Fund Data'!$A:$A = C$1, 'Fund Data'!$B:$B = 12),"""")"),"")</f>
        <v/>
      </c>
      <c r="D91" t="str">
        <f>IFERROR(__xludf.DUMMYFUNCTION("IFERROR(FILTER('Fund Data'!$D:$D, 'Fund Data'!$C:$C = $A91, 'Fund Data'!$A:$A = D$1, 'Fund Data'!$B:$B = 12),"""")"),"")</f>
        <v/>
      </c>
      <c r="E91" t="str">
        <f>IFERROR(__xludf.DUMMYFUNCTION("IFERROR(FILTER('Fund Data'!$D:$D, 'Fund Data'!$C:$C = $A91, 'Fund Data'!$A:$A = E$1, 'Fund Data'!$B:$B = 12),"""")"),"")</f>
        <v/>
      </c>
      <c r="F91" t="str">
        <f>IFERROR(__xludf.DUMMYFUNCTION("IFERROR(FILTER('Fund Data'!$D:$D, 'Fund Data'!$C:$C = $A91, 'Fund Data'!$A:$A = F$1, 'Fund Data'!$B:$B = 12),"""")"),"")</f>
        <v/>
      </c>
      <c r="G91" t="str">
        <f>IFERROR(__xludf.DUMMYFUNCTION("IFERROR(FILTER('Fund Data'!$D:$D, 'Fund Data'!$C:$C = $A91, 'Fund Data'!$A:$A = G$1, 'Fund Data'!$B:$B = 12),"""")"),"")</f>
        <v/>
      </c>
      <c r="H91" t="str">
        <f>IFERROR(__xludf.DUMMYFUNCTION("IFERROR(FILTER('Fund Data'!$D:$D, 'Fund Data'!$C:$C = $A91, 'Fund Data'!$A:$A = H$1, 'Fund Data'!$B:$B = 12),"""")"),"")</f>
        <v/>
      </c>
      <c r="I91" t="str">
        <f>IFERROR(__xludf.DUMMYFUNCTION("IFERROR(FILTER('Fund Data'!$D:$D, 'Fund Data'!$C:$C = $A91, 'Fund Data'!$A:$A = I$1, 'Fund Data'!$B:$B = 12),"""")"),"")</f>
        <v/>
      </c>
      <c r="J91" t="str">
        <f>IFERROR(__xludf.DUMMYFUNCTION("IFERROR(FILTER('Fund Data'!$D:$D, 'Fund Data'!$C:$C = $A91, 'Fund Data'!$A:$A = J$1, 'Fund Data'!$B:$B = 12),"""")"),"")</f>
        <v/>
      </c>
      <c r="K91" t="str">
        <f>IFERROR(__xludf.DUMMYFUNCTION("IFERROR(FILTER('Fund Data'!$D:$D, 'Fund Data'!$C:$C = $A91, 'Fund Data'!$A:$A = K$1, 'Fund Data'!$B:$B = 12),"""")"),"")</f>
        <v/>
      </c>
      <c r="L91" t="str">
        <f>IFERROR(__xludf.DUMMYFUNCTION("IFERROR(FILTER('Fund Data'!$D:$D, 'Fund Data'!$C:$C = $A91, 'Fund Data'!$A:$A = L$1, 'Fund Data'!$B:$B = 12),"""")"),"")</f>
        <v/>
      </c>
      <c r="M91" t="str">
        <f>IFERROR(__xludf.DUMMYFUNCTION("IFERROR(FILTER('Fund Data'!$D:$D, 'Fund Data'!$C:$C = $A91, 'Fund Data'!$A:$A = M$1, 'Fund Data'!$B:$B = 12),"""")"),"")</f>
        <v/>
      </c>
      <c r="N91" t="str">
        <f>IFERROR(__xludf.DUMMYFUNCTION("IFERROR(FILTER('Fund Data'!$D:$D, 'Fund Data'!$C:$C = $A91, 'Fund Data'!$A:$A = N$1, 'Fund Data'!$B:$B = 12),"""")"),"")</f>
        <v/>
      </c>
      <c r="O91" t="str">
        <f>IFERROR(__xludf.DUMMYFUNCTION("IFERROR(FILTER('Fund Data'!$D:$D, 'Fund Data'!$C:$C = $A91, 'Fund Data'!$A:$A = O$1, 'Fund Data'!$B:$B = 12),"""")"),"")</f>
        <v/>
      </c>
      <c r="P91" t="str">
        <f>IFERROR(__xludf.DUMMYFUNCTION("IFERROR(FILTER('Fund Data'!$D:$D, 'Fund Data'!$C:$C = $A91, 'Fund Data'!$A:$A = P$1, 'Fund Data'!$B:$B = 12),"""")"),"")</f>
        <v/>
      </c>
      <c r="Q91" t="str">
        <f>IFERROR(__xludf.DUMMYFUNCTION("IFERROR(FILTER('Fund Data'!$D:$D, 'Fund Data'!$C:$C = $A91, 'Fund Data'!$A:$A = Q$1, 'Fund Data'!$B:$B = 12),"""")"),"")</f>
        <v/>
      </c>
      <c r="R91" t="str">
        <f>IFERROR(__xludf.DUMMYFUNCTION("IFERROR(FILTER('Fund Data'!$D:$D, 'Fund Data'!$C:$C = $A91, 'Fund Data'!$A:$A = R$1, 'Fund Data'!$B:$B = 12),"""")"),"")</f>
        <v/>
      </c>
      <c r="S91" t="str">
        <f>IFERROR(__xludf.DUMMYFUNCTION("IFERROR(FILTER('Fund Data'!$D:$D, 'Fund Data'!$C:$C = $A91, 'Fund Data'!$A:$A = S$1, 'Fund Data'!$B:$B = 12),"""")"),"")</f>
        <v/>
      </c>
      <c r="T91" t="str">
        <f>IFERROR(__xludf.DUMMYFUNCTION("IFERROR(FILTER('Fund Data'!$D:$D, 'Fund Data'!$C:$C = $A91, 'Fund Data'!$A:$A = T$1, 'Fund Data'!$B:$B = 12),"""")"),"")</f>
        <v/>
      </c>
      <c r="U91" t="str">
        <f>IFERROR(__xludf.DUMMYFUNCTION("IFERROR(FILTER('Fund Data'!$D:$D, 'Fund Data'!$C:$C = $A91, 'Fund Data'!$A:$A = U$1, 'Fund Data'!$B:$B = 12),"""")"),"")</f>
        <v/>
      </c>
      <c r="V91" t="str">
        <f>IFERROR(__xludf.DUMMYFUNCTION("IFERROR(FILTER('Fund Data'!$D:$D, 'Fund Data'!$C:$C = $A91, 'Fund Data'!$A:$A = V$1, 'Fund Data'!$B:$B = 12),"""")"),"")</f>
        <v/>
      </c>
      <c r="W91" t="str">
        <f>IFERROR(__xludf.DUMMYFUNCTION("IFERROR(FILTER('Fund Data'!$D:$D, 'Fund Data'!$C:$C = $A91, 'Fund Data'!$A:$A = W$1, 'Fund Data'!$B:$B = 12),"""")"),"")</f>
        <v/>
      </c>
      <c r="X91" t="str">
        <f>IFERROR(__xludf.DUMMYFUNCTION("IFERROR(FILTER('Fund Data'!$D:$D, 'Fund Data'!$C:$C = $A91, 'Fund Data'!$A:$A = X$1, 'Fund Data'!$B:$B = 12),"""")"),"")</f>
        <v/>
      </c>
      <c r="Y91" t="str">
        <f>IFERROR(__xludf.DUMMYFUNCTION("IFERROR(FILTER('Fund Data'!$D:$D, 'Fund Data'!$C:$C = $A91, 'Fund Data'!$A:$A = Y$1, 'Fund Data'!$B:$B = 12),"""")"),"")</f>
        <v/>
      </c>
      <c r="Z91" t="str">
        <f>IFERROR(__xludf.DUMMYFUNCTION("IFERROR(FILTER('Fund Data'!$D:$D, 'Fund Data'!$C:$C = $A91, 'Fund Data'!$A:$A = Z$1, 'Fund Data'!$B:$B = 12),"""")"),"")</f>
        <v/>
      </c>
      <c r="AA91" t="str">
        <f>IFERROR(__xludf.DUMMYFUNCTION("IFERROR(FILTER('Fund Data'!$D:$D, 'Fund Data'!$C:$C = $A91, 'Fund Data'!$A:$A = AA$1, 'Fund Data'!$B:$B = 12),"""")"),"")</f>
        <v/>
      </c>
      <c r="AB91" t="str">
        <f>IFERROR(__xludf.DUMMYFUNCTION("IFERROR(FILTER('Fund Data'!$D:$D, 'Fund Data'!$C:$C = $A91, 'Fund Data'!$A:$A = AB$1, 'Fund Data'!$B:$B = 12),"""")"),"")</f>
        <v/>
      </c>
      <c r="AC91" t="str">
        <f>IFERROR(__xludf.DUMMYFUNCTION("IFERROR(FILTER('Fund Data'!$D:$D, 'Fund Data'!$C:$C = $A91, 'Fund Data'!$A:$A = AC$1, 'Fund Data'!$B:$B = 12),"""")"),"")</f>
        <v/>
      </c>
      <c r="AD91" t="str">
        <f>IFERROR(__xludf.DUMMYFUNCTION("IFERROR(FILTER('Fund Data'!$D:$D, 'Fund Data'!$C:$C = $A91, 'Fund Data'!$A:$A = AD$1, 'Fund Data'!$B:$B = 12),"""")"),"")</f>
        <v/>
      </c>
      <c r="AE91" t="str">
        <f>IFERROR(__xludf.DUMMYFUNCTION("IFERROR(FILTER('Fund Data'!$D:$D, 'Fund Data'!$C:$C = $A91, 'Fund Data'!$A:$A = AE$1, 'Fund Data'!$B:$B = 12),"""")"),"")</f>
        <v/>
      </c>
    </row>
    <row r="92">
      <c r="A92" s="145" t="str">
        <f>'Endowed Funds'!B:B</f>
        <v/>
      </c>
      <c r="B92" t="str">
        <f>IFERROR(__xludf.DUMMYFUNCTION("IFERROR(FILTER('Fund Data'!$D:$D, 'Fund Data'!$C:$C = $A92, 'Fund Data'!$A:$A = B$1, 'Fund Data'!$B:$B = 12),"""")"),"")</f>
        <v/>
      </c>
      <c r="C92" t="str">
        <f>IFERROR(__xludf.DUMMYFUNCTION("IFERROR(FILTER('Fund Data'!$D:$D, 'Fund Data'!$C:$C = $A92, 'Fund Data'!$A:$A = C$1, 'Fund Data'!$B:$B = 12),"""")"),"")</f>
        <v/>
      </c>
      <c r="D92" t="str">
        <f>IFERROR(__xludf.DUMMYFUNCTION("IFERROR(FILTER('Fund Data'!$D:$D, 'Fund Data'!$C:$C = $A92, 'Fund Data'!$A:$A = D$1, 'Fund Data'!$B:$B = 12),"""")"),"")</f>
        <v/>
      </c>
      <c r="E92" t="str">
        <f>IFERROR(__xludf.DUMMYFUNCTION("IFERROR(FILTER('Fund Data'!$D:$D, 'Fund Data'!$C:$C = $A92, 'Fund Data'!$A:$A = E$1, 'Fund Data'!$B:$B = 12),"""")"),"")</f>
        <v/>
      </c>
      <c r="F92" t="str">
        <f>IFERROR(__xludf.DUMMYFUNCTION("IFERROR(FILTER('Fund Data'!$D:$D, 'Fund Data'!$C:$C = $A92, 'Fund Data'!$A:$A = F$1, 'Fund Data'!$B:$B = 12),"""")"),"")</f>
        <v/>
      </c>
      <c r="G92" t="str">
        <f>IFERROR(__xludf.DUMMYFUNCTION("IFERROR(FILTER('Fund Data'!$D:$D, 'Fund Data'!$C:$C = $A92, 'Fund Data'!$A:$A = G$1, 'Fund Data'!$B:$B = 12),"""")"),"")</f>
        <v/>
      </c>
      <c r="H92" t="str">
        <f>IFERROR(__xludf.DUMMYFUNCTION("IFERROR(FILTER('Fund Data'!$D:$D, 'Fund Data'!$C:$C = $A92, 'Fund Data'!$A:$A = H$1, 'Fund Data'!$B:$B = 12),"""")"),"")</f>
        <v/>
      </c>
      <c r="I92" t="str">
        <f>IFERROR(__xludf.DUMMYFUNCTION("IFERROR(FILTER('Fund Data'!$D:$D, 'Fund Data'!$C:$C = $A92, 'Fund Data'!$A:$A = I$1, 'Fund Data'!$B:$B = 12),"""")"),"")</f>
        <v/>
      </c>
      <c r="J92" t="str">
        <f>IFERROR(__xludf.DUMMYFUNCTION("IFERROR(FILTER('Fund Data'!$D:$D, 'Fund Data'!$C:$C = $A92, 'Fund Data'!$A:$A = J$1, 'Fund Data'!$B:$B = 12),"""")"),"")</f>
        <v/>
      </c>
      <c r="K92" t="str">
        <f>IFERROR(__xludf.DUMMYFUNCTION("IFERROR(FILTER('Fund Data'!$D:$D, 'Fund Data'!$C:$C = $A92, 'Fund Data'!$A:$A = K$1, 'Fund Data'!$B:$B = 12),"""")"),"")</f>
        <v/>
      </c>
      <c r="L92" t="str">
        <f>IFERROR(__xludf.DUMMYFUNCTION("IFERROR(FILTER('Fund Data'!$D:$D, 'Fund Data'!$C:$C = $A92, 'Fund Data'!$A:$A = L$1, 'Fund Data'!$B:$B = 12),"""")"),"")</f>
        <v/>
      </c>
      <c r="M92" t="str">
        <f>IFERROR(__xludf.DUMMYFUNCTION("IFERROR(FILTER('Fund Data'!$D:$D, 'Fund Data'!$C:$C = $A92, 'Fund Data'!$A:$A = M$1, 'Fund Data'!$B:$B = 12),"""")"),"")</f>
        <v/>
      </c>
      <c r="N92" t="str">
        <f>IFERROR(__xludf.DUMMYFUNCTION("IFERROR(FILTER('Fund Data'!$D:$D, 'Fund Data'!$C:$C = $A92, 'Fund Data'!$A:$A = N$1, 'Fund Data'!$B:$B = 12),"""")"),"")</f>
        <v/>
      </c>
      <c r="O92" t="str">
        <f>IFERROR(__xludf.DUMMYFUNCTION("IFERROR(FILTER('Fund Data'!$D:$D, 'Fund Data'!$C:$C = $A92, 'Fund Data'!$A:$A = O$1, 'Fund Data'!$B:$B = 12),"""")"),"")</f>
        <v/>
      </c>
      <c r="P92" t="str">
        <f>IFERROR(__xludf.DUMMYFUNCTION("IFERROR(FILTER('Fund Data'!$D:$D, 'Fund Data'!$C:$C = $A92, 'Fund Data'!$A:$A = P$1, 'Fund Data'!$B:$B = 12),"""")"),"")</f>
        <v/>
      </c>
      <c r="Q92" t="str">
        <f>IFERROR(__xludf.DUMMYFUNCTION("IFERROR(FILTER('Fund Data'!$D:$D, 'Fund Data'!$C:$C = $A92, 'Fund Data'!$A:$A = Q$1, 'Fund Data'!$B:$B = 12),"""")"),"")</f>
        <v/>
      </c>
      <c r="R92" t="str">
        <f>IFERROR(__xludf.DUMMYFUNCTION("IFERROR(FILTER('Fund Data'!$D:$D, 'Fund Data'!$C:$C = $A92, 'Fund Data'!$A:$A = R$1, 'Fund Data'!$B:$B = 12),"""")"),"")</f>
        <v/>
      </c>
      <c r="S92" t="str">
        <f>IFERROR(__xludf.DUMMYFUNCTION("IFERROR(FILTER('Fund Data'!$D:$D, 'Fund Data'!$C:$C = $A92, 'Fund Data'!$A:$A = S$1, 'Fund Data'!$B:$B = 12),"""")"),"")</f>
        <v/>
      </c>
      <c r="T92" t="str">
        <f>IFERROR(__xludf.DUMMYFUNCTION("IFERROR(FILTER('Fund Data'!$D:$D, 'Fund Data'!$C:$C = $A92, 'Fund Data'!$A:$A = T$1, 'Fund Data'!$B:$B = 12),"""")"),"")</f>
        <v/>
      </c>
      <c r="U92" t="str">
        <f>IFERROR(__xludf.DUMMYFUNCTION("IFERROR(FILTER('Fund Data'!$D:$D, 'Fund Data'!$C:$C = $A92, 'Fund Data'!$A:$A = U$1, 'Fund Data'!$B:$B = 12),"""")"),"")</f>
        <v/>
      </c>
      <c r="V92" t="str">
        <f>IFERROR(__xludf.DUMMYFUNCTION("IFERROR(FILTER('Fund Data'!$D:$D, 'Fund Data'!$C:$C = $A92, 'Fund Data'!$A:$A = V$1, 'Fund Data'!$B:$B = 12),"""")"),"")</f>
        <v/>
      </c>
      <c r="W92" t="str">
        <f>IFERROR(__xludf.DUMMYFUNCTION("IFERROR(FILTER('Fund Data'!$D:$D, 'Fund Data'!$C:$C = $A92, 'Fund Data'!$A:$A = W$1, 'Fund Data'!$B:$B = 12),"""")"),"")</f>
        <v/>
      </c>
      <c r="X92" t="str">
        <f>IFERROR(__xludf.DUMMYFUNCTION("IFERROR(FILTER('Fund Data'!$D:$D, 'Fund Data'!$C:$C = $A92, 'Fund Data'!$A:$A = X$1, 'Fund Data'!$B:$B = 12),"""")"),"")</f>
        <v/>
      </c>
      <c r="Y92" t="str">
        <f>IFERROR(__xludf.DUMMYFUNCTION("IFERROR(FILTER('Fund Data'!$D:$D, 'Fund Data'!$C:$C = $A92, 'Fund Data'!$A:$A = Y$1, 'Fund Data'!$B:$B = 12),"""")"),"")</f>
        <v/>
      </c>
      <c r="Z92" t="str">
        <f>IFERROR(__xludf.DUMMYFUNCTION("IFERROR(FILTER('Fund Data'!$D:$D, 'Fund Data'!$C:$C = $A92, 'Fund Data'!$A:$A = Z$1, 'Fund Data'!$B:$B = 12),"""")"),"")</f>
        <v/>
      </c>
      <c r="AA92" t="str">
        <f>IFERROR(__xludf.DUMMYFUNCTION("IFERROR(FILTER('Fund Data'!$D:$D, 'Fund Data'!$C:$C = $A92, 'Fund Data'!$A:$A = AA$1, 'Fund Data'!$B:$B = 12),"""")"),"")</f>
        <v/>
      </c>
      <c r="AB92" t="str">
        <f>IFERROR(__xludf.DUMMYFUNCTION("IFERROR(FILTER('Fund Data'!$D:$D, 'Fund Data'!$C:$C = $A92, 'Fund Data'!$A:$A = AB$1, 'Fund Data'!$B:$B = 12),"""")"),"")</f>
        <v/>
      </c>
      <c r="AC92" t="str">
        <f>IFERROR(__xludf.DUMMYFUNCTION("IFERROR(FILTER('Fund Data'!$D:$D, 'Fund Data'!$C:$C = $A92, 'Fund Data'!$A:$A = AC$1, 'Fund Data'!$B:$B = 12),"""")"),"")</f>
        <v/>
      </c>
      <c r="AD92" t="str">
        <f>IFERROR(__xludf.DUMMYFUNCTION("IFERROR(FILTER('Fund Data'!$D:$D, 'Fund Data'!$C:$C = $A92, 'Fund Data'!$A:$A = AD$1, 'Fund Data'!$B:$B = 12),"""")"),"")</f>
        <v/>
      </c>
      <c r="AE92" t="str">
        <f>IFERROR(__xludf.DUMMYFUNCTION("IFERROR(FILTER('Fund Data'!$D:$D, 'Fund Data'!$C:$C = $A92, 'Fund Data'!$A:$A = AE$1, 'Fund Data'!$B:$B = 12),"""")"),"")</f>
        <v/>
      </c>
    </row>
    <row r="93">
      <c r="A93" s="145" t="str">
        <f>'Endowed Funds'!B:B</f>
        <v/>
      </c>
      <c r="B93" t="str">
        <f>IFERROR(__xludf.DUMMYFUNCTION("IFERROR(FILTER('Fund Data'!$D:$D, 'Fund Data'!$C:$C = $A93, 'Fund Data'!$A:$A = B$1, 'Fund Data'!$B:$B = 12),"""")"),"")</f>
        <v/>
      </c>
      <c r="C93" t="str">
        <f>IFERROR(__xludf.DUMMYFUNCTION("IFERROR(FILTER('Fund Data'!$D:$D, 'Fund Data'!$C:$C = $A93, 'Fund Data'!$A:$A = C$1, 'Fund Data'!$B:$B = 12),"""")"),"")</f>
        <v/>
      </c>
      <c r="D93" t="str">
        <f>IFERROR(__xludf.DUMMYFUNCTION("IFERROR(FILTER('Fund Data'!$D:$D, 'Fund Data'!$C:$C = $A93, 'Fund Data'!$A:$A = D$1, 'Fund Data'!$B:$B = 12),"""")"),"")</f>
        <v/>
      </c>
      <c r="E93" t="str">
        <f>IFERROR(__xludf.DUMMYFUNCTION("IFERROR(FILTER('Fund Data'!$D:$D, 'Fund Data'!$C:$C = $A93, 'Fund Data'!$A:$A = E$1, 'Fund Data'!$B:$B = 12),"""")"),"")</f>
        <v/>
      </c>
      <c r="F93" t="str">
        <f>IFERROR(__xludf.DUMMYFUNCTION("IFERROR(FILTER('Fund Data'!$D:$D, 'Fund Data'!$C:$C = $A93, 'Fund Data'!$A:$A = F$1, 'Fund Data'!$B:$B = 12),"""")"),"")</f>
        <v/>
      </c>
      <c r="G93" t="str">
        <f>IFERROR(__xludf.DUMMYFUNCTION("IFERROR(FILTER('Fund Data'!$D:$D, 'Fund Data'!$C:$C = $A93, 'Fund Data'!$A:$A = G$1, 'Fund Data'!$B:$B = 12),"""")"),"")</f>
        <v/>
      </c>
      <c r="H93" t="str">
        <f>IFERROR(__xludf.DUMMYFUNCTION("IFERROR(FILTER('Fund Data'!$D:$D, 'Fund Data'!$C:$C = $A93, 'Fund Data'!$A:$A = H$1, 'Fund Data'!$B:$B = 12),"""")"),"")</f>
        <v/>
      </c>
      <c r="I93" t="str">
        <f>IFERROR(__xludf.DUMMYFUNCTION("IFERROR(FILTER('Fund Data'!$D:$D, 'Fund Data'!$C:$C = $A93, 'Fund Data'!$A:$A = I$1, 'Fund Data'!$B:$B = 12),"""")"),"")</f>
        <v/>
      </c>
      <c r="J93" t="str">
        <f>IFERROR(__xludf.DUMMYFUNCTION("IFERROR(FILTER('Fund Data'!$D:$D, 'Fund Data'!$C:$C = $A93, 'Fund Data'!$A:$A = J$1, 'Fund Data'!$B:$B = 12),"""")"),"")</f>
        <v/>
      </c>
      <c r="K93" t="str">
        <f>IFERROR(__xludf.DUMMYFUNCTION("IFERROR(FILTER('Fund Data'!$D:$D, 'Fund Data'!$C:$C = $A93, 'Fund Data'!$A:$A = K$1, 'Fund Data'!$B:$B = 12),"""")"),"")</f>
        <v/>
      </c>
      <c r="L93" t="str">
        <f>IFERROR(__xludf.DUMMYFUNCTION("IFERROR(FILTER('Fund Data'!$D:$D, 'Fund Data'!$C:$C = $A93, 'Fund Data'!$A:$A = L$1, 'Fund Data'!$B:$B = 12),"""")"),"")</f>
        <v/>
      </c>
      <c r="M93" t="str">
        <f>IFERROR(__xludf.DUMMYFUNCTION("IFERROR(FILTER('Fund Data'!$D:$D, 'Fund Data'!$C:$C = $A93, 'Fund Data'!$A:$A = M$1, 'Fund Data'!$B:$B = 12),"""")"),"")</f>
        <v/>
      </c>
      <c r="N93" t="str">
        <f>IFERROR(__xludf.DUMMYFUNCTION("IFERROR(FILTER('Fund Data'!$D:$D, 'Fund Data'!$C:$C = $A93, 'Fund Data'!$A:$A = N$1, 'Fund Data'!$B:$B = 12),"""")"),"")</f>
        <v/>
      </c>
      <c r="O93" t="str">
        <f>IFERROR(__xludf.DUMMYFUNCTION("IFERROR(FILTER('Fund Data'!$D:$D, 'Fund Data'!$C:$C = $A93, 'Fund Data'!$A:$A = O$1, 'Fund Data'!$B:$B = 12),"""")"),"")</f>
        <v/>
      </c>
      <c r="P93" t="str">
        <f>IFERROR(__xludf.DUMMYFUNCTION("IFERROR(FILTER('Fund Data'!$D:$D, 'Fund Data'!$C:$C = $A93, 'Fund Data'!$A:$A = P$1, 'Fund Data'!$B:$B = 12),"""")"),"")</f>
        <v/>
      </c>
      <c r="Q93" t="str">
        <f>IFERROR(__xludf.DUMMYFUNCTION("IFERROR(FILTER('Fund Data'!$D:$D, 'Fund Data'!$C:$C = $A93, 'Fund Data'!$A:$A = Q$1, 'Fund Data'!$B:$B = 12),"""")"),"")</f>
        <v/>
      </c>
      <c r="R93" t="str">
        <f>IFERROR(__xludf.DUMMYFUNCTION("IFERROR(FILTER('Fund Data'!$D:$D, 'Fund Data'!$C:$C = $A93, 'Fund Data'!$A:$A = R$1, 'Fund Data'!$B:$B = 12),"""")"),"")</f>
        <v/>
      </c>
      <c r="S93" t="str">
        <f>IFERROR(__xludf.DUMMYFUNCTION("IFERROR(FILTER('Fund Data'!$D:$D, 'Fund Data'!$C:$C = $A93, 'Fund Data'!$A:$A = S$1, 'Fund Data'!$B:$B = 12),"""")"),"")</f>
        <v/>
      </c>
      <c r="T93" t="str">
        <f>IFERROR(__xludf.DUMMYFUNCTION("IFERROR(FILTER('Fund Data'!$D:$D, 'Fund Data'!$C:$C = $A93, 'Fund Data'!$A:$A = T$1, 'Fund Data'!$B:$B = 12),"""")"),"")</f>
        <v/>
      </c>
      <c r="U93" t="str">
        <f>IFERROR(__xludf.DUMMYFUNCTION("IFERROR(FILTER('Fund Data'!$D:$D, 'Fund Data'!$C:$C = $A93, 'Fund Data'!$A:$A = U$1, 'Fund Data'!$B:$B = 12),"""")"),"")</f>
        <v/>
      </c>
      <c r="V93" t="str">
        <f>IFERROR(__xludf.DUMMYFUNCTION("IFERROR(FILTER('Fund Data'!$D:$D, 'Fund Data'!$C:$C = $A93, 'Fund Data'!$A:$A = V$1, 'Fund Data'!$B:$B = 12),"""")"),"")</f>
        <v/>
      </c>
      <c r="W93" t="str">
        <f>IFERROR(__xludf.DUMMYFUNCTION("IFERROR(FILTER('Fund Data'!$D:$D, 'Fund Data'!$C:$C = $A93, 'Fund Data'!$A:$A = W$1, 'Fund Data'!$B:$B = 12),"""")"),"")</f>
        <v/>
      </c>
      <c r="X93" t="str">
        <f>IFERROR(__xludf.DUMMYFUNCTION("IFERROR(FILTER('Fund Data'!$D:$D, 'Fund Data'!$C:$C = $A93, 'Fund Data'!$A:$A = X$1, 'Fund Data'!$B:$B = 12),"""")"),"")</f>
        <v/>
      </c>
      <c r="Y93" t="str">
        <f>IFERROR(__xludf.DUMMYFUNCTION("IFERROR(FILTER('Fund Data'!$D:$D, 'Fund Data'!$C:$C = $A93, 'Fund Data'!$A:$A = Y$1, 'Fund Data'!$B:$B = 12),"""")"),"")</f>
        <v/>
      </c>
      <c r="Z93" t="str">
        <f>IFERROR(__xludf.DUMMYFUNCTION("IFERROR(FILTER('Fund Data'!$D:$D, 'Fund Data'!$C:$C = $A93, 'Fund Data'!$A:$A = Z$1, 'Fund Data'!$B:$B = 12),"""")"),"")</f>
        <v/>
      </c>
      <c r="AA93" t="str">
        <f>IFERROR(__xludf.DUMMYFUNCTION("IFERROR(FILTER('Fund Data'!$D:$D, 'Fund Data'!$C:$C = $A93, 'Fund Data'!$A:$A = AA$1, 'Fund Data'!$B:$B = 12),"""")"),"")</f>
        <v/>
      </c>
      <c r="AB93" t="str">
        <f>IFERROR(__xludf.DUMMYFUNCTION("IFERROR(FILTER('Fund Data'!$D:$D, 'Fund Data'!$C:$C = $A93, 'Fund Data'!$A:$A = AB$1, 'Fund Data'!$B:$B = 12),"""")"),"")</f>
        <v/>
      </c>
      <c r="AC93" t="str">
        <f>IFERROR(__xludf.DUMMYFUNCTION("IFERROR(FILTER('Fund Data'!$D:$D, 'Fund Data'!$C:$C = $A93, 'Fund Data'!$A:$A = AC$1, 'Fund Data'!$B:$B = 12),"""")"),"")</f>
        <v/>
      </c>
      <c r="AD93" t="str">
        <f>IFERROR(__xludf.DUMMYFUNCTION("IFERROR(FILTER('Fund Data'!$D:$D, 'Fund Data'!$C:$C = $A93, 'Fund Data'!$A:$A = AD$1, 'Fund Data'!$B:$B = 12),"""")"),"")</f>
        <v/>
      </c>
      <c r="AE93" t="str">
        <f>IFERROR(__xludf.DUMMYFUNCTION("IFERROR(FILTER('Fund Data'!$D:$D, 'Fund Data'!$C:$C = $A93, 'Fund Data'!$A:$A = AE$1, 'Fund Data'!$B:$B = 12),"""")"),"")</f>
        <v/>
      </c>
    </row>
    <row r="94">
      <c r="A94" s="145" t="str">
        <f>'Endowed Funds'!B:B</f>
        <v/>
      </c>
      <c r="B94" t="str">
        <f>IFERROR(__xludf.DUMMYFUNCTION("IFERROR(FILTER('Fund Data'!$D:$D, 'Fund Data'!$C:$C = $A94, 'Fund Data'!$A:$A = B$1, 'Fund Data'!$B:$B = 12),"""")"),"")</f>
        <v/>
      </c>
      <c r="C94" t="str">
        <f>IFERROR(__xludf.DUMMYFUNCTION("IFERROR(FILTER('Fund Data'!$D:$D, 'Fund Data'!$C:$C = $A94, 'Fund Data'!$A:$A = C$1, 'Fund Data'!$B:$B = 12),"""")"),"")</f>
        <v/>
      </c>
      <c r="D94" t="str">
        <f>IFERROR(__xludf.DUMMYFUNCTION("IFERROR(FILTER('Fund Data'!$D:$D, 'Fund Data'!$C:$C = $A94, 'Fund Data'!$A:$A = D$1, 'Fund Data'!$B:$B = 12),"""")"),"")</f>
        <v/>
      </c>
      <c r="E94" t="str">
        <f>IFERROR(__xludf.DUMMYFUNCTION("IFERROR(FILTER('Fund Data'!$D:$D, 'Fund Data'!$C:$C = $A94, 'Fund Data'!$A:$A = E$1, 'Fund Data'!$B:$B = 12),"""")"),"")</f>
        <v/>
      </c>
      <c r="F94" t="str">
        <f>IFERROR(__xludf.DUMMYFUNCTION("IFERROR(FILTER('Fund Data'!$D:$D, 'Fund Data'!$C:$C = $A94, 'Fund Data'!$A:$A = F$1, 'Fund Data'!$B:$B = 12),"""")"),"")</f>
        <v/>
      </c>
      <c r="G94" t="str">
        <f>IFERROR(__xludf.DUMMYFUNCTION("IFERROR(FILTER('Fund Data'!$D:$D, 'Fund Data'!$C:$C = $A94, 'Fund Data'!$A:$A = G$1, 'Fund Data'!$B:$B = 12),"""")"),"")</f>
        <v/>
      </c>
      <c r="H94" t="str">
        <f>IFERROR(__xludf.DUMMYFUNCTION("IFERROR(FILTER('Fund Data'!$D:$D, 'Fund Data'!$C:$C = $A94, 'Fund Data'!$A:$A = H$1, 'Fund Data'!$B:$B = 12),"""")"),"")</f>
        <v/>
      </c>
      <c r="I94" t="str">
        <f>IFERROR(__xludf.DUMMYFUNCTION("IFERROR(FILTER('Fund Data'!$D:$D, 'Fund Data'!$C:$C = $A94, 'Fund Data'!$A:$A = I$1, 'Fund Data'!$B:$B = 12),"""")"),"")</f>
        <v/>
      </c>
      <c r="J94" t="str">
        <f>IFERROR(__xludf.DUMMYFUNCTION("IFERROR(FILTER('Fund Data'!$D:$D, 'Fund Data'!$C:$C = $A94, 'Fund Data'!$A:$A = J$1, 'Fund Data'!$B:$B = 12),"""")"),"")</f>
        <v/>
      </c>
      <c r="K94" t="str">
        <f>IFERROR(__xludf.DUMMYFUNCTION("IFERROR(FILTER('Fund Data'!$D:$D, 'Fund Data'!$C:$C = $A94, 'Fund Data'!$A:$A = K$1, 'Fund Data'!$B:$B = 12),"""")"),"")</f>
        <v/>
      </c>
      <c r="L94" t="str">
        <f>IFERROR(__xludf.DUMMYFUNCTION("IFERROR(FILTER('Fund Data'!$D:$D, 'Fund Data'!$C:$C = $A94, 'Fund Data'!$A:$A = L$1, 'Fund Data'!$B:$B = 12),"""")"),"")</f>
        <v/>
      </c>
      <c r="M94" t="str">
        <f>IFERROR(__xludf.DUMMYFUNCTION("IFERROR(FILTER('Fund Data'!$D:$D, 'Fund Data'!$C:$C = $A94, 'Fund Data'!$A:$A = M$1, 'Fund Data'!$B:$B = 12),"""")"),"")</f>
        <v/>
      </c>
      <c r="N94" t="str">
        <f>IFERROR(__xludf.DUMMYFUNCTION("IFERROR(FILTER('Fund Data'!$D:$D, 'Fund Data'!$C:$C = $A94, 'Fund Data'!$A:$A = N$1, 'Fund Data'!$B:$B = 12),"""")"),"")</f>
        <v/>
      </c>
      <c r="O94" t="str">
        <f>IFERROR(__xludf.DUMMYFUNCTION("IFERROR(FILTER('Fund Data'!$D:$D, 'Fund Data'!$C:$C = $A94, 'Fund Data'!$A:$A = O$1, 'Fund Data'!$B:$B = 12),"""")"),"")</f>
        <v/>
      </c>
      <c r="P94" t="str">
        <f>IFERROR(__xludf.DUMMYFUNCTION("IFERROR(FILTER('Fund Data'!$D:$D, 'Fund Data'!$C:$C = $A94, 'Fund Data'!$A:$A = P$1, 'Fund Data'!$B:$B = 12),"""")"),"")</f>
        <v/>
      </c>
      <c r="Q94" t="str">
        <f>IFERROR(__xludf.DUMMYFUNCTION("IFERROR(FILTER('Fund Data'!$D:$D, 'Fund Data'!$C:$C = $A94, 'Fund Data'!$A:$A = Q$1, 'Fund Data'!$B:$B = 12),"""")"),"")</f>
        <v/>
      </c>
      <c r="R94" t="str">
        <f>IFERROR(__xludf.DUMMYFUNCTION("IFERROR(FILTER('Fund Data'!$D:$D, 'Fund Data'!$C:$C = $A94, 'Fund Data'!$A:$A = R$1, 'Fund Data'!$B:$B = 12),"""")"),"")</f>
        <v/>
      </c>
      <c r="S94" t="str">
        <f>IFERROR(__xludf.DUMMYFUNCTION("IFERROR(FILTER('Fund Data'!$D:$D, 'Fund Data'!$C:$C = $A94, 'Fund Data'!$A:$A = S$1, 'Fund Data'!$B:$B = 12),"""")"),"")</f>
        <v/>
      </c>
      <c r="T94" t="str">
        <f>IFERROR(__xludf.DUMMYFUNCTION("IFERROR(FILTER('Fund Data'!$D:$D, 'Fund Data'!$C:$C = $A94, 'Fund Data'!$A:$A = T$1, 'Fund Data'!$B:$B = 12),"""")"),"")</f>
        <v/>
      </c>
      <c r="U94" t="str">
        <f>IFERROR(__xludf.DUMMYFUNCTION("IFERROR(FILTER('Fund Data'!$D:$D, 'Fund Data'!$C:$C = $A94, 'Fund Data'!$A:$A = U$1, 'Fund Data'!$B:$B = 12),"""")"),"")</f>
        <v/>
      </c>
      <c r="V94" t="str">
        <f>IFERROR(__xludf.DUMMYFUNCTION("IFERROR(FILTER('Fund Data'!$D:$D, 'Fund Data'!$C:$C = $A94, 'Fund Data'!$A:$A = V$1, 'Fund Data'!$B:$B = 12),"""")"),"")</f>
        <v/>
      </c>
      <c r="W94" t="str">
        <f>IFERROR(__xludf.DUMMYFUNCTION("IFERROR(FILTER('Fund Data'!$D:$D, 'Fund Data'!$C:$C = $A94, 'Fund Data'!$A:$A = W$1, 'Fund Data'!$B:$B = 12),"""")"),"")</f>
        <v/>
      </c>
      <c r="X94" t="str">
        <f>IFERROR(__xludf.DUMMYFUNCTION("IFERROR(FILTER('Fund Data'!$D:$D, 'Fund Data'!$C:$C = $A94, 'Fund Data'!$A:$A = X$1, 'Fund Data'!$B:$B = 12),"""")"),"")</f>
        <v/>
      </c>
      <c r="Y94" t="str">
        <f>IFERROR(__xludf.DUMMYFUNCTION("IFERROR(FILTER('Fund Data'!$D:$D, 'Fund Data'!$C:$C = $A94, 'Fund Data'!$A:$A = Y$1, 'Fund Data'!$B:$B = 12),"""")"),"")</f>
        <v/>
      </c>
      <c r="Z94" t="str">
        <f>IFERROR(__xludf.DUMMYFUNCTION("IFERROR(FILTER('Fund Data'!$D:$D, 'Fund Data'!$C:$C = $A94, 'Fund Data'!$A:$A = Z$1, 'Fund Data'!$B:$B = 12),"""")"),"")</f>
        <v/>
      </c>
      <c r="AA94" t="str">
        <f>IFERROR(__xludf.DUMMYFUNCTION("IFERROR(FILTER('Fund Data'!$D:$D, 'Fund Data'!$C:$C = $A94, 'Fund Data'!$A:$A = AA$1, 'Fund Data'!$B:$B = 12),"""")"),"")</f>
        <v/>
      </c>
      <c r="AB94" t="str">
        <f>IFERROR(__xludf.DUMMYFUNCTION("IFERROR(FILTER('Fund Data'!$D:$D, 'Fund Data'!$C:$C = $A94, 'Fund Data'!$A:$A = AB$1, 'Fund Data'!$B:$B = 12),"""")"),"")</f>
        <v/>
      </c>
      <c r="AC94" t="str">
        <f>IFERROR(__xludf.DUMMYFUNCTION("IFERROR(FILTER('Fund Data'!$D:$D, 'Fund Data'!$C:$C = $A94, 'Fund Data'!$A:$A = AC$1, 'Fund Data'!$B:$B = 12),"""")"),"")</f>
        <v/>
      </c>
      <c r="AD94" t="str">
        <f>IFERROR(__xludf.DUMMYFUNCTION("IFERROR(FILTER('Fund Data'!$D:$D, 'Fund Data'!$C:$C = $A94, 'Fund Data'!$A:$A = AD$1, 'Fund Data'!$B:$B = 12),"""")"),"")</f>
        <v/>
      </c>
      <c r="AE94" t="str">
        <f>IFERROR(__xludf.DUMMYFUNCTION("IFERROR(FILTER('Fund Data'!$D:$D, 'Fund Data'!$C:$C = $A94, 'Fund Data'!$A:$A = AE$1, 'Fund Data'!$B:$B = 12),"""")"),"")</f>
        <v/>
      </c>
    </row>
    <row r="95">
      <c r="A95" s="145" t="str">
        <f>'Endowed Funds'!B:B</f>
        <v/>
      </c>
      <c r="B95" t="str">
        <f>IFERROR(__xludf.DUMMYFUNCTION("IFERROR(FILTER('Fund Data'!$D:$D, 'Fund Data'!$C:$C = $A95, 'Fund Data'!$A:$A = B$1, 'Fund Data'!$B:$B = 12),"""")"),"")</f>
        <v/>
      </c>
      <c r="C95" t="str">
        <f>IFERROR(__xludf.DUMMYFUNCTION("IFERROR(FILTER('Fund Data'!$D:$D, 'Fund Data'!$C:$C = $A95, 'Fund Data'!$A:$A = C$1, 'Fund Data'!$B:$B = 12),"""")"),"")</f>
        <v/>
      </c>
      <c r="D95" t="str">
        <f>IFERROR(__xludf.DUMMYFUNCTION("IFERROR(FILTER('Fund Data'!$D:$D, 'Fund Data'!$C:$C = $A95, 'Fund Data'!$A:$A = D$1, 'Fund Data'!$B:$B = 12),"""")"),"")</f>
        <v/>
      </c>
      <c r="E95" t="str">
        <f>IFERROR(__xludf.DUMMYFUNCTION("IFERROR(FILTER('Fund Data'!$D:$D, 'Fund Data'!$C:$C = $A95, 'Fund Data'!$A:$A = E$1, 'Fund Data'!$B:$B = 12),"""")"),"")</f>
        <v/>
      </c>
      <c r="F95" t="str">
        <f>IFERROR(__xludf.DUMMYFUNCTION("IFERROR(FILTER('Fund Data'!$D:$D, 'Fund Data'!$C:$C = $A95, 'Fund Data'!$A:$A = F$1, 'Fund Data'!$B:$B = 12),"""")"),"")</f>
        <v/>
      </c>
      <c r="G95" t="str">
        <f>IFERROR(__xludf.DUMMYFUNCTION("IFERROR(FILTER('Fund Data'!$D:$D, 'Fund Data'!$C:$C = $A95, 'Fund Data'!$A:$A = G$1, 'Fund Data'!$B:$B = 12),"""")"),"")</f>
        <v/>
      </c>
      <c r="H95" t="str">
        <f>IFERROR(__xludf.DUMMYFUNCTION("IFERROR(FILTER('Fund Data'!$D:$D, 'Fund Data'!$C:$C = $A95, 'Fund Data'!$A:$A = H$1, 'Fund Data'!$B:$B = 12),"""")"),"")</f>
        <v/>
      </c>
      <c r="I95" t="str">
        <f>IFERROR(__xludf.DUMMYFUNCTION("IFERROR(FILTER('Fund Data'!$D:$D, 'Fund Data'!$C:$C = $A95, 'Fund Data'!$A:$A = I$1, 'Fund Data'!$B:$B = 12),"""")"),"")</f>
        <v/>
      </c>
      <c r="J95" t="str">
        <f>IFERROR(__xludf.DUMMYFUNCTION("IFERROR(FILTER('Fund Data'!$D:$D, 'Fund Data'!$C:$C = $A95, 'Fund Data'!$A:$A = J$1, 'Fund Data'!$B:$B = 12),"""")"),"")</f>
        <v/>
      </c>
      <c r="K95" t="str">
        <f>IFERROR(__xludf.DUMMYFUNCTION("IFERROR(FILTER('Fund Data'!$D:$D, 'Fund Data'!$C:$C = $A95, 'Fund Data'!$A:$A = K$1, 'Fund Data'!$B:$B = 12),"""")"),"")</f>
        <v/>
      </c>
      <c r="L95" t="str">
        <f>IFERROR(__xludf.DUMMYFUNCTION("IFERROR(FILTER('Fund Data'!$D:$D, 'Fund Data'!$C:$C = $A95, 'Fund Data'!$A:$A = L$1, 'Fund Data'!$B:$B = 12),"""")"),"")</f>
        <v/>
      </c>
      <c r="M95" t="str">
        <f>IFERROR(__xludf.DUMMYFUNCTION("IFERROR(FILTER('Fund Data'!$D:$D, 'Fund Data'!$C:$C = $A95, 'Fund Data'!$A:$A = M$1, 'Fund Data'!$B:$B = 12),"""")"),"")</f>
        <v/>
      </c>
      <c r="N95" t="str">
        <f>IFERROR(__xludf.DUMMYFUNCTION("IFERROR(FILTER('Fund Data'!$D:$D, 'Fund Data'!$C:$C = $A95, 'Fund Data'!$A:$A = N$1, 'Fund Data'!$B:$B = 12),"""")"),"")</f>
        <v/>
      </c>
      <c r="O95" t="str">
        <f>IFERROR(__xludf.DUMMYFUNCTION("IFERROR(FILTER('Fund Data'!$D:$D, 'Fund Data'!$C:$C = $A95, 'Fund Data'!$A:$A = O$1, 'Fund Data'!$B:$B = 12),"""")"),"")</f>
        <v/>
      </c>
      <c r="P95" t="str">
        <f>IFERROR(__xludf.DUMMYFUNCTION("IFERROR(FILTER('Fund Data'!$D:$D, 'Fund Data'!$C:$C = $A95, 'Fund Data'!$A:$A = P$1, 'Fund Data'!$B:$B = 12),"""")"),"")</f>
        <v/>
      </c>
      <c r="Q95" t="str">
        <f>IFERROR(__xludf.DUMMYFUNCTION("IFERROR(FILTER('Fund Data'!$D:$D, 'Fund Data'!$C:$C = $A95, 'Fund Data'!$A:$A = Q$1, 'Fund Data'!$B:$B = 12),"""")"),"")</f>
        <v/>
      </c>
      <c r="R95" t="str">
        <f>IFERROR(__xludf.DUMMYFUNCTION("IFERROR(FILTER('Fund Data'!$D:$D, 'Fund Data'!$C:$C = $A95, 'Fund Data'!$A:$A = R$1, 'Fund Data'!$B:$B = 12),"""")"),"")</f>
        <v/>
      </c>
      <c r="S95" t="str">
        <f>IFERROR(__xludf.DUMMYFUNCTION("IFERROR(FILTER('Fund Data'!$D:$D, 'Fund Data'!$C:$C = $A95, 'Fund Data'!$A:$A = S$1, 'Fund Data'!$B:$B = 12),"""")"),"")</f>
        <v/>
      </c>
      <c r="T95" t="str">
        <f>IFERROR(__xludf.DUMMYFUNCTION("IFERROR(FILTER('Fund Data'!$D:$D, 'Fund Data'!$C:$C = $A95, 'Fund Data'!$A:$A = T$1, 'Fund Data'!$B:$B = 12),"""")"),"")</f>
        <v/>
      </c>
      <c r="U95" t="str">
        <f>IFERROR(__xludf.DUMMYFUNCTION("IFERROR(FILTER('Fund Data'!$D:$D, 'Fund Data'!$C:$C = $A95, 'Fund Data'!$A:$A = U$1, 'Fund Data'!$B:$B = 12),"""")"),"")</f>
        <v/>
      </c>
      <c r="V95" t="str">
        <f>IFERROR(__xludf.DUMMYFUNCTION("IFERROR(FILTER('Fund Data'!$D:$D, 'Fund Data'!$C:$C = $A95, 'Fund Data'!$A:$A = V$1, 'Fund Data'!$B:$B = 12),"""")"),"")</f>
        <v/>
      </c>
      <c r="W95" t="str">
        <f>IFERROR(__xludf.DUMMYFUNCTION("IFERROR(FILTER('Fund Data'!$D:$D, 'Fund Data'!$C:$C = $A95, 'Fund Data'!$A:$A = W$1, 'Fund Data'!$B:$B = 12),"""")"),"")</f>
        <v/>
      </c>
      <c r="X95" t="str">
        <f>IFERROR(__xludf.DUMMYFUNCTION("IFERROR(FILTER('Fund Data'!$D:$D, 'Fund Data'!$C:$C = $A95, 'Fund Data'!$A:$A = X$1, 'Fund Data'!$B:$B = 12),"""")"),"")</f>
        <v/>
      </c>
      <c r="Y95" t="str">
        <f>IFERROR(__xludf.DUMMYFUNCTION("IFERROR(FILTER('Fund Data'!$D:$D, 'Fund Data'!$C:$C = $A95, 'Fund Data'!$A:$A = Y$1, 'Fund Data'!$B:$B = 12),"""")"),"")</f>
        <v/>
      </c>
      <c r="Z95" t="str">
        <f>IFERROR(__xludf.DUMMYFUNCTION("IFERROR(FILTER('Fund Data'!$D:$D, 'Fund Data'!$C:$C = $A95, 'Fund Data'!$A:$A = Z$1, 'Fund Data'!$B:$B = 12),"""")"),"")</f>
        <v/>
      </c>
      <c r="AA95" t="str">
        <f>IFERROR(__xludf.DUMMYFUNCTION("IFERROR(FILTER('Fund Data'!$D:$D, 'Fund Data'!$C:$C = $A95, 'Fund Data'!$A:$A = AA$1, 'Fund Data'!$B:$B = 12),"""")"),"")</f>
        <v/>
      </c>
      <c r="AB95" t="str">
        <f>IFERROR(__xludf.DUMMYFUNCTION("IFERROR(FILTER('Fund Data'!$D:$D, 'Fund Data'!$C:$C = $A95, 'Fund Data'!$A:$A = AB$1, 'Fund Data'!$B:$B = 12),"""")"),"")</f>
        <v/>
      </c>
      <c r="AC95" t="str">
        <f>IFERROR(__xludf.DUMMYFUNCTION("IFERROR(FILTER('Fund Data'!$D:$D, 'Fund Data'!$C:$C = $A95, 'Fund Data'!$A:$A = AC$1, 'Fund Data'!$B:$B = 12),"""")"),"")</f>
        <v/>
      </c>
      <c r="AD95" t="str">
        <f>IFERROR(__xludf.DUMMYFUNCTION("IFERROR(FILTER('Fund Data'!$D:$D, 'Fund Data'!$C:$C = $A95, 'Fund Data'!$A:$A = AD$1, 'Fund Data'!$B:$B = 12),"""")"),"")</f>
        <v/>
      </c>
      <c r="AE95" t="str">
        <f>IFERROR(__xludf.DUMMYFUNCTION("IFERROR(FILTER('Fund Data'!$D:$D, 'Fund Data'!$C:$C = $A95, 'Fund Data'!$A:$A = AE$1, 'Fund Data'!$B:$B = 12),"""")"),"")</f>
        <v/>
      </c>
    </row>
    <row r="96">
      <c r="A96" s="145" t="str">
        <f>'Endowed Funds'!B:B</f>
        <v/>
      </c>
      <c r="B96" t="str">
        <f>IFERROR(__xludf.DUMMYFUNCTION("IFERROR(FILTER('Fund Data'!$D:$D, 'Fund Data'!$C:$C = $A96, 'Fund Data'!$A:$A = B$1, 'Fund Data'!$B:$B = 12),"""")"),"")</f>
        <v/>
      </c>
      <c r="C96" t="str">
        <f>IFERROR(__xludf.DUMMYFUNCTION("IFERROR(FILTER('Fund Data'!$D:$D, 'Fund Data'!$C:$C = $A96, 'Fund Data'!$A:$A = C$1, 'Fund Data'!$B:$B = 12),"""")"),"")</f>
        <v/>
      </c>
      <c r="D96" t="str">
        <f>IFERROR(__xludf.DUMMYFUNCTION("IFERROR(FILTER('Fund Data'!$D:$D, 'Fund Data'!$C:$C = $A96, 'Fund Data'!$A:$A = D$1, 'Fund Data'!$B:$B = 12),"""")"),"")</f>
        <v/>
      </c>
      <c r="E96" t="str">
        <f>IFERROR(__xludf.DUMMYFUNCTION("IFERROR(FILTER('Fund Data'!$D:$D, 'Fund Data'!$C:$C = $A96, 'Fund Data'!$A:$A = E$1, 'Fund Data'!$B:$B = 12),"""")"),"")</f>
        <v/>
      </c>
      <c r="F96" t="str">
        <f>IFERROR(__xludf.DUMMYFUNCTION("IFERROR(FILTER('Fund Data'!$D:$D, 'Fund Data'!$C:$C = $A96, 'Fund Data'!$A:$A = F$1, 'Fund Data'!$B:$B = 12),"""")"),"")</f>
        <v/>
      </c>
      <c r="G96" t="str">
        <f>IFERROR(__xludf.DUMMYFUNCTION("IFERROR(FILTER('Fund Data'!$D:$D, 'Fund Data'!$C:$C = $A96, 'Fund Data'!$A:$A = G$1, 'Fund Data'!$B:$B = 12),"""")"),"")</f>
        <v/>
      </c>
      <c r="H96" t="str">
        <f>IFERROR(__xludf.DUMMYFUNCTION("IFERROR(FILTER('Fund Data'!$D:$D, 'Fund Data'!$C:$C = $A96, 'Fund Data'!$A:$A = H$1, 'Fund Data'!$B:$B = 12),"""")"),"")</f>
        <v/>
      </c>
      <c r="I96" t="str">
        <f>IFERROR(__xludf.DUMMYFUNCTION("IFERROR(FILTER('Fund Data'!$D:$D, 'Fund Data'!$C:$C = $A96, 'Fund Data'!$A:$A = I$1, 'Fund Data'!$B:$B = 12),"""")"),"")</f>
        <v/>
      </c>
      <c r="J96" t="str">
        <f>IFERROR(__xludf.DUMMYFUNCTION("IFERROR(FILTER('Fund Data'!$D:$D, 'Fund Data'!$C:$C = $A96, 'Fund Data'!$A:$A = J$1, 'Fund Data'!$B:$B = 12),"""")"),"")</f>
        <v/>
      </c>
      <c r="K96" t="str">
        <f>IFERROR(__xludf.DUMMYFUNCTION("IFERROR(FILTER('Fund Data'!$D:$D, 'Fund Data'!$C:$C = $A96, 'Fund Data'!$A:$A = K$1, 'Fund Data'!$B:$B = 12),"""")"),"")</f>
        <v/>
      </c>
      <c r="L96" t="str">
        <f>IFERROR(__xludf.DUMMYFUNCTION("IFERROR(FILTER('Fund Data'!$D:$D, 'Fund Data'!$C:$C = $A96, 'Fund Data'!$A:$A = L$1, 'Fund Data'!$B:$B = 12),"""")"),"")</f>
        <v/>
      </c>
      <c r="M96" t="str">
        <f>IFERROR(__xludf.DUMMYFUNCTION("IFERROR(FILTER('Fund Data'!$D:$D, 'Fund Data'!$C:$C = $A96, 'Fund Data'!$A:$A = M$1, 'Fund Data'!$B:$B = 12),"""")"),"")</f>
        <v/>
      </c>
      <c r="N96" t="str">
        <f>IFERROR(__xludf.DUMMYFUNCTION("IFERROR(FILTER('Fund Data'!$D:$D, 'Fund Data'!$C:$C = $A96, 'Fund Data'!$A:$A = N$1, 'Fund Data'!$B:$B = 12),"""")"),"")</f>
        <v/>
      </c>
      <c r="O96" t="str">
        <f>IFERROR(__xludf.DUMMYFUNCTION("IFERROR(FILTER('Fund Data'!$D:$D, 'Fund Data'!$C:$C = $A96, 'Fund Data'!$A:$A = O$1, 'Fund Data'!$B:$B = 12),"""")"),"")</f>
        <v/>
      </c>
      <c r="P96" t="str">
        <f>IFERROR(__xludf.DUMMYFUNCTION("IFERROR(FILTER('Fund Data'!$D:$D, 'Fund Data'!$C:$C = $A96, 'Fund Data'!$A:$A = P$1, 'Fund Data'!$B:$B = 12),"""")"),"")</f>
        <v/>
      </c>
      <c r="Q96" t="str">
        <f>IFERROR(__xludf.DUMMYFUNCTION("IFERROR(FILTER('Fund Data'!$D:$D, 'Fund Data'!$C:$C = $A96, 'Fund Data'!$A:$A = Q$1, 'Fund Data'!$B:$B = 12),"""")"),"")</f>
        <v/>
      </c>
      <c r="R96" t="str">
        <f>IFERROR(__xludf.DUMMYFUNCTION("IFERROR(FILTER('Fund Data'!$D:$D, 'Fund Data'!$C:$C = $A96, 'Fund Data'!$A:$A = R$1, 'Fund Data'!$B:$B = 12),"""")"),"")</f>
        <v/>
      </c>
      <c r="S96" t="str">
        <f>IFERROR(__xludf.DUMMYFUNCTION("IFERROR(FILTER('Fund Data'!$D:$D, 'Fund Data'!$C:$C = $A96, 'Fund Data'!$A:$A = S$1, 'Fund Data'!$B:$B = 12),"""")"),"")</f>
        <v/>
      </c>
      <c r="T96" t="str">
        <f>IFERROR(__xludf.DUMMYFUNCTION("IFERROR(FILTER('Fund Data'!$D:$D, 'Fund Data'!$C:$C = $A96, 'Fund Data'!$A:$A = T$1, 'Fund Data'!$B:$B = 12),"""")"),"")</f>
        <v/>
      </c>
      <c r="U96" t="str">
        <f>IFERROR(__xludf.DUMMYFUNCTION("IFERROR(FILTER('Fund Data'!$D:$D, 'Fund Data'!$C:$C = $A96, 'Fund Data'!$A:$A = U$1, 'Fund Data'!$B:$B = 12),"""")"),"")</f>
        <v/>
      </c>
      <c r="V96" t="str">
        <f>IFERROR(__xludf.DUMMYFUNCTION("IFERROR(FILTER('Fund Data'!$D:$D, 'Fund Data'!$C:$C = $A96, 'Fund Data'!$A:$A = V$1, 'Fund Data'!$B:$B = 12),"""")"),"")</f>
        <v/>
      </c>
      <c r="W96" t="str">
        <f>IFERROR(__xludf.DUMMYFUNCTION("IFERROR(FILTER('Fund Data'!$D:$D, 'Fund Data'!$C:$C = $A96, 'Fund Data'!$A:$A = W$1, 'Fund Data'!$B:$B = 12),"""")"),"")</f>
        <v/>
      </c>
      <c r="X96" t="str">
        <f>IFERROR(__xludf.DUMMYFUNCTION("IFERROR(FILTER('Fund Data'!$D:$D, 'Fund Data'!$C:$C = $A96, 'Fund Data'!$A:$A = X$1, 'Fund Data'!$B:$B = 12),"""")"),"")</f>
        <v/>
      </c>
      <c r="Y96" t="str">
        <f>IFERROR(__xludf.DUMMYFUNCTION("IFERROR(FILTER('Fund Data'!$D:$D, 'Fund Data'!$C:$C = $A96, 'Fund Data'!$A:$A = Y$1, 'Fund Data'!$B:$B = 12),"""")"),"")</f>
        <v/>
      </c>
      <c r="Z96" t="str">
        <f>IFERROR(__xludf.DUMMYFUNCTION("IFERROR(FILTER('Fund Data'!$D:$D, 'Fund Data'!$C:$C = $A96, 'Fund Data'!$A:$A = Z$1, 'Fund Data'!$B:$B = 12),"""")"),"")</f>
        <v/>
      </c>
      <c r="AA96" t="str">
        <f>IFERROR(__xludf.DUMMYFUNCTION("IFERROR(FILTER('Fund Data'!$D:$D, 'Fund Data'!$C:$C = $A96, 'Fund Data'!$A:$A = AA$1, 'Fund Data'!$B:$B = 12),"""")"),"")</f>
        <v/>
      </c>
      <c r="AB96" t="str">
        <f>IFERROR(__xludf.DUMMYFUNCTION("IFERROR(FILTER('Fund Data'!$D:$D, 'Fund Data'!$C:$C = $A96, 'Fund Data'!$A:$A = AB$1, 'Fund Data'!$B:$B = 12),"""")"),"")</f>
        <v/>
      </c>
      <c r="AC96" t="str">
        <f>IFERROR(__xludf.DUMMYFUNCTION("IFERROR(FILTER('Fund Data'!$D:$D, 'Fund Data'!$C:$C = $A96, 'Fund Data'!$A:$A = AC$1, 'Fund Data'!$B:$B = 12),"""")"),"")</f>
        <v/>
      </c>
      <c r="AD96" t="str">
        <f>IFERROR(__xludf.DUMMYFUNCTION("IFERROR(FILTER('Fund Data'!$D:$D, 'Fund Data'!$C:$C = $A96, 'Fund Data'!$A:$A = AD$1, 'Fund Data'!$B:$B = 12),"""")"),"")</f>
        <v/>
      </c>
      <c r="AE96" t="str">
        <f>IFERROR(__xludf.DUMMYFUNCTION("IFERROR(FILTER('Fund Data'!$D:$D, 'Fund Data'!$C:$C = $A96, 'Fund Data'!$A:$A = AE$1, 'Fund Data'!$B:$B = 12),"""")"),"")</f>
        <v/>
      </c>
    </row>
    <row r="97">
      <c r="A97" s="145" t="str">
        <f>'Endowed Funds'!B:B</f>
        <v/>
      </c>
      <c r="B97" t="str">
        <f>IFERROR(__xludf.DUMMYFUNCTION("IFERROR(FILTER('Fund Data'!$D:$D, 'Fund Data'!$C:$C = $A97, 'Fund Data'!$A:$A = B$1, 'Fund Data'!$B:$B = 12),"""")"),"")</f>
        <v/>
      </c>
      <c r="C97" t="str">
        <f>IFERROR(__xludf.DUMMYFUNCTION("IFERROR(FILTER('Fund Data'!$D:$D, 'Fund Data'!$C:$C = $A97, 'Fund Data'!$A:$A = C$1, 'Fund Data'!$B:$B = 12),"""")"),"")</f>
        <v/>
      </c>
      <c r="D97" t="str">
        <f>IFERROR(__xludf.DUMMYFUNCTION("IFERROR(FILTER('Fund Data'!$D:$D, 'Fund Data'!$C:$C = $A97, 'Fund Data'!$A:$A = D$1, 'Fund Data'!$B:$B = 12),"""")"),"")</f>
        <v/>
      </c>
      <c r="E97" t="str">
        <f>IFERROR(__xludf.DUMMYFUNCTION("IFERROR(FILTER('Fund Data'!$D:$D, 'Fund Data'!$C:$C = $A97, 'Fund Data'!$A:$A = E$1, 'Fund Data'!$B:$B = 12),"""")"),"")</f>
        <v/>
      </c>
      <c r="F97" t="str">
        <f>IFERROR(__xludf.DUMMYFUNCTION("IFERROR(FILTER('Fund Data'!$D:$D, 'Fund Data'!$C:$C = $A97, 'Fund Data'!$A:$A = F$1, 'Fund Data'!$B:$B = 12),"""")"),"")</f>
        <v/>
      </c>
      <c r="G97" t="str">
        <f>IFERROR(__xludf.DUMMYFUNCTION("IFERROR(FILTER('Fund Data'!$D:$D, 'Fund Data'!$C:$C = $A97, 'Fund Data'!$A:$A = G$1, 'Fund Data'!$B:$B = 12),"""")"),"")</f>
        <v/>
      </c>
      <c r="H97" t="str">
        <f>IFERROR(__xludf.DUMMYFUNCTION("IFERROR(FILTER('Fund Data'!$D:$D, 'Fund Data'!$C:$C = $A97, 'Fund Data'!$A:$A = H$1, 'Fund Data'!$B:$B = 12),"""")"),"")</f>
        <v/>
      </c>
      <c r="I97" t="str">
        <f>IFERROR(__xludf.DUMMYFUNCTION("IFERROR(FILTER('Fund Data'!$D:$D, 'Fund Data'!$C:$C = $A97, 'Fund Data'!$A:$A = I$1, 'Fund Data'!$B:$B = 12),"""")"),"")</f>
        <v/>
      </c>
      <c r="J97" t="str">
        <f>IFERROR(__xludf.DUMMYFUNCTION("IFERROR(FILTER('Fund Data'!$D:$D, 'Fund Data'!$C:$C = $A97, 'Fund Data'!$A:$A = J$1, 'Fund Data'!$B:$B = 12),"""")"),"")</f>
        <v/>
      </c>
      <c r="K97" t="str">
        <f>IFERROR(__xludf.DUMMYFUNCTION("IFERROR(FILTER('Fund Data'!$D:$D, 'Fund Data'!$C:$C = $A97, 'Fund Data'!$A:$A = K$1, 'Fund Data'!$B:$B = 12),"""")"),"")</f>
        <v/>
      </c>
      <c r="L97" t="str">
        <f>IFERROR(__xludf.DUMMYFUNCTION("IFERROR(FILTER('Fund Data'!$D:$D, 'Fund Data'!$C:$C = $A97, 'Fund Data'!$A:$A = L$1, 'Fund Data'!$B:$B = 12),"""")"),"")</f>
        <v/>
      </c>
      <c r="M97" t="str">
        <f>IFERROR(__xludf.DUMMYFUNCTION("IFERROR(FILTER('Fund Data'!$D:$D, 'Fund Data'!$C:$C = $A97, 'Fund Data'!$A:$A = M$1, 'Fund Data'!$B:$B = 12),"""")"),"")</f>
        <v/>
      </c>
      <c r="N97" t="str">
        <f>IFERROR(__xludf.DUMMYFUNCTION("IFERROR(FILTER('Fund Data'!$D:$D, 'Fund Data'!$C:$C = $A97, 'Fund Data'!$A:$A = N$1, 'Fund Data'!$B:$B = 12),"""")"),"")</f>
        <v/>
      </c>
      <c r="O97" t="str">
        <f>IFERROR(__xludf.DUMMYFUNCTION("IFERROR(FILTER('Fund Data'!$D:$D, 'Fund Data'!$C:$C = $A97, 'Fund Data'!$A:$A = O$1, 'Fund Data'!$B:$B = 12),"""")"),"")</f>
        <v/>
      </c>
      <c r="P97" t="str">
        <f>IFERROR(__xludf.DUMMYFUNCTION("IFERROR(FILTER('Fund Data'!$D:$D, 'Fund Data'!$C:$C = $A97, 'Fund Data'!$A:$A = P$1, 'Fund Data'!$B:$B = 12),"""")"),"")</f>
        <v/>
      </c>
      <c r="Q97" t="str">
        <f>IFERROR(__xludf.DUMMYFUNCTION("IFERROR(FILTER('Fund Data'!$D:$D, 'Fund Data'!$C:$C = $A97, 'Fund Data'!$A:$A = Q$1, 'Fund Data'!$B:$B = 12),"""")"),"")</f>
        <v/>
      </c>
      <c r="R97" t="str">
        <f>IFERROR(__xludf.DUMMYFUNCTION("IFERROR(FILTER('Fund Data'!$D:$D, 'Fund Data'!$C:$C = $A97, 'Fund Data'!$A:$A = R$1, 'Fund Data'!$B:$B = 12),"""")"),"")</f>
        <v/>
      </c>
      <c r="S97" t="str">
        <f>IFERROR(__xludf.DUMMYFUNCTION("IFERROR(FILTER('Fund Data'!$D:$D, 'Fund Data'!$C:$C = $A97, 'Fund Data'!$A:$A = S$1, 'Fund Data'!$B:$B = 12),"""")"),"")</f>
        <v/>
      </c>
      <c r="T97" t="str">
        <f>IFERROR(__xludf.DUMMYFUNCTION("IFERROR(FILTER('Fund Data'!$D:$D, 'Fund Data'!$C:$C = $A97, 'Fund Data'!$A:$A = T$1, 'Fund Data'!$B:$B = 12),"""")"),"")</f>
        <v/>
      </c>
      <c r="U97" t="str">
        <f>IFERROR(__xludf.DUMMYFUNCTION("IFERROR(FILTER('Fund Data'!$D:$D, 'Fund Data'!$C:$C = $A97, 'Fund Data'!$A:$A = U$1, 'Fund Data'!$B:$B = 12),"""")"),"")</f>
        <v/>
      </c>
      <c r="V97" t="str">
        <f>IFERROR(__xludf.DUMMYFUNCTION("IFERROR(FILTER('Fund Data'!$D:$D, 'Fund Data'!$C:$C = $A97, 'Fund Data'!$A:$A = V$1, 'Fund Data'!$B:$B = 12),"""")"),"")</f>
        <v/>
      </c>
      <c r="W97" t="str">
        <f>IFERROR(__xludf.DUMMYFUNCTION("IFERROR(FILTER('Fund Data'!$D:$D, 'Fund Data'!$C:$C = $A97, 'Fund Data'!$A:$A = W$1, 'Fund Data'!$B:$B = 12),"""")"),"")</f>
        <v/>
      </c>
      <c r="X97" t="str">
        <f>IFERROR(__xludf.DUMMYFUNCTION("IFERROR(FILTER('Fund Data'!$D:$D, 'Fund Data'!$C:$C = $A97, 'Fund Data'!$A:$A = X$1, 'Fund Data'!$B:$B = 12),"""")"),"")</f>
        <v/>
      </c>
      <c r="Y97" t="str">
        <f>IFERROR(__xludf.DUMMYFUNCTION("IFERROR(FILTER('Fund Data'!$D:$D, 'Fund Data'!$C:$C = $A97, 'Fund Data'!$A:$A = Y$1, 'Fund Data'!$B:$B = 12),"""")"),"")</f>
        <v/>
      </c>
      <c r="Z97" t="str">
        <f>IFERROR(__xludf.DUMMYFUNCTION("IFERROR(FILTER('Fund Data'!$D:$D, 'Fund Data'!$C:$C = $A97, 'Fund Data'!$A:$A = Z$1, 'Fund Data'!$B:$B = 12),"""")"),"")</f>
        <v/>
      </c>
      <c r="AA97" t="str">
        <f>IFERROR(__xludf.DUMMYFUNCTION("IFERROR(FILTER('Fund Data'!$D:$D, 'Fund Data'!$C:$C = $A97, 'Fund Data'!$A:$A = AA$1, 'Fund Data'!$B:$B = 12),"""")"),"")</f>
        <v/>
      </c>
      <c r="AB97" t="str">
        <f>IFERROR(__xludf.DUMMYFUNCTION("IFERROR(FILTER('Fund Data'!$D:$D, 'Fund Data'!$C:$C = $A97, 'Fund Data'!$A:$A = AB$1, 'Fund Data'!$B:$B = 12),"""")"),"")</f>
        <v/>
      </c>
      <c r="AC97" t="str">
        <f>IFERROR(__xludf.DUMMYFUNCTION("IFERROR(FILTER('Fund Data'!$D:$D, 'Fund Data'!$C:$C = $A97, 'Fund Data'!$A:$A = AC$1, 'Fund Data'!$B:$B = 12),"""")"),"")</f>
        <v/>
      </c>
      <c r="AD97" t="str">
        <f>IFERROR(__xludf.DUMMYFUNCTION("IFERROR(FILTER('Fund Data'!$D:$D, 'Fund Data'!$C:$C = $A97, 'Fund Data'!$A:$A = AD$1, 'Fund Data'!$B:$B = 12),"""")"),"")</f>
        <v/>
      </c>
      <c r="AE97" t="str">
        <f>IFERROR(__xludf.DUMMYFUNCTION("IFERROR(FILTER('Fund Data'!$D:$D, 'Fund Data'!$C:$C = $A97, 'Fund Data'!$A:$A = AE$1, 'Fund Data'!$B:$B = 12),"""")"),"")</f>
        <v/>
      </c>
    </row>
    <row r="98">
      <c r="A98" s="145" t="str">
        <f>'Endowed Funds'!B:B</f>
        <v/>
      </c>
      <c r="B98" t="str">
        <f>IFERROR(__xludf.DUMMYFUNCTION("IFERROR(FILTER('Fund Data'!$D:$D, 'Fund Data'!$C:$C = $A98, 'Fund Data'!$A:$A = B$1, 'Fund Data'!$B:$B = 12),"""")"),"")</f>
        <v/>
      </c>
      <c r="C98" t="str">
        <f>IFERROR(__xludf.DUMMYFUNCTION("IFERROR(FILTER('Fund Data'!$D:$D, 'Fund Data'!$C:$C = $A98, 'Fund Data'!$A:$A = C$1, 'Fund Data'!$B:$B = 12),"""")"),"")</f>
        <v/>
      </c>
      <c r="D98" t="str">
        <f>IFERROR(__xludf.DUMMYFUNCTION("IFERROR(FILTER('Fund Data'!$D:$D, 'Fund Data'!$C:$C = $A98, 'Fund Data'!$A:$A = D$1, 'Fund Data'!$B:$B = 12),"""")"),"")</f>
        <v/>
      </c>
      <c r="E98" t="str">
        <f>IFERROR(__xludf.DUMMYFUNCTION("IFERROR(FILTER('Fund Data'!$D:$D, 'Fund Data'!$C:$C = $A98, 'Fund Data'!$A:$A = E$1, 'Fund Data'!$B:$B = 12),"""")"),"")</f>
        <v/>
      </c>
      <c r="F98" t="str">
        <f>IFERROR(__xludf.DUMMYFUNCTION("IFERROR(FILTER('Fund Data'!$D:$D, 'Fund Data'!$C:$C = $A98, 'Fund Data'!$A:$A = F$1, 'Fund Data'!$B:$B = 12),"""")"),"")</f>
        <v/>
      </c>
      <c r="G98" t="str">
        <f>IFERROR(__xludf.DUMMYFUNCTION("IFERROR(FILTER('Fund Data'!$D:$D, 'Fund Data'!$C:$C = $A98, 'Fund Data'!$A:$A = G$1, 'Fund Data'!$B:$B = 12),"""")"),"")</f>
        <v/>
      </c>
      <c r="H98" t="str">
        <f>IFERROR(__xludf.DUMMYFUNCTION("IFERROR(FILTER('Fund Data'!$D:$D, 'Fund Data'!$C:$C = $A98, 'Fund Data'!$A:$A = H$1, 'Fund Data'!$B:$B = 12),"""")"),"")</f>
        <v/>
      </c>
      <c r="I98" t="str">
        <f>IFERROR(__xludf.DUMMYFUNCTION("IFERROR(FILTER('Fund Data'!$D:$D, 'Fund Data'!$C:$C = $A98, 'Fund Data'!$A:$A = I$1, 'Fund Data'!$B:$B = 12),"""")"),"")</f>
        <v/>
      </c>
      <c r="J98" t="str">
        <f>IFERROR(__xludf.DUMMYFUNCTION("IFERROR(FILTER('Fund Data'!$D:$D, 'Fund Data'!$C:$C = $A98, 'Fund Data'!$A:$A = J$1, 'Fund Data'!$B:$B = 12),"""")"),"")</f>
        <v/>
      </c>
      <c r="K98" t="str">
        <f>IFERROR(__xludf.DUMMYFUNCTION("IFERROR(FILTER('Fund Data'!$D:$D, 'Fund Data'!$C:$C = $A98, 'Fund Data'!$A:$A = K$1, 'Fund Data'!$B:$B = 12),"""")"),"")</f>
        <v/>
      </c>
      <c r="L98" t="str">
        <f>IFERROR(__xludf.DUMMYFUNCTION("IFERROR(FILTER('Fund Data'!$D:$D, 'Fund Data'!$C:$C = $A98, 'Fund Data'!$A:$A = L$1, 'Fund Data'!$B:$B = 12),"""")"),"")</f>
        <v/>
      </c>
      <c r="M98" t="str">
        <f>IFERROR(__xludf.DUMMYFUNCTION("IFERROR(FILTER('Fund Data'!$D:$D, 'Fund Data'!$C:$C = $A98, 'Fund Data'!$A:$A = M$1, 'Fund Data'!$B:$B = 12),"""")"),"")</f>
        <v/>
      </c>
      <c r="N98" t="str">
        <f>IFERROR(__xludf.DUMMYFUNCTION("IFERROR(FILTER('Fund Data'!$D:$D, 'Fund Data'!$C:$C = $A98, 'Fund Data'!$A:$A = N$1, 'Fund Data'!$B:$B = 12),"""")"),"")</f>
        <v/>
      </c>
      <c r="O98" t="str">
        <f>IFERROR(__xludf.DUMMYFUNCTION("IFERROR(FILTER('Fund Data'!$D:$D, 'Fund Data'!$C:$C = $A98, 'Fund Data'!$A:$A = O$1, 'Fund Data'!$B:$B = 12),"""")"),"")</f>
        <v/>
      </c>
      <c r="P98" t="str">
        <f>IFERROR(__xludf.DUMMYFUNCTION("IFERROR(FILTER('Fund Data'!$D:$D, 'Fund Data'!$C:$C = $A98, 'Fund Data'!$A:$A = P$1, 'Fund Data'!$B:$B = 12),"""")"),"")</f>
        <v/>
      </c>
      <c r="Q98" t="str">
        <f>IFERROR(__xludf.DUMMYFUNCTION("IFERROR(FILTER('Fund Data'!$D:$D, 'Fund Data'!$C:$C = $A98, 'Fund Data'!$A:$A = Q$1, 'Fund Data'!$B:$B = 12),"""")"),"")</f>
        <v/>
      </c>
      <c r="R98" t="str">
        <f>IFERROR(__xludf.DUMMYFUNCTION("IFERROR(FILTER('Fund Data'!$D:$D, 'Fund Data'!$C:$C = $A98, 'Fund Data'!$A:$A = R$1, 'Fund Data'!$B:$B = 12),"""")"),"")</f>
        <v/>
      </c>
      <c r="S98" t="str">
        <f>IFERROR(__xludf.DUMMYFUNCTION("IFERROR(FILTER('Fund Data'!$D:$D, 'Fund Data'!$C:$C = $A98, 'Fund Data'!$A:$A = S$1, 'Fund Data'!$B:$B = 12),"""")"),"")</f>
        <v/>
      </c>
      <c r="T98" t="str">
        <f>IFERROR(__xludf.DUMMYFUNCTION("IFERROR(FILTER('Fund Data'!$D:$D, 'Fund Data'!$C:$C = $A98, 'Fund Data'!$A:$A = T$1, 'Fund Data'!$B:$B = 12),"""")"),"")</f>
        <v/>
      </c>
      <c r="U98" t="str">
        <f>IFERROR(__xludf.DUMMYFUNCTION("IFERROR(FILTER('Fund Data'!$D:$D, 'Fund Data'!$C:$C = $A98, 'Fund Data'!$A:$A = U$1, 'Fund Data'!$B:$B = 12),"""")"),"")</f>
        <v/>
      </c>
      <c r="V98" t="str">
        <f>IFERROR(__xludf.DUMMYFUNCTION("IFERROR(FILTER('Fund Data'!$D:$D, 'Fund Data'!$C:$C = $A98, 'Fund Data'!$A:$A = V$1, 'Fund Data'!$B:$B = 12),"""")"),"")</f>
        <v/>
      </c>
      <c r="W98" t="str">
        <f>IFERROR(__xludf.DUMMYFUNCTION("IFERROR(FILTER('Fund Data'!$D:$D, 'Fund Data'!$C:$C = $A98, 'Fund Data'!$A:$A = W$1, 'Fund Data'!$B:$B = 12),"""")"),"")</f>
        <v/>
      </c>
      <c r="X98" t="str">
        <f>IFERROR(__xludf.DUMMYFUNCTION("IFERROR(FILTER('Fund Data'!$D:$D, 'Fund Data'!$C:$C = $A98, 'Fund Data'!$A:$A = X$1, 'Fund Data'!$B:$B = 12),"""")"),"")</f>
        <v/>
      </c>
      <c r="Y98" t="str">
        <f>IFERROR(__xludf.DUMMYFUNCTION("IFERROR(FILTER('Fund Data'!$D:$D, 'Fund Data'!$C:$C = $A98, 'Fund Data'!$A:$A = Y$1, 'Fund Data'!$B:$B = 12),"""")"),"")</f>
        <v/>
      </c>
      <c r="Z98" t="str">
        <f>IFERROR(__xludf.DUMMYFUNCTION("IFERROR(FILTER('Fund Data'!$D:$D, 'Fund Data'!$C:$C = $A98, 'Fund Data'!$A:$A = Z$1, 'Fund Data'!$B:$B = 12),"""")"),"")</f>
        <v/>
      </c>
      <c r="AA98" t="str">
        <f>IFERROR(__xludf.DUMMYFUNCTION("IFERROR(FILTER('Fund Data'!$D:$D, 'Fund Data'!$C:$C = $A98, 'Fund Data'!$A:$A = AA$1, 'Fund Data'!$B:$B = 12),"""")"),"")</f>
        <v/>
      </c>
      <c r="AB98" t="str">
        <f>IFERROR(__xludf.DUMMYFUNCTION("IFERROR(FILTER('Fund Data'!$D:$D, 'Fund Data'!$C:$C = $A98, 'Fund Data'!$A:$A = AB$1, 'Fund Data'!$B:$B = 12),"""")"),"")</f>
        <v/>
      </c>
      <c r="AC98" t="str">
        <f>IFERROR(__xludf.DUMMYFUNCTION("IFERROR(FILTER('Fund Data'!$D:$D, 'Fund Data'!$C:$C = $A98, 'Fund Data'!$A:$A = AC$1, 'Fund Data'!$B:$B = 12),"""")"),"")</f>
        <v/>
      </c>
      <c r="AD98" t="str">
        <f>IFERROR(__xludf.DUMMYFUNCTION("IFERROR(FILTER('Fund Data'!$D:$D, 'Fund Data'!$C:$C = $A98, 'Fund Data'!$A:$A = AD$1, 'Fund Data'!$B:$B = 12),"""")"),"")</f>
        <v/>
      </c>
      <c r="AE98" t="str">
        <f>IFERROR(__xludf.DUMMYFUNCTION("IFERROR(FILTER('Fund Data'!$D:$D, 'Fund Data'!$C:$C = $A98, 'Fund Data'!$A:$A = AE$1, 'Fund Data'!$B:$B = 12),"""")"),"")</f>
        <v/>
      </c>
    </row>
    <row r="99">
      <c r="A99" s="145" t="str">
        <f>'Endowed Funds'!B:B</f>
        <v/>
      </c>
      <c r="B99" t="str">
        <f>IFERROR(__xludf.DUMMYFUNCTION("IFERROR(FILTER('Fund Data'!$D:$D, 'Fund Data'!$C:$C = $A99, 'Fund Data'!$A:$A = B$1, 'Fund Data'!$B:$B = 12),"""")"),"")</f>
        <v/>
      </c>
      <c r="C99" t="str">
        <f>IFERROR(__xludf.DUMMYFUNCTION("IFERROR(FILTER('Fund Data'!$D:$D, 'Fund Data'!$C:$C = $A99, 'Fund Data'!$A:$A = C$1, 'Fund Data'!$B:$B = 12),"""")"),"")</f>
        <v/>
      </c>
      <c r="D99" t="str">
        <f>IFERROR(__xludf.DUMMYFUNCTION("IFERROR(FILTER('Fund Data'!$D:$D, 'Fund Data'!$C:$C = $A99, 'Fund Data'!$A:$A = D$1, 'Fund Data'!$B:$B = 12),"""")"),"")</f>
        <v/>
      </c>
      <c r="E99" t="str">
        <f>IFERROR(__xludf.DUMMYFUNCTION("IFERROR(FILTER('Fund Data'!$D:$D, 'Fund Data'!$C:$C = $A99, 'Fund Data'!$A:$A = E$1, 'Fund Data'!$B:$B = 12),"""")"),"")</f>
        <v/>
      </c>
      <c r="F99" t="str">
        <f>IFERROR(__xludf.DUMMYFUNCTION("IFERROR(FILTER('Fund Data'!$D:$D, 'Fund Data'!$C:$C = $A99, 'Fund Data'!$A:$A = F$1, 'Fund Data'!$B:$B = 12),"""")"),"")</f>
        <v/>
      </c>
      <c r="G99" t="str">
        <f>IFERROR(__xludf.DUMMYFUNCTION("IFERROR(FILTER('Fund Data'!$D:$D, 'Fund Data'!$C:$C = $A99, 'Fund Data'!$A:$A = G$1, 'Fund Data'!$B:$B = 12),"""")"),"")</f>
        <v/>
      </c>
      <c r="H99" t="str">
        <f>IFERROR(__xludf.DUMMYFUNCTION("IFERROR(FILTER('Fund Data'!$D:$D, 'Fund Data'!$C:$C = $A99, 'Fund Data'!$A:$A = H$1, 'Fund Data'!$B:$B = 12),"""")"),"")</f>
        <v/>
      </c>
      <c r="I99" t="str">
        <f>IFERROR(__xludf.DUMMYFUNCTION("IFERROR(FILTER('Fund Data'!$D:$D, 'Fund Data'!$C:$C = $A99, 'Fund Data'!$A:$A = I$1, 'Fund Data'!$B:$B = 12),"""")"),"")</f>
        <v/>
      </c>
      <c r="J99" t="str">
        <f>IFERROR(__xludf.DUMMYFUNCTION("IFERROR(FILTER('Fund Data'!$D:$D, 'Fund Data'!$C:$C = $A99, 'Fund Data'!$A:$A = J$1, 'Fund Data'!$B:$B = 12),"""")"),"")</f>
        <v/>
      </c>
      <c r="K99" t="str">
        <f>IFERROR(__xludf.DUMMYFUNCTION("IFERROR(FILTER('Fund Data'!$D:$D, 'Fund Data'!$C:$C = $A99, 'Fund Data'!$A:$A = K$1, 'Fund Data'!$B:$B = 12),"""")"),"")</f>
        <v/>
      </c>
      <c r="L99" t="str">
        <f>IFERROR(__xludf.DUMMYFUNCTION("IFERROR(FILTER('Fund Data'!$D:$D, 'Fund Data'!$C:$C = $A99, 'Fund Data'!$A:$A = L$1, 'Fund Data'!$B:$B = 12),"""")"),"")</f>
        <v/>
      </c>
      <c r="M99" t="str">
        <f>IFERROR(__xludf.DUMMYFUNCTION("IFERROR(FILTER('Fund Data'!$D:$D, 'Fund Data'!$C:$C = $A99, 'Fund Data'!$A:$A = M$1, 'Fund Data'!$B:$B = 12),"""")"),"")</f>
        <v/>
      </c>
      <c r="N99" t="str">
        <f>IFERROR(__xludf.DUMMYFUNCTION("IFERROR(FILTER('Fund Data'!$D:$D, 'Fund Data'!$C:$C = $A99, 'Fund Data'!$A:$A = N$1, 'Fund Data'!$B:$B = 12),"""")"),"")</f>
        <v/>
      </c>
      <c r="O99" t="str">
        <f>IFERROR(__xludf.DUMMYFUNCTION("IFERROR(FILTER('Fund Data'!$D:$D, 'Fund Data'!$C:$C = $A99, 'Fund Data'!$A:$A = O$1, 'Fund Data'!$B:$B = 12),"""")"),"")</f>
        <v/>
      </c>
      <c r="P99" t="str">
        <f>IFERROR(__xludf.DUMMYFUNCTION("IFERROR(FILTER('Fund Data'!$D:$D, 'Fund Data'!$C:$C = $A99, 'Fund Data'!$A:$A = P$1, 'Fund Data'!$B:$B = 12),"""")"),"")</f>
        <v/>
      </c>
      <c r="Q99" t="str">
        <f>IFERROR(__xludf.DUMMYFUNCTION("IFERROR(FILTER('Fund Data'!$D:$D, 'Fund Data'!$C:$C = $A99, 'Fund Data'!$A:$A = Q$1, 'Fund Data'!$B:$B = 12),"""")"),"")</f>
        <v/>
      </c>
      <c r="R99" t="str">
        <f>IFERROR(__xludf.DUMMYFUNCTION("IFERROR(FILTER('Fund Data'!$D:$D, 'Fund Data'!$C:$C = $A99, 'Fund Data'!$A:$A = R$1, 'Fund Data'!$B:$B = 12),"""")"),"")</f>
        <v/>
      </c>
      <c r="S99" t="str">
        <f>IFERROR(__xludf.DUMMYFUNCTION("IFERROR(FILTER('Fund Data'!$D:$D, 'Fund Data'!$C:$C = $A99, 'Fund Data'!$A:$A = S$1, 'Fund Data'!$B:$B = 12),"""")"),"")</f>
        <v/>
      </c>
      <c r="T99" t="str">
        <f>IFERROR(__xludf.DUMMYFUNCTION("IFERROR(FILTER('Fund Data'!$D:$D, 'Fund Data'!$C:$C = $A99, 'Fund Data'!$A:$A = T$1, 'Fund Data'!$B:$B = 12),"""")"),"")</f>
        <v/>
      </c>
      <c r="U99" t="str">
        <f>IFERROR(__xludf.DUMMYFUNCTION("IFERROR(FILTER('Fund Data'!$D:$D, 'Fund Data'!$C:$C = $A99, 'Fund Data'!$A:$A = U$1, 'Fund Data'!$B:$B = 12),"""")"),"")</f>
        <v/>
      </c>
      <c r="V99" t="str">
        <f>IFERROR(__xludf.DUMMYFUNCTION("IFERROR(FILTER('Fund Data'!$D:$D, 'Fund Data'!$C:$C = $A99, 'Fund Data'!$A:$A = V$1, 'Fund Data'!$B:$B = 12),"""")"),"")</f>
        <v/>
      </c>
      <c r="W99" t="str">
        <f>IFERROR(__xludf.DUMMYFUNCTION("IFERROR(FILTER('Fund Data'!$D:$D, 'Fund Data'!$C:$C = $A99, 'Fund Data'!$A:$A = W$1, 'Fund Data'!$B:$B = 12),"""")"),"")</f>
        <v/>
      </c>
      <c r="X99" t="str">
        <f>IFERROR(__xludf.DUMMYFUNCTION("IFERROR(FILTER('Fund Data'!$D:$D, 'Fund Data'!$C:$C = $A99, 'Fund Data'!$A:$A = X$1, 'Fund Data'!$B:$B = 12),"""")"),"")</f>
        <v/>
      </c>
      <c r="Y99" t="str">
        <f>IFERROR(__xludf.DUMMYFUNCTION("IFERROR(FILTER('Fund Data'!$D:$D, 'Fund Data'!$C:$C = $A99, 'Fund Data'!$A:$A = Y$1, 'Fund Data'!$B:$B = 12),"""")"),"")</f>
        <v/>
      </c>
      <c r="Z99" t="str">
        <f>IFERROR(__xludf.DUMMYFUNCTION("IFERROR(FILTER('Fund Data'!$D:$D, 'Fund Data'!$C:$C = $A99, 'Fund Data'!$A:$A = Z$1, 'Fund Data'!$B:$B = 12),"""")"),"")</f>
        <v/>
      </c>
      <c r="AA99" t="str">
        <f>IFERROR(__xludf.DUMMYFUNCTION("IFERROR(FILTER('Fund Data'!$D:$D, 'Fund Data'!$C:$C = $A99, 'Fund Data'!$A:$A = AA$1, 'Fund Data'!$B:$B = 12),"""")"),"")</f>
        <v/>
      </c>
      <c r="AB99" t="str">
        <f>IFERROR(__xludf.DUMMYFUNCTION("IFERROR(FILTER('Fund Data'!$D:$D, 'Fund Data'!$C:$C = $A99, 'Fund Data'!$A:$A = AB$1, 'Fund Data'!$B:$B = 12),"""")"),"")</f>
        <v/>
      </c>
      <c r="AC99" t="str">
        <f>IFERROR(__xludf.DUMMYFUNCTION("IFERROR(FILTER('Fund Data'!$D:$D, 'Fund Data'!$C:$C = $A99, 'Fund Data'!$A:$A = AC$1, 'Fund Data'!$B:$B = 12),"""")"),"")</f>
        <v/>
      </c>
      <c r="AD99" t="str">
        <f>IFERROR(__xludf.DUMMYFUNCTION("IFERROR(FILTER('Fund Data'!$D:$D, 'Fund Data'!$C:$C = $A99, 'Fund Data'!$A:$A = AD$1, 'Fund Data'!$B:$B = 12),"""")"),"")</f>
        <v/>
      </c>
      <c r="AE99" t="str">
        <f>IFERROR(__xludf.DUMMYFUNCTION("IFERROR(FILTER('Fund Data'!$D:$D, 'Fund Data'!$C:$C = $A99, 'Fund Data'!$A:$A = AE$1, 'Fund Data'!$B:$B = 12),"""")"),"")</f>
        <v/>
      </c>
    </row>
    <row r="100">
      <c r="A100" s="145" t="str">
        <f>'Endowed Funds'!B:B</f>
        <v/>
      </c>
      <c r="B100" t="str">
        <f>IFERROR(__xludf.DUMMYFUNCTION("IFERROR(FILTER('Fund Data'!$D:$D, 'Fund Data'!$C:$C = $A100, 'Fund Data'!$A:$A = B$1, 'Fund Data'!$B:$B = 12),"""")"),"")</f>
        <v/>
      </c>
      <c r="C100" t="str">
        <f>IFERROR(__xludf.DUMMYFUNCTION("IFERROR(FILTER('Fund Data'!$D:$D, 'Fund Data'!$C:$C = $A100, 'Fund Data'!$A:$A = C$1, 'Fund Data'!$B:$B = 12),"""")"),"")</f>
        <v/>
      </c>
      <c r="D100" t="str">
        <f>IFERROR(__xludf.DUMMYFUNCTION("IFERROR(FILTER('Fund Data'!$D:$D, 'Fund Data'!$C:$C = $A100, 'Fund Data'!$A:$A = D$1, 'Fund Data'!$B:$B = 12),"""")"),"")</f>
        <v/>
      </c>
      <c r="E100" t="str">
        <f>IFERROR(__xludf.DUMMYFUNCTION("IFERROR(FILTER('Fund Data'!$D:$D, 'Fund Data'!$C:$C = $A100, 'Fund Data'!$A:$A = E$1, 'Fund Data'!$B:$B = 12),"""")"),"")</f>
        <v/>
      </c>
      <c r="F100" t="str">
        <f>IFERROR(__xludf.DUMMYFUNCTION("IFERROR(FILTER('Fund Data'!$D:$D, 'Fund Data'!$C:$C = $A100, 'Fund Data'!$A:$A = F$1, 'Fund Data'!$B:$B = 12),"""")"),"")</f>
        <v/>
      </c>
      <c r="G100" t="str">
        <f>IFERROR(__xludf.DUMMYFUNCTION("IFERROR(FILTER('Fund Data'!$D:$D, 'Fund Data'!$C:$C = $A100, 'Fund Data'!$A:$A = G$1, 'Fund Data'!$B:$B = 12),"""")"),"")</f>
        <v/>
      </c>
      <c r="H100" t="str">
        <f>IFERROR(__xludf.DUMMYFUNCTION("IFERROR(FILTER('Fund Data'!$D:$D, 'Fund Data'!$C:$C = $A100, 'Fund Data'!$A:$A = H$1, 'Fund Data'!$B:$B = 12),"""")"),"")</f>
        <v/>
      </c>
      <c r="I100" t="str">
        <f>IFERROR(__xludf.DUMMYFUNCTION("IFERROR(FILTER('Fund Data'!$D:$D, 'Fund Data'!$C:$C = $A100, 'Fund Data'!$A:$A = I$1, 'Fund Data'!$B:$B = 12),"""")"),"")</f>
        <v/>
      </c>
      <c r="J100" t="str">
        <f>IFERROR(__xludf.DUMMYFUNCTION("IFERROR(FILTER('Fund Data'!$D:$D, 'Fund Data'!$C:$C = $A100, 'Fund Data'!$A:$A = J$1, 'Fund Data'!$B:$B = 12),"""")"),"")</f>
        <v/>
      </c>
      <c r="K100" t="str">
        <f>IFERROR(__xludf.DUMMYFUNCTION("IFERROR(FILTER('Fund Data'!$D:$D, 'Fund Data'!$C:$C = $A100, 'Fund Data'!$A:$A = K$1, 'Fund Data'!$B:$B = 12),"""")"),"")</f>
        <v/>
      </c>
      <c r="L100" t="str">
        <f>IFERROR(__xludf.DUMMYFUNCTION("IFERROR(FILTER('Fund Data'!$D:$D, 'Fund Data'!$C:$C = $A100, 'Fund Data'!$A:$A = L$1, 'Fund Data'!$B:$B = 12),"""")"),"")</f>
        <v/>
      </c>
      <c r="M100" t="str">
        <f>IFERROR(__xludf.DUMMYFUNCTION("IFERROR(FILTER('Fund Data'!$D:$D, 'Fund Data'!$C:$C = $A100, 'Fund Data'!$A:$A = M$1, 'Fund Data'!$B:$B = 12),"""")"),"")</f>
        <v/>
      </c>
      <c r="N100" t="str">
        <f>IFERROR(__xludf.DUMMYFUNCTION("IFERROR(FILTER('Fund Data'!$D:$D, 'Fund Data'!$C:$C = $A100, 'Fund Data'!$A:$A = N$1, 'Fund Data'!$B:$B = 12),"""")"),"")</f>
        <v/>
      </c>
      <c r="O100" t="str">
        <f>IFERROR(__xludf.DUMMYFUNCTION("IFERROR(FILTER('Fund Data'!$D:$D, 'Fund Data'!$C:$C = $A100, 'Fund Data'!$A:$A = O$1, 'Fund Data'!$B:$B = 12),"""")"),"")</f>
        <v/>
      </c>
      <c r="P100" t="str">
        <f>IFERROR(__xludf.DUMMYFUNCTION("IFERROR(FILTER('Fund Data'!$D:$D, 'Fund Data'!$C:$C = $A100, 'Fund Data'!$A:$A = P$1, 'Fund Data'!$B:$B = 12),"""")"),"")</f>
        <v/>
      </c>
      <c r="Q100" t="str">
        <f>IFERROR(__xludf.DUMMYFUNCTION("IFERROR(FILTER('Fund Data'!$D:$D, 'Fund Data'!$C:$C = $A100, 'Fund Data'!$A:$A = Q$1, 'Fund Data'!$B:$B = 12),"""")"),"")</f>
        <v/>
      </c>
      <c r="R100" t="str">
        <f>IFERROR(__xludf.DUMMYFUNCTION("IFERROR(FILTER('Fund Data'!$D:$D, 'Fund Data'!$C:$C = $A100, 'Fund Data'!$A:$A = R$1, 'Fund Data'!$B:$B = 12),"""")"),"")</f>
        <v/>
      </c>
      <c r="S100" t="str">
        <f>IFERROR(__xludf.DUMMYFUNCTION("IFERROR(FILTER('Fund Data'!$D:$D, 'Fund Data'!$C:$C = $A100, 'Fund Data'!$A:$A = S$1, 'Fund Data'!$B:$B = 12),"""")"),"")</f>
        <v/>
      </c>
      <c r="T100" t="str">
        <f>IFERROR(__xludf.DUMMYFUNCTION("IFERROR(FILTER('Fund Data'!$D:$D, 'Fund Data'!$C:$C = $A100, 'Fund Data'!$A:$A = T$1, 'Fund Data'!$B:$B = 12),"""")"),"")</f>
        <v/>
      </c>
      <c r="U100" t="str">
        <f>IFERROR(__xludf.DUMMYFUNCTION("IFERROR(FILTER('Fund Data'!$D:$D, 'Fund Data'!$C:$C = $A100, 'Fund Data'!$A:$A = U$1, 'Fund Data'!$B:$B = 12),"""")"),"")</f>
        <v/>
      </c>
      <c r="V100" t="str">
        <f>IFERROR(__xludf.DUMMYFUNCTION("IFERROR(FILTER('Fund Data'!$D:$D, 'Fund Data'!$C:$C = $A100, 'Fund Data'!$A:$A = V$1, 'Fund Data'!$B:$B = 12),"""")"),"")</f>
        <v/>
      </c>
      <c r="W100" t="str">
        <f>IFERROR(__xludf.DUMMYFUNCTION("IFERROR(FILTER('Fund Data'!$D:$D, 'Fund Data'!$C:$C = $A100, 'Fund Data'!$A:$A = W$1, 'Fund Data'!$B:$B = 12),"""")"),"")</f>
        <v/>
      </c>
      <c r="X100" t="str">
        <f>IFERROR(__xludf.DUMMYFUNCTION("IFERROR(FILTER('Fund Data'!$D:$D, 'Fund Data'!$C:$C = $A100, 'Fund Data'!$A:$A = X$1, 'Fund Data'!$B:$B = 12),"""")"),"")</f>
        <v/>
      </c>
      <c r="Y100" t="str">
        <f>IFERROR(__xludf.DUMMYFUNCTION("IFERROR(FILTER('Fund Data'!$D:$D, 'Fund Data'!$C:$C = $A100, 'Fund Data'!$A:$A = Y$1, 'Fund Data'!$B:$B = 12),"""")"),"")</f>
        <v/>
      </c>
      <c r="Z100" t="str">
        <f>IFERROR(__xludf.DUMMYFUNCTION("IFERROR(FILTER('Fund Data'!$D:$D, 'Fund Data'!$C:$C = $A100, 'Fund Data'!$A:$A = Z$1, 'Fund Data'!$B:$B = 12),"""")"),"")</f>
        <v/>
      </c>
      <c r="AA100" t="str">
        <f>IFERROR(__xludf.DUMMYFUNCTION("IFERROR(FILTER('Fund Data'!$D:$D, 'Fund Data'!$C:$C = $A100, 'Fund Data'!$A:$A = AA$1, 'Fund Data'!$B:$B = 12),"""")"),"")</f>
        <v/>
      </c>
      <c r="AB100" t="str">
        <f>IFERROR(__xludf.DUMMYFUNCTION("IFERROR(FILTER('Fund Data'!$D:$D, 'Fund Data'!$C:$C = $A100, 'Fund Data'!$A:$A = AB$1, 'Fund Data'!$B:$B = 12),"""")"),"")</f>
        <v/>
      </c>
      <c r="AC100" t="str">
        <f>IFERROR(__xludf.DUMMYFUNCTION("IFERROR(FILTER('Fund Data'!$D:$D, 'Fund Data'!$C:$C = $A100, 'Fund Data'!$A:$A = AC$1, 'Fund Data'!$B:$B = 12),"""")"),"")</f>
        <v/>
      </c>
      <c r="AD100" t="str">
        <f>IFERROR(__xludf.DUMMYFUNCTION("IFERROR(FILTER('Fund Data'!$D:$D, 'Fund Data'!$C:$C = $A100, 'Fund Data'!$A:$A = AD$1, 'Fund Data'!$B:$B = 12),"""")"),"")</f>
        <v/>
      </c>
      <c r="AE100" t="str">
        <f>IFERROR(__xludf.DUMMYFUNCTION("IFERROR(FILTER('Fund Data'!$D:$D, 'Fund Data'!$C:$C = $A100, 'Fund Data'!$A:$A = AE$1, 'Fund Data'!$B:$B = 12),"""")"),"")</f>
        <v/>
      </c>
    </row>
    <row r="101">
      <c r="A101" s="145" t="str">
        <f>'Endowed Funds'!B:B</f>
        <v/>
      </c>
      <c r="B101" t="str">
        <f>IFERROR(__xludf.DUMMYFUNCTION("IFERROR(FILTER('Fund Data'!$D:$D, 'Fund Data'!$C:$C = $A101, 'Fund Data'!$A:$A = B$1, 'Fund Data'!$B:$B = 12),"""")"),"")</f>
        <v/>
      </c>
      <c r="C101" t="str">
        <f>IFERROR(__xludf.DUMMYFUNCTION("IFERROR(FILTER('Fund Data'!$D:$D, 'Fund Data'!$C:$C = $A101, 'Fund Data'!$A:$A = C$1, 'Fund Data'!$B:$B = 12),"""")"),"")</f>
        <v/>
      </c>
      <c r="D101" t="str">
        <f>IFERROR(__xludf.DUMMYFUNCTION("IFERROR(FILTER('Fund Data'!$D:$D, 'Fund Data'!$C:$C = $A101, 'Fund Data'!$A:$A = D$1, 'Fund Data'!$B:$B = 12),"""")"),"")</f>
        <v/>
      </c>
      <c r="E101" t="str">
        <f>IFERROR(__xludf.DUMMYFUNCTION("IFERROR(FILTER('Fund Data'!$D:$D, 'Fund Data'!$C:$C = $A101, 'Fund Data'!$A:$A = E$1, 'Fund Data'!$B:$B = 12),"""")"),"")</f>
        <v/>
      </c>
      <c r="F101" t="str">
        <f>IFERROR(__xludf.DUMMYFUNCTION("IFERROR(FILTER('Fund Data'!$D:$D, 'Fund Data'!$C:$C = $A101, 'Fund Data'!$A:$A = F$1, 'Fund Data'!$B:$B = 12),"""")"),"")</f>
        <v/>
      </c>
      <c r="G101" t="str">
        <f>IFERROR(__xludf.DUMMYFUNCTION("IFERROR(FILTER('Fund Data'!$D:$D, 'Fund Data'!$C:$C = $A101, 'Fund Data'!$A:$A = G$1, 'Fund Data'!$B:$B = 12),"""")"),"")</f>
        <v/>
      </c>
      <c r="H101" t="str">
        <f>IFERROR(__xludf.DUMMYFUNCTION("IFERROR(FILTER('Fund Data'!$D:$D, 'Fund Data'!$C:$C = $A101, 'Fund Data'!$A:$A = H$1, 'Fund Data'!$B:$B = 12),"""")"),"")</f>
        <v/>
      </c>
      <c r="I101" t="str">
        <f>IFERROR(__xludf.DUMMYFUNCTION("IFERROR(FILTER('Fund Data'!$D:$D, 'Fund Data'!$C:$C = $A101, 'Fund Data'!$A:$A = I$1, 'Fund Data'!$B:$B = 12),"""")"),"")</f>
        <v/>
      </c>
      <c r="J101" t="str">
        <f>IFERROR(__xludf.DUMMYFUNCTION("IFERROR(FILTER('Fund Data'!$D:$D, 'Fund Data'!$C:$C = $A101, 'Fund Data'!$A:$A = J$1, 'Fund Data'!$B:$B = 12),"""")"),"")</f>
        <v/>
      </c>
      <c r="K101" t="str">
        <f>IFERROR(__xludf.DUMMYFUNCTION("IFERROR(FILTER('Fund Data'!$D:$D, 'Fund Data'!$C:$C = $A101, 'Fund Data'!$A:$A = K$1, 'Fund Data'!$B:$B = 12),"""")"),"")</f>
        <v/>
      </c>
      <c r="L101" t="str">
        <f>IFERROR(__xludf.DUMMYFUNCTION("IFERROR(FILTER('Fund Data'!$D:$D, 'Fund Data'!$C:$C = $A101, 'Fund Data'!$A:$A = L$1, 'Fund Data'!$B:$B = 12),"""")"),"")</f>
        <v/>
      </c>
      <c r="M101" t="str">
        <f>IFERROR(__xludf.DUMMYFUNCTION("IFERROR(FILTER('Fund Data'!$D:$D, 'Fund Data'!$C:$C = $A101, 'Fund Data'!$A:$A = M$1, 'Fund Data'!$B:$B = 12),"""")"),"")</f>
        <v/>
      </c>
      <c r="N101" t="str">
        <f>IFERROR(__xludf.DUMMYFUNCTION("IFERROR(FILTER('Fund Data'!$D:$D, 'Fund Data'!$C:$C = $A101, 'Fund Data'!$A:$A = N$1, 'Fund Data'!$B:$B = 12),"""")"),"")</f>
        <v/>
      </c>
      <c r="O101" t="str">
        <f>IFERROR(__xludf.DUMMYFUNCTION("IFERROR(FILTER('Fund Data'!$D:$D, 'Fund Data'!$C:$C = $A101, 'Fund Data'!$A:$A = O$1, 'Fund Data'!$B:$B = 12),"""")"),"")</f>
        <v/>
      </c>
      <c r="P101" t="str">
        <f>IFERROR(__xludf.DUMMYFUNCTION("IFERROR(FILTER('Fund Data'!$D:$D, 'Fund Data'!$C:$C = $A101, 'Fund Data'!$A:$A = P$1, 'Fund Data'!$B:$B = 12),"""")"),"")</f>
        <v/>
      </c>
      <c r="Q101" t="str">
        <f>IFERROR(__xludf.DUMMYFUNCTION("IFERROR(FILTER('Fund Data'!$D:$D, 'Fund Data'!$C:$C = $A101, 'Fund Data'!$A:$A = Q$1, 'Fund Data'!$B:$B = 12),"""")"),"")</f>
        <v/>
      </c>
      <c r="R101" t="str">
        <f>IFERROR(__xludf.DUMMYFUNCTION("IFERROR(FILTER('Fund Data'!$D:$D, 'Fund Data'!$C:$C = $A101, 'Fund Data'!$A:$A = R$1, 'Fund Data'!$B:$B = 12),"""")"),"")</f>
        <v/>
      </c>
      <c r="S101" t="str">
        <f>IFERROR(__xludf.DUMMYFUNCTION("IFERROR(FILTER('Fund Data'!$D:$D, 'Fund Data'!$C:$C = $A101, 'Fund Data'!$A:$A = S$1, 'Fund Data'!$B:$B = 12),"""")"),"")</f>
        <v/>
      </c>
      <c r="T101" t="str">
        <f>IFERROR(__xludf.DUMMYFUNCTION("IFERROR(FILTER('Fund Data'!$D:$D, 'Fund Data'!$C:$C = $A101, 'Fund Data'!$A:$A = T$1, 'Fund Data'!$B:$B = 12),"""")"),"")</f>
        <v/>
      </c>
      <c r="U101" t="str">
        <f>IFERROR(__xludf.DUMMYFUNCTION("IFERROR(FILTER('Fund Data'!$D:$D, 'Fund Data'!$C:$C = $A101, 'Fund Data'!$A:$A = U$1, 'Fund Data'!$B:$B = 12),"""")"),"")</f>
        <v/>
      </c>
      <c r="V101" t="str">
        <f>IFERROR(__xludf.DUMMYFUNCTION("IFERROR(FILTER('Fund Data'!$D:$D, 'Fund Data'!$C:$C = $A101, 'Fund Data'!$A:$A = V$1, 'Fund Data'!$B:$B = 12),"""")"),"")</f>
        <v/>
      </c>
      <c r="W101" t="str">
        <f>IFERROR(__xludf.DUMMYFUNCTION("IFERROR(FILTER('Fund Data'!$D:$D, 'Fund Data'!$C:$C = $A101, 'Fund Data'!$A:$A = W$1, 'Fund Data'!$B:$B = 12),"""")"),"")</f>
        <v/>
      </c>
      <c r="X101" t="str">
        <f>IFERROR(__xludf.DUMMYFUNCTION("IFERROR(FILTER('Fund Data'!$D:$D, 'Fund Data'!$C:$C = $A101, 'Fund Data'!$A:$A = X$1, 'Fund Data'!$B:$B = 12),"""")"),"")</f>
        <v/>
      </c>
      <c r="Y101" t="str">
        <f>IFERROR(__xludf.DUMMYFUNCTION("IFERROR(FILTER('Fund Data'!$D:$D, 'Fund Data'!$C:$C = $A101, 'Fund Data'!$A:$A = Y$1, 'Fund Data'!$B:$B = 12),"""")"),"")</f>
        <v/>
      </c>
      <c r="Z101" t="str">
        <f>IFERROR(__xludf.DUMMYFUNCTION("IFERROR(FILTER('Fund Data'!$D:$D, 'Fund Data'!$C:$C = $A101, 'Fund Data'!$A:$A = Z$1, 'Fund Data'!$B:$B = 12),"""")"),"")</f>
        <v/>
      </c>
      <c r="AA101" t="str">
        <f>IFERROR(__xludf.DUMMYFUNCTION("IFERROR(FILTER('Fund Data'!$D:$D, 'Fund Data'!$C:$C = $A101, 'Fund Data'!$A:$A = AA$1, 'Fund Data'!$B:$B = 12),"""")"),"")</f>
        <v/>
      </c>
      <c r="AB101" t="str">
        <f>IFERROR(__xludf.DUMMYFUNCTION("IFERROR(FILTER('Fund Data'!$D:$D, 'Fund Data'!$C:$C = $A101, 'Fund Data'!$A:$A = AB$1, 'Fund Data'!$B:$B = 12),"""")"),"")</f>
        <v/>
      </c>
      <c r="AC101" t="str">
        <f>IFERROR(__xludf.DUMMYFUNCTION("IFERROR(FILTER('Fund Data'!$D:$D, 'Fund Data'!$C:$C = $A101, 'Fund Data'!$A:$A = AC$1, 'Fund Data'!$B:$B = 12),"""")"),"")</f>
        <v/>
      </c>
      <c r="AD101" t="str">
        <f>IFERROR(__xludf.DUMMYFUNCTION("IFERROR(FILTER('Fund Data'!$D:$D, 'Fund Data'!$C:$C = $A101, 'Fund Data'!$A:$A = AD$1, 'Fund Data'!$B:$B = 12),"""")"),"")</f>
        <v/>
      </c>
      <c r="AE101" t="str">
        <f>IFERROR(__xludf.DUMMYFUNCTION("IFERROR(FILTER('Fund Data'!$D:$D, 'Fund Data'!$C:$C = $A101, 'Fund Data'!$A:$A = AE$1, 'Fund Data'!$B:$B = 12),"""")"),"")</f>
        <v/>
      </c>
    </row>
    <row r="102">
      <c r="A102" s="145" t="str">
        <f>'Endowed Funds'!B:B</f>
        <v/>
      </c>
      <c r="B102" t="str">
        <f>IFERROR(__xludf.DUMMYFUNCTION("IFERROR(FILTER('Fund Data'!$D:$D, 'Fund Data'!$C:$C = $A102, 'Fund Data'!$A:$A = B$1, 'Fund Data'!$B:$B = 12),"""")"),"")</f>
        <v/>
      </c>
      <c r="C102" t="str">
        <f>IFERROR(__xludf.DUMMYFUNCTION("IFERROR(FILTER('Fund Data'!$D:$D, 'Fund Data'!$C:$C = $A102, 'Fund Data'!$A:$A = C$1, 'Fund Data'!$B:$B = 12),"""")"),"")</f>
        <v/>
      </c>
      <c r="D102" t="str">
        <f>IFERROR(__xludf.DUMMYFUNCTION("IFERROR(FILTER('Fund Data'!$D:$D, 'Fund Data'!$C:$C = $A102, 'Fund Data'!$A:$A = D$1, 'Fund Data'!$B:$B = 12),"""")"),"")</f>
        <v/>
      </c>
      <c r="E102" t="str">
        <f>IFERROR(__xludf.DUMMYFUNCTION("IFERROR(FILTER('Fund Data'!$D:$D, 'Fund Data'!$C:$C = $A102, 'Fund Data'!$A:$A = E$1, 'Fund Data'!$B:$B = 12),"""")"),"")</f>
        <v/>
      </c>
      <c r="F102" t="str">
        <f>IFERROR(__xludf.DUMMYFUNCTION("IFERROR(FILTER('Fund Data'!$D:$D, 'Fund Data'!$C:$C = $A102, 'Fund Data'!$A:$A = F$1, 'Fund Data'!$B:$B = 12),"""")"),"")</f>
        <v/>
      </c>
      <c r="G102" t="str">
        <f>IFERROR(__xludf.DUMMYFUNCTION("IFERROR(FILTER('Fund Data'!$D:$D, 'Fund Data'!$C:$C = $A102, 'Fund Data'!$A:$A = G$1, 'Fund Data'!$B:$B = 12),"""")"),"")</f>
        <v/>
      </c>
      <c r="H102" t="str">
        <f>IFERROR(__xludf.DUMMYFUNCTION("IFERROR(FILTER('Fund Data'!$D:$D, 'Fund Data'!$C:$C = $A102, 'Fund Data'!$A:$A = H$1, 'Fund Data'!$B:$B = 12),"""")"),"")</f>
        <v/>
      </c>
      <c r="I102" t="str">
        <f>IFERROR(__xludf.DUMMYFUNCTION("IFERROR(FILTER('Fund Data'!$D:$D, 'Fund Data'!$C:$C = $A102, 'Fund Data'!$A:$A = I$1, 'Fund Data'!$B:$B = 12),"""")"),"")</f>
        <v/>
      </c>
      <c r="J102" t="str">
        <f>IFERROR(__xludf.DUMMYFUNCTION("IFERROR(FILTER('Fund Data'!$D:$D, 'Fund Data'!$C:$C = $A102, 'Fund Data'!$A:$A = J$1, 'Fund Data'!$B:$B = 12),"""")"),"")</f>
        <v/>
      </c>
      <c r="K102" t="str">
        <f>IFERROR(__xludf.DUMMYFUNCTION("IFERROR(FILTER('Fund Data'!$D:$D, 'Fund Data'!$C:$C = $A102, 'Fund Data'!$A:$A = K$1, 'Fund Data'!$B:$B = 12),"""")"),"")</f>
        <v/>
      </c>
      <c r="L102" t="str">
        <f>IFERROR(__xludf.DUMMYFUNCTION("IFERROR(FILTER('Fund Data'!$D:$D, 'Fund Data'!$C:$C = $A102, 'Fund Data'!$A:$A = L$1, 'Fund Data'!$B:$B = 12),"""")"),"")</f>
        <v/>
      </c>
      <c r="M102" t="str">
        <f>IFERROR(__xludf.DUMMYFUNCTION("IFERROR(FILTER('Fund Data'!$D:$D, 'Fund Data'!$C:$C = $A102, 'Fund Data'!$A:$A = M$1, 'Fund Data'!$B:$B = 12),"""")"),"")</f>
        <v/>
      </c>
      <c r="N102" t="str">
        <f>IFERROR(__xludf.DUMMYFUNCTION("IFERROR(FILTER('Fund Data'!$D:$D, 'Fund Data'!$C:$C = $A102, 'Fund Data'!$A:$A = N$1, 'Fund Data'!$B:$B = 12),"""")"),"")</f>
        <v/>
      </c>
      <c r="O102" t="str">
        <f>IFERROR(__xludf.DUMMYFUNCTION("IFERROR(FILTER('Fund Data'!$D:$D, 'Fund Data'!$C:$C = $A102, 'Fund Data'!$A:$A = O$1, 'Fund Data'!$B:$B = 12),"""")"),"")</f>
        <v/>
      </c>
      <c r="P102" t="str">
        <f>IFERROR(__xludf.DUMMYFUNCTION("IFERROR(FILTER('Fund Data'!$D:$D, 'Fund Data'!$C:$C = $A102, 'Fund Data'!$A:$A = P$1, 'Fund Data'!$B:$B = 12),"""")"),"")</f>
        <v/>
      </c>
      <c r="Q102" t="str">
        <f>IFERROR(__xludf.DUMMYFUNCTION("IFERROR(FILTER('Fund Data'!$D:$D, 'Fund Data'!$C:$C = $A102, 'Fund Data'!$A:$A = Q$1, 'Fund Data'!$B:$B = 12),"""")"),"")</f>
        <v/>
      </c>
      <c r="R102" t="str">
        <f>IFERROR(__xludf.DUMMYFUNCTION("IFERROR(FILTER('Fund Data'!$D:$D, 'Fund Data'!$C:$C = $A102, 'Fund Data'!$A:$A = R$1, 'Fund Data'!$B:$B = 12),"""")"),"")</f>
        <v/>
      </c>
      <c r="S102" t="str">
        <f>IFERROR(__xludf.DUMMYFUNCTION("IFERROR(FILTER('Fund Data'!$D:$D, 'Fund Data'!$C:$C = $A102, 'Fund Data'!$A:$A = S$1, 'Fund Data'!$B:$B = 12),"""")"),"")</f>
        <v/>
      </c>
      <c r="T102" t="str">
        <f>IFERROR(__xludf.DUMMYFUNCTION("IFERROR(FILTER('Fund Data'!$D:$D, 'Fund Data'!$C:$C = $A102, 'Fund Data'!$A:$A = T$1, 'Fund Data'!$B:$B = 12),"""")"),"")</f>
        <v/>
      </c>
      <c r="U102" t="str">
        <f>IFERROR(__xludf.DUMMYFUNCTION("IFERROR(FILTER('Fund Data'!$D:$D, 'Fund Data'!$C:$C = $A102, 'Fund Data'!$A:$A = U$1, 'Fund Data'!$B:$B = 12),"""")"),"")</f>
        <v/>
      </c>
      <c r="V102" t="str">
        <f>IFERROR(__xludf.DUMMYFUNCTION("IFERROR(FILTER('Fund Data'!$D:$D, 'Fund Data'!$C:$C = $A102, 'Fund Data'!$A:$A = V$1, 'Fund Data'!$B:$B = 12),"""")"),"")</f>
        <v/>
      </c>
      <c r="W102" t="str">
        <f>IFERROR(__xludf.DUMMYFUNCTION("IFERROR(FILTER('Fund Data'!$D:$D, 'Fund Data'!$C:$C = $A102, 'Fund Data'!$A:$A = W$1, 'Fund Data'!$B:$B = 12),"""")"),"")</f>
        <v/>
      </c>
      <c r="X102" t="str">
        <f>IFERROR(__xludf.DUMMYFUNCTION("IFERROR(FILTER('Fund Data'!$D:$D, 'Fund Data'!$C:$C = $A102, 'Fund Data'!$A:$A = X$1, 'Fund Data'!$B:$B = 12),"""")"),"")</f>
        <v/>
      </c>
      <c r="Y102" t="str">
        <f>IFERROR(__xludf.DUMMYFUNCTION("IFERROR(FILTER('Fund Data'!$D:$D, 'Fund Data'!$C:$C = $A102, 'Fund Data'!$A:$A = Y$1, 'Fund Data'!$B:$B = 12),"""")"),"")</f>
        <v/>
      </c>
      <c r="Z102" t="str">
        <f>IFERROR(__xludf.DUMMYFUNCTION("IFERROR(FILTER('Fund Data'!$D:$D, 'Fund Data'!$C:$C = $A102, 'Fund Data'!$A:$A = Z$1, 'Fund Data'!$B:$B = 12),"""")"),"")</f>
        <v/>
      </c>
      <c r="AA102" t="str">
        <f>IFERROR(__xludf.DUMMYFUNCTION("IFERROR(FILTER('Fund Data'!$D:$D, 'Fund Data'!$C:$C = $A102, 'Fund Data'!$A:$A = AA$1, 'Fund Data'!$B:$B = 12),"""")"),"")</f>
        <v/>
      </c>
      <c r="AB102" t="str">
        <f>IFERROR(__xludf.DUMMYFUNCTION("IFERROR(FILTER('Fund Data'!$D:$D, 'Fund Data'!$C:$C = $A102, 'Fund Data'!$A:$A = AB$1, 'Fund Data'!$B:$B = 12),"""")"),"")</f>
        <v/>
      </c>
      <c r="AC102" t="str">
        <f>IFERROR(__xludf.DUMMYFUNCTION("IFERROR(FILTER('Fund Data'!$D:$D, 'Fund Data'!$C:$C = $A102, 'Fund Data'!$A:$A = AC$1, 'Fund Data'!$B:$B = 12),"""")"),"")</f>
        <v/>
      </c>
      <c r="AD102" t="str">
        <f>IFERROR(__xludf.DUMMYFUNCTION("IFERROR(FILTER('Fund Data'!$D:$D, 'Fund Data'!$C:$C = $A102, 'Fund Data'!$A:$A = AD$1, 'Fund Data'!$B:$B = 12),"""")"),"")</f>
        <v/>
      </c>
      <c r="AE102" t="str">
        <f>IFERROR(__xludf.DUMMYFUNCTION("IFERROR(FILTER('Fund Data'!$D:$D, 'Fund Data'!$C:$C = $A102, 'Fund Data'!$A:$A = AE$1, 'Fund Data'!$B:$B = 12),"""")"),"")</f>
        <v/>
      </c>
    </row>
    <row r="103">
      <c r="A103" s="145" t="str">
        <f>'Endowed Funds'!B:B</f>
        <v/>
      </c>
      <c r="B103" t="str">
        <f>IFERROR(__xludf.DUMMYFUNCTION("IFERROR(FILTER('Fund Data'!$D:$D, 'Fund Data'!$C:$C = $A103, 'Fund Data'!$A:$A = B$1, 'Fund Data'!$B:$B = 12),"""")"),"")</f>
        <v/>
      </c>
      <c r="C103" t="str">
        <f>IFERROR(__xludf.DUMMYFUNCTION("IFERROR(FILTER('Fund Data'!$D:$D, 'Fund Data'!$C:$C = $A103, 'Fund Data'!$A:$A = C$1, 'Fund Data'!$B:$B = 12),"""")"),"")</f>
        <v/>
      </c>
      <c r="D103" t="str">
        <f>IFERROR(__xludf.DUMMYFUNCTION("IFERROR(FILTER('Fund Data'!$D:$D, 'Fund Data'!$C:$C = $A103, 'Fund Data'!$A:$A = D$1, 'Fund Data'!$B:$B = 12),"""")"),"")</f>
        <v/>
      </c>
      <c r="E103" t="str">
        <f>IFERROR(__xludf.DUMMYFUNCTION("IFERROR(FILTER('Fund Data'!$D:$D, 'Fund Data'!$C:$C = $A103, 'Fund Data'!$A:$A = E$1, 'Fund Data'!$B:$B = 12),"""")"),"")</f>
        <v/>
      </c>
      <c r="F103" t="str">
        <f>IFERROR(__xludf.DUMMYFUNCTION("IFERROR(FILTER('Fund Data'!$D:$D, 'Fund Data'!$C:$C = $A103, 'Fund Data'!$A:$A = F$1, 'Fund Data'!$B:$B = 12),"""")"),"")</f>
        <v/>
      </c>
      <c r="G103" t="str">
        <f>IFERROR(__xludf.DUMMYFUNCTION("IFERROR(FILTER('Fund Data'!$D:$D, 'Fund Data'!$C:$C = $A103, 'Fund Data'!$A:$A = G$1, 'Fund Data'!$B:$B = 12),"""")"),"")</f>
        <v/>
      </c>
      <c r="H103" t="str">
        <f>IFERROR(__xludf.DUMMYFUNCTION("IFERROR(FILTER('Fund Data'!$D:$D, 'Fund Data'!$C:$C = $A103, 'Fund Data'!$A:$A = H$1, 'Fund Data'!$B:$B = 12),"""")"),"")</f>
        <v/>
      </c>
      <c r="I103" t="str">
        <f>IFERROR(__xludf.DUMMYFUNCTION("IFERROR(FILTER('Fund Data'!$D:$D, 'Fund Data'!$C:$C = $A103, 'Fund Data'!$A:$A = I$1, 'Fund Data'!$B:$B = 12),"""")"),"")</f>
        <v/>
      </c>
      <c r="J103" t="str">
        <f>IFERROR(__xludf.DUMMYFUNCTION("IFERROR(FILTER('Fund Data'!$D:$D, 'Fund Data'!$C:$C = $A103, 'Fund Data'!$A:$A = J$1, 'Fund Data'!$B:$B = 12),"""")"),"")</f>
        <v/>
      </c>
      <c r="K103" t="str">
        <f>IFERROR(__xludf.DUMMYFUNCTION("IFERROR(FILTER('Fund Data'!$D:$D, 'Fund Data'!$C:$C = $A103, 'Fund Data'!$A:$A = K$1, 'Fund Data'!$B:$B = 12),"""")"),"")</f>
        <v/>
      </c>
      <c r="L103" t="str">
        <f>IFERROR(__xludf.DUMMYFUNCTION("IFERROR(FILTER('Fund Data'!$D:$D, 'Fund Data'!$C:$C = $A103, 'Fund Data'!$A:$A = L$1, 'Fund Data'!$B:$B = 12),"""")"),"")</f>
        <v/>
      </c>
      <c r="M103" t="str">
        <f>IFERROR(__xludf.DUMMYFUNCTION("IFERROR(FILTER('Fund Data'!$D:$D, 'Fund Data'!$C:$C = $A103, 'Fund Data'!$A:$A = M$1, 'Fund Data'!$B:$B = 12),"""")"),"")</f>
        <v/>
      </c>
      <c r="N103" t="str">
        <f>IFERROR(__xludf.DUMMYFUNCTION("IFERROR(FILTER('Fund Data'!$D:$D, 'Fund Data'!$C:$C = $A103, 'Fund Data'!$A:$A = N$1, 'Fund Data'!$B:$B = 12),"""")"),"")</f>
        <v/>
      </c>
      <c r="O103" t="str">
        <f>IFERROR(__xludf.DUMMYFUNCTION("IFERROR(FILTER('Fund Data'!$D:$D, 'Fund Data'!$C:$C = $A103, 'Fund Data'!$A:$A = O$1, 'Fund Data'!$B:$B = 12),"""")"),"")</f>
        <v/>
      </c>
      <c r="P103" t="str">
        <f>IFERROR(__xludf.DUMMYFUNCTION("IFERROR(FILTER('Fund Data'!$D:$D, 'Fund Data'!$C:$C = $A103, 'Fund Data'!$A:$A = P$1, 'Fund Data'!$B:$B = 12),"""")"),"")</f>
        <v/>
      </c>
      <c r="Q103" t="str">
        <f>IFERROR(__xludf.DUMMYFUNCTION("IFERROR(FILTER('Fund Data'!$D:$D, 'Fund Data'!$C:$C = $A103, 'Fund Data'!$A:$A = Q$1, 'Fund Data'!$B:$B = 12),"""")"),"")</f>
        <v/>
      </c>
      <c r="R103" t="str">
        <f>IFERROR(__xludf.DUMMYFUNCTION("IFERROR(FILTER('Fund Data'!$D:$D, 'Fund Data'!$C:$C = $A103, 'Fund Data'!$A:$A = R$1, 'Fund Data'!$B:$B = 12),"""")"),"")</f>
        <v/>
      </c>
      <c r="S103" t="str">
        <f>IFERROR(__xludf.DUMMYFUNCTION("IFERROR(FILTER('Fund Data'!$D:$D, 'Fund Data'!$C:$C = $A103, 'Fund Data'!$A:$A = S$1, 'Fund Data'!$B:$B = 12),"""")"),"")</f>
        <v/>
      </c>
      <c r="T103" t="str">
        <f>IFERROR(__xludf.DUMMYFUNCTION("IFERROR(FILTER('Fund Data'!$D:$D, 'Fund Data'!$C:$C = $A103, 'Fund Data'!$A:$A = T$1, 'Fund Data'!$B:$B = 12),"""")"),"")</f>
        <v/>
      </c>
      <c r="U103" t="str">
        <f>IFERROR(__xludf.DUMMYFUNCTION("IFERROR(FILTER('Fund Data'!$D:$D, 'Fund Data'!$C:$C = $A103, 'Fund Data'!$A:$A = U$1, 'Fund Data'!$B:$B = 12),"""")"),"")</f>
        <v/>
      </c>
      <c r="V103" t="str">
        <f>IFERROR(__xludf.DUMMYFUNCTION("IFERROR(FILTER('Fund Data'!$D:$D, 'Fund Data'!$C:$C = $A103, 'Fund Data'!$A:$A = V$1, 'Fund Data'!$B:$B = 12),"""")"),"")</f>
        <v/>
      </c>
      <c r="W103" t="str">
        <f>IFERROR(__xludf.DUMMYFUNCTION("IFERROR(FILTER('Fund Data'!$D:$D, 'Fund Data'!$C:$C = $A103, 'Fund Data'!$A:$A = W$1, 'Fund Data'!$B:$B = 12),"""")"),"")</f>
        <v/>
      </c>
      <c r="X103" t="str">
        <f>IFERROR(__xludf.DUMMYFUNCTION("IFERROR(FILTER('Fund Data'!$D:$D, 'Fund Data'!$C:$C = $A103, 'Fund Data'!$A:$A = X$1, 'Fund Data'!$B:$B = 12),"""")"),"")</f>
        <v/>
      </c>
      <c r="Y103" t="str">
        <f>IFERROR(__xludf.DUMMYFUNCTION("IFERROR(FILTER('Fund Data'!$D:$D, 'Fund Data'!$C:$C = $A103, 'Fund Data'!$A:$A = Y$1, 'Fund Data'!$B:$B = 12),"""")"),"")</f>
        <v/>
      </c>
      <c r="Z103" t="str">
        <f>IFERROR(__xludf.DUMMYFUNCTION("IFERROR(FILTER('Fund Data'!$D:$D, 'Fund Data'!$C:$C = $A103, 'Fund Data'!$A:$A = Z$1, 'Fund Data'!$B:$B = 12),"""")"),"")</f>
        <v/>
      </c>
      <c r="AA103" t="str">
        <f>IFERROR(__xludf.DUMMYFUNCTION("IFERROR(FILTER('Fund Data'!$D:$D, 'Fund Data'!$C:$C = $A103, 'Fund Data'!$A:$A = AA$1, 'Fund Data'!$B:$B = 12),"""")"),"")</f>
        <v/>
      </c>
      <c r="AB103" t="str">
        <f>IFERROR(__xludf.DUMMYFUNCTION("IFERROR(FILTER('Fund Data'!$D:$D, 'Fund Data'!$C:$C = $A103, 'Fund Data'!$A:$A = AB$1, 'Fund Data'!$B:$B = 12),"""")"),"")</f>
        <v/>
      </c>
      <c r="AC103" t="str">
        <f>IFERROR(__xludf.DUMMYFUNCTION("IFERROR(FILTER('Fund Data'!$D:$D, 'Fund Data'!$C:$C = $A103, 'Fund Data'!$A:$A = AC$1, 'Fund Data'!$B:$B = 12),"""")"),"")</f>
        <v/>
      </c>
      <c r="AD103" t="str">
        <f>IFERROR(__xludf.DUMMYFUNCTION("IFERROR(FILTER('Fund Data'!$D:$D, 'Fund Data'!$C:$C = $A103, 'Fund Data'!$A:$A = AD$1, 'Fund Data'!$B:$B = 12),"""")"),"")</f>
        <v/>
      </c>
      <c r="AE103" t="str">
        <f>IFERROR(__xludf.DUMMYFUNCTION("IFERROR(FILTER('Fund Data'!$D:$D, 'Fund Data'!$C:$C = $A103, 'Fund Data'!$A:$A = AE$1, 'Fund Data'!$B:$B = 12),"""")"),"")</f>
        <v/>
      </c>
    </row>
    <row r="104">
      <c r="A104" s="145" t="str">
        <f>'Endowed Funds'!B:B</f>
        <v/>
      </c>
      <c r="B104" t="str">
        <f>IFERROR(__xludf.DUMMYFUNCTION("IFERROR(FILTER('Fund Data'!$D:$D, 'Fund Data'!$C:$C = $A104, 'Fund Data'!$A:$A = B$1, 'Fund Data'!$B:$B = 12),"""")"),"")</f>
        <v/>
      </c>
      <c r="C104" t="str">
        <f>IFERROR(__xludf.DUMMYFUNCTION("IFERROR(FILTER('Fund Data'!$D:$D, 'Fund Data'!$C:$C = $A104, 'Fund Data'!$A:$A = C$1, 'Fund Data'!$B:$B = 12),"""")"),"")</f>
        <v/>
      </c>
      <c r="D104" t="str">
        <f>IFERROR(__xludf.DUMMYFUNCTION("IFERROR(FILTER('Fund Data'!$D:$D, 'Fund Data'!$C:$C = $A104, 'Fund Data'!$A:$A = D$1, 'Fund Data'!$B:$B = 12),"""")"),"")</f>
        <v/>
      </c>
      <c r="E104" t="str">
        <f>IFERROR(__xludf.DUMMYFUNCTION("IFERROR(FILTER('Fund Data'!$D:$D, 'Fund Data'!$C:$C = $A104, 'Fund Data'!$A:$A = E$1, 'Fund Data'!$B:$B = 12),"""")"),"")</f>
        <v/>
      </c>
      <c r="F104" t="str">
        <f>IFERROR(__xludf.DUMMYFUNCTION("IFERROR(FILTER('Fund Data'!$D:$D, 'Fund Data'!$C:$C = $A104, 'Fund Data'!$A:$A = F$1, 'Fund Data'!$B:$B = 12),"""")"),"")</f>
        <v/>
      </c>
      <c r="G104" t="str">
        <f>IFERROR(__xludf.DUMMYFUNCTION("IFERROR(FILTER('Fund Data'!$D:$D, 'Fund Data'!$C:$C = $A104, 'Fund Data'!$A:$A = G$1, 'Fund Data'!$B:$B = 12),"""")"),"")</f>
        <v/>
      </c>
      <c r="H104" t="str">
        <f>IFERROR(__xludf.DUMMYFUNCTION("IFERROR(FILTER('Fund Data'!$D:$D, 'Fund Data'!$C:$C = $A104, 'Fund Data'!$A:$A = H$1, 'Fund Data'!$B:$B = 12),"""")"),"")</f>
        <v/>
      </c>
      <c r="I104" t="str">
        <f>IFERROR(__xludf.DUMMYFUNCTION("IFERROR(FILTER('Fund Data'!$D:$D, 'Fund Data'!$C:$C = $A104, 'Fund Data'!$A:$A = I$1, 'Fund Data'!$B:$B = 12),"""")"),"")</f>
        <v/>
      </c>
      <c r="J104" t="str">
        <f>IFERROR(__xludf.DUMMYFUNCTION("IFERROR(FILTER('Fund Data'!$D:$D, 'Fund Data'!$C:$C = $A104, 'Fund Data'!$A:$A = J$1, 'Fund Data'!$B:$B = 12),"""")"),"")</f>
        <v/>
      </c>
      <c r="K104" t="str">
        <f>IFERROR(__xludf.DUMMYFUNCTION("IFERROR(FILTER('Fund Data'!$D:$D, 'Fund Data'!$C:$C = $A104, 'Fund Data'!$A:$A = K$1, 'Fund Data'!$B:$B = 12),"""")"),"")</f>
        <v/>
      </c>
      <c r="L104" t="str">
        <f>IFERROR(__xludf.DUMMYFUNCTION("IFERROR(FILTER('Fund Data'!$D:$D, 'Fund Data'!$C:$C = $A104, 'Fund Data'!$A:$A = L$1, 'Fund Data'!$B:$B = 12),"""")"),"")</f>
        <v/>
      </c>
      <c r="M104" t="str">
        <f>IFERROR(__xludf.DUMMYFUNCTION("IFERROR(FILTER('Fund Data'!$D:$D, 'Fund Data'!$C:$C = $A104, 'Fund Data'!$A:$A = M$1, 'Fund Data'!$B:$B = 12),"""")"),"")</f>
        <v/>
      </c>
      <c r="N104" t="str">
        <f>IFERROR(__xludf.DUMMYFUNCTION("IFERROR(FILTER('Fund Data'!$D:$D, 'Fund Data'!$C:$C = $A104, 'Fund Data'!$A:$A = N$1, 'Fund Data'!$B:$B = 12),"""")"),"")</f>
        <v/>
      </c>
      <c r="O104" t="str">
        <f>IFERROR(__xludf.DUMMYFUNCTION("IFERROR(FILTER('Fund Data'!$D:$D, 'Fund Data'!$C:$C = $A104, 'Fund Data'!$A:$A = O$1, 'Fund Data'!$B:$B = 12),"""")"),"")</f>
        <v/>
      </c>
      <c r="P104" t="str">
        <f>IFERROR(__xludf.DUMMYFUNCTION("IFERROR(FILTER('Fund Data'!$D:$D, 'Fund Data'!$C:$C = $A104, 'Fund Data'!$A:$A = P$1, 'Fund Data'!$B:$B = 12),"""")"),"")</f>
        <v/>
      </c>
      <c r="Q104" t="str">
        <f>IFERROR(__xludf.DUMMYFUNCTION("IFERROR(FILTER('Fund Data'!$D:$D, 'Fund Data'!$C:$C = $A104, 'Fund Data'!$A:$A = Q$1, 'Fund Data'!$B:$B = 12),"""")"),"")</f>
        <v/>
      </c>
      <c r="R104" t="str">
        <f>IFERROR(__xludf.DUMMYFUNCTION("IFERROR(FILTER('Fund Data'!$D:$D, 'Fund Data'!$C:$C = $A104, 'Fund Data'!$A:$A = R$1, 'Fund Data'!$B:$B = 12),"""")"),"")</f>
        <v/>
      </c>
      <c r="S104" t="str">
        <f>IFERROR(__xludf.DUMMYFUNCTION("IFERROR(FILTER('Fund Data'!$D:$D, 'Fund Data'!$C:$C = $A104, 'Fund Data'!$A:$A = S$1, 'Fund Data'!$B:$B = 12),"""")"),"")</f>
        <v/>
      </c>
      <c r="T104" t="str">
        <f>IFERROR(__xludf.DUMMYFUNCTION("IFERROR(FILTER('Fund Data'!$D:$D, 'Fund Data'!$C:$C = $A104, 'Fund Data'!$A:$A = T$1, 'Fund Data'!$B:$B = 12),"""")"),"")</f>
        <v/>
      </c>
      <c r="U104" t="str">
        <f>IFERROR(__xludf.DUMMYFUNCTION("IFERROR(FILTER('Fund Data'!$D:$D, 'Fund Data'!$C:$C = $A104, 'Fund Data'!$A:$A = U$1, 'Fund Data'!$B:$B = 12),"""")"),"")</f>
        <v/>
      </c>
      <c r="V104" t="str">
        <f>IFERROR(__xludf.DUMMYFUNCTION("IFERROR(FILTER('Fund Data'!$D:$D, 'Fund Data'!$C:$C = $A104, 'Fund Data'!$A:$A = V$1, 'Fund Data'!$B:$B = 12),"""")"),"")</f>
        <v/>
      </c>
      <c r="W104" t="str">
        <f>IFERROR(__xludf.DUMMYFUNCTION("IFERROR(FILTER('Fund Data'!$D:$D, 'Fund Data'!$C:$C = $A104, 'Fund Data'!$A:$A = W$1, 'Fund Data'!$B:$B = 12),"""")"),"")</f>
        <v/>
      </c>
      <c r="X104" t="str">
        <f>IFERROR(__xludf.DUMMYFUNCTION("IFERROR(FILTER('Fund Data'!$D:$D, 'Fund Data'!$C:$C = $A104, 'Fund Data'!$A:$A = X$1, 'Fund Data'!$B:$B = 12),"""")"),"")</f>
        <v/>
      </c>
      <c r="Y104" t="str">
        <f>IFERROR(__xludf.DUMMYFUNCTION("IFERROR(FILTER('Fund Data'!$D:$D, 'Fund Data'!$C:$C = $A104, 'Fund Data'!$A:$A = Y$1, 'Fund Data'!$B:$B = 12),"""")"),"")</f>
        <v/>
      </c>
      <c r="Z104" t="str">
        <f>IFERROR(__xludf.DUMMYFUNCTION("IFERROR(FILTER('Fund Data'!$D:$D, 'Fund Data'!$C:$C = $A104, 'Fund Data'!$A:$A = Z$1, 'Fund Data'!$B:$B = 12),"""")"),"")</f>
        <v/>
      </c>
      <c r="AA104" t="str">
        <f>IFERROR(__xludf.DUMMYFUNCTION("IFERROR(FILTER('Fund Data'!$D:$D, 'Fund Data'!$C:$C = $A104, 'Fund Data'!$A:$A = AA$1, 'Fund Data'!$B:$B = 12),"""")"),"")</f>
        <v/>
      </c>
      <c r="AB104" t="str">
        <f>IFERROR(__xludf.DUMMYFUNCTION("IFERROR(FILTER('Fund Data'!$D:$D, 'Fund Data'!$C:$C = $A104, 'Fund Data'!$A:$A = AB$1, 'Fund Data'!$B:$B = 12),"""")"),"")</f>
        <v/>
      </c>
      <c r="AC104" t="str">
        <f>IFERROR(__xludf.DUMMYFUNCTION("IFERROR(FILTER('Fund Data'!$D:$D, 'Fund Data'!$C:$C = $A104, 'Fund Data'!$A:$A = AC$1, 'Fund Data'!$B:$B = 12),"""")"),"")</f>
        <v/>
      </c>
      <c r="AD104" t="str">
        <f>IFERROR(__xludf.DUMMYFUNCTION("IFERROR(FILTER('Fund Data'!$D:$D, 'Fund Data'!$C:$C = $A104, 'Fund Data'!$A:$A = AD$1, 'Fund Data'!$B:$B = 12),"""")"),"")</f>
        <v/>
      </c>
      <c r="AE104" t="str">
        <f>IFERROR(__xludf.DUMMYFUNCTION("IFERROR(FILTER('Fund Data'!$D:$D, 'Fund Data'!$C:$C = $A104, 'Fund Data'!$A:$A = AE$1, 'Fund Data'!$B:$B = 12),"""")"),"")</f>
        <v/>
      </c>
    </row>
    <row r="105">
      <c r="A105" s="145" t="str">
        <f>'Endowed Funds'!B:B</f>
        <v/>
      </c>
      <c r="B105" t="str">
        <f>IFERROR(__xludf.DUMMYFUNCTION("IFERROR(FILTER('Fund Data'!$D:$D, 'Fund Data'!$C:$C = $A105, 'Fund Data'!$A:$A = B$1, 'Fund Data'!$B:$B = 12),"""")"),"")</f>
        <v/>
      </c>
      <c r="C105" t="str">
        <f>IFERROR(__xludf.DUMMYFUNCTION("IFERROR(FILTER('Fund Data'!$D:$D, 'Fund Data'!$C:$C = $A105, 'Fund Data'!$A:$A = C$1, 'Fund Data'!$B:$B = 12),"""")"),"")</f>
        <v/>
      </c>
      <c r="D105" t="str">
        <f>IFERROR(__xludf.DUMMYFUNCTION("IFERROR(FILTER('Fund Data'!$D:$D, 'Fund Data'!$C:$C = $A105, 'Fund Data'!$A:$A = D$1, 'Fund Data'!$B:$B = 12),"""")"),"")</f>
        <v/>
      </c>
      <c r="E105" t="str">
        <f>IFERROR(__xludf.DUMMYFUNCTION("IFERROR(FILTER('Fund Data'!$D:$D, 'Fund Data'!$C:$C = $A105, 'Fund Data'!$A:$A = E$1, 'Fund Data'!$B:$B = 12),"""")"),"")</f>
        <v/>
      </c>
      <c r="F105" t="str">
        <f>IFERROR(__xludf.DUMMYFUNCTION("IFERROR(FILTER('Fund Data'!$D:$D, 'Fund Data'!$C:$C = $A105, 'Fund Data'!$A:$A = F$1, 'Fund Data'!$B:$B = 12),"""")"),"")</f>
        <v/>
      </c>
      <c r="G105" t="str">
        <f>IFERROR(__xludf.DUMMYFUNCTION("IFERROR(FILTER('Fund Data'!$D:$D, 'Fund Data'!$C:$C = $A105, 'Fund Data'!$A:$A = G$1, 'Fund Data'!$B:$B = 12),"""")"),"")</f>
        <v/>
      </c>
      <c r="H105" t="str">
        <f>IFERROR(__xludf.DUMMYFUNCTION("IFERROR(FILTER('Fund Data'!$D:$D, 'Fund Data'!$C:$C = $A105, 'Fund Data'!$A:$A = H$1, 'Fund Data'!$B:$B = 12),"""")"),"")</f>
        <v/>
      </c>
      <c r="I105" t="str">
        <f>IFERROR(__xludf.DUMMYFUNCTION("IFERROR(FILTER('Fund Data'!$D:$D, 'Fund Data'!$C:$C = $A105, 'Fund Data'!$A:$A = I$1, 'Fund Data'!$B:$B = 12),"""")"),"")</f>
        <v/>
      </c>
      <c r="J105" t="str">
        <f>IFERROR(__xludf.DUMMYFUNCTION("IFERROR(FILTER('Fund Data'!$D:$D, 'Fund Data'!$C:$C = $A105, 'Fund Data'!$A:$A = J$1, 'Fund Data'!$B:$B = 12),"""")"),"")</f>
        <v/>
      </c>
      <c r="K105" t="str">
        <f>IFERROR(__xludf.DUMMYFUNCTION("IFERROR(FILTER('Fund Data'!$D:$D, 'Fund Data'!$C:$C = $A105, 'Fund Data'!$A:$A = K$1, 'Fund Data'!$B:$B = 12),"""")"),"")</f>
        <v/>
      </c>
      <c r="L105" t="str">
        <f>IFERROR(__xludf.DUMMYFUNCTION("IFERROR(FILTER('Fund Data'!$D:$D, 'Fund Data'!$C:$C = $A105, 'Fund Data'!$A:$A = L$1, 'Fund Data'!$B:$B = 12),"""")"),"")</f>
        <v/>
      </c>
      <c r="M105" t="str">
        <f>IFERROR(__xludf.DUMMYFUNCTION("IFERROR(FILTER('Fund Data'!$D:$D, 'Fund Data'!$C:$C = $A105, 'Fund Data'!$A:$A = M$1, 'Fund Data'!$B:$B = 12),"""")"),"")</f>
        <v/>
      </c>
      <c r="N105" t="str">
        <f>IFERROR(__xludf.DUMMYFUNCTION("IFERROR(FILTER('Fund Data'!$D:$D, 'Fund Data'!$C:$C = $A105, 'Fund Data'!$A:$A = N$1, 'Fund Data'!$B:$B = 12),"""")"),"")</f>
        <v/>
      </c>
      <c r="O105" t="str">
        <f>IFERROR(__xludf.DUMMYFUNCTION("IFERROR(FILTER('Fund Data'!$D:$D, 'Fund Data'!$C:$C = $A105, 'Fund Data'!$A:$A = O$1, 'Fund Data'!$B:$B = 12),"""")"),"")</f>
        <v/>
      </c>
      <c r="P105" t="str">
        <f>IFERROR(__xludf.DUMMYFUNCTION("IFERROR(FILTER('Fund Data'!$D:$D, 'Fund Data'!$C:$C = $A105, 'Fund Data'!$A:$A = P$1, 'Fund Data'!$B:$B = 12),"""")"),"")</f>
        <v/>
      </c>
      <c r="Q105" t="str">
        <f>IFERROR(__xludf.DUMMYFUNCTION("IFERROR(FILTER('Fund Data'!$D:$D, 'Fund Data'!$C:$C = $A105, 'Fund Data'!$A:$A = Q$1, 'Fund Data'!$B:$B = 12),"""")"),"")</f>
        <v/>
      </c>
      <c r="R105" t="str">
        <f>IFERROR(__xludf.DUMMYFUNCTION("IFERROR(FILTER('Fund Data'!$D:$D, 'Fund Data'!$C:$C = $A105, 'Fund Data'!$A:$A = R$1, 'Fund Data'!$B:$B = 12),"""")"),"")</f>
        <v/>
      </c>
      <c r="S105" t="str">
        <f>IFERROR(__xludf.DUMMYFUNCTION("IFERROR(FILTER('Fund Data'!$D:$D, 'Fund Data'!$C:$C = $A105, 'Fund Data'!$A:$A = S$1, 'Fund Data'!$B:$B = 12),"""")"),"")</f>
        <v/>
      </c>
      <c r="T105" t="str">
        <f>IFERROR(__xludf.DUMMYFUNCTION("IFERROR(FILTER('Fund Data'!$D:$D, 'Fund Data'!$C:$C = $A105, 'Fund Data'!$A:$A = T$1, 'Fund Data'!$B:$B = 12),"""")"),"")</f>
        <v/>
      </c>
      <c r="U105" t="str">
        <f>IFERROR(__xludf.DUMMYFUNCTION("IFERROR(FILTER('Fund Data'!$D:$D, 'Fund Data'!$C:$C = $A105, 'Fund Data'!$A:$A = U$1, 'Fund Data'!$B:$B = 12),"""")"),"")</f>
        <v/>
      </c>
      <c r="V105" t="str">
        <f>IFERROR(__xludf.DUMMYFUNCTION("IFERROR(FILTER('Fund Data'!$D:$D, 'Fund Data'!$C:$C = $A105, 'Fund Data'!$A:$A = V$1, 'Fund Data'!$B:$B = 12),"""")"),"")</f>
        <v/>
      </c>
      <c r="W105" t="str">
        <f>IFERROR(__xludf.DUMMYFUNCTION("IFERROR(FILTER('Fund Data'!$D:$D, 'Fund Data'!$C:$C = $A105, 'Fund Data'!$A:$A = W$1, 'Fund Data'!$B:$B = 12),"""")"),"")</f>
        <v/>
      </c>
      <c r="X105" t="str">
        <f>IFERROR(__xludf.DUMMYFUNCTION("IFERROR(FILTER('Fund Data'!$D:$D, 'Fund Data'!$C:$C = $A105, 'Fund Data'!$A:$A = X$1, 'Fund Data'!$B:$B = 12),"""")"),"")</f>
        <v/>
      </c>
      <c r="Y105" t="str">
        <f>IFERROR(__xludf.DUMMYFUNCTION("IFERROR(FILTER('Fund Data'!$D:$D, 'Fund Data'!$C:$C = $A105, 'Fund Data'!$A:$A = Y$1, 'Fund Data'!$B:$B = 12),"""")"),"")</f>
        <v/>
      </c>
      <c r="Z105" t="str">
        <f>IFERROR(__xludf.DUMMYFUNCTION("IFERROR(FILTER('Fund Data'!$D:$D, 'Fund Data'!$C:$C = $A105, 'Fund Data'!$A:$A = Z$1, 'Fund Data'!$B:$B = 12),"""")"),"")</f>
        <v/>
      </c>
      <c r="AA105" t="str">
        <f>IFERROR(__xludf.DUMMYFUNCTION("IFERROR(FILTER('Fund Data'!$D:$D, 'Fund Data'!$C:$C = $A105, 'Fund Data'!$A:$A = AA$1, 'Fund Data'!$B:$B = 12),"""")"),"")</f>
        <v/>
      </c>
      <c r="AB105" t="str">
        <f>IFERROR(__xludf.DUMMYFUNCTION("IFERROR(FILTER('Fund Data'!$D:$D, 'Fund Data'!$C:$C = $A105, 'Fund Data'!$A:$A = AB$1, 'Fund Data'!$B:$B = 12),"""")"),"")</f>
        <v/>
      </c>
      <c r="AC105" t="str">
        <f>IFERROR(__xludf.DUMMYFUNCTION("IFERROR(FILTER('Fund Data'!$D:$D, 'Fund Data'!$C:$C = $A105, 'Fund Data'!$A:$A = AC$1, 'Fund Data'!$B:$B = 12),"""")"),"")</f>
        <v/>
      </c>
      <c r="AD105" t="str">
        <f>IFERROR(__xludf.DUMMYFUNCTION("IFERROR(FILTER('Fund Data'!$D:$D, 'Fund Data'!$C:$C = $A105, 'Fund Data'!$A:$A = AD$1, 'Fund Data'!$B:$B = 12),"""")"),"")</f>
        <v/>
      </c>
      <c r="AE105" t="str">
        <f>IFERROR(__xludf.DUMMYFUNCTION("IFERROR(FILTER('Fund Data'!$D:$D, 'Fund Data'!$C:$C = $A105, 'Fund Data'!$A:$A = AE$1, 'Fund Data'!$B:$B = 12),"""")"),"")</f>
        <v/>
      </c>
    </row>
    <row r="106">
      <c r="A106" s="145" t="str">
        <f>'Endowed Funds'!B:B</f>
        <v/>
      </c>
      <c r="B106" t="str">
        <f>IFERROR(__xludf.DUMMYFUNCTION("IFERROR(FILTER('Fund Data'!$D:$D, 'Fund Data'!$C:$C = $A106, 'Fund Data'!$A:$A = B$1, 'Fund Data'!$B:$B = 12),"""")"),"")</f>
        <v/>
      </c>
      <c r="C106" t="str">
        <f>IFERROR(__xludf.DUMMYFUNCTION("IFERROR(FILTER('Fund Data'!$D:$D, 'Fund Data'!$C:$C = $A106, 'Fund Data'!$A:$A = C$1, 'Fund Data'!$B:$B = 12),"""")"),"")</f>
        <v/>
      </c>
      <c r="D106" t="str">
        <f>IFERROR(__xludf.DUMMYFUNCTION("IFERROR(FILTER('Fund Data'!$D:$D, 'Fund Data'!$C:$C = $A106, 'Fund Data'!$A:$A = D$1, 'Fund Data'!$B:$B = 12),"""")"),"")</f>
        <v/>
      </c>
      <c r="E106" t="str">
        <f>IFERROR(__xludf.DUMMYFUNCTION("IFERROR(FILTER('Fund Data'!$D:$D, 'Fund Data'!$C:$C = $A106, 'Fund Data'!$A:$A = E$1, 'Fund Data'!$B:$B = 12),"""")"),"")</f>
        <v/>
      </c>
      <c r="F106" t="str">
        <f>IFERROR(__xludf.DUMMYFUNCTION("IFERROR(FILTER('Fund Data'!$D:$D, 'Fund Data'!$C:$C = $A106, 'Fund Data'!$A:$A = F$1, 'Fund Data'!$B:$B = 12),"""")"),"")</f>
        <v/>
      </c>
      <c r="G106" t="str">
        <f>IFERROR(__xludf.DUMMYFUNCTION("IFERROR(FILTER('Fund Data'!$D:$D, 'Fund Data'!$C:$C = $A106, 'Fund Data'!$A:$A = G$1, 'Fund Data'!$B:$B = 12),"""")"),"")</f>
        <v/>
      </c>
      <c r="H106" t="str">
        <f>IFERROR(__xludf.DUMMYFUNCTION("IFERROR(FILTER('Fund Data'!$D:$D, 'Fund Data'!$C:$C = $A106, 'Fund Data'!$A:$A = H$1, 'Fund Data'!$B:$B = 12),"""")"),"")</f>
        <v/>
      </c>
      <c r="I106" t="str">
        <f>IFERROR(__xludf.DUMMYFUNCTION("IFERROR(FILTER('Fund Data'!$D:$D, 'Fund Data'!$C:$C = $A106, 'Fund Data'!$A:$A = I$1, 'Fund Data'!$B:$B = 12),"""")"),"")</f>
        <v/>
      </c>
      <c r="J106" t="str">
        <f>IFERROR(__xludf.DUMMYFUNCTION("IFERROR(FILTER('Fund Data'!$D:$D, 'Fund Data'!$C:$C = $A106, 'Fund Data'!$A:$A = J$1, 'Fund Data'!$B:$B = 12),"""")"),"")</f>
        <v/>
      </c>
      <c r="K106" t="str">
        <f>IFERROR(__xludf.DUMMYFUNCTION("IFERROR(FILTER('Fund Data'!$D:$D, 'Fund Data'!$C:$C = $A106, 'Fund Data'!$A:$A = K$1, 'Fund Data'!$B:$B = 12),"""")"),"")</f>
        <v/>
      </c>
      <c r="L106" t="str">
        <f>IFERROR(__xludf.DUMMYFUNCTION("IFERROR(FILTER('Fund Data'!$D:$D, 'Fund Data'!$C:$C = $A106, 'Fund Data'!$A:$A = L$1, 'Fund Data'!$B:$B = 12),"""")"),"")</f>
        <v/>
      </c>
      <c r="M106" t="str">
        <f>IFERROR(__xludf.DUMMYFUNCTION("IFERROR(FILTER('Fund Data'!$D:$D, 'Fund Data'!$C:$C = $A106, 'Fund Data'!$A:$A = M$1, 'Fund Data'!$B:$B = 12),"""")"),"")</f>
        <v/>
      </c>
      <c r="N106" t="str">
        <f>IFERROR(__xludf.DUMMYFUNCTION("IFERROR(FILTER('Fund Data'!$D:$D, 'Fund Data'!$C:$C = $A106, 'Fund Data'!$A:$A = N$1, 'Fund Data'!$B:$B = 12),"""")"),"")</f>
        <v/>
      </c>
      <c r="O106" t="str">
        <f>IFERROR(__xludf.DUMMYFUNCTION("IFERROR(FILTER('Fund Data'!$D:$D, 'Fund Data'!$C:$C = $A106, 'Fund Data'!$A:$A = O$1, 'Fund Data'!$B:$B = 12),"""")"),"")</f>
        <v/>
      </c>
      <c r="P106" t="str">
        <f>IFERROR(__xludf.DUMMYFUNCTION("IFERROR(FILTER('Fund Data'!$D:$D, 'Fund Data'!$C:$C = $A106, 'Fund Data'!$A:$A = P$1, 'Fund Data'!$B:$B = 12),"""")"),"")</f>
        <v/>
      </c>
      <c r="Q106" t="str">
        <f>IFERROR(__xludf.DUMMYFUNCTION("IFERROR(FILTER('Fund Data'!$D:$D, 'Fund Data'!$C:$C = $A106, 'Fund Data'!$A:$A = Q$1, 'Fund Data'!$B:$B = 12),"""")"),"")</f>
        <v/>
      </c>
      <c r="R106" t="str">
        <f>IFERROR(__xludf.DUMMYFUNCTION("IFERROR(FILTER('Fund Data'!$D:$D, 'Fund Data'!$C:$C = $A106, 'Fund Data'!$A:$A = R$1, 'Fund Data'!$B:$B = 12),"""")"),"")</f>
        <v/>
      </c>
      <c r="S106" t="str">
        <f>IFERROR(__xludf.DUMMYFUNCTION("IFERROR(FILTER('Fund Data'!$D:$D, 'Fund Data'!$C:$C = $A106, 'Fund Data'!$A:$A = S$1, 'Fund Data'!$B:$B = 12),"""")"),"")</f>
        <v/>
      </c>
      <c r="T106" t="str">
        <f>IFERROR(__xludf.DUMMYFUNCTION("IFERROR(FILTER('Fund Data'!$D:$D, 'Fund Data'!$C:$C = $A106, 'Fund Data'!$A:$A = T$1, 'Fund Data'!$B:$B = 12),"""")"),"")</f>
        <v/>
      </c>
      <c r="U106" t="str">
        <f>IFERROR(__xludf.DUMMYFUNCTION("IFERROR(FILTER('Fund Data'!$D:$D, 'Fund Data'!$C:$C = $A106, 'Fund Data'!$A:$A = U$1, 'Fund Data'!$B:$B = 12),"""")"),"")</f>
        <v/>
      </c>
      <c r="V106" t="str">
        <f>IFERROR(__xludf.DUMMYFUNCTION("IFERROR(FILTER('Fund Data'!$D:$D, 'Fund Data'!$C:$C = $A106, 'Fund Data'!$A:$A = V$1, 'Fund Data'!$B:$B = 12),"""")"),"")</f>
        <v/>
      </c>
      <c r="W106" t="str">
        <f>IFERROR(__xludf.DUMMYFUNCTION("IFERROR(FILTER('Fund Data'!$D:$D, 'Fund Data'!$C:$C = $A106, 'Fund Data'!$A:$A = W$1, 'Fund Data'!$B:$B = 12),"""")"),"")</f>
        <v/>
      </c>
      <c r="X106" t="str">
        <f>IFERROR(__xludf.DUMMYFUNCTION("IFERROR(FILTER('Fund Data'!$D:$D, 'Fund Data'!$C:$C = $A106, 'Fund Data'!$A:$A = X$1, 'Fund Data'!$B:$B = 12),"""")"),"")</f>
        <v/>
      </c>
      <c r="Y106" t="str">
        <f>IFERROR(__xludf.DUMMYFUNCTION("IFERROR(FILTER('Fund Data'!$D:$D, 'Fund Data'!$C:$C = $A106, 'Fund Data'!$A:$A = Y$1, 'Fund Data'!$B:$B = 12),"""")"),"")</f>
        <v/>
      </c>
      <c r="Z106" t="str">
        <f>IFERROR(__xludf.DUMMYFUNCTION("IFERROR(FILTER('Fund Data'!$D:$D, 'Fund Data'!$C:$C = $A106, 'Fund Data'!$A:$A = Z$1, 'Fund Data'!$B:$B = 12),"""")"),"")</f>
        <v/>
      </c>
      <c r="AA106" t="str">
        <f>IFERROR(__xludf.DUMMYFUNCTION("IFERROR(FILTER('Fund Data'!$D:$D, 'Fund Data'!$C:$C = $A106, 'Fund Data'!$A:$A = AA$1, 'Fund Data'!$B:$B = 12),"""")"),"")</f>
        <v/>
      </c>
      <c r="AB106" t="str">
        <f>IFERROR(__xludf.DUMMYFUNCTION("IFERROR(FILTER('Fund Data'!$D:$D, 'Fund Data'!$C:$C = $A106, 'Fund Data'!$A:$A = AB$1, 'Fund Data'!$B:$B = 12),"""")"),"")</f>
        <v/>
      </c>
      <c r="AC106" t="str">
        <f>IFERROR(__xludf.DUMMYFUNCTION("IFERROR(FILTER('Fund Data'!$D:$D, 'Fund Data'!$C:$C = $A106, 'Fund Data'!$A:$A = AC$1, 'Fund Data'!$B:$B = 12),"""")"),"")</f>
        <v/>
      </c>
      <c r="AD106" t="str">
        <f>IFERROR(__xludf.DUMMYFUNCTION("IFERROR(FILTER('Fund Data'!$D:$D, 'Fund Data'!$C:$C = $A106, 'Fund Data'!$A:$A = AD$1, 'Fund Data'!$B:$B = 12),"""")"),"")</f>
        <v/>
      </c>
      <c r="AE106" t="str">
        <f>IFERROR(__xludf.DUMMYFUNCTION("IFERROR(FILTER('Fund Data'!$D:$D, 'Fund Data'!$C:$C = $A106, 'Fund Data'!$A:$A = AE$1, 'Fund Data'!$B:$B = 12),"""")"),"")</f>
        <v/>
      </c>
    </row>
    <row r="107">
      <c r="A107" s="145" t="str">
        <f>'Endowed Funds'!B:B</f>
        <v/>
      </c>
      <c r="B107" t="str">
        <f>IFERROR(__xludf.DUMMYFUNCTION("IFERROR(FILTER('Fund Data'!$D:$D, 'Fund Data'!$C:$C = $A107, 'Fund Data'!$A:$A = B$1, 'Fund Data'!$B:$B = 12),"""")"),"")</f>
        <v/>
      </c>
      <c r="C107" t="str">
        <f>IFERROR(__xludf.DUMMYFUNCTION("IFERROR(FILTER('Fund Data'!$D:$D, 'Fund Data'!$C:$C = $A107, 'Fund Data'!$A:$A = C$1, 'Fund Data'!$B:$B = 12),"""")"),"")</f>
        <v/>
      </c>
      <c r="D107" t="str">
        <f>IFERROR(__xludf.DUMMYFUNCTION("IFERROR(FILTER('Fund Data'!$D:$D, 'Fund Data'!$C:$C = $A107, 'Fund Data'!$A:$A = D$1, 'Fund Data'!$B:$B = 12),"""")"),"")</f>
        <v/>
      </c>
      <c r="E107" t="str">
        <f>IFERROR(__xludf.DUMMYFUNCTION("IFERROR(FILTER('Fund Data'!$D:$D, 'Fund Data'!$C:$C = $A107, 'Fund Data'!$A:$A = E$1, 'Fund Data'!$B:$B = 12),"""")"),"")</f>
        <v/>
      </c>
      <c r="F107" t="str">
        <f>IFERROR(__xludf.DUMMYFUNCTION("IFERROR(FILTER('Fund Data'!$D:$D, 'Fund Data'!$C:$C = $A107, 'Fund Data'!$A:$A = F$1, 'Fund Data'!$B:$B = 12),"""")"),"")</f>
        <v/>
      </c>
      <c r="G107" t="str">
        <f>IFERROR(__xludf.DUMMYFUNCTION("IFERROR(FILTER('Fund Data'!$D:$D, 'Fund Data'!$C:$C = $A107, 'Fund Data'!$A:$A = G$1, 'Fund Data'!$B:$B = 12),"""")"),"")</f>
        <v/>
      </c>
      <c r="H107" t="str">
        <f>IFERROR(__xludf.DUMMYFUNCTION("IFERROR(FILTER('Fund Data'!$D:$D, 'Fund Data'!$C:$C = $A107, 'Fund Data'!$A:$A = H$1, 'Fund Data'!$B:$B = 12),"""")"),"")</f>
        <v/>
      </c>
      <c r="I107" t="str">
        <f>IFERROR(__xludf.DUMMYFUNCTION("IFERROR(FILTER('Fund Data'!$D:$D, 'Fund Data'!$C:$C = $A107, 'Fund Data'!$A:$A = I$1, 'Fund Data'!$B:$B = 12),"""")"),"")</f>
        <v/>
      </c>
      <c r="J107" t="str">
        <f>IFERROR(__xludf.DUMMYFUNCTION("IFERROR(FILTER('Fund Data'!$D:$D, 'Fund Data'!$C:$C = $A107, 'Fund Data'!$A:$A = J$1, 'Fund Data'!$B:$B = 12),"""")"),"")</f>
        <v/>
      </c>
      <c r="K107" t="str">
        <f>IFERROR(__xludf.DUMMYFUNCTION("IFERROR(FILTER('Fund Data'!$D:$D, 'Fund Data'!$C:$C = $A107, 'Fund Data'!$A:$A = K$1, 'Fund Data'!$B:$B = 12),"""")"),"")</f>
        <v/>
      </c>
      <c r="L107" t="str">
        <f>IFERROR(__xludf.DUMMYFUNCTION("IFERROR(FILTER('Fund Data'!$D:$D, 'Fund Data'!$C:$C = $A107, 'Fund Data'!$A:$A = L$1, 'Fund Data'!$B:$B = 12),"""")"),"")</f>
        <v/>
      </c>
      <c r="M107" t="str">
        <f>IFERROR(__xludf.DUMMYFUNCTION("IFERROR(FILTER('Fund Data'!$D:$D, 'Fund Data'!$C:$C = $A107, 'Fund Data'!$A:$A = M$1, 'Fund Data'!$B:$B = 12),"""")"),"")</f>
        <v/>
      </c>
      <c r="N107" t="str">
        <f>IFERROR(__xludf.DUMMYFUNCTION("IFERROR(FILTER('Fund Data'!$D:$D, 'Fund Data'!$C:$C = $A107, 'Fund Data'!$A:$A = N$1, 'Fund Data'!$B:$B = 12),"""")"),"")</f>
        <v/>
      </c>
      <c r="O107" t="str">
        <f>IFERROR(__xludf.DUMMYFUNCTION("IFERROR(FILTER('Fund Data'!$D:$D, 'Fund Data'!$C:$C = $A107, 'Fund Data'!$A:$A = O$1, 'Fund Data'!$B:$B = 12),"""")"),"")</f>
        <v/>
      </c>
      <c r="P107" t="str">
        <f>IFERROR(__xludf.DUMMYFUNCTION("IFERROR(FILTER('Fund Data'!$D:$D, 'Fund Data'!$C:$C = $A107, 'Fund Data'!$A:$A = P$1, 'Fund Data'!$B:$B = 12),"""")"),"")</f>
        <v/>
      </c>
      <c r="Q107" t="str">
        <f>IFERROR(__xludf.DUMMYFUNCTION("IFERROR(FILTER('Fund Data'!$D:$D, 'Fund Data'!$C:$C = $A107, 'Fund Data'!$A:$A = Q$1, 'Fund Data'!$B:$B = 12),"""")"),"")</f>
        <v/>
      </c>
      <c r="R107" t="str">
        <f>IFERROR(__xludf.DUMMYFUNCTION("IFERROR(FILTER('Fund Data'!$D:$D, 'Fund Data'!$C:$C = $A107, 'Fund Data'!$A:$A = R$1, 'Fund Data'!$B:$B = 12),"""")"),"")</f>
        <v/>
      </c>
      <c r="S107" t="str">
        <f>IFERROR(__xludf.DUMMYFUNCTION("IFERROR(FILTER('Fund Data'!$D:$D, 'Fund Data'!$C:$C = $A107, 'Fund Data'!$A:$A = S$1, 'Fund Data'!$B:$B = 12),"""")"),"")</f>
        <v/>
      </c>
      <c r="T107" t="str">
        <f>IFERROR(__xludf.DUMMYFUNCTION("IFERROR(FILTER('Fund Data'!$D:$D, 'Fund Data'!$C:$C = $A107, 'Fund Data'!$A:$A = T$1, 'Fund Data'!$B:$B = 12),"""")"),"")</f>
        <v/>
      </c>
      <c r="U107" t="str">
        <f>IFERROR(__xludf.DUMMYFUNCTION("IFERROR(FILTER('Fund Data'!$D:$D, 'Fund Data'!$C:$C = $A107, 'Fund Data'!$A:$A = U$1, 'Fund Data'!$B:$B = 12),"""")"),"")</f>
        <v/>
      </c>
      <c r="V107" t="str">
        <f>IFERROR(__xludf.DUMMYFUNCTION("IFERROR(FILTER('Fund Data'!$D:$D, 'Fund Data'!$C:$C = $A107, 'Fund Data'!$A:$A = V$1, 'Fund Data'!$B:$B = 12),"""")"),"")</f>
        <v/>
      </c>
      <c r="W107" t="str">
        <f>IFERROR(__xludf.DUMMYFUNCTION("IFERROR(FILTER('Fund Data'!$D:$D, 'Fund Data'!$C:$C = $A107, 'Fund Data'!$A:$A = W$1, 'Fund Data'!$B:$B = 12),"""")"),"")</f>
        <v/>
      </c>
      <c r="X107" t="str">
        <f>IFERROR(__xludf.DUMMYFUNCTION("IFERROR(FILTER('Fund Data'!$D:$D, 'Fund Data'!$C:$C = $A107, 'Fund Data'!$A:$A = X$1, 'Fund Data'!$B:$B = 12),"""")"),"")</f>
        <v/>
      </c>
      <c r="Y107" t="str">
        <f>IFERROR(__xludf.DUMMYFUNCTION("IFERROR(FILTER('Fund Data'!$D:$D, 'Fund Data'!$C:$C = $A107, 'Fund Data'!$A:$A = Y$1, 'Fund Data'!$B:$B = 12),"""")"),"")</f>
        <v/>
      </c>
      <c r="Z107" t="str">
        <f>IFERROR(__xludf.DUMMYFUNCTION("IFERROR(FILTER('Fund Data'!$D:$D, 'Fund Data'!$C:$C = $A107, 'Fund Data'!$A:$A = Z$1, 'Fund Data'!$B:$B = 12),"""")"),"")</f>
        <v/>
      </c>
      <c r="AA107" t="str">
        <f>IFERROR(__xludf.DUMMYFUNCTION("IFERROR(FILTER('Fund Data'!$D:$D, 'Fund Data'!$C:$C = $A107, 'Fund Data'!$A:$A = AA$1, 'Fund Data'!$B:$B = 12),"""")"),"")</f>
        <v/>
      </c>
      <c r="AB107" t="str">
        <f>IFERROR(__xludf.DUMMYFUNCTION("IFERROR(FILTER('Fund Data'!$D:$D, 'Fund Data'!$C:$C = $A107, 'Fund Data'!$A:$A = AB$1, 'Fund Data'!$B:$B = 12),"""")"),"")</f>
        <v/>
      </c>
      <c r="AC107" t="str">
        <f>IFERROR(__xludf.DUMMYFUNCTION("IFERROR(FILTER('Fund Data'!$D:$D, 'Fund Data'!$C:$C = $A107, 'Fund Data'!$A:$A = AC$1, 'Fund Data'!$B:$B = 12),"""")"),"")</f>
        <v/>
      </c>
      <c r="AD107" t="str">
        <f>IFERROR(__xludf.DUMMYFUNCTION("IFERROR(FILTER('Fund Data'!$D:$D, 'Fund Data'!$C:$C = $A107, 'Fund Data'!$A:$A = AD$1, 'Fund Data'!$B:$B = 12),"""")"),"")</f>
        <v/>
      </c>
      <c r="AE107" t="str">
        <f>IFERROR(__xludf.DUMMYFUNCTION("IFERROR(FILTER('Fund Data'!$D:$D, 'Fund Data'!$C:$C = $A107, 'Fund Data'!$A:$A = AE$1, 'Fund Data'!$B:$B = 12),"""")"),"")</f>
        <v/>
      </c>
    </row>
    <row r="108">
      <c r="A108" s="145" t="str">
        <f>'Endowed Funds'!B:B</f>
        <v/>
      </c>
      <c r="B108" t="str">
        <f>IFERROR(__xludf.DUMMYFUNCTION("IFERROR(FILTER('Fund Data'!$D:$D, 'Fund Data'!$C:$C = $A108, 'Fund Data'!$A:$A = B$1, 'Fund Data'!$B:$B = 12),"""")"),"")</f>
        <v/>
      </c>
      <c r="C108" t="str">
        <f>IFERROR(__xludf.DUMMYFUNCTION("IFERROR(FILTER('Fund Data'!$D:$D, 'Fund Data'!$C:$C = $A108, 'Fund Data'!$A:$A = C$1, 'Fund Data'!$B:$B = 12),"""")"),"")</f>
        <v/>
      </c>
      <c r="D108" t="str">
        <f>IFERROR(__xludf.DUMMYFUNCTION("IFERROR(FILTER('Fund Data'!$D:$D, 'Fund Data'!$C:$C = $A108, 'Fund Data'!$A:$A = D$1, 'Fund Data'!$B:$B = 12),"""")"),"")</f>
        <v/>
      </c>
      <c r="E108" t="str">
        <f>IFERROR(__xludf.DUMMYFUNCTION("IFERROR(FILTER('Fund Data'!$D:$D, 'Fund Data'!$C:$C = $A108, 'Fund Data'!$A:$A = E$1, 'Fund Data'!$B:$B = 12),"""")"),"")</f>
        <v/>
      </c>
      <c r="F108" t="str">
        <f>IFERROR(__xludf.DUMMYFUNCTION("IFERROR(FILTER('Fund Data'!$D:$D, 'Fund Data'!$C:$C = $A108, 'Fund Data'!$A:$A = F$1, 'Fund Data'!$B:$B = 12),"""")"),"")</f>
        <v/>
      </c>
      <c r="G108" t="str">
        <f>IFERROR(__xludf.DUMMYFUNCTION("IFERROR(FILTER('Fund Data'!$D:$D, 'Fund Data'!$C:$C = $A108, 'Fund Data'!$A:$A = G$1, 'Fund Data'!$B:$B = 12),"""")"),"")</f>
        <v/>
      </c>
      <c r="H108" t="str">
        <f>IFERROR(__xludf.DUMMYFUNCTION("IFERROR(FILTER('Fund Data'!$D:$D, 'Fund Data'!$C:$C = $A108, 'Fund Data'!$A:$A = H$1, 'Fund Data'!$B:$B = 12),"""")"),"")</f>
        <v/>
      </c>
      <c r="I108" t="str">
        <f>IFERROR(__xludf.DUMMYFUNCTION("IFERROR(FILTER('Fund Data'!$D:$D, 'Fund Data'!$C:$C = $A108, 'Fund Data'!$A:$A = I$1, 'Fund Data'!$B:$B = 12),"""")"),"")</f>
        <v/>
      </c>
      <c r="J108" t="str">
        <f>IFERROR(__xludf.DUMMYFUNCTION("IFERROR(FILTER('Fund Data'!$D:$D, 'Fund Data'!$C:$C = $A108, 'Fund Data'!$A:$A = J$1, 'Fund Data'!$B:$B = 12),"""")"),"")</f>
        <v/>
      </c>
      <c r="K108" t="str">
        <f>IFERROR(__xludf.DUMMYFUNCTION("IFERROR(FILTER('Fund Data'!$D:$D, 'Fund Data'!$C:$C = $A108, 'Fund Data'!$A:$A = K$1, 'Fund Data'!$B:$B = 12),"""")"),"")</f>
        <v/>
      </c>
      <c r="L108" t="str">
        <f>IFERROR(__xludf.DUMMYFUNCTION("IFERROR(FILTER('Fund Data'!$D:$D, 'Fund Data'!$C:$C = $A108, 'Fund Data'!$A:$A = L$1, 'Fund Data'!$B:$B = 12),"""")"),"")</f>
        <v/>
      </c>
      <c r="M108" t="str">
        <f>IFERROR(__xludf.DUMMYFUNCTION("IFERROR(FILTER('Fund Data'!$D:$D, 'Fund Data'!$C:$C = $A108, 'Fund Data'!$A:$A = M$1, 'Fund Data'!$B:$B = 12),"""")"),"")</f>
        <v/>
      </c>
      <c r="N108" t="str">
        <f>IFERROR(__xludf.DUMMYFUNCTION("IFERROR(FILTER('Fund Data'!$D:$D, 'Fund Data'!$C:$C = $A108, 'Fund Data'!$A:$A = N$1, 'Fund Data'!$B:$B = 12),"""")"),"")</f>
        <v/>
      </c>
      <c r="O108" t="str">
        <f>IFERROR(__xludf.DUMMYFUNCTION("IFERROR(FILTER('Fund Data'!$D:$D, 'Fund Data'!$C:$C = $A108, 'Fund Data'!$A:$A = O$1, 'Fund Data'!$B:$B = 12),"""")"),"")</f>
        <v/>
      </c>
      <c r="P108" t="str">
        <f>IFERROR(__xludf.DUMMYFUNCTION("IFERROR(FILTER('Fund Data'!$D:$D, 'Fund Data'!$C:$C = $A108, 'Fund Data'!$A:$A = P$1, 'Fund Data'!$B:$B = 12),"""")"),"")</f>
        <v/>
      </c>
      <c r="Q108" t="str">
        <f>IFERROR(__xludf.DUMMYFUNCTION("IFERROR(FILTER('Fund Data'!$D:$D, 'Fund Data'!$C:$C = $A108, 'Fund Data'!$A:$A = Q$1, 'Fund Data'!$B:$B = 12),"""")"),"")</f>
        <v/>
      </c>
      <c r="R108" t="str">
        <f>IFERROR(__xludf.DUMMYFUNCTION("IFERROR(FILTER('Fund Data'!$D:$D, 'Fund Data'!$C:$C = $A108, 'Fund Data'!$A:$A = R$1, 'Fund Data'!$B:$B = 12),"""")"),"")</f>
        <v/>
      </c>
      <c r="S108" t="str">
        <f>IFERROR(__xludf.DUMMYFUNCTION("IFERROR(FILTER('Fund Data'!$D:$D, 'Fund Data'!$C:$C = $A108, 'Fund Data'!$A:$A = S$1, 'Fund Data'!$B:$B = 12),"""")"),"")</f>
        <v/>
      </c>
      <c r="T108" t="str">
        <f>IFERROR(__xludf.DUMMYFUNCTION("IFERROR(FILTER('Fund Data'!$D:$D, 'Fund Data'!$C:$C = $A108, 'Fund Data'!$A:$A = T$1, 'Fund Data'!$B:$B = 12),"""")"),"")</f>
        <v/>
      </c>
      <c r="U108" t="str">
        <f>IFERROR(__xludf.DUMMYFUNCTION("IFERROR(FILTER('Fund Data'!$D:$D, 'Fund Data'!$C:$C = $A108, 'Fund Data'!$A:$A = U$1, 'Fund Data'!$B:$B = 12),"""")"),"")</f>
        <v/>
      </c>
      <c r="V108" t="str">
        <f>IFERROR(__xludf.DUMMYFUNCTION("IFERROR(FILTER('Fund Data'!$D:$D, 'Fund Data'!$C:$C = $A108, 'Fund Data'!$A:$A = V$1, 'Fund Data'!$B:$B = 12),"""")"),"")</f>
        <v/>
      </c>
      <c r="W108" t="str">
        <f>IFERROR(__xludf.DUMMYFUNCTION("IFERROR(FILTER('Fund Data'!$D:$D, 'Fund Data'!$C:$C = $A108, 'Fund Data'!$A:$A = W$1, 'Fund Data'!$B:$B = 12),"""")"),"")</f>
        <v/>
      </c>
      <c r="X108" t="str">
        <f>IFERROR(__xludf.DUMMYFUNCTION("IFERROR(FILTER('Fund Data'!$D:$D, 'Fund Data'!$C:$C = $A108, 'Fund Data'!$A:$A = X$1, 'Fund Data'!$B:$B = 12),"""")"),"")</f>
        <v/>
      </c>
      <c r="Y108" t="str">
        <f>IFERROR(__xludf.DUMMYFUNCTION("IFERROR(FILTER('Fund Data'!$D:$D, 'Fund Data'!$C:$C = $A108, 'Fund Data'!$A:$A = Y$1, 'Fund Data'!$B:$B = 12),"""")"),"")</f>
        <v/>
      </c>
      <c r="Z108" t="str">
        <f>IFERROR(__xludf.DUMMYFUNCTION("IFERROR(FILTER('Fund Data'!$D:$D, 'Fund Data'!$C:$C = $A108, 'Fund Data'!$A:$A = Z$1, 'Fund Data'!$B:$B = 12),"""")"),"")</f>
        <v/>
      </c>
      <c r="AA108" t="str">
        <f>IFERROR(__xludf.DUMMYFUNCTION("IFERROR(FILTER('Fund Data'!$D:$D, 'Fund Data'!$C:$C = $A108, 'Fund Data'!$A:$A = AA$1, 'Fund Data'!$B:$B = 12),"""")"),"")</f>
        <v/>
      </c>
      <c r="AB108" t="str">
        <f>IFERROR(__xludf.DUMMYFUNCTION("IFERROR(FILTER('Fund Data'!$D:$D, 'Fund Data'!$C:$C = $A108, 'Fund Data'!$A:$A = AB$1, 'Fund Data'!$B:$B = 12),"""")"),"")</f>
        <v/>
      </c>
      <c r="AC108" t="str">
        <f>IFERROR(__xludf.DUMMYFUNCTION("IFERROR(FILTER('Fund Data'!$D:$D, 'Fund Data'!$C:$C = $A108, 'Fund Data'!$A:$A = AC$1, 'Fund Data'!$B:$B = 12),"""")"),"")</f>
        <v/>
      </c>
      <c r="AD108" t="str">
        <f>IFERROR(__xludf.DUMMYFUNCTION("IFERROR(FILTER('Fund Data'!$D:$D, 'Fund Data'!$C:$C = $A108, 'Fund Data'!$A:$A = AD$1, 'Fund Data'!$B:$B = 12),"""")"),"")</f>
        <v/>
      </c>
      <c r="AE108" t="str">
        <f>IFERROR(__xludf.DUMMYFUNCTION("IFERROR(FILTER('Fund Data'!$D:$D, 'Fund Data'!$C:$C = $A108, 'Fund Data'!$A:$A = AE$1, 'Fund Data'!$B:$B = 12),"""")"),"")</f>
        <v/>
      </c>
    </row>
    <row r="109">
      <c r="A109" s="145" t="str">
        <f>'Endowed Funds'!B:B</f>
        <v/>
      </c>
      <c r="B109" t="str">
        <f>IFERROR(__xludf.DUMMYFUNCTION("IFERROR(FILTER('Fund Data'!$D:$D, 'Fund Data'!$C:$C = $A109, 'Fund Data'!$A:$A = B$1, 'Fund Data'!$B:$B = 12),"""")"),"")</f>
        <v/>
      </c>
      <c r="C109" t="str">
        <f>IFERROR(__xludf.DUMMYFUNCTION("IFERROR(FILTER('Fund Data'!$D:$D, 'Fund Data'!$C:$C = $A109, 'Fund Data'!$A:$A = C$1, 'Fund Data'!$B:$B = 12),"""")"),"")</f>
        <v/>
      </c>
      <c r="D109" t="str">
        <f>IFERROR(__xludf.DUMMYFUNCTION("IFERROR(FILTER('Fund Data'!$D:$D, 'Fund Data'!$C:$C = $A109, 'Fund Data'!$A:$A = D$1, 'Fund Data'!$B:$B = 12),"""")"),"")</f>
        <v/>
      </c>
      <c r="E109" t="str">
        <f>IFERROR(__xludf.DUMMYFUNCTION("IFERROR(FILTER('Fund Data'!$D:$D, 'Fund Data'!$C:$C = $A109, 'Fund Data'!$A:$A = E$1, 'Fund Data'!$B:$B = 12),"""")"),"")</f>
        <v/>
      </c>
      <c r="F109" t="str">
        <f>IFERROR(__xludf.DUMMYFUNCTION("IFERROR(FILTER('Fund Data'!$D:$D, 'Fund Data'!$C:$C = $A109, 'Fund Data'!$A:$A = F$1, 'Fund Data'!$B:$B = 12),"""")"),"")</f>
        <v/>
      </c>
      <c r="G109" t="str">
        <f>IFERROR(__xludf.DUMMYFUNCTION("IFERROR(FILTER('Fund Data'!$D:$D, 'Fund Data'!$C:$C = $A109, 'Fund Data'!$A:$A = G$1, 'Fund Data'!$B:$B = 12),"""")"),"")</f>
        <v/>
      </c>
      <c r="H109" t="str">
        <f>IFERROR(__xludf.DUMMYFUNCTION("IFERROR(FILTER('Fund Data'!$D:$D, 'Fund Data'!$C:$C = $A109, 'Fund Data'!$A:$A = H$1, 'Fund Data'!$B:$B = 12),"""")"),"")</f>
        <v/>
      </c>
      <c r="I109" t="str">
        <f>IFERROR(__xludf.DUMMYFUNCTION("IFERROR(FILTER('Fund Data'!$D:$D, 'Fund Data'!$C:$C = $A109, 'Fund Data'!$A:$A = I$1, 'Fund Data'!$B:$B = 12),"""")"),"")</f>
        <v/>
      </c>
      <c r="J109" t="str">
        <f>IFERROR(__xludf.DUMMYFUNCTION("IFERROR(FILTER('Fund Data'!$D:$D, 'Fund Data'!$C:$C = $A109, 'Fund Data'!$A:$A = J$1, 'Fund Data'!$B:$B = 12),"""")"),"")</f>
        <v/>
      </c>
      <c r="K109" t="str">
        <f>IFERROR(__xludf.DUMMYFUNCTION("IFERROR(FILTER('Fund Data'!$D:$D, 'Fund Data'!$C:$C = $A109, 'Fund Data'!$A:$A = K$1, 'Fund Data'!$B:$B = 12),"""")"),"")</f>
        <v/>
      </c>
      <c r="L109" t="str">
        <f>IFERROR(__xludf.DUMMYFUNCTION("IFERROR(FILTER('Fund Data'!$D:$D, 'Fund Data'!$C:$C = $A109, 'Fund Data'!$A:$A = L$1, 'Fund Data'!$B:$B = 12),"""")"),"")</f>
        <v/>
      </c>
      <c r="M109" t="str">
        <f>IFERROR(__xludf.DUMMYFUNCTION("IFERROR(FILTER('Fund Data'!$D:$D, 'Fund Data'!$C:$C = $A109, 'Fund Data'!$A:$A = M$1, 'Fund Data'!$B:$B = 12),"""")"),"")</f>
        <v/>
      </c>
      <c r="N109" t="str">
        <f>IFERROR(__xludf.DUMMYFUNCTION("IFERROR(FILTER('Fund Data'!$D:$D, 'Fund Data'!$C:$C = $A109, 'Fund Data'!$A:$A = N$1, 'Fund Data'!$B:$B = 12),"""")"),"")</f>
        <v/>
      </c>
      <c r="O109" t="str">
        <f>IFERROR(__xludf.DUMMYFUNCTION("IFERROR(FILTER('Fund Data'!$D:$D, 'Fund Data'!$C:$C = $A109, 'Fund Data'!$A:$A = O$1, 'Fund Data'!$B:$B = 12),"""")"),"")</f>
        <v/>
      </c>
      <c r="P109" t="str">
        <f>IFERROR(__xludf.DUMMYFUNCTION("IFERROR(FILTER('Fund Data'!$D:$D, 'Fund Data'!$C:$C = $A109, 'Fund Data'!$A:$A = P$1, 'Fund Data'!$B:$B = 12),"""")"),"")</f>
        <v/>
      </c>
      <c r="Q109" t="str">
        <f>IFERROR(__xludf.DUMMYFUNCTION("IFERROR(FILTER('Fund Data'!$D:$D, 'Fund Data'!$C:$C = $A109, 'Fund Data'!$A:$A = Q$1, 'Fund Data'!$B:$B = 12),"""")"),"")</f>
        <v/>
      </c>
      <c r="R109" t="str">
        <f>IFERROR(__xludf.DUMMYFUNCTION("IFERROR(FILTER('Fund Data'!$D:$D, 'Fund Data'!$C:$C = $A109, 'Fund Data'!$A:$A = R$1, 'Fund Data'!$B:$B = 12),"""")"),"")</f>
        <v/>
      </c>
      <c r="S109" t="str">
        <f>IFERROR(__xludf.DUMMYFUNCTION("IFERROR(FILTER('Fund Data'!$D:$D, 'Fund Data'!$C:$C = $A109, 'Fund Data'!$A:$A = S$1, 'Fund Data'!$B:$B = 12),"""")"),"")</f>
        <v/>
      </c>
      <c r="T109" t="str">
        <f>IFERROR(__xludf.DUMMYFUNCTION("IFERROR(FILTER('Fund Data'!$D:$D, 'Fund Data'!$C:$C = $A109, 'Fund Data'!$A:$A = T$1, 'Fund Data'!$B:$B = 12),"""")"),"")</f>
        <v/>
      </c>
      <c r="U109" t="str">
        <f>IFERROR(__xludf.DUMMYFUNCTION("IFERROR(FILTER('Fund Data'!$D:$D, 'Fund Data'!$C:$C = $A109, 'Fund Data'!$A:$A = U$1, 'Fund Data'!$B:$B = 12),"""")"),"")</f>
        <v/>
      </c>
      <c r="V109" t="str">
        <f>IFERROR(__xludf.DUMMYFUNCTION("IFERROR(FILTER('Fund Data'!$D:$D, 'Fund Data'!$C:$C = $A109, 'Fund Data'!$A:$A = V$1, 'Fund Data'!$B:$B = 12),"""")"),"")</f>
        <v/>
      </c>
      <c r="W109" t="str">
        <f>IFERROR(__xludf.DUMMYFUNCTION("IFERROR(FILTER('Fund Data'!$D:$D, 'Fund Data'!$C:$C = $A109, 'Fund Data'!$A:$A = W$1, 'Fund Data'!$B:$B = 12),"""")"),"")</f>
        <v/>
      </c>
      <c r="X109" t="str">
        <f>IFERROR(__xludf.DUMMYFUNCTION("IFERROR(FILTER('Fund Data'!$D:$D, 'Fund Data'!$C:$C = $A109, 'Fund Data'!$A:$A = X$1, 'Fund Data'!$B:$B = 12),"""")"),"")</f>
        <v/>
      </c>
      <c r="Y109" t="str">
        <f>IFERROR(__xludf.DUMMYFUNCTION("IFERROR(FILTER('Fund Data'!$D:$D, 'Fund Data'!$C:$C = $A109, 'Fund Data'!$A:$A = Y$1, 'Fund Data'!$B:$B = 12),"""")"),"")</f>
        <v/>
      </c>
      <c r="Z109" t="str">
        <f>IFERROR(__xludf.DUMMYFUNCTION("IFERROR(FILTER('Fund Data'!$D:$D, 'Fund Data'!$C:$C = $A109, 'Fund Data'!$A:$A = Z$1, 'Fund Data'!$B:$B = 12),"""")"),"")</f>
        <v/>
      </c>
      <c r="AA109" t="str">
        <f>IFERROR(__xludf.DUMMYFUNCTION("IFERROR(FILTER('Fund Data'!$D:$D, 'Fund Data'!$C:$C = $A109, 'Fund Data'!$A:$A = AA$1, 'Fund Data'!$B:$B = 12),"""")"),"")</f>
        <v/>
      </c>
      <c r="AB109" t="str">
        <f>IFERROR(__xludf.DUMMYFUNCTION("IFERROR(FILTER('Fund Data'!$D:$D, 'Fund Data'!$C:$C = $A109, 'Fund Data'!$A:$A = AB$1, 'Fund Data'!$B:$B = 12),"""")"),"")</f>
        <v/>
      </c>
      <c r="AC109" t="str">
        <f>IFERROR(__xludf.DUMMYFUNCTION("IFERROR(FILTER('Fund Data'!$D:$D, 'Fund Data'!$C:$C = $A109, 'Fund Data'!$A:$A = AC$1, 'Fund Data'!$B:$B = 12),"""")"),"")</f>
        <v/>
      </c>
      <c r="AD109" t="str">
        <f>IFERROR(__xludf.DUMMYFUNCTION("IFERROR(FILTER('Fund Data'!$D:$D, 'Fund Data'!$C:$C = $A109, 'Fund Data'!$A:$A = AD$1, 'Fund Data'!$B:$B = 12),"""")"),"")</f>
        <v/>
      </c>
      <c r="AE109" t="str">
        <f>IFERROR(__xludf.DUMMYFUNCTION("IFERROR(FILTER('Fund Data'!$D:$D, 'Fund Data'!$C:$C = $A109, 'Fund Data'!$A:$A = AE$1, 'Fund Data'!$B:$B = 12),"""")"),"")</f>
        <v/>
      </c>
    </row>
    <row r="110">
      <c r="A110" s="145" t="str">
        <f>'Endowed Funds'!B:B</f>
        <v/>
      </c>
      <c r="B110" t="str">
        <f>IFERROR(__xludf.DUMMYFUNCTION("IFERROR(FILTER('Fund Data'!$D:$D, 'Fund Data'!$C:$C = $A110, 'Fund Data'!$A:$A = B$1, 'Fund Data'!$B:$B = 12),"""")"),"")</f>
        <v/>
      </c>
      <c r="C110" t="str">
        <f>IFERROR(__xludf.DUMMYFUNCTION("IFERROR(FILTER('Fund Data'!$D:$D, 'Fund Data'!$C:$C = $A110, 'Fund Data'!$A:$A = C$1, 'Fund Data'!$B:$B = 12),"""")"),"")</f>
        <v/>
      </c>
      <c r="D110" t="str">
        <f>IFERROR(__xludf.DUMMYFUNCTION("IFERROR(FILTER('Fund Data'!$D:$D, 'Fund Data'!$C:$C = $A110, 'Fund Data'!$A:$A = D$1, 'Fund Data'!$B:$B = 12),"""")"),"")</f>
        <v/>
      </c>
      <c r="E110" t="str">
        <f>IFERROR(__xludf.DUMMYFUNCTION("IFERROR(FILTER('Fund Data'!$D:$D, 'Fund Data'!$C:$C = $A110, 'Fund Data'!$A:$A = E$1, 'Fund Data'!$B:$B = 12),"""")"),"")</f>
        <v/>
      </c>
      <c r="F110" t="str">
        <f>IFERROR(__xludf.DUMMYFUNCTION("IFERROR(FILTER('Fund Data'!$D:$D, 'Fund Data'!$C:$C = $A110, 'Fund Data'!$A:$A = F$1, 'Fund Data'!$B:$B = 12),"""")"),"")</f>
        <v/>
      </c>
      <c r="G110" t="str">
        <f>IFERROR(__xludf.DUMMYFUNCTION("IFERROR(FILTER('Fund Data'!$D:$D, 'Fund Data'!$C:$C = $A110, 'Fund Data'!$A:$A = G$1, 'Fund Data'!$B:$B = 12),"""")"),"")</f>
        <v/>
      </c>
      <c r="H110" t="str">
        <f>IFERROR(__xludf.DUMMYFUNCTION("IFERROR(FILTER('Fund Data'!$D:$D, 'Fund Data'!$C:$C = $A110, 'Fund Data'!$A:$A = H$1, 'Fund Data'!$B:$B = 12),"""")"),"")</f>
        <v/>
      </c>
      <c r="I110" t="str">
        <f>IFERROR(__xludf.DUMMYFUNCTION("IFERROR(FILTER('Fund Data'!$D:$D, 'Fund Data'!$C:$C = $A110, 'Fund Data'!$A:$A = I$1, 'Fund Data'!$B:$B = 12),"""")"),"")</f>
        <v/>
      </c>
      <c r="J110" t="str">
        <f>IFERROR(__xludf.DUMMYFUNCTION("IFERROR(FILTER('Fund Data'!$D:$D, 'Fund Data'!$C:$C = $A110, 'Fund Data'!$A:$A = J$1, 'Fund Data'!$B:$B = 12),"""")"),"")</f>
        <v/>
      </c>
      <c r="K110" t="str">
        <f>IFERROR(__xludf.DUMMYFUNCTION("IFERROR(FILTER('Fund Data'!$D:$D, 'Fund Data'!$C:$C = $A110, 'Fund Data'!$A:$A = K$1, 'Fund Data'!$B:$B = 12),"""")"),"")</f>
        <v/>
      </c>
      <c r="L110" t="str">
        <f>IFERROR(__xludf.DUMMYFUNCTION("IFERROR(FILTER('Fund Data'!$D:$D, 'Fund Data'!$C:$C = $A110, 'Fund Data'!$A:$A = L$1, 'Fund Data'!$B:$B = 12),"""")"),"")</f>
        <v/>
      </c>
      <c r="M110" t="str">
        <f>IFERROR(__xludf.DUMMYFUNCTION("IFERROR(FILTER('Fund Data'!$D:$D, 'Fund Data'!$C:$C = $A110, 'Fund Data'!$A:$A = M$1, 'Fund Data'!$B:$B = 12),"""")"),"")</f>
        <v/>
      </c>
      <c r="N110" t="str">
        <f>IFERROR(__xludf.DUMMYFUNCTION("IFERROR(FILTER('Fund Data'!$D:$D, 'Fund Data'!$C:$C = $A110, 'Fund Data'!$A:$A = N$1, 'Fund Data'!$B:$B = 12),"""")"),"")</f>
        <v/>
      </c>
      <c r="O110" t="str">
        <f>IFERROR(__xludf.DUMMYFUNCTION("IFERROR(FILTER('Fund Data'!$D:$D, 'Fund Data'!$C:$C = $A110, 'Fund Data'!$A:$A = O$1, 'Fund Data'!$B:$B = 12),"""")"),"")</f>
        <v/>
      </c>
      <c r="P110" t="str">
        <f>IFERROR(__xludf.DUMMYFUNCTION("IFERROR(FILTER('Fund Data'!$D:$D, 'Fund Data'!$C:$C = $A110, 'Fund Data'!$A:$A = P$1, 'Fund Data'!$B:$B = 12),"""")"),"")</f>
        <v/>
      </c>
      <c r="Q110" t="str">
        <f>IFERROR(__xludf.DUMMYFUNCTION("IFERROR(FILTER('Fund Data'!$D:$D, 'Fund Data'!$C:$C = $A110, 'Fund Data'!$A:$A = Q$1, 'Fund Data'!$B:$B = 12),"""")"),"")</f>
        <v/>
      </c>
      <c r="R110" t="str">
        <f>IFERROR(__xludf.DUMMYFUNCTION("IFERROR(FILTER('Fund Data'!$D:$D, 'Fund Data'!$C:$C = $A110, 'Fund Data'!$A:$A = R$1, 'Fund Data'!$B:$B = 12),"""")"),"")</f>
        <v/>
      </c>
      <c r="S110" t="str">
        <f>IFERROR(__xludf.DUMMYFUNCTION("IFERROR(FILTER('Fund Data'!$D:$D, 'Fund Data'!$C:$C = $A110, 'Fund Data'!$A:$A = S$1, 'Fund Data'!$B:$B = 12),"""")"),"")</f>
        <v/>
      </c>
      <c r="T110" t="str">
        <f>IFERROR(__xludf.DUMMYFUNCTION("IFERROR(FILTER('Fund Data'!$D:$D, 'Fund Data'!$C:$C = $A110, 'Fund Data'!$A:$A = T$1, 'Fund Data'!$B:$B = 12),"""")"),"")</f>
        <v/>
      </c>
      <c r="U110" t="str">
        <f>IFERROR(__xludf.DUMMYFUNCTION("IFERROR(FILTER('Fund Data'!$D:$D, 'Fund Data'!$C:$C = $A110, 'Fund Data'!$A:$A = U$1, 'Fund Data'!$B:$B = 12),"""")"),"")</f>
        <v/>
      </c>
      <c r="V110" t="str">
        <f>IFERROR(__xludf.DUMMYFUNCTION("IFERROR(FILTER('Fund Data'!$D:$D, 'Fund Data'!$C:$C = $A110, 'Fund Data'!$A:$A = V$1, 'Fund Data'!$B:$B = 12),"""")"),"")</f>
        <v/>
      </c>
      <c r="W110" t="str">
        <f>IFERROR(__xludf.DUMMYFUNCTION("IFERROR(FILTER('Fund Data'!$D:$D, 'Fund Data'!$C:$C = $A110, 'Fund Data'!$A:$A = W$1, 'Fund Data'!$B:$B = 12),"""")"),"")</f>
        <v/>
      </c>
      <c r="X110" t="str">
        <f>IFERROR(__xludf.DUMMYFUNCTION("IFERROR(FILTER('Fund Data'!$D:$D, 'Fund Data'!$C:$C = $A110, 'Fund Data'!$A:$A = X$1, 'Fund Data'!$B:$B = 12),"""")"),"")</f>
        <v/>
      </c>
      <c r="Y110" t="str">
        <f>IFERROR(__xludf.DUMMYFUNCTION("IFERROR(FILTER('Fund Data'!$D:$D, 'Fund Data'!$C:$C = $A110, 'Fund Data'!$A:$A = Y$1, 'Fund Data'!$B:$B = 12),"""")"),"")</f>
        <v/>
      </c>
      <c r="Z110" t="str">
        <f>IFERROR(__xludf.DUMMYFUNCTION("IFERROR(FILTER('Fund Data'!$D:$D, 'Fund Data'!$C:$C = $A110, 'Fund Data'!$A:$A = Z$1, 'Fund Data'!$B:$B = 12),"""")"),"")</f>
        <v/>
      </c>
      <c r="AA110" t="str">
        <f>IFERROR(__xludf.DUMMYFUNCTION("IFERROR(FILTER('Fund Data'!$D:$D, 'Fund Data'!$C:$C = $A110, 'Fund Data'!$A:$A = AA$1, 'Fund Data'!$B:$B = 12),"""")"),"")</f>
        <v/>
      </c>
      <c r="AB110" t="str">
        <f>IFERROR(__xludf.DUMMYFUNCTION("IFERROR(FILTER('Fund Data'!$D:$D, 'Fund Data'!$C:$C = $A110, 'Fund Data'!$A:$A = AB$1, 'Fund Data'!$B:$B = 12),"""")"),"")</f>
        <v/>
      </c>
      <c r="AC110" t="str">
        <f>IFERROR(__xludf.DUMMYFUNCTION("IFERROR(FILTER('Fund Data'!$D:$D, 'Fund Data'!$C:$C = $A110, 'Fund Data'!$A:$A = AC$1, 'Fund Data'!$B:$B = 12),"""")"),"")</f>
        <v/>
      </c>
      <c r="AD110" t="str">
        <f>IFERROR(__xludf.DUMMYFUNCTION("IFERROR(FILTER('Fund Data'!$D:$D, 'Fund Data'!$C:$C = $A110, 'Fund Data'!$A:$A = AD$1, 'Fund Data'!$B:$B = 12),"""")"),"")</f>
        <v/>
      </c>
      <c r="AE110" t="str">
        <f>IFERROR(__xludf.DUMMYFUNCTION("IFERROR(FILTER('Fund Data'!$D:$D, 'Fund Data'!$C:$C = $A110, 'Fund Data'!$A:$A = AE$1, 'Fund Data'!$B:$B = 12),"""")"),"")</f>
        <v/>
      </c>
    </row>
    <row r="111">
      <c r="A111" s="145" t="str">
        <f>'Endowed Funds'!B:B</f>
        <v/>
      </c>
      <c r="B111" t="str">
        <f>IFERROR(__xludf.DUMMYFUNCTION("IFERROR(FILTER('Fund Data'!$D:$D, 'Fund Data'!$C:$C = $A111, 'Fund Data'!$A:$A = B$1, 'Fund Data'!$B:$B = 12),"""")"),"")</f>
        <v/>
      </c>
      <c r="C111" t="str">
        <f>IFERROR(__xludf.DUMMYFUNCTION("IFERROR(FILTER('Fund Data'!$D:$D, 'Fund Data'!$C:$C = $A111, 'Fund Data'!$A:$A = C$1, 'Fund Data'!$B:$B = 12),"""")"),"")</f>
        <v/>
      </c>
      <c r="D111" t="str">
        <f>IFERROR(__xludf.DUMMYFUNCTION("IFERROR(FILTER('Fund Data'!$D:$D, 'Fund Data'!$C:$C = $A111, 'Fund Data'!$A:$A = D$1, 'Fund Data'!$B:$B = 12),"""")"),"")</f>
        <v/>
      </c>
      <c r="E111" t="str">
        <f>IFERROR(__xludf.DUMMYFUNCTION("IFERROR(FILTER('Fund Data'!$D:$D, 'Fund Data'!$C:$C = $A111, 'Fund Data'!$A:$A = E$1, 'Fund Data'!$B:$B = 12),"""")"),"")</f>
        <v/>
      </c>
      <c r="F111" t="str">
        <f>IFERROR(__xludf.DUMMYFUNCTION("IFERROR(FILTER('Fund Data'!$D:$D, 'Fund Data'!$C:$C = $A111, 'Fund Data'!$A:$A = F$1, 'Fund Data'!$B:$B = 12),"""")"),"")</f>
        <v/>
      </c>
      <c r="G111" t="str">
        <f>IFERROR(__xludf.DUMMYFUNCTION("IFERROR(FILTER('Fund Data'!$D:$D, 'Fund Data'!$C:$C = $A111, 'Fund Data'!$A:$A = G$1, 'Fund Data'!$B:$B = 12),"""")"),"")</f>
        <v/>
      </c>
      <c r="H111" t="str">
        <f>IFERROR(__xludf.DUMMYFUNCTION("IFERROR(FILTER('Fund Data'!$D:$D, 'Fund Data'!$C:$C = $A111, 'Fund Data'!$A:$A = H$1, 'Fund Data'!$B:$B = 12),"""")"),"")</f>
        <v/>
      </c>
      <c r="I111" t="str">
        <f>IFERROR(__xludf.DUMMYFUNCTION("IFERROR(FILTER('Fund Data'!$D:$D, 'Fund Data'!$C:$C = $A111, 'Fund Data'!$A:$A = I$1, 'Fund Data'!$B:$B = 12),"""")"),"")</f>
        <v/>
      </c>
      <c r="J111" t="str">
        <f>IFERROR(__xludf.DUMMYFUNCTION("IFERROR(FILTER('Fund Data'!$D:$D, 'Fund Data'!$C:$C = $A111, 'Fund Data'!$A:$A = J$1, 'Fund Data'!$B:$B = 12),"""")"),"")</f>
        <v/>
      </c>
      <c r="K111" t="str">
        <f>IFERROR(__xludf.DUMMYFUNCTION("IFERROR(FILTER('Fund Data'!$D:$D, 'Fund Data'!$C:$C = $A111, 'Fund Data'!$A:$A = K$1, 'Fund Data'!$B:$B = 12),"""")"),"")</f>
        <v/>
      </c>
      <c r="L111" t="str">
        <f>IFERROR(__xludf.DUMMYFUNCTION("IFERROR(FILTER('Fund Data'!$D:$D, 'Fund Data'!$C:$C = $A111, 'Fund Data'!$A:$A = L$1, 'Fund Data'!$B:$B = 12),"""")"),"")</f>
        <v/>
      </c>
      <c r="M111" t="str">
        <f>IFERROR(__xludf.DUMMYFUNCTION("IFERROR(FILTER('Fund Data'!$D:$D, 'Fund Data'!$C:$C = $A111, 'Fund Data'!$A:$A = M$1, 'Fund Data'!$B:$B = 12),"""")"),"")</f>
        <v/>
      </c>
      <c r="N111" t="str">
        <f>IFERROR(__xludf.DUMMYFUNCTION("IFERROR(FILTER('Fund Data'!$D:$D, 'Fund Data'!$C:$C = $A111, 'Fund Data'!$A:$A = N$1, 'Fund Data'!$B:$B = 12),"""")"),"")</f>
        <v/>
      </c>
      <c r="O111" t="str">
        <f>IFERROR(__xludf.DUMMYFUNCTION("IFERROR(FILTER('Fund Data'!$D:$D, 'Fund Data'!$C:$C = $A111, 'Fund Data'!$A:$A = O$1, 'Fund Data'!$B:$B = 12),"""")"),"")</f>
        <v/>
      </c>
      <c r="P111" t="str">
        <f>IFERROR(__xludf.DUMMYFUNCTION("IFERROR(FILTER('Fund Data'!$D:$D, 'Fund Data'!$C:$C = $A111, 'Fund Data'!$A:$A = P$1, 'Fund Data'!$B:$B = 12),"""")"),"")</f>
        <v/>
      </c>
      <c r="Q111" t="str">
        <f>IFERROR(__xludf.DUMMYFUNCTION("IFERROR(FILTER('Fund Data'!$D:$D, 'Fund Data'!$C:$C = $A111, 'Fund Data'!$A:$A = Q$1, 'Fund Data'!$B:$B = 12),"""")"),"")</f>
        <v/>
      </c>
      <c r="R111" t="str">
        <f>IFERROR(__xludf.DUMMYFUNCTION("IFERROR(FILTER('Fund Data'!$D:$D, 'Fund Data'!$C:$C = $A111, 'Fund Data'!$A:$A = R$1, 'Fund Data'!$B:$B = 12),"""")"),"")</f>
        <v/>
      </c>
      <c r="S111" t="str">
        <f>IFERROR(__xludf.DUMMYFUNCTION("IFERROR(FILTER('Fund Data'!$D:$D, 'Fund Data'!$C:$C = $A111, 'Fund Data'!$A:$A = S$1, 'Fund Data'!$B:$B = 12),"""")"),"")</f>
        <v/>
      </c>
      <c r="T111" t="str">
        <f>IFERROR(__xludf.DUMMYFUNCTION("IFERROR(FILTER('Fund Data'!$D:$D, 'Fund Data'!$C:$C = $A111, 'Fund Data'!$A:$A = T$1, 'Fund Data'!$B:$B = 12),"""")"),"")</f>
        <v/>
      </c>
      <c r="U111" t="str">
        <f>IFERROR(__xludf.DUMMYFUNCTION("IFERROR(FILTER('Fund Data'!$D:$D, 'Fund Data'!$C:$C = $A111, 'Fund Data'!$A:$A = U$1, 'Fund Data'!$B:$B = 12),"""")"),"")</f>
        <v/>
      </c>
      <c r="V111" t="str">
        <f>IFERROR(__xludf.DUMMYFUNCTION("IFERROR(FILTER('Fund Data'!$D:$D, 'Fund Data'!$C:$C = $A111, 'Fund Data'!$A:$A = V$1, 'Fund Data'!$B:$B = 12),"""")"),"")</f>
        <v/>
      </c>
      <c r="W111" t="str">
        <f>IFERROR(__xludf.DUMMYFUNCTION("IFERROR(FILTER('Fund Data'!$D:$D, 'Fund Data'!$C:$C = $A111, 'Fund Data'!$A:$A = W$1, 'Fund Data'!$B:$B = 12),"""")"),"")</f>
        <v/>
      </c>
      <c r="X111" t="str">
        <f>IFERROR(__xludf.DUMMYFUNCTION("IFERROR(FILTER('Fund Data'!$D:$D, 'Fund Data'!$C:$C = $A111, 'Fund Data'!$A:$A = X$1, 'Fund Data'!$B:$B = 12),"""")"),"")</f>
        <v/>
      </c>
      <c r="Y111" t="str">
        <f>IFERROR(__xludf.DUMMYFUNCTION("IFERROR(FILTER('Fund Data'!$D:$D, 'Fund Data'!$C:$C = $A111, 'Fund Data'!$A:$A = Y$1, 'Fund Data'!$B:$B = 12),"""")"),"")</f>
        <v/>
      </c>
      <c r="Z111" t="str">
        <f>IFERROR(__xludf.DUMMYFUNCTION("IFERROR(FILTER('Fund Data'!$D:$D, 'Fund Data'!$C:$C = $A111, 'Fund Data'!$A:$A = Z$1, 'Fund Data'!$B:$B = 12),"""")"),"")</f>
        <v/>
      </c>
      <c r="AA111" t="str">
        <f>IFERROR(__xludf.DUMMYFUNCTION("IFERROR(FILTER('Fund Data'!$D:$D, 'Fund Data'!$C:$C = $A111, 'Fund Data'!$A:$A = AA$1, 'Fund Data'!$B:$B = 12),"""")"),"")</f>
        <v/>
      </c>
      <c r="AB111" t="str">
        <f>IFERROR(__xludf.DUMMYFUNCTION("IFERROR(FILTER('Fund Data'!$D:$D, 'Fund Data'!$C:$C = $A111, 'Fund Data'!$A:$A = AB$1, 'Fund Data'!$B:$B = 12),"""")"),"")</f>
        <v/>
      </c>
      <c r="AC111" t="str">
        <f>IFERROR(__xludf.DUMMYFUNCTION("IFERROR(FILTER('Fund Data'!$D:$D, 'Fund Data'!$C:$C = $A111, 'Fund Data'!$A:$A = AC$1, 'Fund Data'!$B:$B = 12),"""")"),"")</f>
        <v/>
      </c>
      <c r="AD111" t="str">
        <f>IFERROR(__xludf.DUMMYFUNCTION("IFERROR(FILTER('Fund Data'!$D:$D, 'Fund Data'!$C:$C = $A111, 'Fund Data'!$A:$A = AD$1, 'Fund Data'!$B:$B = 12),"""")"),"")</f>
        <v/>
      </c>
      <c r="AE111" t="str">
        <f>IFERROR(__xludf.DUMMYFUNCTION("IFERROR(FILTER('Fund Data'!$D:$D, 'Fund Data'!$C:$C = $A111, 'Fund Data'!$A:$A = AE$1, 'Fund Data'!$B:$B = 12),"""")"),"")</f>
        <v/>
      </c>
    </row>
    <row r="112">
      <c r="A112" s="145" t="str">
        <f>'Endowed Funds'!B:B</f>
        <v/>
      </c>
      <c r="B112" t="str">
        <f>IFERROR(__xludf.DUMMYFUNCTION("IFERROR(FILTER('Fund Data'!$D:$D, 'Fund Data'!$C:$C = $A112, 'Fund Data'!$A:$A = B$1, 'Fund Data'!$B:$B = 12),"""")"),"")</f>
        <v/>
      </c>
      <c r="C112" t="str">
        <f>IFERROR(__xludf.DUMMYFUNCTION("IFERROR(FILTER('Fund Data'!$D:$D, 'Fund Data'!$C:$C = $A112, 'Fund Data'!$A:$A = C$1, 'Fund Data'!$B:$B = 12),"""")"),"")</f>
        <v/>
      </c>
      <c r="D112" t="str">
        <f>IFERROR(__xludf.DUMMYFUNCTION("IFERROR(FILTER('Fund Data'!$D:$D, 'Fund Data'!$C:$C = $A112, 'Fund Data'!$A:$A = D$1, 'Fund Data'!$B:$B = 12),"""")"),"")</f>
        <v/>
      </c>
      <c r="E112" t="str">
        <f>IFERROR(__xludf.DUMMYFUNCTION("IFERROR(FILTER('Fund Data'!$D:$D, 'Fund Data'!$C:$C = $A112, 'Fund Data'!$A:$A = E$1, 'Fund Data'!$B:$B = 12),"""")"),"")</f>
        <v/>
      </c>
      <c r="F112" t="str">
        <f>IFERROR(__xludf.DUMMYFUNCTION("IFERROR(FILTER('Fund Data'!$D:$D, 'Fund Data'!$C:$C = $A112, 'Fund Data'!$A:$A = F$1, 'Fund Data'!$B:$B = 12),"""")"),"")</f>
        <v/>
      </c>
      <c r="G112" t="str">
        <f>IFERROR(__xludf.DUMMYFUNCTION("IFERROR(FILTER('Fund Data'!$D:$D, 'Fund Data'!$C:$C = $A112, 'Fund Data'!$A:$A = G$1, 'Fund Data'!$B:$B = 12),"""")"),"")</f>
        <v/>
      </c>
      <c r="H112" t="str">
        <f>IFERROR(__xludf.DUMMYFUNCTION("IFERROR(FILTER('Fund Data'!$D:$D, 'Fund Data'!$C:$C = $A112, 'Fund Data'!$A:$A = H$1, 'Fund Data'!$B:$B = 12),"""")"),"")</f>
        <v/>
      </c>
      <c r="I112" t="str">
        <f>IFERROR(__xludf.DUMMYFUNCTION("IFERROR(FILTER('Fund Data'!$D:$D, 'Fund Data'!$C:$C = $A112, 'Fund Data'!$A:$A = I$1, 'Fund Data'!$B:$B = 12),"""")"),"")</f>
        <v/>
      </c>
      <c r="J112" t="str">
        <f>IFERROR(__xludf.DUMMYFUNCTION("IFERROR(FILTER('Fund Data'!$D:$D, 'Fund Data'!$C:$C = $A112, 'Fund Data'!$A:$A = J$1, 'Fund Data'!$B:$B = 12),"""")"),"")</f>
        <v/>
      </c>
      <c r="K112" t="str">
        <f>IFERROR(__xludf.DUMMYFUNCTION("IFERROR(FILTER('Fund Data'!$D:$D, 'Fund Data'!$C:$C = $A112, 'Fund Data'!$A:$A = K$1, 'Fund Data'!$B:$B = 12),"""")"),"")</f>
        <v/>
      </c>
      <c r="L112" t="str">
        <f>IFERROR(__xludf.DUMMYFUNCTION("IFERROR(FILTER('Fund Data'!$D:$D, 'Fund Data'!$C:$C = $A112, 'Fund Data'!$A:$A = L$1, 'Fund Data'!$B:$B = 12),"""")"),"")</f>
        <v/>
      </c>
      <c r="M112" t="str">
        <f>IFERROR(__xludf.DUMMYFUNCTION("IFERROR(FILTER('Fund Data'!$D:$D, 'Fund Data'!$C:$C = $A112, 'Fund Data'!$A:$A = M$1, 'Fund Data'!$B:$B = 12),"""")"),"")</f>
        <v/>
      </c>
      <c r="N112" t="str">
        <f>IFERROR(__xludf.DUMMYFUNCTION("IFERROR(FILTER('Fund Data'!$D:$D, 'Fund Data'!$C:$C = $A112, 'Fund Data'!$A:$A = N$1, 'Fund Data'!$B:$B = 12),"""")"),"")</f>
        <v/>
      </c>
      <c r="O112" t="str">
        <f>IFERROR(__xludf.DUMMYFUNCTION("IFERROR(FILTER('Fund Data'!$D:$D, 'Fund Data'!$C:$C = $A112, 'Fund Data'!$A:$A = O$1, 'Fund Data'!$B:$B = 12),"""")"),"")</f>
        <v/>
      </c>
      <c r="P112" t="str">
        <f>IFERROR(__xludf.DUMMYFUNCTION("IFERROR(FILTER('Fund Data'!$D:$D, 'Fund Data'!$C:$C = $A112, 'Fund Data'!$A:$A = P$1, 'Fund Data'!$B:$B = 12),"""")"),"")</f>
        <v/>
      </c>
      <c r="Q112" t="str">
        <f>IFERROR(__xludf.DUMMYFUNCTION("IFERROR(FILTER('Fund Data'!$D:$D, 'Fund Data'!$C:$C = $A112, 'Fund Data'!$A:$A = Q$1, 'Fund Data'!$B:$B = 12),"""")"),"")</f>
        <v/>
      </c>
      <c r="R112" t="str">
        <f>IFERROR(__xludf.DUMMYFUNCTION("IFERROR(FILTER('Fund Data'!$D:$D, 'Fund Data'!$C:$C = $A112, 'Fund Data'!$A:$A = R$1, 'Fund Data'!$B:$B = 12),"""")"),"")</f>
        <v/>
      </c>
      <c r="S112" t="str">
        <f>IFERROR(__xludf.DUMMYFUNCTION("IFERROR(FILTER('Fund Data'!$D:$D, 'Fund Data'!$C:$C = $A112, 'Fund Data'!$A:$A = S$1, 'Fund Data'!$B:$B = 12),"""")"),"")</f>
        <v/>
      </c>
      <c r="T112" t="str">
        <f>IFERROR(__xludf.DUMMYFUNCTION("IFERROR(FILTER('Fund Data'!$D:$D, 'Fund Data'!$C:$C = $A112, 'Fund Data'!$A:$A = T$1, 'Fund Data'!$B:$B = 12),"""")"),"")</f>
        <v/>
      </c>
      <c r="U112" t="str">
        <f>IFERROR(__xludf.DUMMYFUNCTION("IFERROR(FILTER('Fund Data'!$D:$D, 'Fund Data'!$C:$C = $A112, 'Fund Data'!$A:$A = U$1, 'Fund Data'!$B:$B = 12),"""")"),"")</f>
        <v/>
      </c>
      <c r="V112" t="str">
        <f>IFERROR(__xludf.DUMMYFUNCTION("IFERROR(FILTER('Fund Data'!$D:$D, 'Fund Data'!$C:$C = $A112, 'Fund Data'!$A:$A = V$1, 'Fund Data'!$B:$B = 12),"""")"),"")</f>
        <v/>
      </c>
      <c r="W112" t="str">
        <f>IFERROR(__xludf.DUMMYFUNCTION("IFERROR(FILTER('Fund Data'!$D:$D, 'Fund Data'!$C:$C = $A112, 'Fund Data'!$A:$A = W$1, 'Fund Data'!$B:$B = 12),"""")"),"")</f>
        <v/>
      </c>
      <c r="X112" t="str">
        <f>IFERROR(__xludf.DUMMYFUNCTION("IFERROR(FILTER('Fund Data'!$D:$D, 'Fund Data'!$C:$C = $A112, 'Fund Data'!$A:$A = X$1, 'Fund Data'!$B:$B = 12),"""")"),"")</f>
        <v/>
      </c>
      <c r="Y112" t="str">
        <f>IFERROR(__xludf.DUMMYFUNCTION("IFERROR(FILTER('Fund Data'!$D:$D, 'Fund Data'!$C:$C = $A112, 'Fund Data'!$A:$A = Y$1, 'Fund Data'!$B:$B = 12),"""")"),"")</f>
        <v/>
      </c>
      <c r="Z112" t="str">
        <f>IFERROR(__xludf.DUMMYFUNCTION("IFERROR(FILTER('Fund Data'!$D:$D, 'Fund Data'!$C:$C = $A112, 'Fund Data'!$A:$A = Z$1, 'Fund Data'!$B:$B = 12),"""")"),"")</f>
        <v/>
      </c>
      <c r="AA112" t="str">
        <f>IFERROR(__xludf.DUMMYFUNCTION("IFERROR(FILTER('Fund Data'!$D:$D, 'Fund Data'!$C:$C = $A112, 'Fund Data'!$A:$A = AA$1, 'Fund Data'!$B:$B = 12),"""")"),"")</f>
        <v/>
      </c>
      <c r="AB112" t="str">
        <f>IFERROR(__xludf.DUMMYFUNCTION("IFERROR(FILTER('Fund Data'!$D:$D, 'Fund Data'!$C:$C = $A112, 'Fund Data'!$A:$A = AB$1, 'Fund Data'!$B:$B = 12),"""")"),"")</f>
        <v/>
      </c>
      <c r="AC112" t="str">
        <f>IFERROR(__xludf.DUMMYFUNCTION("IFERROR(FILTER('Fund Data'!$D:$D, 'Fund Data'!$C:$C = $A112, 'Fund Data'!$A:$A = AC$1, 'Fund Data'!$B:$B = 12),"""")"),"")</f>
        <v/>
      </c>
      <c r="AD112" t="str">
        <f>IFERROR(__xludf.DUMMYFUNCTION("IFERROR(FILTER('Fund Data'!$D:$D, 'Fund Data'!$C:$C = $A112, 'Fund Data'!$A:$A = AD$1, 'Fund Data'!$B:$B = 12),"""")"),"")</f>
        <v/>
      </c>
      <c r="AE112" t="str">
        <f>IFERROR(__xludf.DUMMYFUNCTION("IFERROR(FILTER('Fund Data'!$D:$D, 'Fund Data'!$C:$C = $A112, 'Fund Data'!$A:$A = AE$1, 'Fund Data'!$B:$B = 12),"""")"),"")</f>
        <v/>
      </c>
    </row>
    <row r="113">
      <c r="A113" s="145" t="str">
        <f>'Endowed Funds'!B:B</f>
        <v/>
      </c>
      <c r="B113" t="str">
        <f>IFERROR(__xludf.DUMMYFUNCTION("IFERROR(FILTER('Fund Data'!$D:$D, 'Fund Data'!$C:$C = $A113, 'Fund Data'!$A:$A = B$1, 'Fund Data'!$B:$B = 12),"""")"),"")</f>
        <v/>
      </c>
      <c r="C113" t="str">
        <f>IFERROR(__xludf.DUMMYFUNCTION("IFERROR(FILTER('Fund Data'!$D:$D, 'Fund Data'!$C:$C = $A113, 'Fund Data'!$A:$A = C$1, 'Fund Data'!$B:$B = 12),"""")"),"")</f>
        <v/>
      </c>
      <c r="D113" t="str">
        <f>IFERROR(__xludf.DUMMYFUNCTION("IFERROR(FILTER('Fund Data'!$D:$D, 'Fund Data'!$C:$C = $A113, 'Fund Data'!$A:$A = D$1, 'Fund Data'!$B:$B = 12),"""")"),"")</f>
        <v/>
      </c>
      <c r="E113" t="str">
        <f>IFERROR(__xludf.DUMMYFUNCTION("IFERROR(FILTER('Fund Data'!$D:$D, 'Fund Data'!$C:$C = $A113, 'Fund Data'!$A:$A = E$1, 'Fund Data'!$B:$B = 12),"""")"),"")</f>
        <v/>
      </c>
      <c r="F113" t="str">
        <f>IFERROR(__xludf.DUMMYFUNCTION("IFERROR(FILTER('Fund Data'!$D:$D, 'Fund Data'!$C:$C = $A113, 'Fund Data'!$A:$A = F$1, 'Fund Data'!$B:$B = 12),"""")"),"")</f>
        <v/>
      </c>
      <c r="G113" t="str">
        <f>IFERROR(__xludf.DUMMYFUNCTION("IFERROR(FILTER('Fund Data'!$D:$D, 'Fund Data'!$C:$C = $A113, 'Fund Data'!$A:$A = G$1, 'Fund Data'!$B:$B = 12),"""")"),"")</f>
        <v/>
      </c>
      <c r="H113" t="str">
        <f>IFERROR(__xludf.DUMMYFUNCTION("IFERROR(FILTER('Fund Data'!$D:$D, 'Fund Data'!$C:$C = $A113, 'Fund Data'!$A:$A = H$1, 'Fund Data'!$B:$B = 12),"""")"),"")</f>
        <v/>
      </c>
      <c r="I113" t="str">
        <f>IFERROR(__xludf.DUMMYFUNCTION("IFERROR(FILTER('Fund Data'!$D:$D, 'Fund Data'!$C:$C = $A113, 'Fund Data'!$A:$A = I$1, 'Fund Data'!$B:$B = 12),"""")"),"")</f>
        <v/>
      </c>
      <c r="J113" t="str">
        <f>IFERROR(__xludf.DUMMYFUNCTION("IFERROR(FILTER('Fund Data'!$D:$D, 'Fund Data'!$C:$C = $A113, 'Fund Data'!$A:$A = J$1, 'Fund Data'!$B:$B = 12),"""")"),"")</f>
        <v/>
      </c>
      <c r="K113" t="str">
        <f>IFERROR(__xludf.DUMMYFUNCTION("IFERROR(FILTER('Fund Data'!$D:$D, 'Fund Data'!$C:$C = $A113, 'Fund Data'!$A:$A = K$1, 'Fund Data'!$B:$B = 12),"""")"),"")</f>
        <v/>
      </c>
      <c r="L113" t="str">
        <f>IFERROR(__xludf.DUMMYFUNCTION("IFERROR(FILTER('Fund Data'!$D:$D, 'Fund Data'!$C:$C = $A113, 'Fund Data'!$A:$A = L$1, 'Fund Data'!$B:$B = 12),"""")"),"")</f>
        <v/>
      </c>
      <c r="M113" t="str">
        <f>IFERROR(__xludf.DUMMYFUNCTION("IFERROR(FILTER('Fund Data'!$D:$D, 'Fund Data'!$C:$C = $A113, 'Fund Data'!$A:$A = M$1, 'Fund Data'!$B:$B = 12),"""")"),"")</f>
        <v/>
      </c>
      <c r="N113" t="str">
        <f>IFERROR(__xludf.DUMMYFUNCTION("IFERROR(FILTER('Fund Data'!$D:$D, 'Fund Data'!$C:$C = $A113, 'Fund Data'!$A:$A = N$1, 'Fund Data'!$B:$B = 12),"""")"),"")</f>
        <v/>
      </c>
      <c r="O113" t="str">
        <f>IFERROR(__xludf.DUMMYFUNCTION("IFERROR(FILTER('Fund Data'!$D:$D, 'Fund Data'!$C:$C = $A113, 'Fund Data'!$A:$A = O$1, 'Fund Data'!$B:$B = 12),"""")"),"")</f>
        <v/>
      </c>
      <c r="P113" t="str">
        <f>IFERROR(__xludf.DUMMYFUNCTION("IFERROR(FILTER('Fund Data'!$D:$D, 'Fund Data'!$C:$C = $A113, 'Fund Data'!$A:$A = P$1, 'Fund Data'!$B:$B = 12),"""")"),"")</f>
        <v/>
      </c>
      <c r="Q113" t="str">
        <f>IFERROR(__xludf.DUMMYFUNCTION("IFERROR(FILTER('Fund Data'!$D:$D, 'Fund Data'!$C:$C = $A113, 'Fund Data'!$A:$A = Q$1, 'Fund Data'!$B:$B = 12),"""")"),"")</f>
        <v/>
      </c>
      <c r="R113" t="str">
        <f>IFERROR(__xludf.DUMMYFUNCTION("IFERROR(FILTER('Fund Data'!$D:$D, 'Fund Data'!$C:$C = $A113, 'Fund Data'!$A:$A = R$1, 'Fund Data'!$B:$B = 12),"""")"),"")</f>
        <v/>
      </c>
      <c r="S113" t="str">
        <f>IFERROR(__xludf.DUMMYFUNCTION("IFERROR(FILTER('Fund Data'!$D:$D, 'Fund Data'!$C:$C = $A113, 'Fund Data'!$A:$A = S$1, 'Fund Data'!$B:$B = 12),"""")"),"")</f>
        <v/>
      </c>
      <c r="T113" t="str">
        <f>IFERROR(__xludf.DUMMYFUNCTION("IFERROR(FILTER('Fund Data'!$D:$D, 'Fund Data'!$C:$C = $A113, 'Fund Data'!$A:$A = T$1, 'Fund Data'!$B:$B = 12),"""")"),"")</f>
        <v/>
      </c>
      <c r="U113" t="str">
        <f>IFERROR(__xludf.DUMMYFUNCTION("IFERROR(FILTER('Fund Data'!$D:$D, 'Fund Data'!$C:$C = $A113, 'Fund Data'!$A:$A = U$1, 'Fund Data'!$B:$B = 12),"""")"),"")</f>
        <v/>
      </c>
      <c r="V113" t="str">
        <f>IFERROR(__xludf.DUMMYFUNCTION("IFERROR(FILTER('Fund Data'!$D:$D, 'Fund Data'!$C:$C = $A113, 'Fund Data'!$A:$A = V$1, 'Fund Data'!$B:$B = 12),"""")"),"")</f>
        <v/>
      </c>
      <c r="W113" t="str">
        <f>IFERROR(__xludf.DUMMYFUNCTION("IFERROR(FILTER('Fund Data'!$D:$D, 'Fund Data'!$C:$C = $A113, 'Fund Data'!$A:$A = W$1, 'Fund Data'!$B:$B = 12),"""")"),"")</f>
        <v/>
      </c>
      <c r="X113" t="str">
        <f>IFERROR(__xludf.DUMMYFUNCTION("IFERROR(FILTER('Fund Data'!$D:$D, 'Fund Data'!$C:$C = $A113, 'Fund Data'!$A:$A = X$1, 'Fund Data'!$B:$B = 12),"""")"),"")</f>
        <v/>
      </c>
      <c r="Y113" t="str">
        <f>IFERROR(__xludf.DUMMYFUNCTION("IFERROR(FILTER('Fund Data'!$D:$D, 'Fund Data'!$C:$C = $A113, 'Fund Data'!$A:$A = Y$1, 'Fund Data'!$B:$B = 12),"""")"),"")</f>
        <v/>
      </c>
      <c r="Z113" t="str">
        <f>IFERROR(__xludf.DUMMYFUNCTION("IFERROR(FILTER('Fund Data'!$D:$D, 'Fund Data'!$C:$C = $A113, 'Fund Data'!$A:$A = Z$1, 'Fund Data'!$B:$B = 12),"""")"),"")</f>
        <v/>
      </c>
      <c r="AA113" t="str">
        <f>IFERROR(__xludf.DUMMYFUNCTION("IFERROR(FILTER('Fund Data'!$D:$D, 'Fund Data'!$C:$C = $A113, 'Fund Data'!$A:$A = AA$1, 'Fund Data'!$B:$B = 12),"""")"),"")</f>
        <v/>
      </c>
      <c r="AB113" t="str">
        <f>IFERROR(__xludf.DUMMYFUNCTION("IFERROR(FILTER('Fund Data'!$D:$D, 'Fund Data'!$C:$C = $A113, 'Fund Data'!$A:$A = AB$1, 'Fund Data'!$B:$B = 12),"""")"),"")</f>
        <v/>
      </c>
      <c r="AC113" t="str">
        <f>IFERROR(__xludf.DUMMYFUNCTION("IFERROR(FILTER('Fund Data'!$D:$D, 'Fund Data'!$C:$C = $A113, 'Fund Data'!$A:$A = AC$1, 'Fund Data'!$B:$B = 12),"""")"),"")</f>
        <v/>
      </c>
      <c r="AD113" t="str">
        <f>IFERROR(__xludf.DUMMYFUNCTION("IFERROR(FILTER('Fund Data'!$D:$D, 'Fund Data'!$C:$C = $A113, 'Fund Data'!$A:$A = AD$1, 'Fund Data'!$B:$B = 12),"""")"),"")</f>
        <v/>
      </c>
      <c r="AE113" t="str">
        <f>IFERROR(__xludf.DUMMYFUNCTION("IFERROR(FILTER('Fund Data'!$D:$D, 'Fund Data'!$C:$C = $A113, 'Fund Data'!$A:$A = AE$1, 'Fund Data'!$B:$B = 12),"""")"),"")</f>
        <v/>
      </c>
    </row>
    <row r="114">
      <c r="A114" s="145" t="str">
        <f>'Endowed Funds'!B:B</f>
        <v/>
      </c>
      <c r="B114" t="str">
        <f>IFERROR(__xludf.DUMMYFUNCTION("IFERROR(FILTER('Fund Data'!$D:$D, 'Fund Data'!$C:$C = $A114, 'Fund Data'!$A:$A = B$1, 'Fund Data'!$B:$B = 12),"""")"),"")</f>
        <v/>
      </c>
      <c r="C114" t="str">
        <f>IFERROR(__xludf.DUMMYFUNCTION("IFERROR(FILTER('Fund Data'!$D:$D, 'Fund Data'!$C:$C = $A114, 'Fund Data'!$A:$A = C$1, 'Fund Data'!$B:$B = 12),"""")"),"")</f>
        <v/>
      </c>
      <c r="D114" t="str">
        <f>IFERROR(__xludf.DUMMYFUNCTION("IFERROR(FILTER('Fund Data'!$D:$D, 'Fund Data'!$C:$C = $A114, 'Fund Data'!$A:$A = D$1, 'Fund Data'!$B:$B = 12),"""")"),"")</f>
        <v/>
      </c>
      <c r="E114" t="str">
        <f>IFERROR(__xludf.DUMMYFUNCTION("IFERROR(FILTER('Fund Data'!$D:$D, 'Fund Data'!$C:$C = $A114, 'Fund Data'!$A:$A = E$1, 'Fund Data'!$B:$B = 12),"""")"),"")</f>
        <v/>
      </c>
      <c r="F114" t="str">
        <f>IFERROR(__xludf.DUMMYFUNCTION("IFERROR(FILTER('Fund Data'!$D:$D, 'Fund Data'!$C:$C = $A114, 'Fund Data'!$A:$A = F$1, 'Fund Data'!$B:$B = 12),"""")"),"")</f>
        <v/>
      </c>
      <c r="G114" t="str">
        <f>IFERROR(__xludf.DUMMYFUNCTION("IFERROR(FILTER('Fund Data'!$D:$D, 'Fund Data'!$C:$C = $A114, 'Fund Data'!$A:$A = G$1, 'Fund Data'!$B:$B = 12),"""")"),"")</f>
        <v/>
      </c>
      <c r="H114" t="str">
        <f>IFERROR(__xludf.DUMMYFUNCTION("IFERROR(FILTER('Fund Data'!$D:$D, 'Fund Data'!$C:$C = $A114, 'Fund Data'!$A:$A = H$1, 'Fund Data'!$B:$B = 12),"""")"),"")</f>
        <v/>
      </c>
      <c r="I114" t="str">
        <f>IFERROR(__xludf.DUMMYFUNCTION("IFERROR(FILTER('Fund Data'!$D:$D, 'Fund Data'!$C:$C = $A114, 'Fund Data'!$A:$A = I$1, 'Fund Data'!$B:$B = 12),"""")"),"")</f>
        <v/>
      </c>
      <c r="J114" t="str">
        <f>IFERROR(__xludf.DUMMYFUNCTION("IFERROR(FILTER('Fund Data'!$D:$D, 'Fund Data'!$C:$C = $A114, 'Fund Data'!$A:$A = J$1, 'Fund Data'!$B:$B = 12),"""")"),"")</f>
        <v/>
      </c>
      <c r="K114" t="str">
        <f>IFERROR(__xludf.DUMMYFUNCTION("IFERROR(FILTER('Fund Data'!$D:$D, 'Fund Data'!$C:$C = $A114, 'Fund Data'!$A:$A = K$1, 'Fund Data'!$B:$B = 12),"""")"),"")</f>
        <v/>
      </c>
      <c r="L114" t="str">
        <f>IFERROR(__xludf.DUMMYFUNCTION("IFERROR(FILTER('Fund Data'!$D:$D, 'Fund Data'!$C:$C = $A114, 'Fund Data'!$A:$A = L$1, 'Fund Data'!$B:$B = 12),"""")"),"")</f>
        <v/>
      </c>
      <c r="M114" t="str">
        <f>IFERROR(__xludf.DUMMYFUNCTION("IFERROR(FILTER('Fund Data'!$D:$D, 'Fund Data'!$C:$C = $A114, 'Fund Data'!$A:$A = M$1, 'Fund Data'!$B:$B = 12),"""")"),"")</f>
        <v/>
      </c>
      <c r="N114" t="str">
        <f>IFERROR(__xludf.DUMMYFUNCTION("IFERROR(FILTER('Fund Data'!$D:$D, 'Fund Data'!$C:$C = $A114, 'Fund Data'!$A:$A = N$1, 'Fund Data'!$B:$B = 12),"""")"),"")</f>
        <v/>
      </c>
      <c r="O114" t="str">
        <f>IFERROR(__xludf.DUMMYFUNCTION("IFERROR(FILTER('Fund Data'!$D:$D, 'Fund Data'!$C:$C = $A114, 'Fund Data'!$A:$A = O$1, 'Fund Data'!$B:$B = 12),"""")"),"")</f>
        <v/>
      </c>
      <c r="P114" t="str">
        <f>IFERROR(__xludf.DUMMYFUNCTION("IFERROR(FILTER('Fund Data'!$D:$D, 'Fund Data'!$C:$C = $A114, 'Fund Data'!$A:$A = P$1, 'Fund Data'!$B:$B = 12),"""")"),"")</f>
        <v/>
      </c>
      <c r="Q114" t="str">
        <f>IFERROR(__xludf.DUMMYFUNCTION("IFERROR(FILTER('Fund Data'!$D:$D, 'Fund Data'!$C:$C = $A114, 'Fund Data'!$A:$A = Q$1, 'Fund Data'!$B:$B = 12),"""")"),"")</f>
        <v/>
      </c>
      <c r="R114" t="str">
        <f>IFERROR(__xludf.DUMMYFUNCTION("IFERROR(FILTER('Fund Data'!$D:$D, 'Fund Data'!$C:$C = $A114, 'Fund Data'!$A:$A = R$1, 'Fund Data'!$B:$B = 12),"""")"),"")</f>
        <v/>
      </c>
      <c r="S114" t="str">
        <f>IFERROR(__xludf.DUMMYFUNCTION("IFERROR(FILTER('Fund Data'!$D:$D, 'Fund Data'!$C:$C = $A114, 'Fund Data'!$A:$A = S$1, 'Fund Data'!$B:$B = 12),"""")"),"")</f>
        <v/>
      </c>
      <c r="T114" t="str">
        <f>IFERROR(__xludf.DUMMYFUNCTION("IFERROR(FILTER('Fund Data'!$D:$D, 'Fund Data'!$C:$C = $A114, 'Fund Data'!$A:$A = T$1, 'Fund Data'!$B:$B = 12),"""")"),"")</f>
        <v/>
      </c>
      <c r="U114" t="str">
        <f>IFERROR(__xludf.DUMMYFUNCTION("IFERROR(FILTER('Fund Data'!$D:$D, 'Fund Data'!$C:$C = $A114, 'Fund Data'!$A:$A = U$1, 'Fund Data'!$B:$B = 12),"""")"),"")</f>
        <v/>
      </c>
      <c r="V114" t="str">
        <f>IFERROR(__xludf.DUMMYFUNCTION("IFERROR(FILTER('Fund Data'!$D:$D, 'Fund Data'!$C:$C = $A114, 'Fund Data'!$A:$A = V$1, 'Fund Data'!$B:$B = 12),"""")"),"")</f>
        <v/>
      </c>
      <c r="W114" t="str">
        <f>IFERROR(__xludf.DUMMYFUNCTION("IFERROR(FILTER('Fund Data'!$D:$D, 'Fund Data'!$C:$C = $A114, 'Fund Data'!$A:$A = W$1, 'Fund Data'!$B:$B = 12),"""")"),"")</f>
        <v/>
      </c>
      <c r="X114" t="str">
        <f>IFERROR(__xludf.DUMMYFUNCTION("IFERROR(FILTER('Fund Data'!$D:$D, 'Fund Data'!$C:$C = $A114, 'Fund Data'!$A:$A = X$1, 'Fund Data'!$B:$B = 12),"""")"),"")</f>
        <v/>
      </c>
      <c r="Y114" t="str">
        <f>IFERROR(__xludf.DUMMYFUNCTION("IFERROR(FILTER('Fund Data'!$D:$D, 'Fund Data'!$C:$C = $A114, 'Fund Data'!$A:$A = Y$1, 'Fund Data'!$B:$B = 12),"""")"),"")</f>
        <v/>
      </c>
      <c r="Z114" t="str">
        <f>IFERROR(__xludf.DUMMYFUNCTION("IFERROR(FILTER('Fund Data'!$D:$D, 'Fund Data'!$C:$C = $A114, 'Fund Data'!$A:$A = Z$1, 'Fund Data'!$B:$B = 12),"""")"),"")</f>
        <v/>
      </c>
      <c r="AA114" t="str">
        <f>IFERROR(__xludf.DUMMYFUNCTION("IFERROR(FILTER('Fund Data'!$D:$D, 'Fund Data'!$C:$C = $A114, 'Fund Data'!$A:$A = AA$1, 'Fund Data'!$B:$B = 12),"""")"),"")</f>
        <v/>
      </c>
      <c r="AB114" t="str">
        <f>IFERROR(__xludf.DUMMYFUNCTION("IFERROR(FILTER('Fund Data'!$D:$D, 'Fund Data'!$C:$C = $A114, 'Fund Data'!$A:$A = AB$1, 'Fund Data'!$B:$B = 12),"""")"),"")</f>
        <v/>
      </c>
      <c r="AC114" t="str">
        <f>IFERROR(__xludf.DUMMYFUNCTION("IFERROR(FILTER('Fund Data'!$D:$D, 'Fund Data'!$C:$C = $A114, 'Fund Data'!$A:$A = AC$1, 'Fund Data'!$B:$B = 12),"""")"),"")</f>
        <v/>
      </c>
      <c r="AD114" t="str">
        <f>IFERROR(__xludf.DUMMYFUNCTION("IFERROR(FILTER('Fund Data'!$D:$D, 'Fund Data'!$C:$C = $A114, 'Fund Data'!$A:$A = AD$1, 'Fund Data'!$B:$B = 12),"""")"),"")</f>
        <v/>
      </c>
      <c r="AE114" t="str">
        <f>IFERROR(__xludf.DUMMYFUNCTION("IFERROR(FILTER('Fund Data'!$D:$D, 'Fund Data'!$C:$C = $A114, 'Fund Data'!$A:$A = AE$1, 'Fund Data'!$B:$B = 12),"""")"),"")</f>
        <v/>
      </c>
    </row>
    <row r="115">
      <c r="A115" s="145" t="str">
        <f>'Endowed Funds'!B:B</f>
        <v/>
      </c>
      <c r="B115" t="str">
        <f>IFERROR(__xludf.DUMMYFUNCTION("IFERROR(FILTER('Fund Data'!$D:$D, 'Fund Data'!$C:$C = $A115, 'Fund Data'!$A:$A = B$1, 'Fund Data'!$B:$B = 12),"""")"),"")</f>
        <v/>
      </c>
      <c r="C115" t="str">
        <f>IFERROR(__xludf.DUMMYFUNCTION("IFERROR(FILTER('Fund Data'!$D:$D, 'Fund Data'!$C:$C = $A115, 'Fund Data'!$A:$A = C$1, 'Fund Data'!$B:$B = 12),"""")"),"")</f>
        <v/>
      </c>
      <c r="D115" t="str">
        <f>IFERROR(__xludf.DUMMYFUNCTION("IFERROR(FILTER('Fund Data'!$D:$D, 'Fund Data'!$C:$C = $A115, 'Fund Data'!$A:$A = D$1, 'Fund Data'!$B:$B = 12),"""")"),"")</f>
        <v/>
      </c>
      <c r="E115" t="str">
        <f>IFERROR(__xludf.DUMMYFUNCTION("IFERROR(FILTER('Fund Data'!$D:$D, 'Fund Data'!$C:$C = $A115, 'Fund Data'!$A:$A = E$1, 'Fund Data'!$B:$B = 12),"""")"),"")</f>
        <v/>
      </c>
      <c r="F115" t="str">
        <f>IFERROR(__xludf.DUMMYFUNCTION("IFERROR(FILTER('Fund Data'!$D:$D, 'Fund Data'!$C:$C = $A115, 'Fund Data'!$A:$A = F$1, 'Fund Data'!$B:$B = 12),"""")"),"")</f>
        <v/>
      </c>
      <c r="G115" t="str">
        <f>IFERROR(__xludf.DUMMYFUNCTION("IFERROR(FILTER('Fund Data'!$D:$D, 'Fund Data'!$C:$C = $A115, 'Fund Data'!$A:$A = G$1, 'Fund Data'!$B:$B = 12),"""")"),"")</f>
        <v/>
      </c>
      <c r="H115" t="str">
        <f>IFERROR(__xludf.DUMMYFUNCTION("IFERROR(FILTER('Fund Data'!$D:$D, 'Fund Data'!$C:$C = $A115, 'Fund Data'!$A:$A = H$1, 'Fund Data'!$B:$B = 12),"""")"),"")</f>
        <v/>
      </c>
      <c r="I115" t="str">
        <f>IFERROR(__xludf.DUMMYFUNCTION("IFERROR(FILTER('Fund Data'!$D:$D, 'Fund Data'!$C:$C = $A115, 'Fund Data'!$A:$A = I$1, 'Fund Data'!$B:$B = 12),"""")"),"")</f>
        <v/>
      </c>
      <c r="J115" t="str">
        <f>IFERROR(__xludf.DUMMYFUNCTION("IFERROR(FILTER('Fund Data'!$D:$D, 'Fund Data'!$C:$C = $A115, 'Fund Data'!$A:$A = J$1, 'Fund Data'!$B:$B = 12),"""")"),"")</f>
        <v/>
      </c>
      <c r="K115" t="str">
        <f>IFERROR(__xludf.DUMMYFUNCTION("IFERROR(FILTER('Fund Data'!$D:$D, 'Fund Data'!$C:$C = $A115, 'Fund Data'!$A:$A = K$1, 'Fund Data'!$B:$B = 12),"""")"),"")</f>
        <v/>
      </c>
      <c r="L115" t="str">
        <f>IFERROR(__xludf.DUMMYFUNCTION("IFERROR(FILTER('Fund Data'!$D:$D, 'Fund Data'!$C:$C = $A115, 'Fund Data'!$A:$A = L$1, 'Fund Data'!$B:$B = 12),"""")"),"")</f>
        <v/>
      </c>
      <c r="M115" t="str">
        <f>IFERROR(__xludf.DUMMYFUNCTION("IFERROR(FILTER('Fund Data'!$D:$D, 'Fund Data'!$C:$C = $A115, 'Fund Data'!$A:$A = M$1, 'Fund Data'!$B:$B = 12),"""")"),"")</f>
        <v/>
      </c>
      <c r="N115" t="str">
        <f>IFERROR(__xludf.DUMMYFUNCTION("IFERROR(FILTER('Fund Data'!$D:$D, 'Fund Data'!$C:$C = $A115, 'Fund Data'!$A:$A = N$1, 'Fund Data'!$B:$B = 12),"""")"),"")</f>
        <v/>
      </c>
      <c r="O115" t="str">
        <f>IFERROR(__xludf.DUMMYFUNCTION("IFERROR(FILTER('Fund Data'!$D:$D, 'Fund Data'!$C:$C = $A115, 'Fund Data'!$A:$A = O$1, 'Fund Data'!$B:$B = 12),"""")"),"")</f>
        <v/>
      </c>
      <c r="P115" t="str">
        <f>IFERROR(__xludf.DUMMYFUNCTION("IFERROR(FILTER('Fund Data'!$D:$D, 'Fund Data'!$C:$C = $A115, 'Fund Data'!$A:$A = P$1, 'Fund Data'!$B:$B = 12),"""")"),"")</f>
        <v/>
      </c>
      <c r="Q115" t="str">
        <f>IFERROR(__xludf.DUMMYFUNCTION("IFERROR(FILTER('Fund Data'!$D:$D, 'Fund Data'!$C:$C = $A115, 'Fund Data'!$A:$A = Q$1, 'Fund Data'!$B:$B = 12),"""")"),"")</f>
        <v/>
      </c>
      <c r="R115" t="str">
        <f>IFERROR(__xludf.DUMMYFUNCTION("IFERROR(FILTER('Fund Data'!$D:$D, 'Fund Data'!$C:$C = $A115, 'Fund Data'!$A:$A = R$1, 'Fund Data'!$B:$B = 12),"""")"),"")</f>
        <v/>
      </c>
      <c r="S115" t="str">
        <f>IFERROR(__xludf.DUMMYFUNCTION("IFERROR(FILTER('Fund Data'!$D:$D, 'Fund Data'!$C:$C = $A115, 'Fund Data'!$A:$A = S$1, 'Fund Data'!$B:$B = 12),"""")"),"")</f>
        <v/>
      </c>
      <c r="T115" t="str">
        <f>IFERROR(__xludf.DUMMYFUNCTION("IFERROR(FILTER('Fund Data'!$D:$D, 'Fund Data'!$C:$C = $A115, 'Fund Data'!$A:$A = T$1, 'Fund Data'!$B:$B = 12),"""")"),"")</f>
        <v/>
      </c>
      <c r="U115" t="str">
        <f>IFERROR(__xludf.DUMMYFUNCTION("IFERROR(FILTER('Fund Data'!$D:$D, 'Fund Data'!$C:$C = $A115, 'Fund Data'!$A:$A = U$1, 'Fund Data'!$B:$B = 12),"""")"),"")</f>
        <v/>
      </c>
      <c r="V115" t="str">
        <f>IFERROR(__xludf.DUMMYFUNCTION("IFERROR(FILTER('Fund Data'!$D:$D, 'Fund Data'!$C:$C = $A115, 'Fund Data'!$A:$A = V$1, 'Fund Data'!$B:$B = 12),"""")"),"")</f>
        <v/>
      </c>
      <c r="W115" t="str">
        <f>IFERROR(__xludf.DUMMYFUNCTION("IFERROR(FILTER('Fund Data'!$D:$D, 'Fund Data'!$C:$C = $A115, 'Fund Data'!$A:$A = W$1, 'Fund Data'!$B:$B = 12),"""")"),"")</f>
        <v/>
      </c>
      <c r="X115" t="str">
        <f>IFERROR(__xludf.DUMMYFUNCTION("IFERROR(FILTER('Fund Data'!$D:$D, 'Fund Data'!$C:$C = $A115, 'Fund Data'!$A:$A = X$1, 'Fund Data'!$B:$B = 12),"""")"),"")</f>
        <v/>
      </c>
      <c r="Y115" t="str">
        <f>IFERROR(__xludf.DUMMYFUNCTION("IFERROR(FILTER('Fund Data'!$D:$D, 'Fund Data'!$C:$C = $A115, 'Fund Data'!$A:$A = Y$1, 'Fund Data'!$B:$B = 12),"""")"),"")</f>
        <v/>
      </c>
      <c r="Z115" t="str">
        <f>IFERROR(__xludf.DUMMYFUNCTION("IFERROR(FILTER('Fund Data'!$D:$D, 'Fund Data'!$C:$C = $A115, 'Fund Data'!$A:$A = Z$1, 'Fund Data'!$B:$B = 12),"""")"),"")</f>
        <v/>
      </c>
      <c r="AA115" t="str">
        <f>IFERROR(__xludf.DUMMYFUNCTION("IFERROR(FILTER('Fund Data'!$D:$D, 'Fund Data'!$C:$C = $A115, 'Fund Data'!$A:$A = AA$1, 'Fund Data'!$B:$B = 12),"""")"),"")</f>
        <v/>
      </c>
      <c r="AB115" t="str">
        <f>IFERROR(__xludf.DUMMYFUNCTION("IFERROR(FILTER('Fund Data'!$D:$D, 'Fund Data'!$C:$C = $A115, 'Fund Data'!$A:$A = AB$1, 'Fund Data'!$B:$B = 12),"""")"),"")</f>
        <v/>
      </c>
      <c r="AC115" t="str">
        <f>IFERROR(__xludf.DUMMYFUNCTION("IFERROR(FILTER('Fund Data'!$D:$D, 'Fund Data'!$C:$C = $A115, 'Fund Data'!$A:$A = AC$1, 'Fund Data'!$B:$B = 12),"""")"),"")</f>
        <v/>
      </c>
      <c r="AD115" t="str">
        <f>IFERROR(__xludf.DUMMYFUNCTION("IFERROR(FILTER('Fund Data'!$D:$D, 'Fund Data'!$C:$C = $A115, 'Fund Data'!$A:$A = AD$1, 'Fund Data'!$B:$B = 12),"""")"),"")</f>
        <v/>
      </c>
      <c r="AE115" t="str">
        <f>IFERROR(__xludf.DUMMYFUNCTION("IFERROR(FILTER('Fund Data'!$D:$D, 'Fund Data'!$C:$C = $A115, 'Fund Data'!$A:$A = AE$1, 'Fund Data'!$B:$B = 12),"""")"),"")</f>
        <v/>
      </c>
    </row>
    <row r="116">
      <c r="A116" s="145" t="str">
        <f>'Endowed Funds'!B:B</f>
        <v/>
      </c>
      <c r="B116" t="str">
        <f>IFERROR(__xludf.DUMMYFUNCTION("IFERROR(FILTER('Fund Data'!$D:$D, 'Fund Data'!$C:$C = $A116, 'Fund Data'!$A:$A = B$1, 'Fund Data'!$B:$B = 12),"""")"),"")</f>
        <v/>
      </c>
      <c r="C116" t="str">
        <f>IFERROR(__xludf.DUMMYFUNCTION("IFERROR(FILTER('Fund Data'!$D:$D, 'Fund Data'!$C:$C = $A116, 'Fund Data'!$A:$A = C$1, 'Fund Data'!$B:$B = 12),"""")"),"")</f>
        <v/>
      </c>
      <c r="D116" t="str">
        <f>IFERROR(__xludf.DUMMYFUNCTION("IFERROR(FILTER('Fund Data'!$D:$D, 'Fund Data'!$C:$C = $A116, 'Fund Data'!$A:$A = D$1, 'Fund Data'!$B:$B = 12),"""")"),"")</f>
        <v/>
      </c>
      <c r="E116" t="str">
        <f>IFERROR(__xludf.DUMMYFUNCTION("IFERROR(FILTER('Fund Data'!$D:$D, 'Fund Data'!$C:$C = $A116, 'Fund Data'!$A:$A = E$1, 'Fund Data'!$B:$B = 12),"""")"),"")</f>
        <v/>
      </c>
      <c r="F116" t="str">
        <f>IFERROR(__xludf.DUMMYFUNCTION("IFERROR(FILTER('Fund Data'!$D:$D, 'Fund Data'!$C:$C = $A116, 'Fund Data'!$A:$A = F$1, 'Fund Data'!$B:$B = 12),"""")"),"")</f>
        <v/>
      </c>
      <c r="G116" t="str">
        <f>IFERROR(__xludf.DUMMYFUNCTION("IFERROR(FILTER('Fund Data'!$D:$D, 'Fund Data'!$C:$C = $A116, 'Fund Data'!$A:$A = G$1, 'Fund Data'!$B:$B = 12),"""")"),"")</f>
        <v/>
      </c>
      <c r="H116" t="str">
        <f>IFERROR(__xludf.DUMMYFUNCTION("IFERROR(FILTER('Fund Data'!$D:$D, 'Fund Data'!$C:$C = $A116, 'Fund Data'!$A:$A = H$1, 'Fund Data'!$B:$B = 12),"""")"),"")</f>
        <v/>
      </c>
      <c r="I116" t="str">
        <f>IFERROR(__xludf.DUMMYFUNCTION("IFERROR(FILTER('Fund Data'!$D:$D, 'Fund Data'!$C:$C = $A116, 'Fund Data'!$A:$A = I$1, 'Fund Data'!$B:$B = 12),"""")"),"")</f>
        <v/>
      </c>
      <c r="J116" t="str">
        <f>IFERROR(__xludf.DUMMYFUNCTION("IFERROR(FILTER('Fund Data'!$D:$D, 'Fund Data'!$C:$C = $A116, 'Fund Data'!$A:$A = J$1, 'Fund Data'!$B:$B = 12),"""")"),"")</f>
        <v/>
      </c>
      <c r="K116" t="str">
        <f>IFERROR(__xludf.DUMMYFUNCTION("IFERROR(FILTER('Fund Data'!$D:$D, 'Fund Data'!$C:$C = $A116, 'Fund Data'!$A:$A = K$1, 'Fund Data'!$B:$B = 12),"""")"),"")</f>
        <v/>
      </c>
      <c r="L116" t="str">
        <f>IFERROR(__xludf.DUMMYFUNCTION("IFERROR(FILTER('Fund Data'!$D:$D, 'Fund Data'!$C:$C = $A116, 'Fund Data'!$A:$A = L$1, 'Fund Data'!$B:$B = 12),"""")"),"")</f>
        <v/>
      </c>
      <c r="M116" t="str">
        <f>IFERROR(__xludf.DUMMYFUNCTION("IFERROR(FILTER('Fund Data'!$D:$D, 'Fund Data'!$C:$C = $A116, 'Fund Data'!$A:$A = M$1, 'Fund Data'!$B:$B = 12),"""")"),"")</f>
        <v/>
      </c>
      <c r="N116" t="str">
        <f>IFERROR(__xludf.DUMMYFUNCTION("IFERROR(FILTER('Fund Data'!$D:$D, 'Fund Data'!$C:$C = $A116, 'Fund Data'!$A:$A = N$1, 'Fund Data'!$B:$B = 12),"""")"),"")</f>
        <v/>
      </c>
      <c r="O116" t="str">
        <f>IFERROR(__xludf.DUMMYFUNCTION("IFERROR(FILTER('Fund Data'!$D:$D, 'Fund Data'!$C:$C = $A116, 'Fund Data'!$A:$A = O$1, 'Fund Data'!$B:$B = 12),"""")"),"")</f>
        <v/>
      </c>
      <c r="P116" t="str">
        <f>IFERROR(__xludf.DUMMYFUNCTION("IFERROR(FILTER('Fund Data'!$D:$D, 'Fund Data'!$C:$C = $A116, 'Fund Data'!$A:$A = P$1, 'Fund Data'!$B:$B = 12),"""")"),"")</f>
        <v/>
      </c>
      <c r="Q116" t="str">
        <f>IFERROR(__xludf.DUMMYFUNCTION("IFERROR(FILTER('Fund Data'!$D:$D, 'Fund Data'!$C:$C = $A116, 'Fund Data'!$A:$A = Q$1, 'Fund Data'!$B:$B = 12),"""")"),"")</f>
        <v/>
      </c>
      <c r="R116" t="str">
        <f>IFERROR(__xludf.DUMMYFUNCTION("IFERROR(FILTER('Fund Data'!$D:$D, 'Fund Data'!$C:$C = $A116, 'Fund Data'!$A:$A = R$1, 'Fund Data'!$B:$B = 12),"""")"),"")</f>
        <v/>
      </c>
      <c r="S116" t="str">
        <f>IFERROR(__xludf.DUMMYFUNCTION("IFERROR(FILTER('Fund Data'!$D:$D, 'Fund Data'!$C:$C = $A116, 'Fund Data'!$A:$A = S$1, 'Fund Data'!$B:$B = 12),"""")"),"")</f>
        <v/>
      </c>
      <c r="T116" t="str">
        <f>IFERROR(__xludf.DUMMYFUNCTION("IFERROR(FILTER('Fund Data'!$D:$D, 'Fund Data'!$C:$C = $A116, 'Fund Data'!$A:$A = T$1, 'Fund Data'!$B:$B = 12),"""")"),"")</f>
        <v/>
      </c>
      <c r="U116" t="str">
        <f>IFERROR(__xludf.DUMMYFUNCTION("IFERROR(FILTER('Fund Data'!$D:$D, 'Fund Data'!$C:$C = $A116, 'Fund Data'!$A:$A = U$1, 'Fund Data'!$B:$B = 12),"""")"),"")</f>
        <v/>
      </c>
      <c r="V116" t="str">
        <f>IFERROR(__xludf.DUMMYFUNCTION("IFERROR(FILTER('Fund Data'!$D:$D, 'Fund Data'!$C:$C = $A116, 'Fund Data'!$A:$A = V$1, 'Fund Data'!$B:$B = 12),"""")"),"")</f>
        <v/>
      </c>
      <c r="W116" t="str">
        <f>IFERROR(__xludf.DUMMYFUNCTION("IFERROR(FILTER('Fund Data'!$D:$D, 'Fund Data'!$C:$C = $A116, 'Fund Data'!$A:$A = W$1, 'Fund Data'!$B:$B = 12),"""")"),"")</f>
        <v/>
      </c>
      <c r="X116" t="str">
        <f>IFERROR(__xludf.DUMMYFUNCTION("IFERROR(FILTER('Fund Data'!$D:$D, 'Fund Data'!$C:$C = $A116, 'Fund Data'!$A:$A = X$1, 'Fund Data'!$B:$B = 12),"""")"),"")</f>
        <v/>
      </c>
      <c r="Y116" t="str">
        <f>IFERROR(__xludf.DUMMYFUNCTION("IFERROR(FILTER('Fund Data'!$D:$D, 'Fund Data'!$C:$C = $A116, 'Fund Data'!$A:$A = Y$1, 'Fund Data'!$B:$B = 12),"""")"),"")</f>
        <v/>
      </c>
      <c r="Z116" t="str">
        <f>IFERROR(__xludf.DUMMYFUNCTION("IFERROR(FILTER('Fund Data'!$D:$D, 'Fund Data'!$C:$C = $A116, 'Fund Data'!$A:$A = Z$1, 'Fund Data'!$B:$B = 12),"""")"),"")</f>
        <v/>
      </c>
      <c r="AA116" t="str">
        <f>IFERROR(__xludf.DUMMYFUNCTION("IFERROR(FILTER('Fund Data'!$D:$D, 'Fund Data'!$C:$C = $A116, 'Fund Data'!$A:$A = AA$1, 'Fund Data'!$B:$B = 12),"""")"),"")</f>
        <v/>
      </c>
      <c r="AB116" t="str">
        <f>IFERROR(__xludf.DUMMYFUNCTION("IFERROR(FILTER('Fund Data'!$D:$D, 'Fund Data'!$C:$C = $A116, 'Fund Data'!$A:$A = AB$1, 'Fund Data'!$B:$B = 12),"""")"),"")</f>
        <v/>
      </c>
      <c r="AC116" t="str">
        <f>IFERROR(__xludf.DUMMYFUNCTION("IFERROR(FILTER('Fund Data'!$D:$D, 'Fund Data'!$C:$C = $A116, 'Fund Data'!$A:$A = AC$1, 'Fund Data'!$B:$B = 12),"""")"),"")</f>
        <v/>
      </c>
      <c r="AD116" t="str">
        <f>IFERROR(__xludf.DUMMYFUNCTION("IFERROR(FILTER('Fund Data'!$D:$D, 'Fund Data'!$C:$C = $A116, 'Fund Data'!$A:$A = AD$1, 'Fund Data'!$B:$B = 12),"""")"),"")</f>
        <v/>
      </c>
      <c r="AE116" t="str">
        <f>IFERROR(__xludf.DUMMYFUNCTION("IFERROR(FILTER('Fund Data'!$D:$D, 'Fund Data'!$C:$C = $A116, 'Fund Data'!$A:$A = AE$1, 'Fund Data'!$B:$B = 12),"""")"),"")</f>
        <v/>
      </c>
    </row>
    <row r="117">
      <c r="A117" s="145" t="str">
        <f>'Endowed Funds'!B:B</f>
        <v/>
      </c>
      <c r="B117" t="str">
        <f>IFERROR(__xludf.DUMMYFUNCTION("IFERROR(FILTER('Fund Data'!$D:$D, 'Fund Data'!$C:$C = $A117, 'Fund Data'!$A:$A = B$1, 'Fund Data'!$B:$B = 12),"""")"),"")</f>
        <v/>
      </c>
      <c r="C117" t="str">
        <f>IFERROR(__xludf.DUMMYFUNCTION("IFERROR(FILTER('Fund Data'!$D:$D, 'Fund Data'!$C:$C = $A117, 'Fund Data'!$A:$A = C$1, 'Fund Data'!$B:$B = 12),"""")"),"")</f>
        <v/>
      </c>
      <c r="D117" t="str">
        <f>IFERROR(__xludf.DUMMYFUNCTION("IFERROR(FILTER('Fund Data'!$D:$D, 'Fund Data'!$C:$C = $A117, 'Fund Data'!$A:$A = D$1, 'Fund Data'!$B:$B = 12),"""")"),"")</f>
        <v/>
      </c>
      <c r="E117" t="str">
        <f>IFERROR(__xludf.DUMMYFUNCTION("IFERROR(FILTER('Fund Data'!$D:$D, 'Fund Data'!$C:$C = $A117, 'Fund Data'!$A:$A = E$1, 'Fund Data'!$B:$B = 12),"""")"),"")</f>
        <v/>
      </c>
      <c r="F117" t="str">
        <f>IFERROR(__xludf.DUMMYFUNCTION("IFERROR(FILTER('Fund Data'!$D:$D, 'Fund Data'!$C:$C = $A117, 'Fund Data'!$A:$A = F$1, 'Fund Data'!$B:$B = 12),"""")"),"")</f>
        <v/>
      </c>
      <c r="G117" t="str">
        <f>IFERROR(__xludf.DUMMYFUNCTION("IFERROR(FILTER('Fund Data'!$D:$D, 'Fund Data'!$C:$C = $A117, 'Fund Data'!$A:$A = G$1, 'Fund Data'!$B:$B = 12),"""")"),"")</f>
        <v/>
      </c>
      <c r="H117" t="str">
        <f>IFERROR(__xludf.DUMMYFUNCTION("IFERROR(FILTER('Fund Data'!$D:$D, 'Fund Data'!$C:$C = $A117, 'Fund Data'!$A:$A = H$1, 'Fund Data'!$B:$B = 12),"""")"),"")</f>
        <v/>
      </c>
      <c r="I117" t="str">
        <f>IFERROR(__xludf.DUMMYFUNCTION("IFERROR(FILTER('Fund Data'!$D:$D, 'Fund Data'!$C:$C = $A117, 'Fund Data'!$A:$A = I$1, 'Fund Data'!$B:$B = 12),"""")"),"")</f>
        <v/>
      </c>
      <c r="J117" t="str">
        <f>IFERROR(__xludf.DUMMYFUNCTION("IFERROR(FILTER('Fund Data'!$D:$D, 'Fund Data'!$C:$C = $A117, 'Fund Data'!$A:$A = J$1, 'Fund Data'!$B:$B = 12),"""")"),"")</f>
        <v/>
      </c>
      <c r="K117" t="str">
        <f>IFERROR(__xludf.DUMMYFUNCTION("IFERROR(FILTER('Fund Data'!$D:$D, 'Fund Data'!$C:$C = $A117, 'Fund Data'!$A:$A = K$1, 'Fund Data'!$B:$B = 12),"""")"),"")</f>
        <v/>
      </c>
      <c r="L117" t="str">
        <f>IFERROR(__xludf.DUMMYFUNCTION("IFERROR(FILTER('Fund Data'!$D:$D, 'Fund Data'!$C:$C = $A117, 'Fund Data'!$A:$A = L$1, 'Fund Data'!$B:$B = 12),"""")"),"")</f>
        <v/>
      </c>
      <c r="M117" t="str">
        <f>IFERROR(__xludf.DUMMYFUNCTION("IFERROR(FILTER('Fund Data'!$D:$D, 'Fund Data'!$C:$C = $A117, 'Fund Data'!$A:$A = M$1, 'Fund Data'!$B:$B = 12),"""")"),"")</f>
        <v/>
      </c>
      <c r="N117" t="str">
        <f>IFERROR(__xludf.DUMMYFUNCTION("IFERROR(FILTER('Fund Data'!$D:$D, 'Fund Data'!$C:$C = $A117, 'Fund Data'!$A:$A = N$1, 'Fund Data'!$B:$B = 12),"""")"),"")</f>
        <v/>
      </c>
      <c r="O117" t="str">
        <f>IFERROR(__xludf.DUMMYFUNCTION("IFERROR(FILTER('Fund Data'!$D:$D, 'Fund Data'!$C:$C = $A117, 'Fund Data'!$A:$A = O$1, 'Fund Data'!$B:$B = 12),"""")"),"")</f>
        <v/>
      </c>
      <c r="P117" t="str">
        <f>IFERROR(__xludf.DUMMYFUNCTION("IFERROR(FILTER('Fund Data'!$D:$D, 'Fund Data'!$C:$C = $A117, 'Fund Data'!$A:$A = P$1, 'Fund Data'!$B:$B = 12),"""")"),"")</f>
        <v/>
      </c>
      <c r="Q117" t="str">
        <f>IFERROR(__xludf.DUMMYFUNCTION("IFERROR(FILTER('Fund Data'!$D:$D, 'Fund Data'!$C:$C = $A117, 'Fund Data'!$A:$A = Q$1, 'Fund Data'!$B:$B = 12),"""")"),"")</f>
        <v/>
      </c>
      <c r="R117" t="str">
        <f>IFERROR(__xludf.DUMMYFUNCTION("IFERROR(FILTER('Fund Data'!$D:$D, 'Fund Data'!$C:$C = $A117, 'Fund Data'!$A:$A = R$1, 'Fund Data'!$B:$B = 12),"""")"),"")</f>
        <v/>
      </c>
      <c r="S117" t="str">
        <f>IFERROR(__xludf.DUMMYFUNCTION("IFERROR(FILTER('Fund Data'!$D:$D, 'Fund Data'!$C:$C = $A117, 'Fund Data'!$A:$A = S$1, 'Fund Data'!$B:$B = 12),"""")"),"")</f>
        <v/>
      </c>
      <c r="T117" t="str">
        <f>IFERROR(__xludf.DUMMYFUNCTION("IFERROR(FILTER('Fund Data'!$D:$D, 'Fund Data'!$C:$C = $A117, 'Fund Data'!$A:$A = T$1, 'Fund Data'!$B:$B = 12),"""")"),"")</f>
        <v/>
      </c>
      <c r="U117" t="str">
        <f>IFERROR(__xludf.DUMMYFUNCTION("IFERROR(FILTER('Fund Data'!$D:$D, 'Fund Data'!$C:$C = $A117, 'Fund Data'!$A:$A = U$1, 'Fund Data'!$B:$B = 12),"""")"),"")</f>
        <v/>
      </c>
      <c r="V117" t="str">
        <f>IFERROR(__xludf.DUMMYFUNCTION("IFERROR(FILTER('Fund Data'!$D:$D, 'Fund Data'!$C:$C = $A117, 'Fund Data'!$A:$A = V$1, 'Fund Data'!$B:$B = 12),"""")"),"")</f>
        <v/>
      </c>
      <c r="W117" t="str">
        <f>IFERROR(__xludf.DUMMYFUNCTION("IFERROR(FILTER('Fund Data'!$D:$D, 'Fund Data'!$C:$C = $A117, 'Fund Data'!$A:$A = W$1, 'Fund Data'!$B:$B = 12),"""")"),"")</f>
        <v/>
      </c>
      <c r="X117" t="str">
        <f>IFERROR(__xludf.DUMMYFUNCTION("IFERROR(FILTER('Fund Data'!$D:$D, 'Fund Data'!$C:$C = $A117, 'Fund Data'!$A:$A = X$1, 'Fund Data'!$B:$B = 12),"""")"),"")</f>
        <v/>
      </c>
      <c r="Y117" t="str">
        <f>IFERROR(__xludf.DUMMYFUNCTION("IFERROR(FILTER('Fund Data'!$D:$D, 'Fund Data'!$C:$C = $A117, 'Fund Data'!$A:$A = Y$1, 'Fund Data'!$B:$B = 12),"""")"),"")</f>
        <v/>
      </c>
      <c r="Z117" t="str">
        <f>IFERROR(__xludf.DUMMYFUNCTION("IFERROR(FILTER('Fund Data'!$D:$D, 'Fund Data'!$C:$C = $A117, 'Fund Data'!$A:$A = Z$1, 'Fund Data'!$B:$B = 12),"""")"),"")</f>
        <v/>
      </c>
      <c r="AA117" t="str">
        <f>IFERROR(__xludf.DUMMYFUNCTION("IFERROR(FILTER('Fund Data'!$D:$D, 'Fund Data'!$C:$C = $A117, 'Fund Data'!$A:$A = AA$1, 'Fund Data'!$B:$B = 12),"""")"),"")</f>
        <v/>
      </c>
      <c r="AB117" t="str">
        <f>IFERROR(__xludf.DUMMYFUNCTION("IFERROR(FILTER('Fund Data'!$D:$D, 'Fund Data'!$C:$C = $A117, 'Fund Data'!$A:$A = AB$1, 'Fund Data'!$B:$B = 12),"""")"),"")</f>
        <v/>
      </c>
      <c r="AC117" t="str">
        <f>IFERROR(__xludf.DUMMYFUNCTION("IFERROR(FILTER('Fund Data'!$D:$D, 'Fund Data'!$C:$C = $A117, 'Fund Data'!$A:$A = AC$1, 'Fund Data'!$B:$B = 12),"""")"),"")</f>
        <v/>
      </c>
      <c r="AD117" t="str">
        <f>IFERROR(__xludf.DUMMYFUNCTION("IFERROR(FILTER('Fund Data'!$D:$D, 'Fund Data'!$C:$C = $A117, 'Fund Data'!$A:$A = AD$1, 'Fund Data'!$B:$B = 12),"""")"),"")</f>
        <v/>
      </c>
      <c r="AE117" t="str">
        <f>IFERROR(__xludf.DUMMYFUNCTION("IFERROR(FILTER('Fund Data'!$D:$D, 'Fund Data'!$C:$C = $A117, 'Fund Data'!$A:$A = AE$1, 'Fund Data'!$B:$B = 12),"""")"),"")</f>
        <v/>
      </c>
    </row>
    <row r="118">
      <c r="A118" s="145" t="str">
        <f>'Endowed Funds'!B:B</f>
        <v/>
      </c>
      <c r="B118" t="str">
        <f>IFERROR(__xludf.DUMMYFUNCTION("IFERROR(FILTER('Fund Data'!$D:$D, 'Fund Data'!$C:$C = $A118, 'Fund Data'!$A:$A = B$1, 'Fund Data'!$B:$B = 12),"""")"),"")</f>
        <v/>
      </c>
      <c r="C118" t="str">
        <f>IFERROR(__xludf.DUMMYFUNCTION("IFERROR(FILTER('Fund Data'!$D:$D, 'Fund Data'!$C:$C = $A118, 'Fund Data'!$A:$A = C$1, 'Fund Data'!$B:$B = 12),"""")"),"")</f>
        <v/>
      </c>
      <c r="D118" t="str">
        <f>IFERROR(__xludf.DUMMYFUNCTION("IFERROR(FILTER('Fund Data'!$D:$D, 'Fund Data'!$C:$C = $A118, 'Fund Data'!$A:$A = D$1, 'Fund Data'!$B:$B = 12),"""")"),"")</f>
        <v/>
      </c>
      <c r="E118" t="str">
        <f>IFERROR(__xludf.DUMMYFUNCTION("IFERROR(FILTER('Fund Data'!$D:$D, 'Fund Data'!$C:$C = $A118, 'Fund Data'!$A:$A = E$1, 'Fund Data'!$B:$B = 12),"""")"),"")</f>
        <v/>
      </c>
      <c r="F118" t="str">
        <f>IFERROR(__xludf.DUMMYFUNCTION("IFERROR(FILTER('Fund Data'!$D:$D, 'Fund Data'!$C:$C = $A118, 'Fund Data'!$A:$A = F$1, 'Fund Data'!$B:$B = 12),"""")"),"")</f>
        <v/>
      </c>
      <c r="G118" t="str">
        <f>IFERROR(__xludf.DUMMYFUNCTION("IFERROR(FILTER('Fund Data'!$D:$D, 'Fund Data'!$C:$C = $A118, 'Fund Data'!$A:$A = G$1, 'Fund Data'!$B:$B = 12),"""")"),"")</f>
        <v/>
      </c>
      <c r="H118" t="str">
        <f>IFERROR(__xludf.DUMMYFUNCTION("IFERROR(FILTER('Fund Data'!$D:$D, 'Fund Data'!$C:$C = $A118, 'Fund Data'!$A:$A = H$1, 'Fund Data'!$B:$B = 12),"""")"),"")</f>
        <v/>
      </c>
      <c r="I118" t="str">
        <f>IFERROR(__xludf.DUMMYFUNCTION("IFERROR(FILTER('Fund Data'!$D:$D, 'Fund Data'!$C:$C = $A118, 'Fund Data'!$A:$A = I$1, 'Fund Data'!$B:$B = 12),"""")"),"")</f>
        <v/>
      </c>
      <c r="J118" t="str">
        <f>IFERROR(__xludf.DUMMYFUNCTION("IFERROR(FILTER('Fund Data'!$D:$D, 'Fund Data'!$C:$C = $A118, 'Fund Data'!$A:$A = J$1, 'Fund Data'!$B:$B = 12),"""")"),"")</f>
        <v/>
      </c>
      <c r="K118" t="str">
        <f>IFERROR(__xludf.DUMMYFUNCTION("IFERROR(FILTER('Fund Data'!$D:$D, 'Fund Data'!$C:$C = $A118, 'Fund Data'!$A:$A = K$1, 'Fund Data'!$B:$B = 12),"""")"),"")</f>
        <v/>
      </c>
      <c r="L118" t="str">
        <f>IFERROR(__xludf.DUMMYFUNCTION("IFERROR(FILTER('Fund Data'!$D:$D, 'Fund Data'!$C:$C = $A118, 'Fund Data'!$A:$A = L$1, 'Fund Data'!$B:$B = 12),"""")"),"")</f>
        <v/>
      </c>
      <c r="M118" t="str">
        <f>IFERROR(__xludf.DUMMYFUNCTION("IFERROR(FILTER('Fund Data'!$D:$D, 'Fund Data'!$C:$C = $A118, 'Fund Data'!$A:$A = M$1, 'Fund Data'!$B:$B = 12),"""")"),"")</f>
        <v/>
      </c>
      <c r="N118" t="str">
        <f>IFERROR(__xludf.DUMMYFUNCTION("IFERROR(FILTER('Fund Data'!$D:$D, 'Fund Data'!$C:$C = $A118, 'Fund Data'!$A:$A = N$1, 'Fund Data'!$B:$B = 12),"""")"),"")</f>
        <v/>
      </c>
      <c r="O118" t="str">
        <f>IFERROR(__xludf.DUMMYFUNCTION("IFERROR(FILTER('Fund Data'!$D:$D, 'Fund Data'!$C:$C = $A118, 'Fund Data'!$A:$A = O$1, 'Fund Data'!$B:$B = 12),"""")"),"")</f>
        <v/>
      </c>
      <c r="P118" t="str">
        <f>IFERROR(__xludf.DUMMYFUNCTION("IFERROR(FILTER('Fund Data'!$D:$D, 'Fund Data'!$C:$C = $A118, 'Fund Data'!$A:$A = P$1, 'Fund Data'!$B:$B = 12),"""")"),"")</f>
        <v/>
      </c>
      <c r="Q118" t="str">
        <f>IFERROR(__xludf.DUMMYFUNCTION("IFERROR(FILTER('Fund Data'!$D:$D, 'Fund Data'!$C:$C = $A118, 'Fund Data'!$A:$A = Q$1, 'Fund Data'!$B:$B = 12),"""")"),"")</f>
        <v/>
      </c>
      <c r="R118" t="str">
        <f>IFERROR(__xludf.DUMMYFUNCTION("IFERROR(FILTER('Fund Data'!$D:$D, 'Fund Data'!$C:$C = $A118, 'Fund Data'!$A:$A = R$1, 'Fund Data'!$B:$B = 12),"""")"),"")</f>
        <v/>
      </c>
      <c r="S118" t="str">
        <f>IFERROR(__xludf.DUMMYFUNCTION("IFERROR(FILTER('Fund Data'!$D:$D, 'Fund Data'!$C:$C = $A118, 'Fund Data'!$A:$A = S$1, 'Fund Data'!$B:$B = 12),"""")"),"")</f>
        <v/>
      </c>
      <c r="T118" t="str">
        <f>IFERROR(__xludf.DUMMYFUNCTION("IFERROR(FILTER('Fund Data'!$D:$D, 'Fund Data'!$C:$C = $A118, 'Fund Data'!$A:$A = T$1, 'Fund Data'!$B:$B = 12),"""")"),"")</f>
        <v/>
      </c>
      <c r="U118" t="str">
        <f>IFERROR(__xludf.DUMMYFUNCTION("IFERROR(FILTER('Fund Data'!$D:$D, 'Fund Data'!$C:$C = $A118, 'Fund Data'!$A:$A = U$1, 'Fund Data'!$B:$B = 12),"""")"),"")</f>
        <v/>
      </c>
      <c r="V118" t="str">
        <f>IFERROR(__xludf.DUMMYFUNCTION("IFERROR(FILTER('Fund Data'!$D:$D, 'Fund Data'!$C:$C = $A118, 'Fund Data'!$A:$A = V$1, 'Fund Data'!$B:$B = 12),"""")"),"")</f>
        <v/>
      </c>
      <c r="W118" t="str">
        <f>IFERROR(__xludf.DUMMYFUNCTION("IFERROR(FILTER('Fund Data'!$D:$D, 'Fund Data'!$C:$C = $A118, 'Fund Data'!$A:$A = W$1, 'Fund Data'!$B:$B = 12),"""")"),"")</f>
        <v/>
      </c>
      <c r="X118" t="str">
        <f>IFERROR(__xludf.DUMMYFUNCTION("IFERROR(FILTER('Fund Data'!$D:$D, 'Fund Data'!$C:$C = $A118, 'Fund Data'!$A:$A = X$1, 'Fund Data'!$B:$B = 12),"""")"),"")</f>
        <v/>
      </c>
      <c r="Y118" t="str">
        <f>IFERROR(__xludf.DUMMYFUNCTION("IFERROR(FILTER('Fund Data'!$D:$D, 'Fund Data'!$C:$C = $A118, 'Fund Data'!$A:$A = Y$1, 'Fund Data'!$B:$B = 12),"""")"),"")</f>
        <v/>
      </c>
      <c r="Z118" t="str">
        <f>IFERROR(__xludf.DUMMYFUNCTION("IFERROR(FILTER('Fund Data'!$D:$D, 'Fund Data'!$C:$C = $A118, 'Fund Data'!$A:$A = Z$1, 'Fund Data'!$B:$B = 12),"""")"),"")</f>
        <v/>
      </c>
      <c r="AA118" t="str">
        <f>IFERROR(__xludf.DUMMYFUNCTION("IFERROR(FILTER('Fund Data'!$D:$D, 'Fund Data'!$C:$C = $A118, 'Fund Data'!$A:$A = AA$1, 'Fund Data'!$B:$B = 12),"""")"),"")</f>
        <v/>
      </c>
      <c r="AB118" t="str">
        <f>IFERROR(__xludf.DUMMYFUNCTION("IFERROR(FILTER('Fund Data'!$D:$D, 'Fund Data'!$C:$C = $A118, 'Fund Data'!$A:$A = AB$1, 'Fund Data'!$B:$B = 12),"""")"),"")</f>
        <v/>
      </c>
      <c r="AC118" t="str">
        <f>IFERROR(__xludf.DUMMYFUNCTION("IFERROR(FILTER('Fund Data'!$D:$D, 'Fund Data'!$C:$C = $A118, 'Fund Data'!$A:$A = AC$1, 'Fund Data'!$B:$B = 12),"""")"),"")</f>
        <v/>
      </c>
      <c r="AD118" t="str">
        <f>IFERROR(__xludf.DUMMYFUNCTION("IFERROR(FILTER('Fund Data'!$D:$D, 'Fund Data'!$C:$C = $A118, 'Fund Data'!$A:$A = AD$1, 'Fund Data'!$B:$B = 12),"""")"),"")</f>
        <v/>
      </c>
      <c r="AE118" t="str">
        <f>IFERROR(__xludf.DUMMYFUNCTION("IFERROR(FILTER('Fund Data'!$D:$D, 'Fund Data'!$C:$C = $A118, 'Fund Data'!$A:$A = AE$1, 'Fund Data'!$B:$B = 12),"""")"),"")</f>
        <v/>
      </c>
    </row>
    <row r="119">
      <c r="A119" s="145" t="str">
        <f>'Endowed Funds'!B:B</f>
        <v/>
      </c>
      <c r="B119" t="str">
        <f>IFERROR(__xludf.DUMMYFUNCTION("IFERROR(FILTER('Fund Data'!$D:$D, 'Fund Data'!$C:$C = $A119, 'Fund Data'!$A:$A = B$1, 'Fund Data'!$B:$B = 12),"""")"),"")</f>
        <v/>
      </c>
      <c r="C119" t="str">
        <f>IFERROR(__xludf.DUMMYFUNCTION("IFERROR(FILTER('Fund Data'!$D:$D, 'Fund Data'!$C:$C = $A119, 'Fund Data'!$A:$A = C$1, 'Fund Data'!$B:$B = 12),"""")"),"")</f>
        <v/>
      </c>
      <c r="D119" t="str">
        <f>IFERROR(__xludf.DUMMYFUNCTION("IFERROR(FILTER('Fund Data'!$D:$D, 'Fund Data'!$C:$C = $A119, 'Fund Data'!$A:$A = D$1, 'Fund Data'!$B:$B = 12),"""")"),"")</f>
        <v/>
      </c>
      <c r="E119" t="str">
        <f>IFERROR(__xludf.DUMMYFUNCTION("IFERROR(FILTER('Fund Data'!$D:$D, 'Fund Data'!$C:$C = $A119, 'Fund Data'!$A:$A = E$1, 'Fund Data'!$B:$B = 12),"""")"),"")</f>
        <v/>
      </c>
      <c r="F119" t="str">
        <f>IFERROR(__xludf.DUMMYFUNCTION("IFERROR(FILTER('Fund Data'!$D:$D, 'Fund Data'!$C:$C = $A119, 'Fund Data'!$A:$A = F$1, 'Fund Data'!$B:$B = 12),"""")"),"")</f>
        <v/>
      </c>
      <c r="G119" t="str">
        <f>IFERROR(__xludf.DUMMYFUNCTION("IFERROR(FILTER('Fund Data'!$D:$D, 'Fund Data'!$C:$C = $A119, 'Fund Data'!$A:$A = G$1, 'Fund Data'!$B:$B = 12),"""")"),"")</f>
        <v/>
      </c>
      <c r="H119" t="str">
        <f>IFERROR(__xludf.DUMMYFUNCTION("IFERROR(FILTER('Fund Data'!$D:$D, 'Fund Data'!$C:$C = $A119, 'Fund Data'!$A:$A = H$1, 'Fund Data'!$B:$B = 12),"""")"),"")</f>
        <v/>
      </c>
      <c r="I119" t="str">
        <f>IFERROR(__xludf.DUMMYFUNCTION("IFERROR(FILTER('Fund Data'!$D:$D, 'Fund Data'!$C:$C = $A119, 'Fund Data'!$A:$A = I$1, 'Fund Data'!$B:$B = 12),"""")"),"")</f>
        <v/>
      </c>
      <c r="J119" t="str">
        <f>IFERROR(__xludf.DUMMYFUNCTION("IFERROR(FILTER('Fund Data'!$D:$D, 'Fund Data'!$C:$C = $A119, 'Fund Data'!$A:$A = J$1, 'Fund Data'!$B:$B = 12),"""")"),"")</f>
        <v/>
      </c>
      <c r="K119" t="str">
        <f>IFERROR(__xludf.DUMMYFUNCTION("IFERROR(FILTER('Fund Data'!$D:$D, 'Fund Data'!$C:$C = $A119, 'Fund Data'!$A:$A = K$1, 'Fund Data'!$B:$B = 12),"""")"),"")</f>
        <v/>
      </c>
      <c r="L119" t="str">
        <f>IFERROR(__xludf.DUMMYFUNCTION("IFERROR(FILTER('Fund Data'!$D:$D, 'Fund Data'!$C:$C = $A119, 'Fund Data'!$A:$A = L$1, 'Fund Data'!$B:$B = 12),"""")"),"")</f>
        <v/>
      </c>
      <c r="M119" t="str">
        <f>IFERROR(__xludf.DUMMYFUNCTION("IFERROR(FILTER('Fund Data'!$D:$D, 'Fund Data'!$C:$C = $A119, 'Fund Data'!$A:$A = M$1, 'Fund Data'!$B:$B = 12),"""")"),"")</f>
        <v/>
      </c>
      <c r="N119" t="str">
        <f>IFERROR(__xludf.DUMMYFUNCTION("IFERROR(FILTER('Fund Data'!$D:$D, 'Fund Data'!$C:$C = $A119, 'Fund Data'!$A:$A = N$1, 'Fund Data'!$B:$B = 12),"""")"),"")</f>
        <v/>
      </c>
      <c r="O119" t="str">
        <f>IFERROR(__xludf.DUMMYFUNCTION("IFERROR(FILTER('Fund Data'!$D:$D, 'Fund Data'!$C:$C = $A119, 'Fund Data'!$A:$A = O$1, 'Fund Data'!$B:$B = 12),"""")"),"")</f>
        <v/>
      </c>
      <c r="P119" t="str">
        <f>IFERROR(__xludf.DUMMYFUNCTION("IFERROR(FILTER('Fund Data'!$D:$D, 'Fund Data'!$C:$C = $A119, 'Fund Data'!$A:$A = P$1, 'Fund Data'!$B:$B = 12),"""")"),"")</f>
        <v/>
      </c>
      <c r="Q119" t="str">
        <f>IFERROR(__xludf.DUMMYFUNCTION("IFERROR(FILTER('Fund Data'!$D:$D, 'Fund Data'!$C:$C = $A119, 'Fund Data'!$A:$A = Q$1, 'Fund Data'!$B:$B = 12),"""")"),"")</f>
        <v/>
      </c>
      <c r="R119" t="str">
        <f>IFERROR(__xludf.DUMMYFUNCTION("IFERROR(FILTER('Fund Data'!$D:$D, 'Fund Data'!$C:$C = $A119, 'Fund Data'!$A:$A = R$1, 'Fund Data'!$B:$B = 12),"""")"),"")</f>
        <v/>
      </c>
      <c r="S119" t="str">
        <f>IFERROR(__xludf.DUMMYFUNCTION("IFERROR(FILTER('Fund Data'!$D:$D, 'Fund Data'!$C:$C = $A119, 'Fund Data'!$A:$A = S$1, 'Fund Data'!$B:$B = 12),"""")"),"")</f>
        <v/>
      </c>
      <c r="T119" t="str">
        <f>IFERROR(__xludf.DUMMYFUNCTION("IFERROR(FILTER('Fund Data'!$D:$D, 'Fund Data'!$C:$C = $A119, 'Fund Data'!$A:$A = T$1, 'Fund Data'!$B:$B = 12),"""")"),"")</f>
        <v/>
      </c>
      <c r="U119" t="str">
        <f>IFERROR(__xludf.DUMMYFUNCTION("IFERROR(FILTER('Fund Data'!$D:$D, 'Fund Data'!$C:$C = $A119, 'Fund Data'!$A:$A = U$1, 'Fund Data'!$B:$B = 12),"""")"),"")</f>
        <v/>
      </c>
      <c r="V119" t="str">
        <f>IFERROR(__xludf.DUMMYFUNCTION("IFERROR(FILTER('Fund Data'!$D:$D, 'Fund Data'!$C:$C = $A119, 'Fund Data'!$A:$A = V$1, 'Fund Data'!$B:$B = 12),"""")"),"")</f>
        <v/>
      </c>
      <c r="W119" t="str">
        <f>IFERROR(__xludf.DUMMYFUNCTION("IFERROR(FILTER('Fund Data'!$D:$D, 'Fund Data'!$C:$C = $A119, 'Fund Data'!$A:$A = W$1, 'Fund Data'!$B:$B = 12),"""")"),"")</f>
        <v/>
      </c>
      <c r="X119" t="str">
        <f>IFERROR(__xludf.DUMMYFUNCTION("IFERROR(FILTER('Fund Data'!$D:$D, 'Fund Data'!$C:$C = $A119, 'Fund Data'!$A:$A = X$1, 'Fund Data'!$B:$B = 12),"""")"),"")</f>
        <v/>
      </c>
      <c r="Y119" t="str">
        <f>IFERROR(__xludf.DUMMYFUNCTION("IFERROR(FILTER('Fund Data'!$D:$D, 'Fund Data'!$C:$C = $A119, 'Fund Data'!$A:$A = Y$1, 'Fund Data'!$B:$B = 12),"""")"),"")</f>
        <v/>
      </c>
      <c r="Z119" t="str">
        <f>IFERROR(__xludf.DUMMYFUNCTION("IFERROR(FILTER('Fund Data'!$D:$D, 'Fund Data'!$C:$C = $A119, 'Fund Data'!$A:$A = Z$1, 'Fund Data'!$B:$B = 12),"""")"),"")</f>
        <v/>
      </c>
      <c r="AA119" t="str">
        <f>IFERROR(__xludf.DUMMYFUNCTION("IFERROR(FILTER('Fund Data'!$D:$D, 'Fund Data'!$C:$C = $A119, 'Fund Data'!$A:$A = AA$1, 'Fund Data'!$B:$B = 12),"""")"),"")</f>
        <v/>
      </c>
      <c r="AB119" t="str">
        <f>IFERROR(__xludf.DUMMYFUNCTION("IFERROR(FILTER('Fund Data'!$D:$D, 'Fund Data'!$C:$C = $A119, 'Fund Data'!$A:$A = AB$1, 'Fund Data'!$B:$B = 12),"""")"),"")</f>
        <v/>
      </c>
      <c r="AC119" t="str">
        <f>IFERROR(__xludf.DUMMYFUNCTION("IFERROR(FILTER('Fund Data'!$D:$D, 'Fund Data'!$C:$C = $A119, 'Fund Data'!$A:$A = AC$1, 'Fund Data'!$B:$B = 12),"""")"),"")</f>
        <v/>
      </c>
      <c r="AD119" t="str">
        <f>IFERROR(__xludf.DUMMYFUNCTION("IFERROR(FILTER('Fund Data'!$D:$D, 'Fund Data'!$C:$C = $A119, 'Fund Data'!$A:$A = AD$1, 'Fund Data'!$B:$B = 12),"""")"),"")</f>
        <v/>
      </c>
      <c r="AE119" t="str">
        <f>IFERROR(__xludf.DUMMYFUNCTION("IFERROR(FILTER('Fund Data'!$D:$D, 'Fund Data'!$C:$C = $A119, 'Fund Data'!$A:$A = AE$1, 'Fund Data'!$B:$B = 12),"""")"),"")</f>
        <v/>
      </c>
    </row>
    <row r="120">
      <c r="A120" s="145" t="str">
        <f>'Endowed Funds'!B:B</f>
        <v/>
      </c>
      <c r="B120" t="str">
        <f>IFERROR(__xludf.DUMMYFUNCTION("IFERROR(FILTER('Fund Data'!$D:$D, 'Fund Data'!$C:$C = $A120, 'Fund Data'!$A:$A = B$1, 'Fund Data'!$B:$B = 12),"""")"),"")</f>
        <v/>
      </c>
      <c r="C120" t="str">
        <f>IFERROR(__xludf.DUMMYFUNCTION("IFERROR(FILTER('Fund Data'!$D:$D, 'Fund Data'!$C:$C = $A120, 'Fund Data'!$A:$A = C$1, 'Fund Data'!$B:$B = 12),"""")"),"")</f>
        <v/>
      </c>
      <c r="D120" t="str">
        <f>IFERROR(__xludf.DUMMYFUNCTION("IFERROR(FILTER('Fund Data'!$D:$D, 'Fund Data'!$C:$C = $A120, 'Fund Data'!$A:$A = D$1, 'Fund Data'!$B:$B = 12),"""")"),"")</f>
        <v/>
      </c>
      <c r="E120" t="str">
        <f>IFERROR(__xludf.DUMMYFUNCTION("IFERROR(FILTER('Fund Data'!$D:$D, 'Fund Data'!$C:$C = $A120, 'Fund Data'!$A:$A = E$1, 'Fund Data'!$B:$B = 12),"""")"),"")</f>
        <v/>
      </c>
      <c r="F120" t="str">
        <f>IFERROR(__xludf.DUMMYFUNCTION("IFERROR(FILTER('Fund Data'!$D:$D, 'Fund Data'!$C:$C = $A120, 'Fund Data'!$A:$A = F$1, 'Fund Data'!$B:$B = 12),"""")"),"")</f>
        <v/>
      </c>
      <c r="G120" t="str">
        <f>IFERROR(__xludf.DUMMYFUNCTION("IFERROR(FILTER('Fund Data'!$D:$D, 'Fund Data'!$C:$C = $A120, 'Fund Data'!$A:$A = G$1, 'Fund Data'!$B:$B = 12),"""")"),"")</f>
        <v/>
      </c>
      <c r="H120" t="str">
        <f>IFERROR(__xludf.DUMMYFUNCTION("IFERROR(FILTER('Fund Data'!$D:$D, 'Fund Data'!$C:$C = $A120, 'Fund Data'!$A:$A = H$1, 'Fund Data'!$B:$B = 12),"""")"),"")</f>
        <v/>
      </c>
      <c r="I120" t="str">
        <f>IFERROR(__xludf.DUMMYFUNCTION("IFERROR(FILTER('Fund Data'!$D:$D, 'Fund Data'!$C:$C = $A120, 'Fund Data'!$A:$A = I$1, 'Fund Data'!$B:$B = 12),"""")"),"")</f>
        <v/>
      </c>
      <c r="J120" t="str">
        <f>IFERROR(__xludf.DUMMYFUNCTION("IFERROR(FILTER('Fund Data'!$D:$D, 'Fund Data'!$C:$C = $A120, 'Fund Data'!$A:$A = J$1, 'Fund Data'!$B:$B = 12),"""")"),"")</f>
        <v/>
      </c>
      <c r="K120" t="str">
        <f>IFERROR(__xludf.DUMMYFUNCTION("IFERROR(FILTER('Fund Data'!$D:$D, 'Fund Data'!$C:$C = $A120, 'Fund Data'!$A:$A = K$1, 'Fund Data'!$B:$B = 12),"""")"),"")</f>
        <v/>
      </c>
      <c r="L120" t="str">
        <f>IFERROR(__xludf.DUMMYFUNCTION("IFERROR(FILTER('Fund Data'!$D:$D, 'Fund Data'!$C:$C = $A120, 'Fund Data'!$A:$A = L$1, 'Fund Data'!$B:$B = 12),"""")"),"")</f>
        <v/>
      </c>
      <c r="M120" t="str">
        <f>IFERROR(__xludf.DUMMYFUNCTION("IFERROR(FILTER('Fund Data'!$D:$D, 'Fund Data'!$C:$C = $A120, 'Fund Data'!$A:$A = M$1, 'Fund Data'!$B:$B = 12),"""")"),"")</f>
        <v/>
      </c>
      <c r="N120" t="str">
        <f>IFERROR(__xludf.DUMMYFUNCTION("IFERROR(FILTER('Fund Data'!$D:$D, 'Fund Data'!$C:$C = $A120, 'Fund Data'!$A:$A = N$1, 'Fund Data'!$B:$B = 12),"""")"),"")</f>
        <v/>
      </c>
      <c r="O120" t="str">
        <f>IFERROR(__xludf.DUMMYFUNCTION("IFERROR(FILTER('Fund Data'!$D:$D, 'Fund Data'!$C:$C = $A120, 'Fund Data'!$A:$A = O$1, 'Fund Data'!$B:$B = 12),"""")"),"")</f>
        <v/>
      </c>
      <c r="P120" t="str">
        <f>IFERROR(__xludf.DUMMYFUNCTION("IFERROR(FILTER('Fund Data'!$D:$D, 'Fund Data'!$C:$C = $A120, 'Fund Data'!$A:$A = P$1, 'Fund Data'!$B:$B = 12),"""")"),"")</f>
        <v/>
      </c>
      <c r="Q120" t="str">
        <f>IFERROR(__xludf.DUMMYFUNCTION("IFERROR(FILTER('Fund Data'!$D:$D, 'Fund Data'!$C:$C = $A120, 'Fund Data'!$A:$A = Q$1, 'Fund Data'!$B:$B = 12),"""")"),"")</f>
        <v/>
      </c>
      <c r="R120" t="str">
        <f>IFERROR(__xludf.DUMMYFUNCTION("IFERROR(FILTER('Fund Data'!$D:$D, 'Fund Data'!$C:$C = $A120, 'Fund Data'!$A:$A = R$1, 'Fund Data'!$B:$B = 12),"""")"),"")</f>
        <v/>
      </c>
      <c r="S120" t="str">
        <f>IFERROR(__xludf.DUMMYFUNCTION("IFERROR(FILTER('Fund Data'!$D:$D, 'Fund Data'!$C:$C = $A120, 'Fund Data'!$A:$A = S$1, 'Fund Data'!$B:$B = 12),"""")"),"")</f>
        <v/>
      </c>
      <c r="T120" t="str">
        <f>IFERROR(__xludf.DUMMYFUNCTION("IFERROR(FILTER('Fund Data'!$D:$D, 'Fund Data'!$C:$C = $A120, 'Fund Data'!$A:$A = T$1, 'Fund Data'!$B:$B = 12),"""")"),"")</f>
        <v/>
      </c>
      <c r="U120" t="str">
        <f>IFERROR(__xludf.DUMMYFUNCTION("IFERROR(FILTER('Fund Data'!$D:$D, 'Fund Data'!$C:$C = $A120, 'Fund Data'!$A:$A = U$1, 'Fund Data'!$B:$B = 12),"""")"),"")</f>
        <v/>
      </c>
      <c r="V120" t="str">
        <f>IFERROR(__xludf.DUMMYFUNCTION("IFERROR(FILTER('Fund Data'!$D:$D, 'Fund Data'!$C:$C = $A120, 'Fund Data'!$A:$A = V$1, 'Fund Data'!$B:$B = 12),"""")"),"")</f>
        <v/>
      </c>
      <c r="W120" t="str">
        <f>IFERROR(__xludf.DUMMYFUNCTION("IFERROR(FILTER('Fund Data'!$D:$D, 'Fund Data'!$C:$C = $A120, 'Fund Data'!$A:$A = W$1, 'Fund Data'!$B:$B = 12),"""")"),"")</f>
        <v/>
      </c>
      <c r="X120" t="str">
        <f>IFERROR(__xludf.DUMMYFUNCTION("IFERROR(FILTER('Fund Data'!$D:$D, 'Fund Data'!$C:$C = $A120, 'Fund Data'!$A:$A = X$1, 'Fund Data'!$B:$B = 12),"""")"),"")</f>
        <v/>
      </c>
      <c r="Y120" t="str">
        <f>IFERROR(__xludf.DUMMYFUNCTION("IFERROR(FILTER('Fund Data'!$D:$D, 'Fund Data'!$C:$C = $A120, 'Fund Data'!$A:$A = Y$1, 'Fund Data'!$B:$B = 12),"""")"),"")</f>
        <v/>
      </c>
      <c r="Z120" t="str">
        <f>IFERROR(__xludf.DUMMYFUNCTION("IFERROR(FILTER('Fund Data'!$D:$D, 'Fund Data'!$C:$C = $A120, 'Fund Data'!$A:$A = Z$1, 'Fund Data'!$B:$B = 12),"""")"),"")</f>
        <v/>
      </c>
      <c r="AA120" t="str">
        <f>IFERROR(__xludf.DUMMYFUNCTION("IFERROR(FILTER('Fund Data'!$D:$D, 'Fund Data'!$C:$C = $A120, 'Fund Data'!$A:$A = AA$1, 'Fund Data'!$B:$B = 12),"""")"),"")</f>
        <v/>
      </c>
      <c r="AB120" t="str">
        <f>IFERROR(__xludf.DUMMYFUNCTION("IFERROR(FILTER('Fund Data'!$D:$D, 'Fund Data'!$C:$C = $A120, 'Fund Data'!$A:$A = AB$1, 'Fund Data'!$B:$B = 12),"""")"),"")</f>
        <v/>
      </c>
      <c r="AC120" t="str">
        <f>IFERROR(__xludf.DUMMYFUNCTION("IFERROR(FILTER('Fund Data'!$D:$D, 'Fund Data'!$C:$C = $A120, 'Fund Data'!$A:$A = AC$1, 'Fund Data'!$B:$B = 12),"""")"),"")</f>
        <v/>
      </c>
      <c r="AD120" t="str">
        <f>IFERROR(__xludf.DUMMYFUNCTION("IFERROR(FILTER('Fund Data'!$D:$D, 'Fund Data'!$C:$C = $A120, 'Fund Data'!$A:$A = AD$1, 'Fund Data'!$B:$B = 12),"""")"),"")</f>
        <v/>
      </c>
      <c r="AE120" t="str">
        <f>IFERROR(__xludf.DUMMYFUNCTION("IFERROR(FILTER('Fund Data'!$D:$D, 'Fund Data'!$C:$C = $A120, 'Fund Data'!$A:$A = AE$1, 'Fund Data'!$B:$B = 12),"""")"),"")</f>
        <v/>
      </c>
    </row>
    <row r="121">
      <c r="A121" s="145" t="str">
        <f>'Endowed Funds'!B:B</f>
        <v/>
      </c>
      <c r="B121" t="str">
        <f>IFERROR(__xludf.DUMMYFUNCTION("IFERROR(FILTER('Fund Data'!$D:$D, 'Fund Data'!$C:$C = $A121, 'Fund Data'!$A:$A = B$1, 'Fund Data'!$B:$B = 12),"""")"),"")</f>
        <v/>
      </c>
      <c r="C121" t="str">
        <f>IFERROR(__xludf.DUMMYFUNCTION("IFERROR(FILTER('Fund Data'!$D:$D, 'Fund Data'!$C:$C = $A121, 'Fund Data'!$A:$A = C$1, 'Fund Data'!$B:$B = 12),"""")"),"")</f>
        <v/>
      </c>
      <c r="D121" t="str">
        <f>IFERROR(__xludf.DUMMYFUNCTION("IFERROR(FILTER('Fund Data'!$D:$D, 'Fund Data'!$C:$C = $A121, 'Fund Data'!$A:$A = D$1, 'Fund Data'!$B:$B = 12),"""")"),"")</f>
        <v/>
      </c>
      <c r="E121" t="str">
        <f>IFERROR(__xludf.DUMMYFUNCTION("IFERROR(FILTER('Fund Data'!$D:$D, 'Fund Data'!$C:$C = $A121, 'Fund Data'!$A:$A = E$1, 'Fund Data'!$B:$B = 12),"""")"),"")</f>
        <v/>
      </c>
      <c r="F121" t="str">
        <f>IFERROR(__xludf.DUMMYFUNCTION("IFERROR(FILTER('Fund Data'!$D:$D, 'Fund Data'!$C:$C = $A121, 'Fund Data'!$A:$A = F$1, 'Fund Data'!$B:$B = 12),"""")"),"")</f>
        <v/>
      </c>
      <c r="G121" t="str">
        <f>IFERROR(__xludf.DUMMYFUNCTION("IFERROR(FILTER('Fund Data'!$D:$D, 'Fund Data'!$C:$C = $A121, 'Fund Data'!$A:$A = G$1, 'Fund Data'!$B:$B = 12),"""")"),"")</f>
        <v/>
      </c>
      <c r="H121" t="str">
        <f>IFERROR(__xludf.DUMMYFUNCTION("IFERROR(FILTER('Fund Data'!$D:$D, 'Fund Data'!$C:$C = $A121, 'Fund Data'!$A:$A = H$1, 'Fund Data'!$B:$B = 12),"""")"),"")</f>
        <v/>
      </c>
      <c r="I121" t="str">
        <f>IFERROR(__xludf.DUMMYFUNCTION("IFERROR(FILTER('Fund Data'!$D:$D, 'Fund Data'!$C:$C = $A121, 'Fund Data'!$A:$A = I$1, 'Fund Data'!$B:$B = 12),"""")"),"")</f>
        <v/>
      </c>
      <c r="J121" t="str">
        <f>IFERROR(__xludf.DUMMYFUNCTION("IFERROR(FILTER('Fund Data'!$D:$D, 'Fund Data'!$C:$C = $A121, 'Fund Data'!$A:$A = J$1, 'Fund Data'!$B:$B = 12),"""")"),"")</f>
        <v/>
      </c>
      <c r="K121" t="str">
        <f>IFERROR(__xludf.DUMMYFUNCTION("IFERROR(FILTER('Fund Data'!$D:$D, 'Fund Data'!$C:$C = $A121, 'Fund Data'!$A:$A = K$1, 'Fund Data'!$B:$B = 12),"""")"),"")</f>
        <v/>
      </c>
      <c r="L121" t="str">
        <f>IFERROR(__xludf.DUMMYFUNCTION("IFERROR(FILTER('Fund Data'!$D:$D, 'Fund Data'!$C:$C = $A121, 'Fund Data'!$A:$A = L$1, 'Fund Data'!$B:$B = 12),"""")"),"")</f>
        <v/>
      </c>
      <c r="M121" t="str">
        <f>IFERROR(__xludf.DUMMYFUNCTION("IFERROR(FILTER('Fund Data'!$D:$D, 'Fund Data'!$C:$C = $A121, 'Fund Data'!$A:$A = M$1, 'Fund Data'!$B:$B = 12),"""")"),"")</f>
        <v/>
      </c>
      <c r="N121" t="str">
        <f>IFERROR(__xludf.DUMMYFUNCTION("IFERROR(FILTER('Fund Data'!$D:$D, 'Fund Data'!$C:$C = $A121, 'Fund Data'!$A:$A = N$1, 'Fund Data'!$B:$B = 12),"""")"),"")</f>
        <v/>
      </c>
      <c r="O121" t="str">
        <f>IFERROR(__xludf.DUMMYFUNCTION("IFERROR(FILTER('Fund Data'!$D:$D, 'Fund Data'!$C:$C = $A121, 'Fund Data'!$A:$A = O$1, 'Fund Data'!$B:$B = 12),"""")"),"")</f>
        <v/>
      </c>
      <c r="P121" t="str">
        <f>IFERROR(__xludf.DUMMYFUNCTION("IFERROR(FILTER('Fund Data'!$D:$D, 'Fund Data'!$C:$C = $A121, 'Fund Data'!$A:$A = P$1, 'Fund Data'!$B:$B = 12),"""")"),"")</f>
        <v/>
      </c>
      <c r="Q121" t="str">
        <f>IFERROR(__xludf.DUMMYFUNCTION("IFERROR(FILTER('Fund Data'!$D:$D, 'Fund Data'!$C:$C = $A121, 'Fund Data'!$A:$A = Q$1, 'Fund Data'!$B:$B = 12),"""")"),"")</f>
        <v/>
      </c>
      <c r="R121" t="str">
        <f>IFERROR(__xludf.DUMMYFUNCTION("IFERROR(FILTER('Fund Data'!$D:$D, 'Fund Data'!$C:$C = $A121, 'Fund Data'!$A:$A = R$1, 'Fund Data'!$B:$B = 12),"""")"),"")</f>
        <v/>
      </c>
      <c r="S121" t="str">
        <f>IFERROR(__xludf.DUMMYFUNCTION("IFERROR(FILTER('Fund Data'!$D:$D, 'Fund Data'!$C:$C = $A121, 'Fund Data'!$A:$A = S$1, 'Fund Data'!$B:$B = 12),"""")"),"")</f>
        <v/>
      </c>
      <c r="T121" t="str">
        <f>IFERROR(__xludf.DUMMYFUNCTION("IFERROR(FILTER('Fund Data'!$D:$D, 'Fund Data'!$C:$C = $A121, 'Fund Data'!$A:$A = T$1, 'Fund Data'!$B:$B = 12),"""")"),"")</f>
        <v/>
      </c>
      <c r="U121" t="str">
        <f>IFERROR(__xludf.DUMMYFUNCTION("IFERROR(FILTER('Fund Data'!$D:$D, 'Fund Data'!$C:$C = $A121, 'Fund Data'!$A:$A = U$1, 'Fund Data'!$B:$B = 12),"""")"),"")</f>
        <v/>
      </c>
      <c r="V121" t="str">
        <f>IFERROR(__xludf.DUMMYFUNCTION("IFERROR(FILTER('Fund Data'!$D:$D, 'Fund Data'!$C:$C = $A121, 'Fund Data'!$A:$A = V$1, 'Fund Data'!$B:$B = 12),"""")"),"")</f>
        <v/>
      </c>
      <c r="W121" t="str">
        <f>IFERROR(__xludf.DUMMYFUNCTION("IFERROR(FILTER('Fund Data'!$D:$D, 'Fund Data'!$C:$C = $A121, 'Fund Data'!$A:$A = W$1, 'Fund Data'!$B:$B = 12),"""")"),"")</f>
        <v/>
      </c>
      <c r="X121" t="str">
        <f>IFERROR(__xludf.DUMMYFUNCTION("IFERROR(FILTER('Fund Data'!$D:$D, 'Fund Data'!$C:$C = $A121, 'Fund Data'!$A:$A = X$1, 'Fund Data'!$B:$B = 12),"""")"),"")</f>
        <v/>
      </c>
      <c r="Y121" t="str">
        <f>IFERROR(__xludf.DUMMYFUNCTION("IFERROR(FILTER('Fund Data'!$D:$D, 'Fund Data'!$C:$C = $A121, 'Fund Data'!$A:$A = Y$1, 'Fund Data'!$B:$B = 12),"""")"),"")</f>
        <v/>
      </c>
      <c r="Z121" t="str">
        <f>IFERROR(__xludf.DUMMYFUNCTION("IFERROR(FILTER('Fund Data'!$D:$D, 'Fund Data'!$C:$C = $A121, 'Fund Data'!$A:$A = Z$1, 'Fund Data'!$B:$B = 12),"""")"),"")</f>
        <v/>
      </c>
      <c r="AA121" t="str">
        <f>IFERROR(__xludf.DUMMYFUNCTION("IFERROR(FILTER('Fund Data'!$D:$D, 'Fund Data'!$C:$C = $A121, 'Fund Data'!$A:$A = AA$1, 'Fund Data'!$B:$B = 12),"""")"),"")</f>
        <v/>
      </c>
      <c r="AB121" t="str">
        <f>IFERROR(__xludf.DUMMYFUNCTION("IFERROR(FILTER('Fund Data'!$D:$D, 'Fund Data'!$C:$C = $A121, 'Fund Data'!$A:$A = AB$1, 'Fund Data'!$B:$B = 12),"""")"),"")</f>
        <v/>
      </c>
      <c r="AC121" t="str">
        <f>IFERROR(__xludf.DUMMYFUNCTION("IFERROR(FILTER('Fund Data'!$D:$D, 'Fund Data'!$C:$C = $A121, 'Fund Data'!$A:$A = AC$1, 'Fund Data'!$B:$B = 12),"""")"),"")</f>
        <v/>
      </c>
      <c r="AD121" t="str">
        <f>IFERROR(__xludf.DUMMYFUNCTION("IFERROR(FILTER('Fund Data'!$D:$D, 'Fund Data'!$C:$C = $A121, 'Fund Data'!$A:$A = AD$1, 'Fund Data'!$B:$B = 12),"""")"),"")</f>
        <v/>
      </c>
      <c r="AE121" t="str">
        <f>IFERROR(__xludf.DUMMYFUNCTION("IFERROR(FILTER('Fund Data'!$D:$D, 'Fund Data'!$C:$C = $A121, 'Fund Data'!$A:$A = AE$1, 'Fund Data'!$B:$B = 12),"""")"),"")</f>
        <v/>
      </c>
    </row>
    <row r="122">
      <c r="A122" s="145" t="str">
        <f>'Endowed Funds'!B:B</f>
        <v/>
      </c>
      <c r="B122" t="str">
        <f>IFERROR(__xludf.DUMMYFUNCTION("IFERROR(FILTER('Fund Data'!$D:$D, 'Fund Data'!$C:$C = $A122, 'Fund Data'!$A:$A = B$1, 'Fund Data'!$B:$B = 12),"""")"),"")</f>
        <v/>
      </c>
      <c r="C122" t="str">
        <f>IFERROR(__xludf.DUMMYFUNCTION("IFERROR(FILTER('Fund Data'!$D:$D, 'Fund Data'!$C:$C = $A122, 'Fund Data'!$A:$A = C$1, 'Fund Data'!$B:$B = 12),"""")"),"")</f>
        <v/>
      </c>
      <c r="D122" t="str">
        <f>IFERROR(__xludf.DUMMYFUNCTION("IFERROR(FILTER('Fund Data'!$D:$D, 'Fund Data'!$C:$C = $A122, 'Fund Data'!$A:$A = D$1, 'Fund Data'!$B:$B = 12),"""")"),"")</f>
        <v/>
      </c>
      <c r="E122" t="str">
        <f>IFERROR(__xludf.DUMMYFUNCTION("IFERROR(FILTER('Fund Data'!$D:$D, 'Fund Data'!$C:$C = $A122, 'Fund Data'!$A:$A = E$1, 'Fund Data'!$B:$B = 12),"""")"),"")</f>
        <v/>
      </c>
      <c r="F122" t="str">
        <f>IFERROR(__xludf.DUMMYFUNCTION("IFERROR(FILTER('Fund Data'!$D:$D, 'Fund Data'!$C:$C = $A122, 'Fund Data'!$A:$A = F$1, 'Fund Data'!$B:$B = 12),"""")"),"")</f>
        <v/>
      </c>
      <c r="G122" t="str">
        <f>IFERROR(__xludf.DUMMYFUNCTION("IFERROR(FILTER('Fund Data'!$D:$D, 'Fund Data'!$C:$C = $A122, 'Fund Data'!$A:$A = G$1, 'Fund Data'!$B:$B = 12),"""")"),"")</f>
        <v/>
      </c>
      <c r="H122" t="str">
        <f>IFERROR(__xludf.DUMMYFUNCTION("IFERROR(FILTER('Fund Data'!$D:$D, 'Fund Data'!$C:$C = $A122, 'Fund Data'!$A:$A = H$1, 'Fund Data'!$B:$B = 12),"""")"),"")</f>
        <v/>
      </c>
      <c r="I122" t="str">
        <f>IFERROR(__xludf.DUMMYFUNCTION("IFERROR(FILTER('Fund Data'!$D:$D, 'Fund Data'!$C:$C = $A122, 'Fund Data'!$A:$A = I$1, 'Fund Data'!$B:$B = 12),"""")"),"")</f>
        <v/>
      </c>
      <c r="J122" t="str">
        <f>IFERROR(__xludf.DUMMYFUNCTION("IFERROR(FILTER('Fund Data'!$D:$D, 'Fund Data'!$C:$C = $A122, 'Fund Data'!$A:$A = J$1, 'Fund Data'!$B:$B = 12),"""")"),"")</f>
        <v/>
      </c>
      <c r="K122" t="str">
        <f>IFERROR(__xludf.DUMMYFUNCTION("IFERROR(FILTER('Fund Data'!$D:$D, 'Fund Data'!$C:$C = $A122, 'Fund Data'!$A:$A = K$1, 'Fund Data'!$B:$B = 12),"""")"),"")</f>
        <v/>
      </c>
      <c r="L122" t="str">
        <f>IFERROR(__xludf.DUMMYFUNCTION("IFERROR(FILTER('Fund Data'!$D:$D, 'Fund Data'!$C:$C = $A122, 'Fund Data'!$A:$A = L$1, 'Fund Data'!$B:$B = 12),"""")"),"")</f>
        <v/>
      </c>
      <c r="M122" t="str">
        <f>IFERROR(__xludf.DUMMYFUNCTION("IFERROR(FILTER('Fund Data'!$D:$D, 'Fund Data'!$C:$C = $A122, 'Fund Data'!$A:$A = M$1, 'Fund Data'!$B:$B = 12),"""")"),"")</f>
        <v/>
      </c>
      <c r="N122" t="str">
        <f>IFERROR(__xludf.DUMMYFUNCTION("IFERROR(FILTER('Fund Data'!$D:$D, 'Fund Data'!$C:$C = $A122, 'Fund Data'!$A:$A = N$1, 'Fund Data'!$B:$B = 12),"""")"),"")</f>
        <v/>
      </c>
      <c r="O122" t="str">
        <f>IFERROR(__xludf.DUMMYFUNCTION("IFERROR(FILTER('Fund Data'!$D:$D, 'Fund Data'!$C:$C = $A122, 'Fund Data'!$A:$A = O$1, 'Fund Data'!$B:$B = 12),"""")"),"")</f>
        <v/>
      </c>
      <c r="P122" t="str">
        <f>IFERROR(__xludf.DUMMYFUNCTION("IFERROR(FILTER('Fund Data'!$D:$D, 'Fund Data'!$C:$C = $A122, 'Fund Data'!$A:$A = P$1, 'Fund Data'!$B:$B = 12),"""")"),"")</f>
        <v/>
      </c>
      <c r="Q122" t="str">
        <f>IFERROR(__xludf.DUMMYFUNCTION("IFERROR(FILTER('Fund Data'!$D:$D, 'Fund Data'!$C:$C = $A122, 'Fund Data'!$A:$A = Q$1, 'Fund Data'!$B:$B = 12),"""")"),"")</f>
        <v/>
      </c>
      <c r="R122" t="str">
        <f>IFERROR(__xludf.DUMMYFUNCTION("IFERROR(FILTER('Fund Data'!$D:$D, 'Fund Data'!$C:$C = $A122, 'Fund Data'!$A:$A = R$1, 'Fund Data'!$B:$B = 12),"""")"),"")</f>
        <v/>
      </c>
      <c r="S122" t="str">
        <f>IFERROR(__xludf.DUMMYFUNCTION("IFERROR(FILTER('Fund Data'!$D:$D, 'Fund Data'!$C:$C = $A122, 'Fund Data'!$A:$A = S$1, 'Fund Data'!$B:$B = 12),"""")"),"")</f>
        <v/>
      </c>
      <c r="T122" t="str">
        <f>IFERROR(__xludf.DUMMYFUNCTION("IFERROR(FILTER('Fund Data'!$D:$D, 'Fund Data'!$C:$C = $A122, 'Fund Data'!$A:$A = T$1, 'Fund Data'!$B:$B = 12),"""")"),"")</f>
        <v/>
      </c>
      <c r="U122" t="str">
        <f>IFERROR(__xludf.DUMMYFUNCTION("IFERROR(FILTER('Fund Data'!$D:$D, 'Fund Data'!$C:$C = $A122, 'Fund Data'!$A:$A = U$1, 'Fund Data'!$B:$B = 12),"""")"),"")</f>
        <v/>
      </c>
      <c r="V122" t="str">
        <f>IFERROR(__xludf.DUMMYFUNCTION("IFERROR(FILTER('Fund Data'!$D:$D, 'Fund Data'!$C:$C = $A122, 'Fund Data'!$A:$A = V$1, 'Fund Data'!$B:$B = 12),"""")"),"")</f>
        <v/>
      </c>
      <c r="W122" t="str">
        <f>IFERROR(__xludf.DUMMYFUNCTION("IFERROR(FILTER('Fund Data'!$D:$D, 'Fund Data'!$C:$C = $A122, 'Fund Data'!$A:$A = W$1, 'Fund Data'!$B:$B = 12),"""")"),"")</f>
        <v/>
      </c>
      <c r="X122" t="str">
        <f>IFERROR(__xludf.DUMMYFUNCTION("IFERROR(FILTER('Fund Data'!$D:$D, 'Fund Data'!$C:$C = $A122, 'Fund Data'!$A:$A = X$1, 'Fund Data'!$B:$B = 12),"""")"),"")</f>
        <v/>
      </c>
      <c r="Y122" t="str">
        <f>IFERROR(__xludf.DUMMYFUNCTION("IFERROR(FILTER('Fund Data'!$D:$D, 'Fund Data'!$C:$C = $A122, 'Fund Data'!$A:$A = Y$1, 'Fund Data'!$B:$B = 12),"""")"),"")</f>
        <v/>
      </c>
      <c r="Z122" t="str">
        <f>IFERROR(__xludf.DUMMYFUNCTION("IFERROR(FILTER('Fund Data'!$D:$D, 'Fund Data'!$C:$C = $A122, 'Fund Data'!$A:$A = Z$1, 'Fund Data'!$B:$B = 12),"""")"),"")</f>
        <v/>
      </c>
      <c r="AA122" t="str">
        <f>IFERROR(__xludf.DUMMYFUNCTION("IFERROR(FILTER('Fund Data'!$D:$D, 'Fund Data'!$C:$C = $A122, 'Fund Data'!$A:$A = AA$1, 'Fund Data'!$B:$B = 12),"""")"),"")</f>
        <v/>
      </c>
      <c r="AB122" t="str">
        <f>IFERROR(__xludf.DUMMYFUNCTION("IFERROR(FILTER('Fund Data'!$D:$D, 'Fund Data'!$C:$C = $A122, 'Fund Data'!$A:$A = AB$1, 'Fund Data'!$B:$B = 12),"""")"),"")</f>
        <v/>
      </c>
      <c r="AC122" t="str">
        <f>IFERROR(__xludf.DUMMYFUNCTION("IFERROR(FILTER('Fund Data'!$D:$D, 'Fund Data'!$C:$C = $A122, 'Fund Data'!$A:$A = AC$1, 'Fund Data'!$B:$B = 12),"""")"),"")</f>
        <v/>
      </c>
      <c r="AD122" t="str">
        <f>IFERROR(__xludf.DUMMYFUNCTION("IFERROR(FILTER('Fund Data'!$D:$D, 'Fund Data'!$C:$C = $A122, 'Fund Data'!$A:$A = AD$1, 'Fund Data'!$B:$B = 12),"""")"),"")</f>
        <v/>
      </c>
      <c r="AE122" t="str">
        <f>IFERROR(__xludf.DUMMYFUNCTION("IFERROR(FILTER('Fund Data'!$D:$D, 'Fund Data'!$C:$C = $A122, 'Fund Data'!$A:$A = AE$1, 'Fund Data'!$B:$B = 12),"""")"),"")</f>
        <v/>
      </c>
    </row>
    <row r="123">
      <c r="A123" s="145" t="str">
        <f>'Endowed Funds'!B:B</f>
        <v/>
      </c>
      <c r="B123" t="str">
        <f>IFERROR(__xludf.DUMMYFUNCTION("IFERROR(FILTER('Fund Data'!$D:$D, 'Fund Data'!$C:$C = $A123, 'Fund Data'!$A:$A = B$1, 'Fund Data'!$B:$B = 12),"""")"),"")</f>
        <v/>
      </c>
      <c r="C123" t="str">
        <f>IFERROR(__xludf.DUMMYFUNCTION("IFERROR(FILTER('Fund Data'!$D:$D, 'Fund Data'!$C:$C = $A123, 'Fund Data'!$A:$A = C$1, 'Fund Data'!$B:$B = 12),"""")"),"")</f>
        <v/>
      </c>
      <c r="D123" t="str">
        <f>IFERROR(__xludf.DUMMYFUNCTION("IFERROR(FILTER('Fund Data'!$D:$D, 'Fund Data'!$C:$C = $A123, 'Fund Data'!$A:$A = D$1, 'Fund Data'!$B:$B = 12),"""")"),"")</f>
        <v/>
      </c>
      <c r="E123" t="str">
        <f>IFERROR(__xludf.DUMMYFUNCTION("IFERROR(FILTER('Fund Data'!$D:$D, 'Fund Data'!$C:$C = $A123, 'Fund Data'!$A:$A = E$1, 'Fund Data'!$B:$B = 12),"""")"),"")</f>
        <v/>
      </c>
      <c r="F123" t="str">
        <f>IFERROR(__xludf.DUMMYFUNCTION("IFERROR(FILTER('Fund Data'!$D:$D, 'Fund Data'!$C:$C = $A123, 'Fund Data'!$A:$A = F$1, 'Fund Data'!$B:$B = 12),"""")"),"")</f>
        <v/>
      </c>
      <c r="G123" t="str">
        <f>IFERROR(__xludf.DUMMYFUNCTION("IFERROR(FILTER('Fund Data'!$D:$D, 'Fund Data'!$C:$C = $A123, 'Fund Data'!$A:$A = G$1, 'Fund Data'!$B:$B = 12),"""")"),"")</f>
        <v/>
      </c>
      <c r="H123" t="str">
        <f>IFERROR(__xludf.DUMMYFUNCTION("IFERROR(FILTER('Fund Data'!$D:$D, 'Fund Data'!$C:$C = $A123, 'Fund Data'!$A:$A = H$1, 'Fund Data'!$B:$B = 12),"""")"),"")</f>
        <v/>
      </c>
      <c r="I123" t="str">
        <f>IFERROR(__xludf.DUMMYFUNCTION("IFERROR(FILTER('Fund Data'!$D:$D, 'Fund Data'!$C:$C = $A123, 'Fund Data'!$A:$A = I$1, 'Fund Data'!$B:$B = 12),"""")"),"")</f>
        <v/>
      </c>
      <c r="J123" t="str">
        <f>IFERROR(__xludf.DUMMYFUNCTION("IFERROR(FILTER('Fund Data'!$D:$D, 'Fund Data'!$C:$C = $A123, 'Fund Data'!$A:$A = J$1, 'Fund Data'!$B:$B = 12),"""")"),"")</f>
        <v/>
      </c>
      <c r="K123" t="str">
        <f>IFERROR(__xludf.DUMMYFUNCTION("IFERROR(FILTER('Fund Data'!$D:$D, 'Fund Data'!$C:$C = $A123, 'Fund Data'!$A:$A = K$1, 'Fund Data'!$B:$B = 12),"""")"),"")</f>
        <v/>
      </c>
      <c r="L123" t="str">
        <f>IFERROR(__xludf.DUMMYFUNCTION("IFERROR(FILTER('Fund Data'!$D:$D, 'Fund Data'!$C:$C = $A123, 'Fund Data'!$A:$A = L$1, 'Fund Data'!$B:$B = 12),"""")"),"")</f>
        <v/>
      </c>
      <c r="M123" t="str">
        <f>IFERROR(__xludf.DUMMYFUNCTION("IFERROR(FILTER('Fund Data'!$D:$D, 'Fund Data'!$C:$C = $A123, 'Fund Data'!$A:$A = M$1, 'Fund Data'!$B:$B = 12),"""")"),"")</f>
        <v/>
      </c>
      <c r="N123" t="str">
        <f>IFERROR(__xludf.DUMMYFUNCTION("IFERROR(FILTER('Fund Data'!$D:$D, 'Fund Data'!$C:$C = $A123, 'Fund Data'!$A:$A = N$1, 'Fund Data'!$B:$B = 12),"""")"),"")</f>
        <v/>
      </c>
      <c r="O123" t="str">
        <f>IFERROR(__xludf.DUMMYFUNCTION("IFERROR(FILTER('Fund Data'!$D:$D, 'Fund Data'!$C:$C = $A123, 'Fund Data'!$A:$A = O$1, 'Fund Data'!$B:$B = 12),"""")"),"")</f>
        <v/>
      </c>
      <c r="P123" t="str">
        <f>IFERROR(__xludf.DUMMYFUNCTION("IFERROR(FILTER('Fund Data'!$D:$D, 'Fund Data'!$C:$C = $A123, 'Fund Data'!$A:$A = P$1, 'Fund Data'!$B:$B = 12),"""")"),"")</f>
        <v/>
      </c>
      <c r="Q123" t="str">
        <f>IFERROR(__xludf.DUMMYFUNCTION("IFERROR(FILTER('Fund Data'!$D:$D, 'Fund Data'!$C:$C = $A123, 'Fund Data'!$A:$A = Q$1, 'Fund Data'!$B:$B = 12),"""")"),"")</f>
        <v/>
      </c>
      <c r="R123" t="str">
        <f>IFERROR(__xludf.DUMMYFUNCTION("IFERROR(FILTER('Fund Data'!$D:$D, 'Fund Data'!$C:$C = $A123, 'Fund Data'!$A:$A = R$1, 'Fund Data'!$B:$B = 12),"""")"),"")</f>
        <v/>
      </c>
      <c r="S123" t="str">
        <f>IFERROR(__xludf.DUMMYFUNCTION("IFERROR(FILTER('Fund Data'!$D:$D, 'Fund Data'!$C:$C = $A123, 'Fund Data'!$A:$A = S$1, 'Fund Data'!$B:$B = 12),"""")"),"")</f>
        <v/>
      </c>
      <c r="T123" t="str">
        <f>IFERROR(__xludf.DUMMYFUNCTION("IFERROR(FILTER('Fund Data'!$D:$D, 'Fund Data'!$C:$C = $A123, 'Fund Data'!$A:$A = T$1, 'Fund Data'!$B:$B = 12),"""")"),"")</f>
        <v/>
      </c>
      <c r="U123" t="str">
        <f>IFERROR(__xludf.DUMMYFUNCTION("IFERROR(FILTER('Fund Data'!$D:$D, 'Fund Data'!$C:$C = $A123, 'Fund Data'!$A:$A = U$1, 'Fund Data'!$B:$B = 12),"""")"),"")</f>
        <v/>
      </c>
      <c r="V123" t="str">
        <f>IFERROR(__xludf.DUMMYFUNCTION("IFERROR(FILTER('Fund Data'!$D:$D, 'Fund Data'!$C:$C = $A123, 'Fund Data'!$A:$A = V$1, 'Fund Data'!$B:$B = 12),"""")"),"")</f>
        <v/>
      </c>
      <c r="W123" t="str">
        <f>IFERROR(__xludf.DUMMYFUNCTION("IFERROR(FILTER('Fund Data'!$D:$D, 'Fund Data'!$C:$C = $A123, 'Fund Data'!$A:$A = W$1, 'Fund Data'!$B:$B = 12),"""")"),"")</f>
        <v/>
      </c>
      <c r="X123" t="str">
        <f>IFERROR(__xludf.DUMMYFUNCTION("IFERROR(FILTER('Fund Data'!$D:$D, 'Fund Data'!$C:$C = $A123, 'Fund Data'!$A:$A = X$1, 'Fund Data'!$B:$B = 12),"""")"),"")</f>
        <v/>
      </c>
      <c r="Y123" t="str">
        <f>IFERROR(__xludf.DUMMYFUNCTION("IFERROR(FILTER('Fund Data'!$D:$D, 'Fund Data'!$C:$C = $A123, 'Fund Data'!$A:$A = Y$1, 'Fund Data'!$B:$B = 12),"""")"),"")</f>
        <v/>
      </c>
      <c r="Z123" t="str">
        <f>IFERROR(__xludf.DUMMYFUNCTION("IFERROR(FILTER('Fund Data'!$D:$D, 'Fund Data'!$C:$C = $A123, 'Fund Data'!$A:$A = Z$1, 'Fund Data'!$B:$B = 12),"""")"),"")</f>
        <v/>
      </c>
      <c r="AA123" t="str">
        <f>IFERROR(__xludf.DUMMYFUNCTION("IFERROR(FILTER('Fund Data'!$D:$D, 'Fund Data'!$C:$C = $A123, 'Fund Data'!$A:$A = AA$1, 'Fund Data'!$B:$B = 12),"""")"),"")</f>
        <v/>
      </c>
      <c r="AB123" t="str">
        <f>IFERROR(__xludf.DUMMYFUNCTION("IFERROR(FILTER('Fund Data'!$D:$D, 'Fund Data'!$C:$C = $A123, 'Fund Data'!$A:$A = AB$1, 'Fund Data'!$B:$B = 12),"""")"),"")</f>
        <v/>
      </c>
      <c r="AC123" t="str">
        <f>IFERROR(__xludf.DUMMYFUNCTION("IFERROR(FILTER('Fund Data'!$D:$D, 'Fund Data'!$C:$C = $A123, 'Fund Data'!$A:$A = AC$1, 'Fund Data'!$B:$B = 12),"""")"),"")</f>
        <v/>
      </c>
      <c r="AD123" t="str">
        <f>IFERROR(__xludf.DUMMYFUNCTION("IFERROR(FILTER('Fund Data'!$D:$D, 'Fund Data'!$C:$C = $A123, 'Fund Data'!$A:$A = AD$1, 'Fund Data'!$B:$B = 12),"""")"),"")</f>
        <v/>
      </c>
      <c r="AE123" t="str">
        <f>IFERROR(__xludf.DUMMYFUNCTION("IFERROR(FILTER('Fund Data'!$D:$D, 'Fund Data'!$C:$C = $A123, 'Fund Data'!$A:$A = AE$1, 'Fund Data'!$B:$B = 12),"""")"),"")</f>
        <v/>
      </c>
    </row>
    <row r="124">
      <c r="A124" s="145" t="str">
        <f>'Endowed Funds'!B:B</f>
        <v/>
      </c>
      <c r="B124" t="str">
        <f>IFERROR(__xludf.DUMMYFUNCTION("IFERROR(FILTER('Fund Data'!$D:$D, 'Fund Data'!$C:$C = $A124, 'Fund Data'!$A:$A = B$1, 'Fund Data'!$B:$B = 12),"""")"),"")</f>
        <v/>
      </c>
      <c r="C124" t="str">
        <f>IFERROR(__xludf.DUMMYFUNCTION("IFERROR(FILTER('Fund Data'!$D:$D, 'Fund Data'!$C:$C = $A124, 'Fund Data'!$A:$A = C$1, 'Fund Data'!$B:$B = 12),"""")"),"")</f>
        <v/>
      </c>
      <c r="D124" t="str">
        <f>IFERROR(__xludf.DUMMYFUNCTION("IFERROR(FILTER('Fund Data'!$D:$D, 'Fund Data'!$C:$C = $A124, 'Fund Data'!$A:$A = D$1, 'Fund Data'!$B:$B = 12),"""")"),"")</f>
        <v/>
      </c>
      <c r="E124" t="str">
        <f>IFERROR(__xludf.DUMMYFUNCTION("IFERROR(FILTER('Fund Data'!$D:$D, 'Fund Data'!$C:$C = $A124, 'Fund Data'!$A:$A = E$1, 'Fund Data'!$B:$B = 12),"""")"),"")</f>
        <v/>
      </c>
      <c r="F124" t="str">
        <f>IFERROR(__xludf.DUMMYFUNCTION("IFERROR(FILTER('Fund Data'!$D:$D, 'Fund Data'!$C:$C = $A124, 'Fund Data'!$A:$A = F$1, 'Fund Data'!$B:$B = 12),"""")"),"")</f>
        <v/>
      </c>
      <c r="G124" t="str">
        <f>IFERROR(__xludf.DUMMYFUNCTION("IFERROR(FILTER('Fund Data'!$D:$D, 'Fund Data'!$C:$C = $A124, 'Fund Data'!$A:$A = G$1, 'Fund Data'!$B:$B = 12),"""")"),"")</f>
        <v/>
      </c>
      <c r="H124" t="str">
        <f>IFERROR(__xludf.DUMMYFUNCTION("IFERROR(FILTER('Fund Data'!$D:$D, 'Fund Data'!$C:$C = $A124, 'Fund Data'!$A:$A = H$1, 'Fund Data'!$B:$B = 12),"""")"),"")</f>
        <v/>
      </c>
      <c r="I124" t="str">
        <f>IFERROR(__xludf.DUMMYFUNCTION("IFERROR(FILTER('Fund Data'!$D:$D, 'Fund Data'!$C:$C = $A124, 'Fund Data'!$A:$A = I$1, 'Fund Data'!$B:$B = 12),"""")"),"")</f>
        <v/>
      </c>
      <c r="J124" t="str">
        <f>IFERROR(__xludf.DUMMYFUNCTION("IFERROR(FILTER('Fund Data'!$D:$D, 'Fund Data'!$C:$C = $A124, 'Fund Data'!$A:$A = J$1, 'Fund Data'!$B:$B = 12),"""")"),"")</f>
        <v/>
      </c>
      <c r="K124" t="str">
        <f>IFERROR(__xludf.DUMMYFUNCTION("IFERROR(FILTER('Fund Data'!$D:$D, 'Fund Data'!$C:$C = $A124, 'Fund Data'!$A:$A = K$1, 'Fund Data'!$B:$B = 12),"""")"),"")</f>
        <v/>
      </c>
      <c r="L124" t="str">
        <f>IFERROR(__xludf.DUMMYFUNCTION("IFERROR(FILTER('Fund Data'!$D:$D, 'Fund Data'!$C:$C = $A124, 'Fund Data'!$A:$A = L$1, 'Fund Data'!$B:$B = 12),"""")"),"")</f>
        <v/>
      </c>
      <c r="M124" t="str">
        <f>IFERROR(__xludf.DUMMYFUNCTION("IFERROR(FILTER('Fund Data'!$D:$D, 'Fund Data'!$C:$C = $A124, 'Fund Data'!$A:$A = M$1, 'Fund Data'!$B:$B = 12),"""")"),"")</f>
        <v/>
      </c>
      <c r="N124" t="str">
        <f>IFERROR(__xludf.DUMMYFUNCTION("IFERROR(FILTER('Fund Data'!$D:$D, 'Fund Data'!$C:$C = $A124, 'Fund Data'!$A:$A = N$1, 'Fund Data'!$B:$B = 12),"""")"),"")</f>
        <v/>
      </c>
      <c r="O124" t="str">
        <f>IFERROR(__xludf.DUMMYFUNCTION("IFERROR(FILTER('Fund Data'!$D:$D, 'Fund Data'!$C:$C = $A124, 'Fund Data'!$A:$A = O$1, 'Fund Data'!$B:$B = 12),"""")"),"")</f>
        <v/>
      </c>
      <c r="P124" t="str">
        <f>IFERROR(__xludf.DUMMYFUNCTION("IFERROR(FILTER('Fund Data'!$D:$D, 'Fund Data'!$C:$C = $A124, 'Fund Data'!$A:$A = P$1, 'Fund Data'!$B:$B = 12),"""")"),"")</f>
        <v/>
      </c>
      <c r="Q124" t="str">
        <f>IFERROR(__xludf.DUMMYFUNCTION("IFERROR(FILTER('Fund Data'!$D:$D, 'Fund Data'!$C:$C = $A124, 'Fund Data'!$A:$A = Q$1, 'Fund Data'!$B:$B = 12),"""")"),"")</f>
        <v/>
      </c>
      <c r="R124" t="str">
        <f>IFERROR(__xludf.DUMMYFUNCTION("IFERROR(FILTER('Fund Data'!$D:$D, 'Fund Data'!$C:$C = $A124, 'Fund Data'!$A:$A = R$1, 'Fund Data'!$B:$B = 12),"""")"),"")</f>
        <v/>
      </c>
      <c r="S124" t="str">
        <f>IFERROR(__xludf.DUMMYFUNCTION("IFERROR(FILTER('Fund Data'!$D:$D, 'Fund Data'!$C:$C = $A124, 'Fund Data'!$A:$A = S$1, 'Fund Data'!$B:$B = 12),"""")"),"")</f>
        <v/>
      </c>
      <c r="T124" t="str">
        <f>IFERROR(__xludf.DUMMYFUNCTION("IFERROR(FILTER('Fund Data'!$D:$D, 'Fund Data'!$C:$C = $A124, 'Fund Data'!$A:$A = T$1, 'Fund Data'!$B:$B = 12),"""")"),"")</f>
        <v/>
      </c>
      <c r="U124" t="str">
        <f>IFERROR(__xludf.DUMMYFUNCTION("IFERROR(FILTER('Fund Data'!$D:$D, 'Fund Data'!$C:$C = $A124, 'Fund Data'!$A:$A = U$1, 'Fund Data'!$B:$B = 12),"""")"),"")</f>
        <v/>
      </c>
      <c r="V124" t="str">
        <f>IFERROR(__xludf.DUMMYFUNCTION("IFERROR(FILTER('Fund Data'!$D:$D, 'Fund Data'!$C:$C = $A124, 'Fund Data'!$A:$A = V$1, 'Fund Data'!$B:$B = 12),"""")"),"")</f>
        <v/>
      </c>
      <c r="W124" t="str">
        <f>IFERROR(__xludf.DUMMYFUNCTION("IFERROR(FILTER('Fund Data'!$D:$D, 'Fund Data'!$C:$C = $A124, 'Fund Data'!$A:$A = W$1, 'Fund Data'!$B:$B = 12),"""")"),"")</f>
        <v/>
      </c>
      <c r="X124" t="str">
        <f>IFERROR(__xludf.DUMMYFUNCTION("IFERROR(FILTER('Fund Data'!$D:$D, 'Fund Data'!$C:$C = $A124, 'Fund Data'!$A:$A = X$1, 'Fund Data'!$B:$B = 12),"""")"),"")</f>
        <v/>
      </c>
      <c r="Y124" t="str">
        <f>IFERROR(__xludf.DUMMYFUNCTION("IFERROR(FILTER('Fund Data'!$D:$D, 'Fund Data'!$C:$C = $A124, 'Fund Data'!$A:$A = Y$1, 'Fund Data'!$B:$B = 12),"""")"),"")</f>
        <v/>
      </c>
      <c r="Z124" t="str">
        <f>IFERROR(__xludf.DUMMYFUNCTION("IFERROR(FILTER('Fund Data'!$D:$D, 'Fund Data'!$C:$C = $A124, 'Fund Data'!$A:$A = Z$1, 'Fund Data'!$B:$B = 12),"""")"),"")</f>
        <v/>
      </c>
      <c r="AA124" t="str">
        <f>IFERROR(__xludf.DUMMYFUNCTION("IFERROR(FILTER('Fund Data'!$D:$D, 'Fund Data'!$C:$C = $A124, 'Fund Data'!$A:$A = AA$1, 'Fund Data'!$B:$B = 12),"""")"),"")</f>
        <v/>
      </c>
      <c r="AB124" t="str">
        <f>IFERROR(__xludf.DUMMYFUNCTION("IFERROR(FILTER('Fund Data'!$D:$D, 'Fund Data'!$C:$C = $A124, 'Fund Data'!$A:$A = AB$1, 'Fund Data'!$B:$B = 12),"""")"),"")</f>
        <v/>
      </c>
      <c r="AC124" t="str">
        <f>IFERROR(__xludf.DUMMYFUNCTION("IFERROR(FILTER('Fund Data'!$D:$D, 'Fund Data'!$C:$C = $A124, 'Fund Data'!$A:$A = AC$1, 'Fund Data'!$B:$B = 12),"""")"),"")</f>
        <v/>
      </c>
      <c r="AD124" t="str">
        <f>IFERROR(__xludf.DUMMYFUNCTION("IFERROR(FILTER('Fund Data'!$D:$D, 'Fund Data'!$C:$C = $A124, 'Fund Data'!$A:$A = AD$1, 'Fund Data'!$B:$B = 12),"""")"),"")</f>
        <v/>
      </c>
      <c r="AE124" t="str">
        <f>IFERROR(__xludf.DUMMYFUNCTION("IFERROR(FILTER('Fund Data'!$D:$D, 'Fund Data'!$C:$C = $A124, 'Fund Data'!$A:$A = AE$1, 'Fund Data'!$B:$B = 12),"""")"),"")</f>
        <v/>
      </c>
    </row>
    <row r="125">
      <c r="A125" s="145" t="str">
        <f>'Endowed Funds'!B:B</f>
        <v/>
      </c>
      <c r="B125" t="str">
        <f>IFERROR(__xludf.DUMMYFUNCTION("IFERROR(FILTER('Fund Data'!$D:$D, 'Fund Data'!$C:$C = $A125, 'Fund Data'!$A:$A = B$1, 'Fund Data'!$B:$B = 12),"""")"),"")</f>
        <v/>
      </c>
      <c r="C125" t="str">
        <f>IFERROR(__xludf.DUMMYFUNCTION("IFERROR(FILTER('Fund Data'!$D:$D, 'Fund Data'!$C:$C = $A125, 'Fund Data'!$A:$A = C$1, 'Fund Data'!$B:$B = 12),"""")"),"")</f>
        <v/>
      </c>
      <c r="D125" t="str">
        <f>IFERROR(__xludf.DUMMYFUNCTION("IFERROR(FILTER('Fund Data'!$D:$D, 'Fund Data'!$C:$C = $A125, 'Fund Data'!$A:$A = D$1, 'Fund Data'!$B:$B = 12),"""")"),"")</f>
        <v/>
      </c>
      <c r="E125" t="str">
        <f>IFERROR(__xludf.DUMMYFUNCTION("IFERROR(FILTER('Fund Data'!$D:$D, 'Fund Data'!$C:$C = $A125, 'Fund Data'!$A:$A = E$1, 'Fund Data'!$B:$B = 12),"""")"),"")</f>
        <v/>
      </c>
      <c r="F125" t="str">
        <f>IFERROR(__xludf.DUMMYFUNCTION("IFERROR(FILTER('Fund Data'!$D:$D, 'Fund Data'!$C:$C = $A125, 'Fund Data'!$A:$A = F$1, 'Fund Data'!$B:$B = 12),"""")"),"")</f>
        <v/>
      </c>
      <c r="G125" t="str">
        <f>IFERROR(__xludf.DUMMYFUNCTION("IFERROR(FILTER('Fund Data'!$D:$D, 'Fund Data'!$C:$C = $A125, 'Fund Data'!$A:$A = G$1, 'Fund Data'!$B:$B = 12),"""")"),"")</f>
        <v/>
      </c>
      <c r="H125" t="str">
        <f>IFERROR(__xludf.DUMMYFUNCTION("IFERROR(FILTER('Fund Data'!$D:$D, 'Fund Data'!$C:$C = $A125, 'Fund Data'!$A:$A = H$1, 'Fund Data'!$B:$B = 12),"""")"),"")</f>
        <v/>
      </c>
      <c r="I125" t="str">
        <f>IFERROR(__xludf.DUMMYFUNCTION("IFERROR(FILTER('Fund Data'!$D:$D, 'Fund Data'!$C:$C = $A125, 'Fund Data'!$A:$A = I$1, 'Fund Data'!$B:$B = 12),"""")"),"")</f>
        <v/>
      </c>
      <c r="J125" t="str">
        <f>IFERROR(__xludf.DUMMYFUNCTION("IFERROR(FILTER('Fund Data'!$D:$D, 'Fund Data'!$C:$C = $A125, 'Fund Data'!$A:$A = J$1, 'Fund Data'!$B:$B = 12),"""")"),"")</f>
        <v/>
      </c>
      <c r="K125" t="str">
        <f>IFERROR(__xludf.DUMMYFUNCTION("IFERROR(FILTER('Fund Data'!$D:$D, 'Fund Data'!$C:$C = $A125, 'Fund Data'!$A:$A = K$1, 'Fund Data'!$B:$B = 12),"""")"),"")</f>
        <v/>
      </c>
      <c r="L125" t="str">
        <f>IFERROR(__xludf.DUMMYFUNCTION("IFERROR(FILTER('Fund Data'!$D:$D, 'Fund Data'!$C:$C = $A125, 'Fund Data'!$A:$A = L$1, 'Fund Data'!$B:$B = 12),"""")"),"")</f>
        <v/>
      </c>
      <c r="M125" t="str">
        <f>IFERROR(__xludf.DUMMYFUNCTION("IFERROR(FILTER('Fund Data'!$D:$D, 'Fund Data'!$C:$C = $A125, 'Fund Data'!$A:$A = M$1, 'Fund Data'!$B:$B = 12),"""")"),"")</f>
        <v/>
      </c>
      <c r="N125" t="str">
        <f>IFERROR(__xludf.DUMMYFUNCTION("IFERROR(FILTER('Fund Data'!$D:$D, 'Fund Data'!$C:$C = $A125, 'Fund Data'!$A:$A = N$1, 'Fund Data'!$B:$B = 12),"""")"),"")</f>
        <v/>
      </c>
      <c r="O125" t="str">
        <f>IFERROR(__xludf.DUMMYFUNCTION("IFERROR(FILTER('Fund Data'!$D:$D, 'Fund Data'!$C:$C = $A125, 'Fund Data'!$A:$A = O$1, 'Fund Data'!$B:$B = 12),"""")"),"")</f>
        <v/>
      </c>
      <c r="P125" t="str">
        <f>IFERROR(__xludf.DUMMYFUNCTION("IFERROR(FILTER('Fund Data'!$D:$D, 'Fund Data'!$C:$C = $A125, 'Fund Data'!$A:$A = P$1, 'Fund Data'!$B:$B = 12),"""")"),"")</f>
        <v/>
      </c>
      <c r="Q125" t="str">
        <f>IFERROR(__xludf.DUMMYFUNCTION("IFERROR(FILTER('Fund Data'!$D:$D, 'Fund Data'!$C:$C = $A125, 'Fund Data'!$A:$A = Q$1, 'Fund Data'!$B:$B = 12),"""")"),"")</f>
        <v/>
      </c>
      <c r="R125" t="str">
        <f>IFERROR(__xludf.DUMMYFUNCTION("IFERROR(FILTER('Fund Data'!$D:$D, 'Fund Data'!$C:$C = $A125, 'Fund Data'!$A:$A = R$1, 'Fund Data'!$B:$B = 12),"""")"),"")</f>
        <v/>
      </c>
      <c r="S125" t="str">
        <f>IFERROR(__xludf.DUMMYFUNCTION("IFERROR(FILTER('Fund Data'!$D:$D, 'Fund Data'!$C:$C = $A125, 'Fund Data'!$A:$A = S$1, 'Fund Data'!$B:$B = 12),"""")"),"")</f>
        <v/>
      </c>
      <c r="T125" t="str">
        <f>IFERROR(__xludf.DUMMYFUNCTION("IFERROR(FILTER('Fund Data'!$D:$D, 'Fund Data'!$C:$C = $A125, 'Fund Data'!$A:$A = T$1, 'Fund Data'!$B:$B = 12),"""")"),"")</f>
        <v/>
      </c>
      <c r="U125" t="str">
        <f>IFERROR(__xludf.DUMMYFUNCTION("IFERROR(FILTER('Fund Data'!$D:$D, 'Fund Data'!$C:$C = $A125, 'Fund Data'!$A:$A = U$1, 'Fund Data'!$B:$B = 12),"""")"),"")</f>
        <v/>
      </c>
      <c r="V125" t="str">
        <f>IFERROR(__xludf.DUMMYFUNCTION("IFERROR(FILTER('Fund Data'!$D:$D, 'Fund Data'!$C:$C = $A125, 'Fund Data'!$A:$A = V$1, 'Fund Data'!$B:$B = 12),"""")"),"")</f>
        <v/>
      </c>
      <c r="W125" t="str">
        <f>IFERROR(__xludf.DUMMYFUNCTION("IFERROR(FILTER('Fund Data'!$D:$D, 'Fund Data'!$C:$C = $A125, 'Fund Data'!$A:$A = W$1, 'Fund Data'!$B:$B = 12),"""")"),"")</f>
        <v/>
      </c>
      <c r="X125" t="str">
        <f>IFERROR(__xludf.DUMMYFUNCTION("IFERROR(FILTER('Fund Data'!$D:$D, 'Fund Data'!$C:$C = $A125, 'Fund Data'!$A:$A = X$1, 'Fund Data'!$B:$B = 12),"""")"),"")</f>
        <v/>
      </c>
      <c r="Y125" t="str">
        <f>IFERROR(__xludf.DUMMYFUNCTION("IFERROR(FILTER('Fund Data'!$D:$D, 'Fund Data'!$C:$C = $A125, 'Fund Data'!$A:$A = Y$1, 'Fund Data'!$B:$B = 12),"""")"),"")</f>
        <v/>
      </c>
      <c r="Z125" t="str">
        <f>IFERROR(__xludf.DUMMYFUNCTION("IFERROR(FILTER('Fund Data'!$D:$D, 'Fund Data'!$C:$C = $A125, 'Fund Data'!$A:$A = Z$1, 'Fund Data'!$B:$B = 12),"""")"),"")</f>
        <v/>
      </c>
      <c r="AA125" t="str">
        <f>IFERROR(__xludf.DUMMYFUNCTION("IFERROR(FILTER('Fund Data'!$D:$D, 'Fund Data'!$C:$C = $A125, 'Fund Data'!$A:$A = AA$1, 'Fund Data'!$B:$B = 12),"""")"),"")</f>
        <v/>
      </c>
      <c r="AB125" t="str">
        <f>IFERROR(__xludf.DUMMYFUNCTION("IFERROR(FILTER('Fund Data'!$D:$D, 'Fund Data'!$C:$C = $A125, 'Fund Data'!$A:$A = AB$1, 'Fund Data'!$B:$B = 12),"""")"),"")</f>
        <v/>
      </c>
      <c r="AC125" t="str">
        <f>IFERROR(__xludf.DUMMYFUNCTION("IFERROR(FILTER('Fund Data'!$D:$D, 'Fund Data'!$C:$C = $A125, 'Fund Data'!$A:$A = AC$1, 'Fund Data'!$B:$B = 12),"""")"),"")</f>
        <v/>
      </c>
      <c r="AD125" t="str">
        <f>IFERROR(__xludf.DUMMYFUNCTION("IFERROR(FILTER('Fund Data'!$D:$D, 'Fund Data'!$C:$C = $A125, 'Fund Data'!$A:$A = AD$1, 'Fund Data'!$B:$B = 12),"""")"),"")</f>
        <v/>
      </c>
      <c r="AE125" t="str">
        <f>IFERROR(__xludf.DUMMYFUNCTION("IFERROR(FILTER('Fund Data'!$D:$D, 'Fund Data'!$C:$C = $A125, 'Fund Data'!$A:$A = AE$1, 'Fund Data'!$B:$B = 12),"""")"),"")</f>
        <v/>
      </c>
    </row>
    <row r="126">
      <c r="A126" s="145" t="str">
        <f>'Endowed Funds'!B:B</f>
        <v/>
      </c>
      <c r="B126" t="str">
        <f>IFERROR(__xludf.DUMMYFUNCTION("IFERROR(FILTER('Fund Data'!$D:$D, 'Fund Data'!$C:$C = $A126, 'Fund Data'!$A:$A = B$1, 'Fund Data'!$B:$B = 12),"""")"),"")</f>
        <v/>
      </c>
      <c r="C126" t="str">
        <f>IFERROR(__xludf.DUMMYFUNCTION("IFERROR(FILTER('Fund Data'!$D:$D, 'Fund Data'!$C:$C = $A126, 'Fund Data'!$A:$A = C$1, 'Fund Data'!$B:$B = 12),"""")"),"")</f>
        <v/>
      </c>
      <c r="D126" t="str">
        <f>IFERROR(__xludf.DUMMYFUNCTION("IFERROR(FILTER('Fund Data'!$D:$D, 'Fund Data'!$C:$C = $A126, 'Fund Data'!$A:$A = D$1, 'Fund Data'!$B:$B = 12),"""")"),"")</f>
        <v/>
      </c>
      <c r="E126" t="str">
        <f>IFERROR(__xludf.DUMMYFUNCTION("IFERROR(FILTER('Fund Data'!$D:$D, 'Fund Data'!$C:$C = $A126, 'Fund Data'!$A:$A = E$1, 'Fund Data'!$B:$B = 12),"""")"),"")</f>
        <v/>
      </c>
      <c r="F126" t="str">
        <f>IFERROR(__xludf.DUMMYFUNCTION("IFERROR(FILTER('Fund Data'!$D:$D, 'Fund Data'!$C:$C = $A126, 'Fund Data'!$A:$A = F$1, 'Fund Data'!$B:$B = 12),"""")"),"")</f>
        <v/>
      </c>
      <c r="G126" t="str">
        <f>IFERROR(__xludf.DUMMYFUNCTION("IFERROR(FILTER('Fund Data'!$D:$D, 'Fund Data'!$C:$C = $A126, 'Fund Data'!$A:$A = G$1, 'Fund Data'!$B:$B = 12),"""")"),"")</f>
        <v/>
      </c>
      <c r="H126" t="str">
        <f>IFERROR(__xludf.DUMMYFUNCTION("IFERROR(FILTER('Fund Data'!$D:$D, 'Fund Data'!$C:$C = $A126, 'Fund Data'!$A:$A = H$1, 'Fund Data'!$B:$B = 12),"""")"),"")</f>
        <v/>
      </c>
      <c r="I126" t="str">
        <f>IFERROR(__xludf.DUMMYFUNCTION("IFERROR(FILTER('Fund Data'!$D:$D, 'Fund Data'!$C:$C = $A126, 'Fund Data'!$A:$A = I$1, 'Fund Data'!$B:$B = 12),"""")"),"")</f>
        <v/>
      </c>
      <c r="J126" t="str">
        <f>IFERROR(__xludf.DUMMYFUNCTION("IFERROR(FILTER('Fund Data'!$D:$D, 'Fund Data'!$C:$C = $A126, 'Fund Data'!$A:$A = J$1, 'Fund Data'!$B:$B = 12),"""")"),"")</f>
        <v/>
      </c>
      <c r="K126" t="str">
        <f>IFERROR(__xludf.DUMMYFUNCTION("IFERROR(FILTER('Fund Data'!$D:$D, 'Fund Data'!$C:$C = $A126, 'Fund Data'!$A:$A = K$1, 'Fund Data'!$B:$B = 12),"""")"),"")</f>
        <v/>
      </c>
      <c r="L126" t="str">
        <f>IFERROR(__xludf.DUMMYFUNCTION("IFERROR(FILTER('Fund Data'!$D:$D, 'Fund Data'!$C:$C = $A126, 'Fund Data'!$A:$A = L$1, 'Fund Data'!$B:$B = 12),"""")"),"")</f>
        <v/>
      </c>
      <c r="M126" t="str">
        <f>IFERROR(__xludf.DUMMYFUNCTION("IFERROR(FILTER('Fund Data'!$D:$D, 'Fund Data'!$C:$C = $A126, 'Fund Data'!$A:$A = M$1, 'Fund Data'!$B:$B = 12),"""")"),"")</f>
        <v/>
      </c>
      <c r="N126" t="str">
        <f>IFERROR(__xludf.DUMMYFUNCTION("IFERROR(FILTER('Fund Data'!$D:$D, 'Fund Data'!$C:$C = $A126, 'Fund Data'!$A:$A = N$1, 'Fund Data'!$B:$B = 12),"""")"),"")</f>
        <v/>
      </c>
      <c r="O126" t="str">
        <f>IFERROR(__xludf.DUMMYFUNCTION("IFERROR(FILTER('Fund Data'!$D:$D, 'Fund Data'!$C:$C = $A126, 'Fund Data'!$A:$A = O$1, 'Fund Data'!$B:$B = 12),"""")"),"")</f>
        <v/>
      </c>
      <c r="P126" t="str">
        <f>IFERROR(__xludf.DUMMYFUNCTION("IFERROR(FILTER('Fund Data'!$D:$D, 'Fund Data'!$C:$C = $A126, 'Fund Data'!$A:$A = P$1, 'Fund Data'!$B:$B = 12),"""")"),"")</f>
        <v/>
      </c>
      <c r="Q126" t="str">
        <f>IFERROR(__xludf.DUMMYFUNCTION("IFERROR(FILTER('Fund Data'!$D:$D, 'Fund Data'!$C:$C = $A126, 'Fund Data'!$A:$A = Q$1, 'Fund Data'!$B:$B = 12),"""")"),"")</f>
        <v/>
      </c>
      <c r="R126" t="str">
        <f>IFERROR(__xludf.DUMMYFUNCTION("IFERROR(FILTER('Fund Data'!$D:$D, 'Fund Data'!$C:$C = $A126, 'Fund Data'!$A:$A = R$1, 'Fund Data'!$B:$B = 12),"""")"),"")</f>
        <v/>
      </c>
      <c r="S126" t="str">
        <f>IFERROR(__xludf.DUMMYFUNCTION("IFERROR(FILTER('Fund Data'!$D:$D, 'Fund Data'!$C:$C = $A126, 'Fund Data'!$A:$A = S$1, 'Fund Data'!$B:$B = 12),"""")"),"")</f>
        <v/>
      </c>
      <c r="T126" t="str">
        <f>IFERROR(__xludf.DUMMYFUNCTION("IFERROR(FILTER('Fund Data'!$D:$D, 'Fund Data'!$C:$C = $A126, 'Fund Data'!$A:$A = T$1, 'Fund Data'!$B:$B = 12),"""")"),"")</f>
        <v/>
      </c>
      <c r="U126" t="str">
        <f>IFERROR(__xludf.DUMMYFUNCTION("IFERROR(FILTER('Fund Data'!$D:$D, 'Fund Data'!$C:$C = $A126, 'Fund Data'!$A:$A = U$1, 'Fund Data'!$B:$B = 12),"""")"),"")</f>
        <v/>
      </c>
      <c r="V126" t="str">
        <f>IFERROR(__xludf.DUMMYFUNCTION("IFERROR(FILTER('Fund Data'!$D:$D, 'Fund Data'!$C:$C = $A126, 'Fund Data'!$A:$A = V$1, 'Fund Data'!$B:$B = 12),"""")"),"")</f>
        <v/>
      </c>
      <c r="W126" t="str">
        <f>IFERROR(__xludf.DUMMYFUNCTION("IFERROR(FILTER('Fund Data'!$D:$D, 'Fund Data'!$C:$C = $A126, 'Fund Data'!$A:$A = W$1, 'Fund Data'!$B:$B = 12),"""")"),"")</f>
        <v/>
      </c>
      <c r="X126" t="str">
        <f>IFERROR(__xludf.DUMMYFUNCTION("IFERROR(FILTER('Fund Data'!$D:$D, 'Fund Data'!$C:$C = $A126, 'Fund Data'!$A:$A = X$1, 'Fund Data'!$B:$B = 12),"""")"),"")</f>
        <v/>
      </c>
      <c r="Y126" t="str">
        <f>IFERROR(__xludf.DUMMYFUNCTION("IFERROR(FILTER('Fund Data'!$D:$D, 'Fund Data'!$C:$C = $A126, 'Fund Data'!$A:$A = Y$1, 'Fund Data'!$B:$B = 12),"""")"),"")</f>
        <v/>
      </c>
      <c r="Z126" t="str">
        <f>IFERROR(__xludf.DUMMYFUNCTION("IFERROR(FILTER('Fund Data'!$D:$D, 'Fund Data'!$C:$C = $A126, 'Fund Data'!$A:$A = Z$1, 'Fund Data'!$B:$B = 12),"""")"),"")</f>
        <v/>
      </c>
      <c r="AA126" t="str">
        <f>IFERROR(__xludf.DUMMYFUNCTION("IFERROR(FILTER('Fund Data'!$D:$D, 'Fund Data'!$C:$C = $A126, 'Fund Data'!$A:$A = AA$1, 'Fund Data'!$B:$B = 12),"""")"),"")</f>
        <v/>
      </c>
      <c r="AB126" t="str">
        <f>IFERROR(__xludf.DUMMYFUNCTION("IFERROR(FILTER('Fund Data'!$D:$D, 'Fund Data'!$C:$C = $A126, 'Fund Data'!$A:$A = AB$1, 'Fund Data'!$B:$B = 12),"""")"),"")</f>
        <v/>
      </c>
      <c r="AC126" t="str">
        <f>IFERROR(__xludf.DUMMYFUNCTION("IFERROR(FILTER('Fund Data'!$D:$D, 'Fund Data'!$C:$C = $A126, 'Fund Data'!$A:$A = AC$1, 'Fund Data'!$B:$B = 12),"""")"),"")</f>
        <v/>
      </c>
      <c r="AD126" t="str">
        <f>IFERROR(__xludf.DUMMYFUNCTION("IFERROR(FILTER('Fund Data'!$D:$D, 'Fund Data'!$C:$C = $A126, 'Fund Data'!$A:$A = AD$1, 'Fund Data'!$B:$B = 12),"""")"),"")</f>
        <v/>
      </c>
      <c r="AE126" t="str">
        <f>IFERROR(__xludf.DUMMYFUNCTION("IFERROR(FILTER('Fund Data'!$D:$D, 'Fund Data'!$C:$C = $A126, 'Fund Data'!$A:$A = AE$1, 'Fund Data'!$B:$B = 12),"""")"),"")</f>
        <v/>
      </c>
    </row>
    <row r="127">
      <c r="A127" s="145" t="str">
        <f>'Endowed Funds'!B:B</f>
        <v/>
      </c>
      <c r="B127" t="str">
        <f>IFERROR(__xludf.DUMMYFUNCTION("IFERROR(FILTER('Fund Data'!$D:$D, 'Fund Data'!$C:$C = $A127, 'Fund Data'!$A:$A = B$1, 'Fund Data'!$B:$B = 12),"""")"),"")</f>
        <v/>
      </c>
      <c r="C127" t="str">
        <f>IFERROR(__xludf.DUMMYFUNCTION("IFERROR(FILTER('Fund Data'!$D:$D, 'Fund Data'!$C:$C = $A127, 'Fund Data'!$A:$A = C$1, 'Fund Data'!$B:$B = 12),"""")"),"")</f>
        <v/>
      </c>
      <c r="D127" t="str">
        <f>IFERROR(__xludf.DUMMYFUNCTION("IFERROR(FILTER('Fund Data'!$D:$D, 'Fund Data'!$C:$C = $A127, 'Fund Data'!$A:$A = D$1, 'Fund Data'!$B:$B = 12),"""")"),"")</f>
        <v/>
      </c>
      <c r="E127" t="str">
        <f>IFERROR(__xludf.DUMMYFUNCTION("IFERROR(FILTER('Fund Data'!$D:$D, 'Fund Data'!$C:$C = $A127, 'Fund Data'!$A:$A = E$1, 'Fund Data'!$B:$B = 12),"""")"),"")</f>
        <v/>
      </c>
      <c r="F127" t="str">
        <f>IFERROR(__xludf.DUMMYFUNCTION("IFERROR(FILTER('Fund Data'!$D:$D, 'Fund Data'!$C:$C = $A127, 'Fund Data'!$A:$A = F$1, 'Fund Data'!$B:$B = 12),"""")"),"")</f>
        <v/>
      </c>
      <c r="G127" t="str">
        <f>IFERROR(__xludf.DUMMYFUNCTION("IFERROR(FILTER('Fund Data'!$D:$D, 'Fund Data'!$C:$C = $A127, 'Fund Data'!$A:$A = G$1, 'Fund Data'!$B:$B = 12),"""")"),"")</f>
        <v/>
      </c>
      <c r="H127" t="str">
        <f>IFERROR(__xludf.DUMMYFUNCTION("IFERROR(FILTER('Fund Data'!$D:$D, 'Fund Data'!$C:$C = $A127, 'Fund Data'!$A:$A = H$1, 'Fund Data'!$B:$B = 12),"""")"),"")</f>
        <v/>
      </c>
      <c r="I127" t="str">
        <f>IFERROR(__xludf.DUMMYFUNCTION("IFERROR(FILTER('Fund Data'!$D:$D, 'Fund Data'!$C:$C = $A127, 'Fund Data'!$A:$A = I$1, 'Fund Data'!$B:$B = 12),"""")"),"")</f>
        <v/>
      </c>
      <c r="J127" t="str">
        <f>IFERROR(__xludf.DUMMYFUNCTION("IFERROR(FILTER('Fund Data'!$D:$D, 'Fund Data'!$C:$C = $A127, 'Fund Data'!$A:$A = J$1, 'Fund Data'!$B:$B = 12),"""")"),"")</f>
        <v/>
      </c>
      <c r="K127" t="str">
        <f>IFERROR(__xludf.DUMMYFUNCTION("IFERROR(FILTER('Fund Data'!$D:$D, 'Fund Data'!$C:$C = $A127, 'Fund Data'!$A:$A = K$1, 'Fund Data'!$B:$B = 12),"""")"),"")</f>
        <v/>
      </c>
      <c r="L127" t="str">
        <f>IFERROR(__xludf.DUMMYFUNCTION("IFERROR(FILTER('Fund Data'!$D:$D, 'Fund Data'!$C:$C = $A127, 'Fund Data'!$A:$A = L$1, 'Fund Data'!$B:$B = 12),"""")"),"")</f>
        <v/>
      </c>
      <c r="M127" t="str">
        <f>IFERROR(__xludf.DUMMYFUNCTION("IFERROR(FILTER('Fund Data'!$D:$D, 'Fund Data'!$C:$C = $A127, 'Fund Data'!$A:$A = M$1, 'Fund Data'!$B:$B = 12),"""")"),"")</f>
        <v/>
      </c>
      <c r="N127" t="str">
        <f>IFERROR(__xludf.DUMMYFUNCTION("IFERROR(FILTER('Fund Data'!$D:$D, 'Fund Data'!$C:$C = $A127, 'Fund Data'!$A:$A = N$1, 'Fund Data'!$B:$B = 12),"""")"),"")</f>
        <v/>
      </c>
      <c r="O127" t="str">
        <f>IFERROR(__xludf.DUMMYFUNCTION("IFERROR(FILTER('Fund Data'!$D:$D, 'Fund Data'!$C:$C = $A127, 'Fund Data'!$A:$A = O$1, 'Fund Data'!$B:$B = 12),"""")"),"")</f>
        <v/>
      </c>
      <c r="P127" t="str">
        <f>IFERROR(__xludf.DUMMYFUNCTION("IFERROR(FILTER('Fund Data'!$D:$D, 'Fund Data'!$C:$C = $A127, 'Fund Data'!$A:$A = P$1, 'Fund Data'!$B:$B = 12),"""")"),"")</f>
        <v/>
      </c>
      <c r="Q127" t="str">
        <f>IFERROR(__xludf.DUMMYFUNCTION("IFERROR(FILTER('Fund Data'!$D:$D, 'Fund Data'!$C:$C = $A127, 'Fund Data'!$A:$A = Q$1, 'Fund Data'!$B:$B = 12),"""")"),"")</f>
        <v/>
      </c>
      <c r="R127" t="str">
        <f>IFERROR(__xludf.DUMMYFUNCTION("IFERROR(FILTER('Fund Data'!$D:$D, 'Fund Data'!$C:$C = $A127, 'Fund Data'!$A:$A = R$1, 'Fund Data'!$B:$B = 12),"""")"),"")</f>
        <v/>
      </c>
      <c r="S127" t="str">
        <f>IFERROR(__xludf.DUMMYFUNCTION("IFERROR(FILTER('Fund Data'!$D:$D, 'Fund Data'!$C:$C = $A127, 'Fund Data'!$A:$A = S$1, 'Fund Data'!$B:$B = 12),"""")"),"")</f>
        <v/>
      </c>
      <c r="T127" t="str">
        <f>IFERROR(__xludf.DUMMYFUNCTION("IFERROR(FILTER('Fund Data'!$D:$D, 'Fund Data'!$C:$C = $A127, 'Fund Data'!$A:$A = T$1, 'Fund Data'!$B:$B = 12),"""")"),"")</f>
        <v/>
      </c>
      <c r="U127" t="str">
        <f>IFERROR(__xludf.DUMMYFUNCTION("IFERROR(FILTER('Fund Data'!$D:$D, 'Fund Data'!$C:$C = $A127, 'Fund Data'!$A:$A = U$1, 'Fund Data'!$B:$B = 12),"""")"),"")</f>
        <v/>
      </c>
      <c r="V127" t="str">
        <f>IFERROR(__xludf.DUMMYFUNCTION("IFERROR(FILTER('Fund Data'!$D:$D, 'Fund Data'!$C:$C = $A127, 'Fund Data'!$A:$A = V$1, 'Fund Data'!$B:$B = 12),"""")"),"")</f>
        <v/>
      </c>
      <c r="W127" t="str">
        <f>IFERROR(__xludf.DUMMYFUNCTION("IFERROR(FILTER('Fund Data'!$D:$D, 'Fund Data'!$C:$C = $A127, 'Fund Data'!$A:$A = W$1, 'Fund Data'!$B:$B = 12),"""")"),"")</f>
        <v/>
      </c>
      <c r="X127" t="str">
        <f>IFERROR(__xludf.DUMMYFUNCTION("IFERROR(FILTER('Fund Data'!$D:$D, 'Fund Data'!$C:$C = $A127, 'Fund Data'!$A:$A = X$1, 'Fund Data'!$B:$B = 12),"""")"),"")</f>
        <v/>
      </c>
      <c r="Y127" t="str">
        <f>IFERROR(__xludf.DUMMYFUNCTION("IFERROR(FILTER('Fund Data'!$D:$D, 'Fund Data'!$C:$C = $A127, 'Fund Data'!$A:$A = Y$1, 'Fund Data'!$B:$B = 12),"""")"),"")</f>
        <v/>
      </c>
      <c r="Z127" t="str">
        <f>IFERROR(__xludf.DUMMYFUNCTION("IFERROR(FILTER('Fund Data'!$D:$D, 'Fund Data'!$C:$C = $A127, 'Fund Data'!$A:$A = Z$1, 'Fund Data'!$B:$B = 12),"""")"),"")</f>
        <v/>
      </c>
      <c r="AA127" t="str">
        <f>IFERROR(__xludf.DUMMYFUNCTION("IFERROR(FILTER('Fund Data'!$D:$D, 'Fund Data'!$C:$C = $A127, 'Fund Data'!$A:$A = AA$1, 'Fund Data'!$B:$B = 12),"""")"),"")</f>
        <v/>
      </c>
      <c r="AB127" t="str">
        <f>IFERROR(__xludf.DUMMYFUNCTION("IFERROR(FILTER('Fund Data'!$D:$D, 'Fund Data'!$C:$C = $A127, 'Fund Data'!$A:$A = AB$1, 'Fund Data'!$B:$B = 12),"""")"),"")</f>
        <v/>
      </c>
      <c r="AC127" t="str">
        <f>IFERROR(__xludf.DUMMYFUNCTION("IFERROR(FILTER('Fund Data'!$D:$D, 'Fund Data'!$C:$C = $A127, 'Fund Data'!$A:$A = AC$1, 'Fund Data'!$B:$B = 12),"""")"),"")</f>
        <v/>
      </c>
      <c r="AD127" t="str">
        <f>IFERROR(__xludf.DUMMYFUNCTION("IFERROR(FILTER('Fund Data'!$D:$D, 'Fund Data'!$C:$C = $A127, 'Fund Data'!$A:$A = AD$1, 'Fund Data'!$B:$B = 12),"""")"),"")</f>
        <v/>
      </c>
      <c r="AE127" t="str">
        <f>IFERROR(__xludf.DUMMYFUNCTION("IFERROR(FILTER('Fund Data'!$D:$D, 'Fund Data'!$C:$C = $A127, 'Fund Data'!$A:$A = AE$1, 'Fund Data'!$B:$B = 12),"""")"),"")</f>
        <v/>
      </c>
    </row>
    <row r="128">
      <c r="A128" s="145" t="str">
        <f>'Endowed Funds'!B:B</f>
        <v/>
      </c>
      <c r="B128" t="str">
        <f>IFERROR(__xludf.DUMMYFUNCTION("IFERROR(FILTER('Fund Data'!$D:$D, 'Fund Data'!$C:$C = $A128, 'Fund Data'!$A:$A = B$1, 'Fund Data'!$B:$B = 12),"""")"),"")</f>
        <v/>
      </c>
      <c r="C128" t="str">
        <f>IFERROR(__xludf.DUMMYFUNCTION("IFERROR(FILTER('Fund Data'!$D:$D, 'Fund Data'!$C:$C = $A128, 'Fund Data'!$A:$A = C$1, 'Fund Data'!$B:$B = 12),"""")"),"")</f>
        <v/>
      </c>
      <c r="D128" t="str">
        <f>IFERROR(__xludf.DUMMYFUNCTION("IFERROR(FILTER('Fund Data'!$D:$D, 'Fund Data'!$C:$C = $A128, 'Fund Data'!$A:$A = D$1, 'Fund Data'!$B:$B = 12),"""")"),"")</f>
        <v/>
      </c>
      <c r="E128" t="str">
        <f>IFERROR(__xludf.DUMMYFUNCTION("IFERROR(FILTER('Fund Data'!$D:$D, 'Fund Data'!$C:$C = $A128, 'Fund Data'!$A:$A = E$1, 'Fund Data'!$B:$B = 12),"""")"),"")</f>
        <v/>
      </c>
      <c r="F128" t="str">
        <f>IFERROR(__xludf.DUMMYFUNCTION("IFERROR(FILTER('Fund Data'!$D:$D, 'Fund Data'!$C:$C = $A128, 'Fund Data'!$A:$A = F$1, 'Fund Data'!$B:$B = 12),"""")"),"")</f>
        <v/>
      </c>
      <c r="G128" t="str">
        <f>IFERROR(__xludf.DUMMYFUNCTION("IFERROR(FILTER('Fund Data'!$D:$D, 'Fund Data'!$C:$C = $A128, 'Fund Data'!$A:$A = G$1, 'Fund Data'!$B:$B = 12),"""")"),"")</f>
        <v/>
      </c>
      <c r="H128" t="str">
        <f>IFERROR(__xludf.DUMMYFUNCTION("IFERROR(FILTER('Fund Data'!$D:$D, 'Fund Data'!$C:$C = $A128, 'Fund Data'!$A:$A = H$1, 'Fund Data'!$B:$B = 12),"""")"),"")</f>
        <v/>
      </c>
      <c r="I128" t="str">
        <f>IFERROR(__xludf.DUMMYFUNCTION("IFERROR(FILTER('Fund Data'!$D:$D, 'Fund Data'!$C:$C = $A128, 'Fund Data'!$A:$A = I$1, 'Fund Data'!$B:$B = 12),"""")"),"")</f>
        <v/>
      </c>
      <c r="J128" t="str">
        <f>IFERROR(__xludf.DUMMYFUNCTION("IFERROR(FILTER('Fund Data'!$D:$D, 'Fund Data'!$C:$C = $A128, 'Fund Data'!$A:$A = J$1, 'Fund Data'!$B:$B = 12),"""")"),"")</f>
        <v/>
      </c>
      <c r="K128" t="str">
        <f>IFERROR(__xludf.DUMMYFUNCTION("IFERROR(FILTER('Fund Data'!$D:$D, 'Fund Data'!$C:$C = $A128, 'Fund Data'!$A:$A = K$1, 'Fund Data'!$B:$B = 12),"""")"),"")</f>
        <v/>
      </c>
      <c r="L128" t="str">
        <f>IFERROR(__xludf.DUMMYFUNCTION("IFERROR(FILTER('Fund Data'!$D:$D, 'Fund Data'!$C:$C = $A128, 'Fund Data'!$A:$A = L$1, 'Fund Data'!$B:$B = 12),"""")"),"")</f>
        <v/>
      </c>
      <c r="M128" t="str">
        <f>IFERROR(__xludf.DUMMYFUNCTION("IFERROR(FILTER('Fund Data'!$D:$D, 'Fund Data'!$C:$C = $A128, 'Fund Data'!$A:$A = M$1, 'Fund Data'!$B:$B = 12),"""")"),"")</f>
        <v/>
      </c>
      <c r="N128" t="str">
        <f>IFERROR(__xludf.DUMMYFUNCTION("IFERROR(FILTER('Fund Data'!$D:$D, 'Fund Data'!$C:$C = $A128, 'Fund Data'!$A:$A = N$1, 'Fund Data'!$B:$B = 12),"""")"),"")</f>
        <v/>
      </c>
      <c r="O128" t="str">
        <f>IFERROR(__xludf.DUMMYFUNCTION("IFERROR(FILTER('Fund Data'!$D:$D, 'Fund Data'!$C:$C = $A128, 'Fund Data'!$A:$A = O$1, 'Fund Data'!$B:$B = 12),"""")"),"")</f>
        <v/>
      </c>
      <c r="P128" t="str">
        <f>IFERROR(__xludf.DUMMYFUNCTION("IFERROR(FILTER('Fund Data'!$D:$D, 'Fund Data'!$C:$C = $A128, 'Fund Data'!$A:$A = P$1, 'Fund Data'!$B:$B = 12),"""")"),"")</f>
        <v/>
      </c>
      <c r="Q128" t="str">
        <f>IFERROR(__xludf.DUMMYFUNCTION("IFERROR(FILTER('Fund Data'!$D:$D, 'Fund Data'!$C:$C = $A128, 'Fund Data'!$A:$A = Q$1, 'Fund Data'!$B:$B = 12),"""")"),"")</f>
        <v/>
      </c>
      <c r="R128" t="str">
        <f>IFERROR(__xludf.DUMMYFUNCTION("IFERROR(FILTER('Fund Data'!$D:$D, 'Fund Data'!$C:$C = $A128, 'Fund Data'!$A:$A = R$1, 'Fund Data'!$B:$B = 12),"""")"),"")</f>
        <v/>
      </c>
      <c r="S128" t="str">
        <f>IFERROR(__xludf.DUMMYFUNCTION("IFERROR(FILTER('Fund Data'!$D:$D, 'Fund Data'!$C:$C = $A128, 'Fund Data'!$A:$A = S$1, 'Fund Data'!$B:$B = 12),"""")"),"")</f>
        <v/>
      </c>
      <c r="T128" t="str">
        <f>IFERROR(__xludf.DUMMYFUNCTION("IFERROR(FILTER('Fund Data'!$D:$D, 'Fund Data'!$C:$C = $A128, 'Fund Data'!$A:$A = T$1, 'Fund Data'!$B:$B = 12),"""")"),"")</f>
        <v/>
      </c>
      <c r="U128" t="str">
        <f>IFERROR(__xludf.DUMMYFUNCTION("IFERROR(FILTER('Fund Data'!$D:$D, 'Fund Data'!$C:$C = $A128, 'Fund Data'!$A:$A = U$1, 'Fund Data'!$B:$B = 12),"""")"),"")</f>
        <v/>
      </c>
      <c r="V128" t="str">
        <f>IFERROR(__xludf.DUMMYFUNCTION("IFERROR(FILTER('Fund Data'!$D:$D, 'Fund Data'!$C:$C = $A128, 'Fund Data'!$A:$A = V$1, 'Fund Data'!$B:$B = 12),"""")"),"")</f>
        <v/>
      </c>
      <c r="W128" t="str">
        <f>IFERROR(__xludf.DUMMYFUNCTION("IFERROR(FILTER('Fund Data'!$D:$D, 'Fund Data'!$C:$C = $A128, 'Fund Data'!$A:$A = W$1, 'Fund Data'!$B:$B = 12),"""")"),"")</f>
        <v/>
      </c>
      <c r="X128" t="str">
        <f>IFERROR(__xludf.DUMMYFUNCTION("IFERROR(FILTER('Fund Data'!$D:$D, 'Fund Data'!$C:$C = $A128, 'Fund Data'!$A:$A = X$1, 'Fund Data'!$B:$B = 12),"""")"),"")</f>
        <v/>
      </c>
      <c r="Y128" t="str">
        <f>IFERROR(__xludf.DUMMYFUNCTION("IFERROR(FILTER('Fund Data'!$D:$D, 'Fund Data'!$C:$C = $A128, 'Fund Data'!$A:$A = Y$1, 'Fund Data'!$B:$B = 12),"""")"),"")</f>
        <v/>
      </c>
      <c r="Z128" t="str">
        <f>IFERROR(__xludf.DUMMYFUNCTION("IFERROR(FILTER('Fund Data'!$D:$D, 'Fund Data'!$C:$C = $A128, 'Fund Data'!$A:$A = Z$1, 'Fund Data'!$B:$B = 12),"""")"),"")</f>
        <v/>
      </c>
      <c r="AA128" t="str">
        <f>IFERROR(__xludf.DUMMYFUNCTION("IFERROR(FILTER('Fund Data'!$D:$D, 'Fund Data'!$C:$C = $A128, 'Fund Data'!$A:$A = AA$1, 'Fund Data'!$B:$B = 12),"""")"),"")</f>
        <v/>
      </c>
      <c r="AB128" t="str">
        <f>IFERROR(__xludf.DUMMYFUNCTION("IFERROR(FILTER('Fund Data'!$D:$D, 'Fund Data'!$C:$C = $A128, 'Fund Data'!$A:$A = AB$1, 'Fund Data'!$B:$B = 12),"""")"),"")</f>
        <v/>
      </c>
      <c r="AC128" t="str">
        <f>IFERROR(__xludf.DUMMYFUNCTION("IFERROR(FILTER('Fund Data'!$D:$D, 'Fund Data'!$C:$C = $A128, 'Fund Data'!$A:$A = AC$1, 'Fund Data'!$B:$B = 12),"""")"),"")</f>
        <v/>
      </c>
      <c r="AD128" t="str">
        <f>IFERROR(__xludf.DUMMYFUNCTION("IFERROR(FILTER('Fund Data'!$D:$D, 'Fund Data'!$C:$C = $A128, 'Fund Data'!$A:$A = AD$1, 'Fund Data'!$B:$B = 12),"""")"),"")</f>
        <v/>
      </c>
      <c r="AE128" t="str">
        <f>IFERROR(__xludf.DUMMYFUNCTION("IFERROR(FILTER('Fund Data'!$D:$D, 'Fund Data'!$C:$C = $A128, 'Fund Data'!$A:$A = AE$1, 'Fund Data'!$B:$B = 12),"""")"),"")</f>
        <v/>
      </c>
    </row>
    <row r="129">
      <c r="A129" s="145" t="str">
        <f>'Endowed Funds'!B:B</f>
        <v/>
      </c>
      <c r="B129" t="str">
        <f>IFERROR(__xludf.DUMMYFUNCTION("IFERROR(FILTER('Fund Data'!$D:$D, 'Fund Data'!$C:$C = $A129, 'Fund Data'!$A:$A = B$1, 'Fund Data'!$B:$B = 12),"""")"),"")</f>
        <v/>
      </c>
      <c r="C129" t="str">
        <f>IFERROR(__xludf.DUMMYFUNCTION("IFERROR(FILTER('Fund Data'!$D:$D, 'Fund Data'!$C:$C = $A129, 'Fund Data'!$A:$A = C$1, 'Fund Data'!$B:$B = 12),"""")"),"")</f>
        <v/>
      </c>
      <c r="D129" t="str">
        <f>IFERROR(__xludf.DUMMYFUNCTION("IFERROR(FILTER('Fund Data'!$D:$D, 'Fund Data'!$C:$C = $A129, 'Fund Data'!$A:$A = D$1, 'Fund Data'!$B:$B = 12),"""")"),"")</f>
        <v/>
      </c>
      <c r="E129" t="str">
        <f>IFERROR(__xludf.DUMMYFUNCTION("IFERROR(FILTER('Fund Data'!$D:$D, 'Fund Data'!$C:$C = $A129, 'Fund Data'!$A:$A = E$1, 'Fund Data'!$B:$B = 12),"""")"),"")</f>
        <v/>
      </c>
      <c r="F129" t="str">
        <f>IFERROR(__xludf.DUMMYFUNCTION("IFERROR(FILTER('Fund Data'!$D:$D, 'Fund Data'!$C:$C = $A129, 'Fund Data'!$A:$A = F$1, 'Fund Data'!$B:$B = 12),"""")"),"")</f>
        <v/>
      </c>
      <c r="G129" t="str">
        <f>IFERROR(__xludf.DUMMYFUNCTION("IFERROR(FILTER('Fund Data'!$D:$D, 'Fund Data'!$C:$C = $A129, 'Fund Data'!$A:$A = G$1, 'Fund Data'!$B:$B = 12),"""")"),"")</f>
        <v/>
      </c>
      <c r="H129" t="str">
        <f>IFERROR(__xludf.DUMMYFUNCTION("IFERROR(FILTER('Fund Data'!$D:$D, 'Fund Data'!$C:$C = $A129, 'Fund Data'!$A:$A = H$1, 'Fund Data'!$B:$B = 12),"""")"),"")</f>
        <v/>
      </c>
      <c r="I129" t="str">
        <f>IFERROR(__xludf.DUMMYFUNCTION("IFERROR(FILTER('Fund Data'!$D:$D, 'Fund Data'!$C:$C = $A129, 'Fund Data'!$A:$A = I$1, 'Fund Data'!$B:$B = 12),"""")"),"")</f>
        <v/>
      </c>
      <c r="J129" t="str">
        <f>IFERROR(__xludf.DUMMYFUNCTION("IFERROR(FILTER('Fund Data'!$D:$D, 'Fund Data'!$C:$C = $A129, 'Fund Data'!$A:$A = J$1, 'Fund Data'!$B:$B = 12),"""")"),"")</f>
        <v/>
      </c>
      <c r="K129" t="str">
        <f>IFERROR(__xludf.DUMMYFUNCTION("IFERROR(FILTER('Fund Data'!$D:$D, 'Fund Data'!$C:$C = $A129, 'Fund Data'!$A:$A = K$1, 'Fund Data'!$B:$B = 12),"""")"),"")</f>
        <v/>
      </c>
      <c r="L129" t="str">
        <f>IFERROR(__xludf.DUMMYFUNCTION("IFERROR(FILTER('Fund Data'!$D:$D, 'Fund Data'!$C:$C = $A129, 'Fund Data'!$A:$A = L$1, 'Fund Data'!$B:$B = 12),"""")"),"")</f>
        <v/>
      </c>
      <c r="M129" t="str">
        <f>IFERROR(__xludf.DUMMYFUNCTION("IFERROR(FILTER('Fund Data'!$D:$D, 'Fund Data'!$C:$C = $A129, 'Fund Data'!$A:$A = M$1, 'Fund Data'!$B:$B = 12),"""")"),"")</f>
        <v/>
      </c>
      <c r="N129" t="str">
        <f>IFERROR(__xludf.DUMMYFUNCTION("IFERROR(FILTER('Fund Data'!$D:$D, 'Fund Data'!$C:$C = $A129, 'Fund Data'!$A:$A = N$1, 'Fund Data'!$B:$B = 12),"""")"),"")</f>
        <v/>
      </c>
      <c r="O129" t="str">
        <f>IFERROR(__xludf.DUMMYFUNCTION("IFERROR(FILTER('Fund Data'!$D:$D, 'Fund Data'!$C:$C = $A129, 'Fund Data'!$A:$A = O$1, 'Fund Data'!$B:$B = 12),"""")"),"")</f>
        <v/>
      </c>
      <c r="P129" t="str">
        <f>IFERROR(__xludf.DUMMYFUNCTION("IFERROR(FILTER('Fund Data'!$D:$D, 'Fund Data'!$C:$C = $A129, 'Fund Data'!$A:$A = P$1, 'Fund Data'!$B:$B = 12),"""")"),"")</f>
        <v/>
      </c>
      <c r="Q129" t="str">
        <f>IFERROR(__xludf.DUMMYFUNCTION("IFERROR(FILTER('Fund Data'!$D:$D, 'Fund Data'!$C:$C = $A129, 'Fund Data'!$A:$A = Q$1, 'Fund Data'!$B:$B = 12),"""")"),"")</f>
        <v/>
      </c>
      <c r="R129" t="str">
        <f>IFERROR(__xludf.DUMMYFUNCTION("IFERROR(FILTER('Fund Data'!$D:$D, 'Fund Data'!$C:$C = $A129, 'Fund Data'!$A:$A = R$1, 'Fund Data'!$B:$B = 12),"""")"),"")</f>
        <v/>
      </c>
      <c r="S129" t="str">
        <f>IFERROR(__xludf.DUMMYFUNCTION("IFERROR(FILTER('Fund Data'!$D:$D, 'Fund Data'!$C:$C = $A129, 'Fund Data'!$A:$A = S$1, 'Fund Data'!$B:$B = 12),"""")"),"")</f>
        <v/>
      </c>
      <c r="T129" t="str">
        <f>IFERROR(__xludf.DUMMYFUNCTION("IFERROR(FILTER('Fund Data'!$D:$D, 'Fund Data'!$C:$C = $A129, 'Fund Data'!$A:$A = T$1, 'Fund Data'!$B:$B = 12),"""")"),"")</f>
        <v/>
      </c>
      <c r="U129" t="str">
        <f>IFERROR(__xludf.DUMMYFUNCTION("IFERROR(FILTER('Fund Data'!$D:$D, 'Fund Data'!$C:$C = $A129, 'Fund Data'!$A:$A = U$1, 'Fund Data'!$B:$B = 12),"""")"),"")</f>
        <v/>
      </c>
      <c r="V129" t="str">
        <f>IFERROR(__xludf.DUMMYFUNCTION("IFERROR(FILTER('Fund Data'!$D:$D, 'Fund Data'!$C:$C = $A129, 'Fund Data'!$A:$A = V$1, 'Fund Data'!$B:$B = 12),"""")"),"")</f>
        <v/>
      </c>
      <c r="W129" t="str">
        <f>IFERROR(__xludf.DUMMYFUNCTION("IFERROR(FILTER('Fund Data'!$D:$D, 'Fund Data'!$C:$C = $A129, 'Fund Data'!$A:$A = W$1, 'Fund Data'!$B:$B = 12),"""")"),"")</f>
        <v/>
      </c>
      <c r="X129" t="str">
        <f>IFERROR(__xludf.DUMMYFUNCTION("IFERROR(FILTER('Fund Data'!$D:$D, 'Fund Data'!$C:$C = $A129, 'Fund Data'!$A:$A = X$1, 'Fund Data'!$B:$B = 12),"""")"),"")</f>
        <v/>
      </c>
      <c r="Y129" t="str">
        <f>IFERROR(__xludf.DUMMYFUNCTION("IFERROR(FILTER('Fund Data'!$D:$D, 'Fund Data'!$C:$C = $A129, 'Fund Data'!$A:$A = Y$1, 'Fund Data'!$B:$B = 12),"""")"),"")</f>
        <v/>
      </c>
      <c r="Z129" t="str">
        <f>IFERROR(__xludf.DUMMYFUNCTION("IFERROR(FILTER('Fund Data'!$D:$D, 'Fund Data'!$C:$C = $A129, 'Fund Data'!$A:$A = Z$1, 'Fund Data'!$B:$B = 12),"""")"),"")</f>
        <v/>
      </c>
      <c r="AA129" t="str">
        <f>IFERROR(__xludf.DUMMYFUNCTION("IFERROR(FILTER('Fund Data'!$D:$D, 'Fund Data'!$C:$C = $A129, 'Fund Data'!$A:$A = AA$1, 'Fund Data'!$B:$B = 12),"""")"),"")</f>
        <v/>
      </c>
      <c r="AB129" t="str">
        <f>IFERROR(__xludf.DUMMYFUNCTION("IFERROR(FILTER('Fund Data'!$D:$D, 'Fund Data'!$C:$C = $A129, 'Fund Data'!$A:$A = AB$1, 'Fund Data'!$B:$B = 12),"""")"),"")</f>
        <v/>
      </c>
      <c r="AC129" t="str">
        <f>IFERROR(__xludf.DUMMYFUNCTION("IFERROR(FILTER('Fund Data'!$D:$D, 'Fund Data'!$C:$C = $A129, 'Fund Data'!$A:$A = AC$1, 'Fund Data'!$B:$B = 12),"""")"),"")</f>
        <v/>
      </c>
      <c r="AD129" t="str">
        <f>IFERROR(__xludf.DUMMYFUNCTION("IFERROR(FILTER('Fund Data'!$D:$D, 'Fund Data'!$C:$C = $A129, 'Fund Data'!$A:$A = AD$1, 'Fund Data'!$B:$B = 12),"""")"),"")</f>
        <v/>
      </c>
      <c r="AE129" t="str">
        <f>IFERROR(__xludf.DUMMYFUNCTION("IFERROR(FILTER('Fund Data'!$D:$D, 'Fund Data'!$C:$C = $A129, 'Fund Data'!$A:$A = AE$1, 'Fund Data'!$B:$B = 12),"""")"),"")</f>
        <v/>
      </c>
    </row>
    <row r="130">
      <c r="A130" s="145" t="str">
        <f>'Endowed Funds'!B:B</f>
        <v/>
      </c>
      <c r="B130" t="str">
        <f>IFERROR(__xludf.DUMMYFUNCTION("IFERROR(FILTER('Fund Data'!$D:$D, 'Fund Data'!$C:$C = $A130, 'Fund Data'!$A:$A = B$1, 'Fund Data'!$B:$B = 12),"""")"),"")</f>
        <v/>
      </c>
      <c r="C130" t="str">
        <f>IFERROR(__xludf.DUMMYFUNCTION("IFERROR(FILTER('Fund Data'!$D:$D, 'Fund Data'!$C:$C = $A130, 'Fund Data'!$A:$A = C$1, 'Fund Data'!$B:$B = 12),"""")"),"")</f>
        <v/>
      </c>
      <c r="D130" t="str">
        <f>IFERROR(__xludf.DUMMYFUNCTION("IFERROR(FILTER('Fund Data'!$D:$D, 'Fund Data'!$C:$C = $A130, 'Fund Data'!$A:$A = D$1, 'Fund Data'!$B:$B = 12),"""")"),"")</f>
        <v/>
      </c>
      <c r="E130" t="str">
        <f>IFERROR(__xludf.DUMMYFUNCTION("IFERROR(FILTER('Fund Data'!$D:$D, 'Fund Data'!$C:$C = $A130, 'Fund Data'!$A:$A = E$1, 'Fund Data'!$B:$B = 12),"""")"),"")</f>
        <v/>
      </c>
      <c r="F130" t="str">
        <f>IFERROR(__xludf.DUMMYFUNCTION("IFERROR(FILTER('Fund Data'!$D:$D, 'Fund Data'!$C:$C = $A130, 'Fund Data'!$A:$A = F$1, 'Fund Data'!$B:$B = 12),"""")"),"")</f>
        <v/>
      </c>
      <c r="G130" t="str">
        <f>IFERROR(__xludf.DUMMYFUNCTION("IFERROR(FILTER('Fund Data'!$D:$D, 'Fund Data'!$C:$C = $A130, 'Fund Data'!$A:$A = G$1, 'Fund Data'!$B:$B = 12),"""")"),"")</f>
        <v/>
      </c>
      <c r="H130" t="str">
        <f>IFERROR(__xludf.DUMMYFUNCTION("IFERROR(FILTER('Fund Data'!$D:$D, 'Fund Data'!$C:$C = $A130, 'Fund Data'!$A:$A = H$1, 'Fund Data'!$B:$B = 12),"""")"),"")</f>
        <v/>
      </c>
      <c r="I130" t="str">
        <f>IFERROR(__xludf.DUMMYFUNCTION("IFERROR(FILTER('Fund Data'!$D:$D, 'Fund Data'!$C:$C = $A130, 'Fund Data'!$A:$A = I$1, 'Fund Data'!$B:$B = 12),"""")"),"")</f>
        <v/>
      </c>
      <c r="J130" t="str">
        <f>IFERROR(__xludf.DUMMYFUNCTION("IFERROR(FILTER('Fund Data'!$D:$D, 'Fund Data'!$C:$C = $A130, 'Fund Data'!$A:$A = J$1, 'Fund Data'!$B:$B = 12),"""")"),"")</f>
        <v/>
      </c>
      <c r="K130" t="str">
        <f>IFERROR(__xludf.DUMMYFUNCTION("IFERROR(FILTER('Fund Data'!$D:$D, 'Fund Data'!$C:$C = $A130, 'Fund Data'!$A:$A = K$1, 'Fund Data'!$B:$B = 12),"""")"),"")</f>
        <v/>
      </c>
      <c r="L130" t="str">
        <f>IFERROR(__xludf.DUMMYFUNCTION("IFERROR(FILTER('Fund Data'!$D:$D, 'Fund Data'!$C:$C = $A130, 'Fund Data'!$A:$A = L$1, 'Fund Data'!$B:$B = 12),"""")"),"")</f>
        <v/>
      </c>
      <c r="M130" t="str">
        <f>IFERROR(__xludf.DUMMYFUNCTION("IFERROR(FILTER('Fund Data'!$D:$D, 'Fund Data'!$C:$C = $A130, 'Fund Data'!$A:$A = M$1, 'Fund Data'!$B:$B = 12),"""")"),"")</f>
        <v/>
      </c>
      <c r="N130" t="str">
        <f>IFERROR(__xludf.DUMMYFUNCTION("IFERROR(FILTER('Fund Data'!$D:$D, 'Fund Data'!$C:$C = $A130, 'Fund Data'!$A:$A = N$1, 'Fund Data'!$B:$B = 12),"""")"),"")</f>
        <v/>
      </c>
      <c r="O130" t="str">
        <f>IFERROR(__xludf.DUMMYFUNCTION("IFERROR(FILTER('Fund Data'!$D:$D, 'Fund Data'!$C:$C = $A130, 'Fund Data'!$A:$A = O$1, 'Fund Data'!$B:$B = 12),"""")"),"")</f>
        <v/>
      </c>
      <c r="P130" t="str">
        <f>IFERROR(__xludf.DUMMYFUNCTION("IFERROR(FILTER('Fund Data'!$D:$D, 'Fund Data'!$C:$C = $A130, 'Fund Data'!$A:$A = P$1, 'Fund Data'!$B:$B = 12),"""")"),"")</f>
        <v/>
      </c>
      <c r="Q130" t="str">
        <f>IFERROR(__xludf.DUMMYFUNCTION("IFERROR(FILTER('Fund Data'!$D:$D, 'Fund Data'!$C:$C = $A130, 'Fund Data'!$A:$A = Q$1, 'Fund Data'!$B:$B = 12),"""")"),"")</f>
        <v/>
      </c>
      <c r="R130" t="str">
        <f>IFERROR(__xludf.DUMMYFUNCTION("IFERROR(FILTER('Fund Data'!$D:$D, 'Fund Data'!$C:$C = $A130, 'Fund Data'!$A:$A = R$1, 'Fund Data'!$B:$B = 12),"""")"),"")</f>
        <v/>
      </c>
      <c r="S130" t="str">
        <f>IFERROR(__xludf.DUMMYFUNCTION("IFERROR(FILTER('Fund Data'!$D:$D, 'Fund Data'!$C:$C = $A130, 'Fund Data'!$A:$A = S$1, 'Fund Data'!$B:$B = 12),"""")"),"")</f>
        <v/>
      </c>
      <c r="T130" t="str">
        <f>IFERROR(__xludf.DUMMYFUNCTION("IFERROR(FILTER('Fund Data'!$D:$D, 'Fund Data'!$C:$C = $A130, 'Fund Data'!$A:$A = T$1, 'Fund Data'!$B:$B = 12),"""")"),"")</f>
        <v/>
      </c>
      <c r="U130" t="str">
        <f>IFERROR(__xludf.DUMMYFUNCTION("IFERROR(FILTER('Fund Data'!$D:$D, 'Fund Data'!$C:$C = $A130, 'Fund Data'!$A:$A = U$1, 'Fund Data'!$B:$B = 12),"""")"),"")</f>
        <v/>
      </c>
      <c r="V130" t="str">
        <f>IFERROR(__xludf.DUMMYFUNCTION("IFERROR(FILTER('Fund Data'!$D:$D, 'Fund Data'!$C:$C = $A130, 'Fund Data'!$A:$A = V$1, 'Fund Data'!$B:$B = 12),"""")"),"")</f>
        <v/>
      </c>
      <c r="W130" t="str">
        <f>IFERROR(__xludf.DUMMYFUNCTION("IFERROR(FILTER('Fund Data'!$D:$D, 'Fund Data'!$C:$C = $A130, 'Fund Data'!$A:$A = W$1, 'Fund Data'!$B:$B = 12),"""")"),"")</f>
        <v/>
      </c>
      <c r="X130" t="str">
        <f>IFERROR(__xludf.DUMMYFUNCTION("IFERROR(FILTER('Fund Data'!$D:$D, 'Fund Data'!$C:$C = $A130, 'Fund Data'!$A:$A = X$1, 'Fund Data'!$B:$B = 12),"""")"),"")</f>
        <v/>
      </c>
      <c r="Y130" t="str">
        <f>IFERROR(__xludf.DUMMYFUNCTION("IFERROR(FILTER('Fund Data'!$D:$D, 'Fund Data'!$C:$C = $A130, 'Fund Data'!$A:$A = Y$1, 'Fund Data'!$B:$B = 12),"""")"),"")</f>
        <v/>
      </c>
      <c r="Z130" t="str">
        <f>IFERROR(__xludf.DUMMYFUNCTION("IFERROR(FILTER('Fund Data'!$D:$D, 'Fund Data'!$C:$C = $A130, 'Fund Data'!$A:$A = Z$1, 'Fund Data'!$B:$B = 12),"""")"),"")</f>
        <v/>
      </c>
      <c r="AA130" t="str">
        <f>IFERROR(__xludf.DUMMYFUNCTION("IFERROR(FILTER('Fund Data'!$D:$D, 'Fund Data'!$C:$C = $A130, 'Fund Data'!$A:$A = AA$1, 'Fund Data'!$B:$B = 12),"""")"),"")</f>
        <v/>
      </c>
      <c r="AB130" t="str">
        <f>IFERROR(__xludf.DUMMYFUNCTION("IFERROR(FILTER('Fund Data'!$D:$D, 'Fund Data'!$C:$C = $A130, 'Fund Data'!$A:$A = AB$1, 'Fund Data'!$B:$B = 12),"""")"),"")</f>
        <v/>
      </c>
      <c r="AC130" t="str">
        <f>IFERROR(__xludf.DUMMYFUNCTION("IFERROR(FILTER('Fund Data'!$D:$D, 'Fund Data'!$C:$C = $A130, 'Fund Data'!$A:$A = AC$1, 'Fund Data'!$B:$B = 12),"""")"),"")</f>
        <v/>
      </c>
      <c r="AD130" t="str">
        <f>IFERROR(__xludf.DUMMYFUNCTION("IFERROR(FILTER('Fund Data'!$D:$D, 'Fund Data'!$C:$C = $A130, 'Fund Data'!$A:$A = AD$1, 'Fund Data'!$B:$B = 12),"""")"),"")</f>
        <v/>
      </c>
      <c r="AE130" t="str">
        <f>IFERROR(__xludf.DUMMYFUNCTION("IFERROR(FILTER('Fund Data'!$D:$D, 'Fund Data'!$C:$C = $A130, 'Fund Data'!$A:$A = AE$1, 'Fund Data'!$B:$B = 12),"""")"),"")</f>
        <v/>
      </c>
    </row>
    <row r="131">
      <c r="A131" s="145" t="str">
        <f>'Endowed Funds'!B:B</f>
        <v/>
      </c>
      <c r="B131" t="str">
        <f>IFERROR(__xludf.DUMMYFUNCTION("IFERROR(FILTER('Fund Data'!$D:$D, 'Fund Data'!$C:$C = $A131, 'Fund Data'!$A:$A = B$1, 'Fund Data'!$B:$B = 12),"""")"),"")</f>
        <v/>
      </c>
      <c r="C131" t="str">
        <f>IFERROR(__xludf.DUMMYFUNCTION("IFERROR(FILTER('Fund Data'!$D:$D, 'Fund Data'!$C:$C = $A131, 'Fund Data'!$A:$A = C$1, 'Fund Data'!$B:$B = 12),"""")"),"")</f>
        <v/>
      </c>
      <c r="D131" t="str">
        <f>IFERROR(__xludf.DUMMYFUNCTION("IFERROR(FILTER('Fund Data'!$D:$D, 'Fund Data'!$C:$C = $A131, 'Fund Data'!$A:$A = D$1, 'Fund Data'!$B:$B = 12),"""")"),"")</f>
        <v/>
      </c>
      <c r="E131" t="str">
        <f>IFERROR(__xludf.DUMMYFUNCTION("IFERROR(FILTER('Fund Data'!$D:$D, 'Fund Data'!$C:$C = $A131, 'Fund Data'!$A:$A = E$1, 'Fund Data'!$B:$B = 12),"""")"),"")</f>
        <v/>
      </c>
      <c r="F131" t="str">
        <f>IFERROR(__xludf.DUMMYFUNCTION("IFERROR(FILTER('Fund Data'!$D:$D, 'Fund Data'!$C:$C = $A131, 'Fund Data'!$A:$A = F$1, 'Fund Data'!$B:$B = 12),"""")"),"")</f>
        <v/>
      </c>
      <c r="G131" t="str">
        <f>IFERROR(__xludf.DUMMYFUNCTION("IFERROR(FILTER('Fund Data'!$D:$D, 'Fund Data'!$C:$C = $A131, 'Fund Data'!$A:$A = G$1, 'Fund Data'!$B:$B = 12),"""")"),"")</f>
        <v/>
      </c>
      <c r="H131" t="str">
        <f>IFERROR(__xludf.DUMMYFUNCTION("IFERROR(FILTER('Fund Data'!$D:$D, 'Fund Data'!$C:$C = $A131, 'Fund Data'!$A:$A = H$1, 'Fund Data'!$B:$B = 12),"""")"),"")</f>
        <v/>
      </c>
      <c r="I131" t="str">
        <f>IFERROR(__xludf.DUMMYFUNCTION("IFERROR(FILTER('Fund Data'!$D:$D, 'Fund Data'!$C:$C = $A131, 'Fund Data'!$A:$A = I$1, 'Fund Data'!$B:$B = 12),"""")"),"")</f>
        <v/>
      </c>
      <c r="J131" t="str">
        <f>IFERROR(__xludf.DUMMYFUNCTION("IFERROR(FILTER('Fund Data'!$D:$D, 'Fund Data'!$C:$C = $A131, 'Fund Data'!$A:$A = J$1, 'Fund Data'!$B:$B = 12),"""")"),"")</f>
        <v/>
      </c>
      <c r="K131" t="str">
        <f>IFERROR(__xludf.DUMMYFUNCTION("IFERROR(FILTER('Fund Data'!$D:$D, 'Fund Data'!$C:$C = $A131, 'Fund Data'!$A:$A = K$1, 'Fund Data'!$B:$B = 12),"""")"),"")</f>
        <v/>
      </c>
      <c r="L131" t="str">
        <f>IFERROR(__xludf.DUMMYFUNCTION("IFERROR(FILTER('Fund Data'!$D:$D, 'Fund Data'!$C:$C = $A131, 'Fund Data'!$A:$A = L$1, 'Fund Data'!$B:$B = 12),"""")"),"")</f>
        <v/>
      </c>
      <c r="M131" t="str">
        <f>IFERROR(__xludf.DUMMYFUNCTION("IFERROR(FILTER('Fund Data'!$D:$D, 'Fund Data'!$C:$C = $A131, 'Fund Data'!$A:$A = M$1, 'Fund Data'!$B:$B = 12),"""")"),"")</f>
        <v/>
      </c>
      <c r="N131" t="str">
        <f>IFERROR(__xludf.DUMMYFUNCTION("IFERROR(FILTER('Fund Data'!$D:$D, 'Fund Data'!$C:$C = $A131, 'Fund Data'!$A:$A = N$1, 'Fund Data'!$B:$B = 12),"""")"),"")</f>
        <v/>
      </c>
      <c r="O131" t="str">
        <f>IFERROR(__xludf.DUMMYFUNCTION("IFERROR(FILTER('Fund Data'!$D:$D, 'Fund Data'!$C:$C = $A131, 'Fund Data'!$A:$A = O$1, 'Fund Data'!$B:$B = 12),"""")"),"")</f>
        <v/>
      </c>
      <c r="P131" t="str">
        <f>IFERROR(__xludf.DUMMYFUNCTION("IFERROR(FILTER('Fund Data'!$D:$D, 'Fund Data'!$C:$C = $A131, 'Fund Data'!$A:$A = P$1, 'Fund Data'!$B:$B = 12),"""")"),"")</f>
        <v/>
      </c>
      <c r="Q131" t="str">
        <f>IFERROR(__xludf.DUMMYFUNCTION("IFERROR(FILTER('Fund Data'!$D:$D, 'Fund Data'!$C:$C = $A131, 'Fund Data'!$A:$A = Q$1, 'Fund Data'!$B:$B = 12),"""")"),"")</f>
        <v/>
      </c>
      <c r="R131" t="str">
        <f>IFERROR(__xludf.DUMMYFUNCTION("IFERROR(FILTER('Fund Data'!$D:$D, 'Fund Data'!$C:$C = $A131, 'Fund Data'!$A:$A = R$1, 'Fund Data'!$B:$B = 12),"""")"),"")</f>
        <v/>
      </c>
      <c r="S131" t="str">
        <f>IFERROR(__xludf.DUMMYFUNCTION("IFERROR(FILTER('Fund Data'!$D:$D, 'Fund Data'!$C:$C = $A131, 'Fund Data'!$A:$A = S$1, 'Fund Data'!$B:$B = 12),"""")"),"")</f>
        <v/>
      </c>
      <c r="T131" t="str">
        <f>IFERROR(__xludf.DUMMYFUNCTION("IFERROR(FILTER('Fund Data'!$D:$D, 'Fund Data'!$C:$C = $A131, 'Fund Data'!$A:$A = T$1, 'Fund Data'!$B:$B = 12),"""")"),"")</f>
        <v/>
      </c>
      <c r="U131" t="str">
        <f>IFERROR(__xludf.DUMMYFUNCTION("IFERROR(FILTER('Fund Data'!$D:$D, 'Fund Data'!$C:$C = $A131, 'Fund Data'!$A:$A = U$1, 'Fund Data'!$B:$B = 12),"""")"),"")</f>
        <v/>
      </c>
      <c r="V131" t="str">
        <f>IFERROR(__xludf.DUMMYFUNCTION("IFERROR(FILTER('Fund Data'!$D:$D, 'Fund Data'!$C:$C = $A131, 'Fund Data'!$A:$A = V$1, 'Fund Data'!$B:$B = 12),"""")"),"")</f>
        <v/>
      </c>
      <c r="W131" t="str">
        <f>IFERROR(__xludf.DUMMYFUNCTION("IFERROR(FILTER('Fund Data'!$D:$D, 'Fund Data'!$C:$C = $A131, 'Fund Data'!$A:$A = W$1, 'Fund Data'!$B:$B = 12),"""")"),"")</f>
        <v/>
      </c>
      <c r="X131" t="str">
        <f>IFERROR(__xludf.DUMMYFUNCTION("IFERROR(FILTER('Fund Data'!$D:$D, 'Fund Data'!$C:$C = $A131, 'Fund Data'!$A:$A = X$1, 'Fund Data'!$B:$B = 12),"""")"),"")</f>
        <v/>
      </c>
      <c r="Y131" t="str">
        <f>IFERROR(__xludf.DUMMYFUNCTION("IFERROR(FILTER('Fund Data'!$D:$D, 'Fund Data'!$C:$C = $A131, 'Fund Data'!$A:$A = Y$1, 'Fund Data'!$B:$B = 12),"""")"),"")</f>
        <v/>
      </c>
      <c r="Z131" t="str">
        <f>IFERROR(__xludf.DUMMYFUNCTION("IFERROR(FILTER('Fund Data'!$D:$D, 'Fund Data'!$C:$C = $A131, 'Fund Data'!$A:$A = Z$1, 'Fund Data'!$B:$B = 12),"""")"),"")</f>
        <v/>
      </c>
      <c r="AA131" t="str">
        <f>IFERROR(__xludf.DUMMYFUNCTION("IFERROR(FILTER('Fund Data'!$D:$D, 'Fund Data'!$C:$C = $A131, 'Fund Data'!$A:$A = AA$1, 'Fund Data'!$B:$B = 12),"""")"),"")</f>
        <v/>
      </c>
      <c r="AB131" t="str">
        <f>IFERROR(__xludf.DUMMYFUNCTION("IFERROR(FILTER('Fund Data'!$D:$D, 'Fund Data'!$C:$C = $A131, 'Fund Data'!$A:$A = AB$1, 'Fund Data'!$B:$B = 12),"""")"),"")</f>
        <v/>
      </c>
      <c r="AC131" t="str">
        <f>IFERROR(__xludf.DUMMYFUNCTION("IFERROR(FILTER('Fund Data'!$D:$D, 'Fund Data'!$C:$C = $A131, 'Fund Data'!$A:$A = AC$1, 'Fund Data'!$B:$B = 12),"""")"),"")</f>
        <v/>
      </c>
      <c r="AD131" t="str">
        <f>IFERROR(__xludf.DUMMYFUNCTION("IFERROR(FILTER('Fund Data'!$D:$D, 'Fund Data'!$C:$C = $A131, 'Fund Data'!$A:$A = AD$1, 'Fund Data'!$B:$B = 12),"""")"),"")</f>
        <v/>
      </c>
      <c r="AE131" t="str">
        <f>IFERROR(__xludf.DUMMYFUNCTION("IFERROR(FILTER('Fund Data'!$D:$D, 'Fund Data'!$C:$C = $A131, 'Fund Data'!$A:$A = AE$1, 'Fund Data'!$B:$B = 12),"""")"),"")</f>
        <v/>
      </c>
    </row>
    <row r="132">
      <c r="A132" s="145" t="str">
        <f>'Endowed Funds'!B:B</f>
        <v/>
      </c>
      <c r="B132" t="str">
        <f>IFERROR(__xludf.DUMMYFUNCTION("IFERROR(FILTER('Fund Data'!$D:$D, 'Fund Data'!$C:$C = $A132, 'Fund Data'!$A:$A = B$1, 'Fund Data'!$B:$B = 12),"""")"),"")</f>
        <v/>
      </c>
      <c r="C132" t="str">
        <f>IFERROR(__xludf.DUMMYFUNCTION("IFERROR(FILTER('Fund Data'!$D:$D, 'Fund Data'!$C:$C = $A132, 'Fund Data'!$A:$A = C$1, 'Fund Data'!$B:$B = 12),"""")"),"")</f>
        <v/>
      </c>
      <c r="D132" t="str">
        <f>IFERROR(__xludf.DUMMYFUNCTION("IFERROR(FILTER('Fund Data'!$D:$D, 'Fund Data'!$C:$C = $A132, 'Fund Data'!$A:$A = D$1, 'Fund Data'!$B:$B = 12),"""")"),"")</f>
        <v/>
      </c>
      <c r="E132" t="str">
        <f>IFERROR(__xludf.DUMMYFUNCTION("IFERROR(FILTER('Fund Data'!$D:$D, 'Fund Data'!$C:$C = $A132, 'Fund Data'!$A:$A = E$1, 'Fund Data'!$B:$B = 12),"""")"),"")</f>
        <v/>
      </c>
      <c r="F132" t="str">
        <f>IFERROR(__xludf.DUMMYFUNCTION("IFERROR(FILTER('Fund Data'!$D:$D, 'Fund Data'!$C:$C = $A132, 'Fund Data'!$A:$A = F$1, 'Fund Data'!$B:$B = 12),"""")"),"")</f>
        <v/>
      </c>
      <c r="G132" t="str">
        <f>IFERROR(__xludf.DUMMYFUNCTION("IFERROR(FILTER('Fund Data'!$D:$D, 'Fund Data'!$C:$C = $A132, 'Fund Data'!$A:$A = G$1, 'Fund Data'!$B:$B = 12),"""")"),"")</f>
        <v/>
      </c>
      <c r="H132" t="str">
        <f>IFERROR(__xludf.DUMMYFUNCTION("IFERROR(FILTER('Fund Data'!$D:$D, 'Fund Data'!$C:$C = $A132, 'Fund Data'!$A:$A = H$1, 'Fund Data'!$B:$B = 12),"""")"),"")</f>
        <v/>
      </c>
      <c r="I132" t="str">
        <f>IFERROR(__xludf.DUMMYFUNCTION("IFERROR(FILTER('Fund Data'!$D:$D, 'Fund Data'!$C:$C = $A132, 'Fund Data'!$A:$A = I$1, 'Fund Data'!$B:$B = 12),"""")"),"")</f>
        <v/>
      </c>
      <c r="J132" t="str">
        <f>IFERROR(__xludf.DUMMYFUNCTION("IFERROR(FILTER('Fund Data'!$D:$D, 'Fund Data'!$C:$C = $A132, 'Fund Data'!$A:$A = J$1, 'Fund Data'!$B:$B = 12),"""")"),"")</f>
        <v/>
      </c>
      <c r="K132" t="str">
        <f>IFERROR(__xludf.DUMMYFUNCTION("IFERROR(FILTER('Fund Data'!$D:$D, 'Fund Data'!$C:$C = $A132, 'Fund Data'!$A:$A = K$1, 'Fund Data'!$B:$B = 12),"""")"),"")</f>
        <v/>
      </c>
      <c r="L132" t="str">
        <f>IFERROR(__xludf.DUMMYFUNCTION("IFERROR(FILTER('Fund Data'!$D:$D, 'Fund Data'!$C:$C = $A132, 'Fund Data'!$A:$A = L$1, 'Fund Data'!$B:$B = 12),"""")"),"")</f>
        <v/>
      </c>
      <c r="M132" t="str">
        <f>IFERROR(__xludf.DUMMYFUNCTION("IFERROR(FILTER('Fund Data'!$D:$D, 'Fund Data'!$C:$C = $A132, 'Fund Data'!$A:$A = M$1, 'Fund Data'!$B:$B = 12),"""")"),"")</f>
        <v/>
      </c>
      <c r="N132" t="str">
        <f>IFERROR(__xludf.DUMMYFUNCTION("IFERROR(FILTER('Fund Data'!$D:$D, 'Fund Data'!$C:$C = $A132, 'Fund Data'!$A:$A = N$1, 'Fund Data'!$B:$B = 12),"""")"),"")</f>
        <v/>
      </c>
      <c r="O132" t="str">
        <f>IFERROR(__xludf.DUMMYFUNCTION("IFERROR(FILTER('Fund Data'!$D:$D, 'Fund Data'!$C:$C = $A132, 'Fund Data'!$A:$A = O$1, 'Fund Data'!$B:$B = 12),"""")"),"")</f>
        <v/>
      </c>
      <c r="P132" t="str">
        <f>IFERROR(__xludf.DUMMYFUNCTION("IFERROR(FILTER('Fund Data'!$D:$D, 'Fund Data'!$C:$C = $A132, 'Fund Data'!$A:$A = P$1, 'Fund Data'!$B:$B = 12),"""")"),"")</f>
        <v/>
      </c>
      <c r="Q132" t="str">
        <f>IFERROR(__xludf.DUMMYFUNCTION("IFERROR(FILTER('Fund Data'!$D:$D, 'Fund Data'!$C:$C = $A132, 'Fund Data'!$A:$A = Q$1, 'Fund Data'!$B:$B = 12),"""")"),"")</f>
        <v/>
      </c>
      <c r="R132" t="str">
        <f>IFERROR(__xludf.DUMMYFUNCTION("IFERROR(FILTER('Fund Data'!$D:$D, 'Fund Data'!$C:$C = $A132, 'Fund Data'!$A:$A = R$1, 'Fund Data'!$B:$B = 12),"""")"),"")</f>
        <v/>
      </c>
      <c r="S132" t="str">
        <f>IFERROR(__xludf.DUMMYFUNCTION("IFERROR(FILTER('Fund Data'!$D:$D, 'Fund Data'!$C:$C = $A132, 'Fund Data'!$A:$A = S$1, 'Fund Data'!$B:$B = 12),"""")"),"")</f>
        <v/>
      </c>
      <c r="T132" t="str">
        <f>IFERROR(__xludf.DUMMYFUNCTION("IFERROR(FILTER('Fund Data'!$D:$D, 'Fund Data'!$C:$C = $A132, 'Fund Data'!$A:$A = T$1, 'Fund Data'!$B:$B = 12),"""")"),"")</f>
        <v/>
      </c>
      <c r="U132" t="str">
        <f>IFERROR(__xludf.DUMMYFUNCTION("IFERROR(FILTER('Fund Data'!$D:$D, 'Fund Data'!$C:$C = $A132, 'Fund Data'!$A:$A = U$1, 'Fund Data'!$B:$B = 12),"""")"),"")</f>
        <v/>
      </c>
      <c r="V132" t="str">
        <f>IFERROR(__xludf.DUMMYFUNCTION("IFERROR(FILTER('Fund Data'!$D:$D, 'Fund Data'!$C:$C = $A132, 'Fund Data'!$A:$A = V$1, 'Fund Data'!$B:$B = 12),"""")"),"")</f>
        <v/>
      </c>
      <c r="W132" t="str">
        <f>IFERROR(__xludf.DUMMYFUNCTION("IFERROR(FILTER('Fund Data'!$D:$D, 'Fund Data'!$C:$C = $A132, 'Fund Data'!$A:$A = W$1, 'Fund Data'!$B:$B = 12),"""")"),"")</f>
        <v/>
      </c>
      <c r="X132" t="str">
        <f>IFERROR(__xludf.DUMMYFUNCTION("IFERROR(FILTER('Fund Data'!$D:$D, 'Fund Data'!$C:$C = $A132, 'Fund Data'!$A:$A = X$1, 'Fund Data'!$B:$B = 12),"""")"),"")</f>
        <v/>
      </c>
      <c r="Y132" t="str">
        <f>IFERROR(__xludf.DUMMYFUNCTION("IFERROR(FILTER('Fund Data'!$D:$D, 'Fund Data'!$C:$C = $A132, 'Fund Data'!$A:$A = Y$1, 'Fund Data'!$B:$B = 12),"""")"),"")</f>
        <v/>
      </c>
      <c r="Z132" t="str">
        <f>IFERROR(__xludf.DUMMYFUNCTION("IFERROR(FILTER('Fund Data'!$D:$D, 'Fund Data'!$C:$C = $A132, 'Fund Data'!$A:$A = Z$1, 'Fund Data'!$B:$B = 12),"""")"),"")</f>
        <v/>
      </c>
      <c r="AA132" t="str">
        <f>IFERROR(__xludf.DUMMYFUNCTION("IFERROR(FILTER('Fund Data'!$D:$D, 'Fund Data'!$C:$C = $A132, 'Fund Data'!$A:$A = AA$1, 'Fund Data'!$B:$B = 12),"""")"),"")</f>
        <v/>
      </c>
      <c r="AB132" t="str">
        <f>IFERROR(__xludf.DUMMYFUNCTION("IFERROR(FILTER('Fund Data'!$D:$D, 'Fund Data'!$C:$C = $A132, 'Fund Data'!$A:$A = AB$1, 'Fund Data'!$B:$B = 12),"""")"),"")</f>
        <v/>
      </c>
      <c r="AC132" t="str">
        <f>IFERROR(__xludf.DUMMYFUNCTION("IFERROR(FILTER('Fund Data'!$D:$D, 'Fund Data'!$C:$C = $A132, 'Fund Data'!$A:$A = AC$1, 'Fund Data'!$B:$B = 12),"""")"),"")</f>
        <v/>
      </c>
      <c r="AD132" t="str">
        <f>IFERROR(__xludf.DUMMYFUNCTION("IFERROR(FILTER('Fund Data'!$D:$D, 'Fund Data'!$C:$C = $A132, 'Fund Data'!$A:$A = AD$1, 'Fund Data'!$B:$B = 12),"""")"),"")</f>
        <v/>
      </c>
      <c r="AE132" t="str">
        <f>IFERROR(__xludf.DUMMYFUNCTION("IFERROR(FILTER('Fund Data'!$D:$D, 'Fund Data'!$C:$C = $A132, 'Fund Data'!$A:$A = AE$1, 'Fund Data'!$B:$B = 12),"""")"),"")</f>
        <v/>
      </c>
    </row>
    <row r="133">
      <c r="A133" s="145" t="str">
        <f>'Endowed Funds'!B:B</f>
        <v/>
      </c>
      <c r="B133" t="str">
        <f>IFERROR(__xludf.DUMMYFUNCTION("IFERROR(FILTER('Fund Data'!$D:$D, 'Fund Data'!$C:$C = $A133, 'Fund Data'!$A:$A = B$1, 'Fund Data'!$B:$B = 12),"""")"),"")</f>
        <v/>
      </c>
      <c r="C133" t="str">
        <f>IFERROR(__xludf.DUMMYFUNCTION("IFERROR(FILTER('Fund Data'!$D:$D, 'Fund Data'!$C:$C = $A133, 'Fund Data'!$A:$A = C$1, 'Fund Data'!$B:$B = 12),"""")"),"")</f>
        <v/>
      </c>
      <c r="D133" t="str">
        <f>IFERROR(__xludf.DUMMYFUNCTION("IFERROR(FILTER('Fund Data'!$D:$D, 'Fund Data'!$C:$C = $A133, 'Fund Data'!$A:$A = D$1, 'Fund Data'!$B:$B = 12),"""")"),"")</f>
        <v/>
      </c>
      <c r="E133" t="str">
        <f>IFERROR(__xludf.DUMMYFUNCTION("IFERROR(FILTER('Fund Data'!$D:$D, 'Fund Data'!$C:$C = $A133, 'Fund Data'!$A:$A = E$1, 'Fund Data'!$B:$B = 12),"""")"),"")</f>
        <v/>
      </c>
      <c r="F133" t="str">
        <f>IFERROR(__xludf.DUMMYFUNCTION("IFERROR(FILTER('Fund Data'!$D:$D, 'Fund Data'!$C:$C = $A133, 'Fund Data'!$A:$A = F$1, 'Fund Data'!$B:$B = 12),"""")"),"")</f>
        <v/>
      </c>
      <c r="G133" t="str">
        <f>IFERROR(__xludf.DUMMYFUNCTION("IFERROR(FILTER('Fund Data'!$D:$D, 'Fund Data'!$C:$C = $A133, 'Fund Data'!$A:$A = G$1, 'Fund Data'!$B:$B = 12),"""")"),"")</f>
        <v/>
      </c>
      <c r="H133" t="str">
        <f>IFERROR(__xludf.DUMMYFUNCTION("IFERROR(FILTER('Fund Data'!$D:$D, 'Fund Data'!$C:$C = $A133, 'Fund Data'!$A:$A = H$1, 'Fund Data'!$B:$B = 12),"""")"),"")</f>
        <v/>
      </c>
      <c r="I133" t="str">
        <f>IFERROR(__xludf.DUMMYFUNCTION("IFERROR(FILTER('Fund Data'!$D:$D, 'Fund Data'!$C:$C = $A133, 'Fund Data'!$A:$A = I$1, 'Fund Data'!$B:$B = 12),"""")"),"")</f>
        <v/>
      </c>
      <c r="J133" t="str">
        <f>IFERROR(__xludf.DUMMYFUNCTION("IFERROR(FILTER('Fund Data'!$D:$D, 'Fund Data'!$C:$C = $A133, 'Fund Data'!$A:$A = J$1, 'Fund Data'!$B:$B = 12),"""")"),"")</f>
        <v/>
      </c>
      <c r="K133" t="str">
        <f>IFERROR(__xludf.DUMMYFUNCTION("IFERROR(FILTER('Fund Data'!$D:$D, 'Fund Data'!$C:$C = $A133, 'Fund Data'!$A:$A = K$1, 'Fund Data'!$B:$B = 12),"""")"),"")</f>
        <v/>
      </c>
      <c r="L133" t="str">
        <f>IFERROR(__xludf.DUMMYFUNCTION("IFERROR(FILTER('Fund Data'!$D:$D, 'Fund Data'!$C:$C = $A133, 'Fund Data'!$A:$A = L$1, 'Fund Data'!$B:$B = 12),"""")"),"")</f>
        <v/>
      </c>
      <c r="M133" t="str">
        <f>IFERROR(__xludf.DUMMYFUNCTION("IFERROR(FILTER('Fund Data'!$D:$D, 'Fund Data'!$C:$C = $A133, 'Fund Data'!$A:$A = M$1, 'Fund Data'!$B:$B = 12),"""")"),"")</f>
        <v/>
      </c>
      <c r="N133" t="str">
        <f>IFERROR(__xludf.DUMMYFUNCTION("IFERROR(FILTER('Fund Data'!$D:$D, 'Fund Data'!$C:$C = $A133, 'Fund Data'!$A:$A = N$1, 'Fund Data'!$B:$B = 12),"""")"),"")</f>
        <v/>
      </c>
      <c r="O133" t="str">
        <f>IFERROR(__xludf.DUMMYFUNCTION("IFERROR(FILTER('Fund Data'!$D:$D, 'Fund Data'!$C:$C = $A133, 'Fund Data'!$A:$A = O$1, 'Fund Data'!$B:$B = 12),"""")"),"")</f>
        <v/>
      </c>
      <c r="P133" t="str">
        <f>IFERROR(__xludf.DUMMYFUNCTION("IFERROR(FILTER('Fund Data'!$D:$D, 'Fund Data'!$C:$C = $A133, 'Fund Data'!$A:$A = P$1, 'Fund Data'!$B:$B = 12),"""")"),"")</f>
        <v/>
      </c>
      <c r="Q133" t="str">
        <f>IFERROR(__xludf.DUMMYFUNCTION("IFERROR(FILTER('Fund Data'!$D:$D, 'Fund Data'!$C:$C = $A133, 'Fund Data'!$A:$A = Q$1, 'Fund Data'!$B:$B = 12),"""")"),"")</f>
        <v/>
      </c>
      <c r="R133" t="str">
        <f>IFERROR(__xludf.DUMMYFUNCTION("IFERROR(FILTER('Fund Data'!$D:$D, 'Fund Data'!$C:$C = $A133, 'Fund Data'!$A:$A = R$1, 'Fund Data'!$B:$B = 12),"""")"),"")</f>
        <v/>
      </c>
      <c r="S133" t="str">
        <f>IFERROR(__xludf.DUMMYFUNCTION("IFERROR(FILTER('Fund Data'!$D:$D, 'Fund Data'!$C:$C = $A133, 'Fund Data'!$A:$A = S$1, 'Fund Data'!$B:$B = 12),"""")"),"")</f>
        <v/>
      </c>
      <c r="T133" t="str">
        <f>IFERROR(__xludf.DUMMYFUNCTION("IFERROR(FILTER('Fund Data'!$D:$D, 'Fund Data'!$C:$C = $A133, 'Fund Data'!$A:$A = T$1, 'Fund Data'!$B:$B = 12),"""")"),"")</f>
        <v/>
      </c>
      <c r="U133" t="str">
        <f>IFERROR(__xludf.DUMMYFUNCTION("IFERROR(FILTER('Fund Data'!$D:$D, 'Fund Data'!$C:$C = $A133, 'Fund Data'!$A:$A = U$1, 'Fund Data'!$B:$B = 12),"""")"),"")</f>
        <v/>
      </c>
      <c r="V133" t="str">
        <f>IFERROR(__xludf.DUMMYFUNCTION("IFERROR(FILTER('Fund Data'!$D:$D, 'Fund Data'!$C:$C = $A133, 'Fund Data'!$A:$A = V$1, 'Fund Data'!$B:$B = 12),"""")"),"")</f>
        <v/>
      </c>
      <c r="W133" t="str">
        <f>IFERROR(__xludf.DUMMYFUNCTION("IFERROR(FILTER('Fund Data'!$D:$D, 'Fund Data'!$C:$C = $A133, 'Fund Data'!$A:$A = W$1, 'Fund Data'!$B:$B = 12),"""")"),"")</f>
        <v/>
      </c>
      <c r="X133" t="str">
        <f>IFERROR(__xludf.DUMMYFUNCTION("IFERROR(FILTER('Fund Data'!$D:$D, 'Fund Data'!$C:$C = $A133, 'Fund Data'!$A:$A = X$1, 'Fund Data'!$B:$B = 12),"""")"),"")</f>
        <v/>
      </c>
      <c r="Y133" t="str">
        <f>IFERROR(__xludf.DUMMYFUNCTION("IFERROR(FILTER('Fund Data'!$D:$D, 'Fund Data'!$C:$C = $A133, 'Fund Data'!$A:$A = Y$1, 'Fund Data'!$B:$B = 12),"""")"),"")</f>
        <v/>
      </c>
      <c r="Z133" t="str">
        <f>IFERROR(__xludf.DUMMYFUNCTION("IFERROR(FILTER('Fund Data'!$D:$D, 'Fund Data'!$C:$C = $A133, 'Fund Data'!$A:$A = Z$1, 'Fund Data'!$B:$B = 12),"""")"),"")</f>
        <v/>
      </c>
      <c r="AA133" t="str">
        <f>IFERROR(__xludf.DUMMYFUNCTION("IFERROR(FILTER('Fund Data'!$D:$D, 'Fund Data'!$C:$C = $A133, 'Fund Data'!$A:$A = AA$1, 'Fund Data'!$B:$B = 12),"""")"),"")</f>
        <v/>
      </c>
      <c r="AB133" t="str">
        <f>IFERROR(__xludf.DUMMYFUNCTION("IFERROR(FILTER('Fund Data'!$D:$D, 'Fund Data'!$C:$C = $A133, 'Fund Data'!$A:$A = AB$1, 'Fund Data'!$B:$B = 12),"""")"),"")</f>
        <v/>
      </c>
      <c r="AC133" t="str">
        <f>IFERROR(__xludf.DUMMYFUNCTION("IFERROR(FILTER('Fund Data'!$D:$D, 'Fund Data'!$C:$C = $A133, 'Fund Data'!$A:$A = AC$1, 'Fund Data'!$B:$B = 12),"""")"),"")</f>
        <v/>
      </c>
      <c r="AD133" t="str">
        <f>IFERROR(__xludf.DUMMYFUNCTION("IFERROR(FILTER('Fund Data'!$D:$D, 'Fund Data'!$C:$C = $A133, 'Fund Data'!$A:$A = AD$1, 'Fund Data'!$B:$B = 12),"""")"),"")</f>
        <v/>
      </c>
      <c r="AE133" t="str">
        <f>IFERROR(__xludf.DUMMYFUNCTION("IFERROR(FILTER('Fund Data'!$D:$D, 'Fund Data'!$C:$C = $A133, 'Fund Data'!$A:$A = AE$1, 'Fund Data'!$B:$B = 12),"""")"),"")</f>
        <v/>
      </c>
    </row>
    <row r="134">
      <c r="A134" s="145" t="str">
        <f>'Endowed Funds'!B:B</f>
        <v/>
      </c>
      <c r="B134" t="str">
        <f>IFERROR(__xludf.DUMMYFUNCTION("IFERROR(FILTER('Fund Data'!$D:$D, 'Fund Data'!$C:$C = $A134, 'Fund Data'!$A:$A = B$1, 'Fund Data'!$B:$B = 12),"""")"),"")</f>
        <v/>
      </c>
      <c r="C134" t="str">
        <f>IFERROR(__xludf.DUMMYFUNCTION("IFERROR(FILTER('Fund Data'!$D:$D, 'Fund Data'!$C:$C = $A134, 'Fund Data'!$A:$A = C$1, 'Fund Data'!$B:$B = 12),"""")"),"")</f>
        <v/>
      </c>
      <c r="D134" t="str">
        <f>IFERROR(__xludf.DUMMYFUNCTION("IFERROR(FILTER('Fund Data'!$D:$D, 'Fund Data'!$C:$C = $A134, 'Fund Data'!$A:$A = D$1, 'Fund Data'!$B:$B = 12),"""")"),"")</f>
        <v/>
      </c>
      <c r="E134" t="str">
        <f>IFERROR(__xludf.DUMMYFUNCTION("IFERROR(FILTER('Fund Data'!$D:$D, 'Fund Data'!$C:$C = $A134, 'Fund Data'!$A:$A = E$1, 'Fund Data'!$B:$B = 12),"""")"),"")</f>
        <v/>
      </c>
      <c r="F134" t="str">
        <f>IFERROR(__xludf.DUMMYFUNCTION("IFERROR(FILTER('Fund Data'!$D:$D, 'Fund Data'!$C:$C = $A134, 'Fund Data'!$A:$A = F$1, 'Fund Data'!$B:$B = 12),"""")"),"")</f>
        <v/>
      </c>
      <c r="G134" t="str">
        <f>IFERROR(__xludf.DUMMYFUNCTION("IFERROR(FILTER('Fund Data'!$D:$D, 'Fund Data'!$C:$C = $A134, 'Fund Data'!$A:$A = G$1, 'Fund Data'!$B:$B = 12),"""")"),"")</f>
        <v/>
      </c>
      <c r="H134" t="str">
        <f>IFERROR(__xludf.DUMMYFUNCTION("IFERROR(FILTER('Fund Data'!$D:$D, 'Fund Data'!$C:$C = $A134, 'Fund Data'!$A:$A = H$1, 'Fund Data'!$B:$B = 12),"""")"),"")</f>
        <v/>
      </c>
      <c r="I134" t="str">
        <f>IFERROR(__xludf.DUMMYFUNCTION("IFERROR(FILTER('Fund Data'!$D:$D, 'Fund Data'!$C:$C = $A134, 'Fund Data'!$A:$A = I$1, 'Fund Data'!$B:$B = 12),"""")"),"")</f>
        <v/>
      </c>
      <c r="J134" t="str">
        <f>IFERROR(__xludf.DUMMYFUNCTION("IFERROR(FILTER('Fund Data'!$D:$D, 'Fund Data'!$C:$C = $A134, 'Fund Data'!$A:$A = J$1, 'Fund Data'!$B:$B = 12),"""")"),"")</f>
        <v/>
      </c>
      <c r="K134" t="str">
        <f>IFERROR(__xludf.DUMMYFUNCTION("IFERROR(FILTER('Fund Data'!$D:$D, 'Fund Data'!$C:$C = $A134, 'Fund Data'!$A:$A = K$1, 'Fund Data'!$B:$B = 12),"""")"),"")</f>
        <v/>
      </c>
      <c r="L134" t="str">
        <f>IFERROR(__xludf.DUMMYFUNCTION("IFERROR(FILTER('Fund Data'!$D:$D, 'Fund Data'!$C:$C = $A134, 'Fund Data'!$A:$A = L$1, 'Fund Data'!$B:$B = 12),"""")"),"")</f>
        <v/>
      </c>
      <c r="M134" t="str">
        <f>IFERROR(__xludf.DUMMYFUNCTION("IFERROR(FILTER('Fund Data'!$D:$D, 'Fund Data'!$C:$C = $A134, 'Fund Data'!$A:$A = M$1, 'Fund Data'!$B:$B = 12),"""")"),"")</f>
        <v/>
      </c>
      <c r="N134" t="str">
        <f>IFERROR(__xludf.DUMMYFUNCTION("IFERROR(FILTER('Fund Data'!$D:$D, 'Fund Data'!$C:$C = $A134, 'Fund Data'!$A:$A = N$1, 'Fund Data'!$B:$B = 12),"""")"),"")</f>
        <v/>
      </c>
      <c r="O134" t="str">
        <f>IFERROR(__xludf.DUMMYFUNCTION("IFERROR(FILTER('Fund Data'!$D:$D, 'Fund Data'!$C:$C = $A134, 'Fund Data'!$A:$A = O$1, 'Fund Data'!$B:$B = 12),"""")"),"")</f>
        <v/>
      </c>
      <c r="P134" t="str">
        <f>IFERROR(__xludf.DUMMYFUNCTION("IFERROR(FILTER('Fund Data'!$D:$D, 'Fund Data'!$C:$C = $A134, 'Fund Data'!$A:$A = P$1, 'Fund Data'!$B:$B = 12),"""")"),"")</f>
        <v/>
      </c>
      <c r="Q134" t="str">
        <f>IFERROR(__xludf.DUMMYFUNCTION("IFERROR(FILTER('Fund Data'!$D:$D, 'Fund Data'!$C:$C = $A134, 'Fund Data'!$A:$A = Q$1, 'Fund Data'!$B:$B = 12),"""")"),"")</f>
        <v/>
      </c>
      <c r="R134" t="str">
        <f>IFERROR(__xludf.DUMMYFUNCTION("IFERROR(FILTER('Fund Data'!$D:$D, 'Fund Data'!$C:$C = $A134, 'Fund Data'!$A:$A = R$1, 'Fund Data'!$B:$B = 12),"""")"),"")</f>
        <v/>
      </c>
      <c r="S134" t="str">
        <f>IFERROR(__xludf.DUMMYFUNCTION("IFERROR(FILTER('Fund Data'!$D:$D, 'Fund Data'!$C:$C = $A134, 'Fund Data'!$A:$A = S$1, 'Fund Data'!$B:$B = 12),"""")"),"")</f>
        <v/>
      </c>
      <c r="T134" t="str">
        <f>IFERROR(__xludf.DUMMYFUNCTION("IFERROR(FILTER('Fund Data'!$D:$D, 'Fund Data'!$C:$C = $A134, 'Fund Data'!$A:$A = T$1, 'Fund Data'!$B:$B = 12),"""")"),"")</f>
        <v/>
      </c>
      <c r="U134" t="str">
        <f>IFERROR(__xludf.DUMMYFUNCTION("IFERROR(FILTER('Fund Data'!$D:$D, 'Fund Data'!$C:$C = $A134, 'Fund Data'!$A:$A = U$1, 'Fund Data'!$B:$B = 12),"""")"),"")</f>
        <v/>
      </c>
      <c r="V134" t="str">
        <f>IFERROR(__xludf.DUMMYFUNCTION("IFERROR(FILTER('Fund Data'!$D:$D, 'Fund Data'!$C:$C = $A134, 'Fund Data'!$A:$A = V$1, 'Fund Data'!$B:$B = 12),"""")"),"")</f>
        <v/>
      </c>
      <c r="W134" t="str">
        <f>IFERROR(__xludf.DUMMYFUNCTION("IFERROR(FILTER('Fund Data'!$D:$D, 'Fund Data'!$C:$C = $A134, 'Fund Data'!$A:$A = W$1, 'Fund Data'!$B:$B = 12),"""")"),"")</f>
        <v/>
      </c>
      <c r="X134" t="str">
        <f>IFERROR(__xludf.DUMMYFUNCTION("IFERROR(FILTER('Fund Data'!$D:$D, 'Fund Data'!$C:$C = $A134, 'Fund Data'!$A:$A = X$1, 'Fund Data'!$B:$B = 12),"""")"),"")</f>
        <v/>
      </c>
      <c r="Y134" t="str">
        <f>IFERROR(__xludf.DUMMYFUNCTION("IFERROR(FILTER('Fund Data'!$D:$D, 'Fund Data'!$C:$C = $A134, 'Fund Data'!$A:$A = Y$1, 'Fund Data'!$B:$B = 12),"""")"),"")</f>
        <v/>
      </c>
      <c r="Z134" t="str">
        <f>IFERROR(__xludf.DUMMYFUNCTION("IFERROR(FILTER('Fund Data'!$D:$D, 'Fund Data'!$C:$C = $A134, 'Fund Data'!$A:$A = Z$1, 'Fund Data'!$B:$B = 12),"""")"),"")</f>
        <v/>
      </c>
      <c r="AA134" t="str">
        <f>IFERROR(__xludf.DUMMYFUNCTION("IFERROR(FILTER('Fund Data'!$D:$D, 'Fund Data'!$C:$C = $A134, 'Fund Data'!$A:$A = AA$1, 'Fund Data'!$B:$B = 12),"""")"),"")</f>
        <v/>
      </c>
      <c r="AB134" t="str">
        <f>IFERROR(__xludf.DUMMYFUNCTION("IFERROR(FILTER('Fund Data'!$D:$D, 'Fund Data'!$C:$C = $A134, 'Fund Data'!$A:$A = AB$1, 'Fund Data'!$B:$B = 12),"""")"),"")</f>
        <v/>
      </c>
      <c r="AC134" t="str">
        <f>IFERROR(__xludf.DUMMYFUNCTION("IFERROR(FILTER('Fund Data'!$D:$D, 'Fund Data'!$C:$C = $A134, 'Fund Data'!$A:$A = AC$1, 'Fund Data'!$B:$B = 12),"""")"),"")</f>
        <v/>
      </c>
      <c r="AD134" t="str">
        <f>IFERROR(__xludf.DUMMYFUNCTION("IFERROR(FILTER('Fund Data'!$D:$D, 'Fund Data'!$C:$C = $A134, 'Fund Data'!$A:$A = AD$1, 'Fund Data'!$B:$B = 12),"""")"),"")</f>
        <v/>
      </c>
      <c r="AE134" t="str">
        <f>IFERROR(__xludf.DUMMYFUNCTION("IFERROR(FILTER('Fund Data'!$D:$D, 'Fund Data'!$C:$C = $A134, 'Fund Data'!$A:$A = AE$1, 'Fund Data'!$B:$B = 12),"""")"),"")</f>
        <v/>
      </c>
    </row>
    <row r="135">
      <c r="A135" s="145" t="str">
        <f>'Endowed Funds'!B:B</f>
        <v/>
      </c>
      <c r="B135" t="str">
        <f>IFERROR(__xludf.DUMMYFUNCTION("IFERROR(FILTER('Fund Data'!$D:$D, 'Fund Data'!$C:$C = $A135, 'Fund Data'!$A:$A = B$1, 'Fund Data'!$B:$B = 12),"""")"),"")</f>
        <v/>
      </c>
      <c r="C135" t="str">
        <f>IFERROR(__xludf.DUMMYFUNCTION("IFERROR(FILTER('Fund Data'!$D:$D, 'Fund Data'!$C:$C = $A135, 'Fund Data'!$A:$A = C$1, 'Fund Data'!$B:$B = 12),"""")"),"")</f>
        <v/>
      </c>
      <c r="D135" t="str">
        <f>IFERROR(__xludf.DUMMYFUNCTION("IFERROR(FILTER('Fund Data'!$D:$D, 'Fund Data'!$C:$C = $A135, 'Fund Data'!$A:$A = D$1, 'Fund Data'!$B:$B = 12),"""")"),"")</f>
        <v/>
      </c>
      <c r="E135" t="str">
        <f>IFERROR(__xludf.DUMMYFUNCTION("IFERROR(FILTER('Fund Data'!$D:$D, 'Fund Data'!$C:$C = $A135, 'Fund Data'!$A:$A = E$1, 'Fund Data'!$B:$B = 12),"""")"),"")</f>
        <v/>
      </c>
      <c r="F135" t="str">
        <f>IFERROR(__xludf.DUMMYFUNCTION("IFERROR(FILTER('Fund Data'!$D:$D, 'Fund Data'!$C:$C = $A135, 'Fund Data'!$A:$A = F$1, 'Fund Data'!$B:$B = 12),"""")"),"")</f>
        <v/>
      </c>
      <c r="G135" t="str">
        <f>IFERROR(__xludf.DUMMYFUNCTION("IFERROR(FILTER('Fund Data'!$D:$D, 'Fund Data'!$C:$C = $A135, 'Fund Data'!$A:$A = G$1, 'Fund Data'!$B:$B = 12),"""")"),"")</f>
        <v/>
      </c>
      <c r="H135" t="str">
        <f>IFERROR(__xludf.DUMMYFUNCTION("IFERROR(FILTER('Fund Data'!$D:$D, 'Fund Data'!$C:$C = $A135, 'Fund Data'!$A:$A = H$1, 'Fund Data'!$B:$B = 12),"""")"),"")</f>
        <v/>
      </c>
      <c r="I135" t="str">
        <f>IFERROR(__xludf.DUMMYFUNCTION("IFERROR(FILTER('Fund Data'!$D:$D, 'Fund Data'!$C:$C = $A135, 'Fund Data'!$A:$A = I$1, 'Fund Data'!$B:$B = 12),"""")"),"")</f>
        <v/>
      </c>
      <c r="J135" t="str">
        <f>IFERROR(__xludf.DUMMYFUNCTION("IFERROR(FILTER('Fund Data'!$D:$D, 'Fund Data'!$C:$C = $A135, 'Fund Data'!$A:$A = J$1, 'Fund Data'!$B:$B = 12),"""")"),"")</f>
        <v/>
      </c>
      <c r="K135" t="str">
        <f>IFERROR(__xludf.DUMMYFUNCTION("IFERROR(FILTER('Fund Data'!$D:$D, 'Fund Data'!$C:$C = $A135, 'Fund Data'!$A:$A = K$1, 'Fund Data'!$B:$B = 12),"""")"),"")</f>
        <v/>
      </c>
      <c r="L135" t="str">
        <f>IFERROR(__xludf.DUMMYFUNCTION("IFERROR(FILTER('Fund Data'!$D:$D, 'Fund Data'!$C:$C = $A135, 'Fund Data'!$A:$A = L$1, 'Fund Data'!$B:$B = 12),"""")"),"")</f>
        <v/>
      </c>
      <c r="M135" t="str">
        <f>IFERROR(__xludf.DUMMYFUNCTION("IFERROR(FILTER('Fund Data'!$D:$D, 'Fund Data'!$C:$C = $A135, 'Fund Data'!$A:$A = M$1, 'Fund Data'!$B:$B = 12),"""")"),"")</f>
        <v/>
      </c>
      <c r="N135" t="str">
        <f>IFERROR(__xludf.DUMMYFUNCTION("IFERROR(FILTER('Fund Data'!$D:$D, 'Fund Data'!$C:$C = $A135, 'Fund Data'!$A:$A = N$1, 'Fund Data'!$B:$B = 12),"""")"),"")</f>
        <v/>
      </c>
      <c r="O135" t="str">
        <f>IFERROR(__xludf.DUMMYFUNCTION("IFERROR(FILTER('Fund Data'!$D:$D, 'Fund Data'!$C:$C = $A135, 'Fund Data'!$A:$A = O$1, 'Fund Data'!$B:$B = 12),"""")"),"")</f>
        <v/>
      </c>
      <c r="P135" t="str">
        <f>IFERROR(__xludf.DUMMYFUNCTION("IFERROR(FILTER('Fund Data'!$D:$D, 'Fund Data'!$C:$C = $A135, 'Fund Data'!$A:$A = P$1, 'Fund Data'!$B:$B = 12),"""")"),"")</f>
        <v/>
      </c>
      <c r="Q135" t="str">
        <f>IFERROR(__xludf.DUMMYFUNCTION("IFERROR(FILTER('Fund Data'!$D:$D, 'Fund Data'!$C:$C = $A135, 'Fund Data'!$A:$A = Q$1, 'Fund Data'!$B:$B = 12),"""")"),"")</f>
        <v/>
      </c>
      <c r="R135" t="str">
        <f>IFERROR(__xludf.DUMMYFUNCTION("IFERROR(FILTER('Fund Data'!$D:$D, 'Fund Data'!$C:$C = $A135, 'Fund Data'!$A:$A = R$1, 'Fund Data'!$B:$B = 12),"""")"),"")</f>
        <v/>
      </c>
      <c r="S135" t="str">
        <f>IFERROR(__xludf.DUMMYFUNCTION("IFERROR(FILTER('Fund Data'!$D:$D, 'Fund Data'!$C:$C = $A135, 'Fund Data'!$A:$A = S$1, 'Fund Data'!$B:$B = 12),"""")"),"")</f>
        <v/>
      </c>
      <c r="T135" t="str">
        <f>IFERROR(__xludf.DUMMYFUNCTION("IFERROR(FILTER('Fund Data'!$D:$D, 'Fund Data'!$C:$C = $A135, 'Fund Data'!$A:$A = T$1, 'Fund Data'!$B:$B = 12),"""")"),"")</f>
        <v/>
      </c>
      <c r="U135" t="str">
        <f>IFERROR(__xludf.DUMMYFUNCTION("IFERROR(FILTER('Fund Data'!$D:$D, 'Fund Data'!$C:$C = $A135, 'Fund Data'!$A:$A = U$1, 'Fund Data'!$B:$B = 12),"""")"),"")</f>
        <v/>
      </c>
      <c r="V135" t="str">
        <f>IFERROR(__xludf.DUMMYFUNCTION("IFERROR(FILTER('Fund Data'!$D:$D, 'Fund Data'!$C:$C = $A135, 'Fund Data'!$A:$A = V$1, 'Fund Data'!$B:$B = 12),"""")"),"")</f>
        <v/>
      </c>
      <c r="W135" t="str">
        <f>IFERROR(__xludf.DUMMYFUNCTION("IFERROR(FILTER('Fund Data'!$D:$D, 'Fund Data'!$C:$C = $A135, 'Fund Data'!$A:$A = W$1, 'Fund Data'!$B:$B = 12),"""")"),"")</f>
        <v/>
      </c>
      <c r="X135" t="str">
        <f>IFERROR(__xludf.DUMMYFUNCTION("IFERROR(FILTER('Fund Data'!$D:$D, 'Fund Data'!$C:$C = $A135, 'Fund Data'!$A:$A = X$1, 'Fund Data'!$B:$B = 12),"""")"),"")</f>
        <v/>
      </c>
      <c r="Y135" t="str">
        <f>IFERROR(__xludf.DUMMYFUNCTION("IFERROR(FILTER('Fund Data'!$D:$D, 'Fund Data'!$C:$C = $A135, 'Fund Data'!$A:$A = Y$1, 'Fund Data'!$B:$B = 12),"""")"),"")</f>
        <v/>
      </c>
      <c r="Z135" t="str">
        <f>IFERROR(__xludf.DUMMYFUNCTION("IFERROR(FILTER('Fund Data'!$D:$D, 'Fund Data'!$C:$C = $A135, 'Fund Data'!$A:$A = Z$1, 'Fund Data'!$B:$B = 12),"""")"),"")</f>
        <v/>
      </c>
      <c r="AA135" t="str">
        <f>IFERROR(__xludf.DUMMYFUNCTION("IFERROR(FILTER('Fund Data'!$D:$D, 'Fund Data'!$C:$C = $A135, 'Fund Data'!$A:$A = AA$1, 'Fund Data'!$B:$B = 12),"""")"),"")</f>
        <v/>
      </c>
      <c r="AB135" t="str">
        <f>IFERROR(__xludf.DUMMYFUNCTION("IFERROR(FILTER('Fund Data'!$D:$D, 'Fund Data'!$C:$C = $A135, 'Fund Data'!$A:$A = AB$1, 'Fund Data'!$B:$B = 12),"""")"),"")</f>
        <v/>
      </c>
      <c r="AC135" t="str">
        <f>IFERROR(__xludf.DUMMYFUNCTION("IFERROR(FILTER('Fund Data'!$D:$D, 'Fund Data'!$C:$C = $A135, 'Fund Data'!$A:$A = AC$1, 'Fund Data'!$B:$B = 12),"""")"),"")</f>
        <v/>
      </c>
      <c r="AD135" t="str">
        <f>IFERROR(__xludf.DUMMYFUNCTION("IFERROR(FILTER('Fund Data'!$D:$D, 'Fund Data'!$C:$C = $A135, 'Fund Data'!$A:$A = AD$1, 'Fund Data'!$B:$B = 12),"""")"),"")</f>
        <v/>
      </c>
      <c r="AE135" t="str">
        <f>IFERROR(__xludf.DUMMYFUNCTION("IFERROR(FILTER('Fund Data'!$D:$D, 'Fund Data'!$C:$C = $A135, 'Fund Data'!$A:$A = AE$1, 'Fund Data'!$B:$B = 12),"""")"),"")</f>
        <v/>
      </c>
    </row>
    <row r="136">
      <c r="A136" s="145" t="str">
        <f>'Endowed Funds'!B:B</f>
        <v/>
      </c>
      <c r="B136" t="str">
        <f>IFERROR(__xludf.DUMMYFUNCTION("IFERROR(FILTER('Fund Data'!$D:$D, 'Fund Data'!$C:$C = $A136, 'Fund Data'!$A:$A = B$1, 'Fund Data'!$B:$B = 12),"""")"),"")</f>
        <v/>
      </c>
      <c r="C136" t="str">
        <f>IFERROR(__xludf.DUMMYFUNCTION("IFERROR(FILTER('Fund Data'!$D:$D, 'Fund Data'!$C:$C = $A136, 'Fund Data'!$A:$A = C$1, 'Fund Data'!$B:$B = 12),"""")"),"")</f>
        <v/>
      </c>
      <c r="D136" t="str">
        <f>IFERROR(__xludf.DUMMYFUNCTION("IFERROR(FILTER('Fund Data'!$D:$D, 'Fund Data'!$C:$C = $A136, 'Fund Data'!$A:$A = D$1, 'Fund Data'!$B:$B = 12),"""")"),"")</f>
        <v/>
      </c>
      <c r="E136" t="str">
        <f>IFERROR(__xludf.DUMMYFUNCTION("IFERROR(FILTER('Fund Data'!$D:$D, 'Fund Data'!$C:$C = $A136, 'Fund Data'!$A:$A = E$1, 'Fund Data'!$B:$B = 12),"""")"),"")</f>
        <v/>
      </c>
      <c r="F136" t="str">
        <f>IFERROR(__xludf.DUMMYFUNCTION("IFERROR(FILTER('Fund Data'!$D:$D, 'Fund Data'!$C:$C = $A136, 'Fund Data'!$A:$A = F$1, 'Fund Data'!$B:$B = 12),"""")"),"")</f>
        <v/>
      </c>
      <c r="G136" t="str">
        <f>IFERROR(__xludf.DUMMYFUNCTION("IFERROR(FILTER('Fund Data'!$D:$D, 'Fund Data'!$C:$C = $A136, 'Fund Data'!$A:$A = G$1, 'Fund Data'!$B:$B = 12),"""")"),"")</f>
        <v/>
      </c>
      <c r="H136" t="str">
        <f>IFERROR(__xludf.DUMMYFUNCTION("IFERROR(FILTER('Fund Data'!$D:$D, 'Fund Data'!$C:$C = $A136, 'Fund Data'!$A:$A = H$1, 'Fund Data'!$B:$B = 12),"""")"),"")</f>
        <v/>
      </c>
      <c r="I136" t="str">
        <f>IFERROR(__xludf.DUMMYFUNCTION("IFERROR(FILTER('Fund Data'!$D:$D, 'Fund Data'!$C:$C = $A136, 'Fund Data'!$A:$A = I$1, 'Fund Data'!$B:$B = 12),"""")"),"")</f>
        <v/>
      </c>
      <c r="J136" t="str">
        <f>IFERROR(__xludf.DUMMYFUNCTION("IFERROR(FILTER('Fund Data'!$D:$D, 'Fund Data'!$C:$C = $A136, 'Fund Data'!$A:$A = J$1, 'Fund Data'!$B:$B = 12),"""")"),"")</f>
        <v/>
      </c>
      <c r="K136" t="str">
        <f>IFERROR(__xludf.DUMMYFUNCTION("IFERROR(FILTER('Fund Data'!$D:$D, 'Fund Data'!$C:$C = $A136, 'Fund Data'!$A:$A = K$1, 'Fund Data'!$B:$B = 12),"""")"),"")</f>
        <v/>
      </c>
      <c r="L136" t="str">
        <f>IFERROR(__xludf.DUMMYFUNCTION("IFERROR(FILTER('Fund Data'!$D:$D, 'Fund Data'!$C:$C = $A136, 'Fund Data'!$A:$A = L$1, 'Fund Data'!$B:$B = 12),"""")"),"")</f>
        <v/>
      </c>
      <c r="M136" t="str">
        <f>IFERROR(__xludf.DUMMYFUNCTION("IFERROR(FILTER('Fund Data'!$D:$D, 'Fund Data'!$C:$C = $A136, 'Fund Data'!$A:$A = M$1, 'Fund Data'!$B:$B = 12),"""")"),"")</f>
        <v/>
      </c>
      <c r="N136" t="str">
        <f>IFERROR(__xludf.DUMMYFUNCTION("IFERROR(FILTER('Fund Data'!$D:$D, 'Fund Data'!$C:$C = $A136, 'Fund Data'!$A:$A = N$1, 'Fund Data'!$B:$B = 12),"""")"),"")</f>
        <v/>
      </c>
      <c r="O136" t="str">
        <f>IFERROR(__xludf.DUMMYFUNCTION("IFERROR(FILTER('Fund Data'!$D:$D, 'Fund Data'!$C:$C = $A136, 'Fund Data'!$A:$A = O$1, 'Fund Data'!$B:$B = 12),"""")"),"")</f>
        <v/>
      </c>
      <c r="P136" t="str">
        <f>IFERROR(__xludf.DUMMYFUNCTION("IFERROR(FILTER('Fund Data'!$D:$D, 'Fund Data'!$C:$C = $A136, 'Fund Data'!$A:$A = P$1, 'Fund Data'!$B:$B = 12),"""")"),"")</f>
        <v/>
      </c>
      <c r="Q136" t="str">
        <f>IFERROR(__xludf.DUMMYFUNCTION("IFERROR(FILTER('Fund Data'!$D:$D, 'Fund Data'!$C:$C = $A136, 'Fund Data'!$A:$A = Q$1, 'Fund Data'!$B:$B = 12),"""")"),"")</f>
        <v/>
      </c>
      <c r="R136" t="str">
        <f>IFERROR(__xludf.DUMMYFUNCTION("IFERROR(FILTER('Fund Data'!$D:$D, 'Fund Data'!$C:$C = $A136, 'Fund Data'!$A:$A = R$1, 'Fund Data'!$B:$B = 12),"""")"),"")</f>
        <v/>
      </c>
      <c r="S136" t="str">
        <f>IFERROR(__xludf.DUMMYFUNCTION("IFERROR(FILTER('Fund Data'!$D:$D, 'Fund Data'!$C:$C = $A136, 'Fund Data'!$A:$A = S$1, 'Fund Data'!$B:$B = 12),"""")"),"")</f>
        <v/>
      </c>
      <c r="T136" t="str">
        <f>IFERROR(__xludf.DUMMYFUNCTION("IFERROR(FILTER('Fund Data'!$D:$D, 'Fund Data'!$C:$C = $A136, 'Fund Data'!$A:$A = T$1, 'Fund Data'!$B:$B = 12),"""")"),"")</f>
        <v/>
      </c>
      <c r="U136" t="str">
        <f>IFERROR(__xludf.DUMMYFUNCTION("IFERROR(FILTER('Fund Data'!$D:$D, 'Fund Data'!$C:$C = $A136, 'Fund Data'!$A:$A = U$1, 'Fund Data'!$B:$B = 12),"""")"),"")</f>
        <v/>
      </c>
      <c r="V136" t="str">
        <f>IFERROR(__xludf.DUMMYFUNCTION("IFERROR(FILTER('Fund Data'!$D:$D, 'Fund Data'!$C:$C = $A136, 'Fund Data'!$A:$A = V$1, 'Fund Data'!$B:$B = 12),"""")"),"")</f>
        <v/>
      </c>
      <c r="W136" t="str">
        <f>IFERROR(__xludf.DUMMYFUNCTION("IFERROR(FILTER('Fund Data'!$D:$D, 'Fund Data'!$C:$C = $A136, 'Fund Data'!$A:$A = W$1, 'Fund Data'!$B:$B = 12),"""")"),"")</f>
        <v/>
      </c>
      <c r="X136" t="str">
        <f>IFERROR(__xludf.DUMMYFUNCTION("IFERROR(FILTER('Fund Data'!$D:$D, 'Fund Data'!$C:$C = $A136, 'Fund Data'!$A:$A = X$1, 'Fund Data'!$B:$B = 12),"""")"),"")</f>
        <v/>
      </c>
      <c r="Y136" t="str">
        <f>IFERROR(__xludf.DUMMYFUNCTION("IFERROR(FILTER('Fund Data'!$D:$D, 'Fund Data'!$C:$C = $A136, 'Fund Data'!$A:$A = Y$1, 'Fund Data'!$B:$B = 12),"""")"),"")</f>
        <v/>
      </c>
      <c r="Z136" t="str">
        <f>IFERROR(__xludf.DUMMYFUNCTION("IFERROR(FILTER('Fund Data'!$D:$D, 'Fund Data'!$C:$C = $A136, 'Fund Data'!$A:$A = Z$1, 'Fund Data'!$B:$B = 12),"""")"),"")</f>
        <v/>
      </c>
      <c r="AA136" t="str">
        <f>IFERROR(__xludf.DUMMYFUNCTION("IFERROR(FILTER('Fund Data'!$D:$D, 'Fund Data'!$C:$C = $A136, 'Fund Data'!$A:$A = AA$1, 'Fund Data'!$B:$B = 12),"""")"),"")</f>
        <v/>
      </c>
      <c r="AB136" t="str">
        <f>IFERROR(__xludf.DUMMYFUNCTION("IFERROR(FILTER('Fund Data'!$D:$D, 'Fund Data'!$C:$C = $A136, 'Fund Data'!$A:$A = AB$1, 'Fund Data'!$B:$B = 12),"""")"),"")</f>
        <v/>
      </c>
      <c r="AC136" t="str">
        <f>IFERROR(__xludf.DUMMYFUNCTION("IFERROR(FILTER('Fund Data'!$D:$D, 'Fund Data'!$C:$C = $A136, 'Fund Data'!$A:$A = AC$1, 'Fund Data'!$B:$B = 12),"""")"),"")</f>
        <v/>
      </c>
      <c r="AD136" t="str">
        <f>IFERROR(__xludf.DUMMYFUNCTION("IFERROR(FILTER('Fund Data'!$D:$D, 'Fund Data'!$C:$C = $A136, 'Fund Data'!$A:$A = AD$1, 'Fund Data'!$B:$B = 12),"""")"),"")</f>
        <v/>
      </c>
      <c r="AE136" t="str">
        <f>IFERROR(__xludf.DUMMYFUNCTION("IFERROR(FILTER('Fund Data'!$D:$D, 'Fund Data'!$C:$C = $A136, 'Fund Data'!$A:$A = AE$1, 'Fund Data'!$B:$B = 12),"""")"),"")</f>
        <v/>
      </c>
    </row>
    <row r="137">
      <c r="A137" s="145" t="str">
        <f>'Endowed Funds'!B:B</f>
        <v/>
      </c>
      <c r="B137" t="str">
        <f>IFERROR(__xludf.DUMMYFUNCTION("IFERROR(FILTER('Fund Data'!$D:$D, 'Fund Data'!$C:$C = $A137, 'Fund Data'!$A:$A = B$1, 'Fund Data'!$B:$B = 12),"""")"),"")</f>
        <v/>
      </c>
      <c r="C137" t="str">
        <f>IFERROR(__xludf.DUMMYFUNCTION("IFERROR(FILTER('Fund Data'!$D:$D, 'Fund Data'!$C:$C = $A137, 'Fund Data'!$A:$A = C$1, 'Fund Data'!$B:$B = 12),"""")"),"")</f>
        <v/>
      </c>
      <c r="D137" t="str">
        <f>IFERROR(__xludf.DUMMYFUNCTION("IFERROR(FILTER('Fund Data'!$D:$D, 'Fund Data'!$C:$C = $A137, 'Fund Data'!$A:$A = D$1, 'Fund Data'!$B:$B = 12),"""")"),"")</f>
        <v/>
      </c>
      <c r="E137" t="str">
        <f>IFERROR(__xludf.DUMMYFUNCTION("IFERROR(FILTER('Fund Data'!$D:$D, 'Fund Data'!$C:$C = $A137, 'Fund Data'!$A:$A = E$1, 'Fund Data'!$B:$B = 12),"""")"),"")</f>
        <v/>
      </c>
      <c r="F137" t="str">
        <f>IFERROR(__xludf.DUMMYFUNCTION("IFERROR(FILTER('Fund Data'!$D:$D, 'Fund Data'!$C:$C = $A137, 'Fund Data'!$A:$A = F$1, 'Fund Data'!$B:$B = 12),"""")"),"")</f>
        <v/>
      </c>
      <c r="G137" t="str">
        <f>IFERROR(__xludf.DUMMYFUNCTION("IFERROR(FILTER('Fund Data'!$D:$D, 'Fund Data'!$C:$C = $A137, 'Fund Data'!$A:$A = G$1, 'Fund Data'!$B:$B = 12),"""")"),"")</f>
        <v/>
      </c>
      <c r="H137" t="str">
        <f>IFERROR(__xludf.DUMMYFUNCTION("IFERROR(FILTER('Fund Data'!$D:$D, 'Fund Data'!$C:$C = $A137, 'Fund Data'!$A:$A = H$1, 'Fund Data'!$B:$B = 12),"""")"),"")</f>
        <v/>
      </c>
      <c r="I137" t="str">
        <f>IFERROR(__xludf.DUMMYFUNCTION("IFERROR(FILTER('Fund Data'!$D:$D, 'Fund Data'!$C:$C = $A137, 'Fund Data'!$A:$A = I$1, 'Fund Data'!$B:$B = 12),"""")"),"")</f>
        <v/>
      </c>
      <c r="J137" t="str">
        <f>IFERROR(__xludf.DUMMYFUNCTION("IFERROR(FILTER('Fund Data'!$D:$D, 'Fund Data'!$C:$C = $A137, 'Fund Data'!$A:$A = J$1, 'Fund Data'!$B:$B = 12),"""")"),"")</f>
        <v/>
      </c>
      <c r="K137" t="str">
        <f>IFERROR(__xludf.DUMMYFUNCTION("IFERROR(FILTER('Fund Data'!$D:$D, 'Fund Data'!$C:$C = $A137, 'Fund Data'!$A:$A = K$1, 'Fund Data'!$B:$B = 12),"""")"),"")</f>
        <v/>
      </c>
      <c r="L137" t="str">
        <f>IFERROR(__xludf.DUMMYFUNCTION("IFERROR(FILTER('Fund Data'!$D:$D, 'Fund Data'!$C:$C = $A137, 'Fund Data'!$A:$A = L$1, 'Fund Data'!$B:$B = 12),"""")"),"")</f>
        <v/>
      </c>
      <c r="M137" t="str">
        <f>IFERROR(__xludf.DUMMYFUNCTION("IFERROR(FILTER('Fund Data'!$D:$D, 'Fund Data'!$C:$C = $A137, 'Fund Data'!$A:$A = M$1, 'Fund Data'!$B:$B = 12),"""")"),"")</f>
        <v/>
      </c>
      <c r="N137" t="str">
        <f>IFERROR(__xludf.DUMMYFUNCTION("IFERROR(FILTER('Fund Data'!$D:$D, 'Fund Data'!$C:$C = $A137, 'Fund Data'!$A:$A = N$1, 'Fund Data'!$B:$B = 12),"""")"),"")</f>
        <v/>
      </c>
      <c r="O137" t="str">
        <f>IFERROR(__xludf.DUMMYFUNCTION("IFERROR(FILTER('Fund Data'!$D:$D, 'Fund Data'!$C:$C = $A137, 'Fund Data'!$A:$A = O$1, 'Fund Data'!$B:$B = 12),"""")"),"")</f>
        <v/>
      </c>
      <c r="P137" t="str">
        <f>IFERROR(__xludf.DUMMYFUNCTION("IFERROR(FILTER('Fund Data'!$D:$D, 'Fund Data'!$C:$C = $A137, 'Fund Data'!$A:$A = P$1, 'Fund Data'!$B:$B = 12),"""")"),"")</f>
        <v/>
      </c>
      <c r="Q137" t="str">
        <f>IFERROR(__xludf.DUMMYFUNCTION("IFERROR(FILTER('Fund Data'!$D:$D, 'Fund Data'!$C:$C = $A137, 'Fund Data'!$A:$A = Q$1, 'Fund Data'!$B:$B = 12),"""")"),"")</f>
        <v/>
      </c>
      <c r="R137" t="str">
        <f>IFERROR(__xludf.DUMMYFUNCTION("IFERROR(FILTER('Fund Data'!$D:$D, 'Fund Data'!$C:$C = $A137, 'Fund Data'!$A:$A = R$1, 'Fund Data'!$B:$B = 12),"""")"),"")</f>
        <v/>
      </c>
      <c r="S137" t="str">
        <f>IFERROR(__xludf.DUMMYFUNCTION("IFERROR(FILTER('Fund Data'!$D:$D, 'Fund Data'!$C:$C = $A137, 'Fund Data'!$A:$A = S$1, 'Fund Data'!$B:$B = 12),"""")"),"")</f>
        <v/>
      </c>
      <c r="T137" t="str">
        <f>IFERROR(__xludf.DUMMYFUNCTION("IFERROR(FILTER('Fund Data'!$D:$D, 'Fund Data'!$C:$C = $A137, 'Fund Data'!$A:$A = T$1, 'Fund Data'!$B:$B = 12),"""")"),"")</f>
        <v/>
      </c>
      <c r="U137" t="str">
        <f>IFERROR(__xludf.DUMMYFUNCTION("IFERROR(FILTER('Fund Data'!$D:$D, 'Fund Data'!$C:$C = $A137, 'Fund Data'!$A:$A = U$1, 'Fund Data'!$B:$B = 12),"""")"),"")</f>
        <v/>
      </c>
      <c r="V137" t="str">
        <f>IFERROR(__xludf.DUMMYFUNCTION("IFERROR(FILTER('Fund Data'!$D:$D, 'Fund Data'!$C:$C = $A137, 'Fund Data'!$A:$A = V$1, 'Fund Data'!$B:$B = 12),"""")"),"")</f>
        <v/>
      </c>
      <c r="W137" t="str">
        <f>IFERROR(__xludf.DUMMYFUNCTION("IFERROR(FILTER('Fund Data'!$D:$D, 'Fund Data'!$C:$C = $A137, 'Fund Data'!$A:$A = W$1, 'Fund Data'!$B:$B = 12),"""")"),"")</f>
        <v/>
      </c>
      <c r="X137" t="str">
        <f>IFERROR(__xludf.DUMMYFUNCTION("IFERROR(FILTER('Fund Data'!$D:$D, 'Fund Data'!$C:$C = $A137, 'Fund Data'!$A:$A = X$1, 'Fund Data'!$B:$B = 12),"""")"),"")</f>
        <v/>
      </c>
      <c r="Y137" t="str">
        <f>IFERROR(__xludf.DUMMYFUNCTION("IFERROR(FILTER('Fund Data'!$D:$D, 'Fund Data'!$C:$C = $A137, 'Fund Data'!$A:$A = Y$1, 'Fund Data'!$B:$B = 12),"""")"),"")</f>
        <v/>
      </c>
      <c r="Z137" t="str">
        <f>IFERROR(__xludf.DUMMYFUNCTION("IFERROR(FILTER('Fund Data'!$D:$D, 'Fund Data'!$C:$C = $A137, 'Fund Data'!$A:$A = Z$1, 'Fund Data'!$B:$B = 12),"""")"),"")</f>
        <v/>
      </c>
      <c r="AA137" t="str">
        <f>IFERROR(__xludf.DUMMYFUNCTION("IFERROR(FILTER('Fund Data'!$D:$D, 'Fund Data'!$C:$C = $A137, 'Fund Data'!$A:$A = AA$1, 'Fund Data'!$B:$B = 12),"""")"),"")</f>
        <v/>
      </c>
      <c r="AB137" t="str">
        <f>IFERROR(__xludf.DUMMYFUNCTION("IFERROR(FILTER('Fund Data'!$D:$D, 'Fund Data'!$C:$C = $A137, 'Fund Data'!$A:$A = AB$1, 'Fund Data'!$B:$B = 12),"""")"),"")</f>
        <v/>
      </c>
      <c r="AC137" t="str">
        <f>IFERROR(__xludf.DUMMYFUNCTION("IFERROR(FILTER('Fund Data'!$D:$D, 'Fund Data'!$C:$C = $A137, 'Fund Data'!$A:$A = AC$1, 'Fund Data'!$B:$B = 12),"""")"),"")</f>
        <v/>
      </c>
      <c r="AD137" t="str">
        <f>IFERROR(__xludf.DUMMYFUNCTION("IFERROR(FILTER('Fund Data'!$D:$D, 'Fund Data'!$C:$C = $A137, 'Fund Data'!$A:$A = AD$1, 'Fund Data'!$B:$B = 12),"""")"),"")</f>
        <v/>
      </c>
      <c r="AE137" t="str">
        <f>IFERROR(__xludf.DUMMYFUNCTION("IFERROR(FILTER('Fund Data'!$D:$D, 'Fund Data'!$C:$C = $A137, 'Fund Data'!$A:$A = AE$1, 'Fund Data'!$B:$B = 12),"""")"),"")</f>
        <v/>
      </c>
    </row>
    <row r="138">
      <c r="A138" s="145" t="str">
        <f>'Endowed Funds'!B:B</f>
        <v/>
      </c>
      <c r="B138" t="str">
        <f>IFERROR(__xludf.DUMMYFUNCTION("IFERROR(FILTER('Fund Data'!$D:$D, 'Fund Data'!$C:$C = $A138, 'Fund Data'!$A:$A = B$1, 'Fund Data'!$B:$B = 12),"""")"),"")</f>
        <v/>
      </c>
      <c r="C138" t="str">
        <f>IFERROR(__xludf.DUMMYFUNCTION("IFERROR(FILTER('Fund Data'!$D:$D, 'Fund Data'!$C:$C = $A138, 'Fund Data'!$A:$A = C$1, 'Fund Data'!$B:$B = 12),"""")"),"")</f>
        <v/>
      </c>
      <c r="D138" t="str">
        <f>IFERROR(__xludf.DUMMYFUNCTION("IFERROR(FILTER('Fund Data'!$D:$D, 'Fund Data'!$C:$C = $A138, 'Fund Data'!$A:$A = D$1, 'Fund Data'!$B:$B = 12),"""")"),"")</f>
        <v/>
      </c>
      <c r="E138" t="str">
        <f>IFERROR(__xludf.DUMMYFUNCTION("IFERROR(FILTER('Fund Data'!$D:$D, 'Fund Data'!$C:$C = $A138, 'Fund Data'!$A:$A = E$1, 'Fund Data'!$B:$B = 12),"""")"),"")</f>
        <v/>
      </c>
      <c r="F138" t="str">
        <f>IFERROR(__xludf.DUMMYFUNCTION("IFERROR(FILTER('Fund Data'!$D:$D, 'Fund Data'!$C:$C = $A138, 'Fund Data'!$A:$A = F$1, 'Fund Data'!$B:$B = 12),"""")"),"")</f>
        <v/>
      </c>
      <c r="G138" t="str">
        <f>IFERROR(__xludf.DUMMYFUNCTION("IFERROR(FILTER('Fund Data'!$D:$D, 'Fund Data'!$C:$C = $A138, 'Fund Data'!$A:$A = G$1, 'Fund Data'!$B:$B = 12),"""")"),"")</f>
        <v/>
      </c>
      <c r="H138" t="str">
        <f>IFERROR(__xludf.DUMMYFUNCTION("IFERROR(FILTER('Fund Data'!$D:$D, 'Fund Data'!$C:$C = $A138, 'Fund Data'!$A:$A = H$1, 'Fund Data'!$B:$B = 12),"""")"),"")</f>
        <v/>
      </c>
      <c r="I138" t="str">
        <f>IFERROR(__xludf.DUMMYFUNCTION("IFERROR(FILTER('Fund Data'!$D:$D, 'Fund Data'!$C:$C = $A138, 'Fund Data'!$A:$A = I$1, 'Fund Data'!$B:$B = 12),"""")"),"")</f>
        <v/>
      </c>
      <c r="J138" t="str">
        <f>IFERROR(__xludf.DUMMYFUNCTION("IFERROR(FILTER('Fund Data'!$D:$D, 'Fund Data'!$C:$C = $A138, 'Fund Data'!$A:$A = J$1, 'Fund Data'!$B:$B = 12),"""")"),"")</f>
        <v/>
      </c>
      <c r="K138" t="str">
        <f>IFERROR(__xludf.DUMMYFUNCTION("IFERROR(FILTER('Fund Data'!$D:$D, 'Fund Data'!$C:$C = $A138, 'Fund Data'!$A:$A = K$1, 'Fund Data'!$B:$B = 12),"""")"),"")</f>
        <v/>
      </c>
      <c r="L138" t="str">
        <f>IFERROR(__xludf.DUMMYFUNCTION("IFERROR(FILTER('Fund Data'!$D:$D, 'Fund Data'!$C:$C = $A138, 'Fund Data'!$A:$A = L$1, 'Fund Data'!$B:$B = 12),"""")"),"")</f>
        <v/>
      </c>
      <c r="M138" t="str">
        <f>IFERROR(__xludf.DUMMYFUNCTION("IFERROR(FILTER('Fund Data'!$D:$D, 'Fund Data'!$C:$C = $A138, 'Fund Data'!$A:$A = M$1, 'Fund Data'!$B:$B = 12),"""")"),"")</f>
        <v/>
      </c>
      <c r="N138" t="str">
        <f>IFERROR(__xludf.DUMMYFUNCTION("IFERROR(FILTER('Fund Data'!$D:$D, 'Fund Data'!$C:$C = $A138, 'Fund Data'!$A:$A = N$1, 'Fund Data'!$B:$B = 12),"""")"),"")</f>
        <v/>
      </c>
      <c r="O138" t="str">
        <f>IFERROR(__xludf.DUMMYFUNCTION("IFERROR(FILTER('Fund Data'!$D:$D, 'Fund Data'!$C:$C = $A138, 'Fund Data'!$A:$A = O$1, 'Fund Data'!$B:$B = 12),"""")"),"")</f>
        <v/>
      </c>
      <c r="P138" t="str">
        <f>IFERROR(__xludf.DUMMYFUNCTION("IFERROR(FILTER('Fund Data'!$D:$D, 'Fund Data'!$C:$C = $A138, 'Fund Data'!$A:$A = P$1, 'Fund Data'!$B:$B = 12),"""")"),"")</f>
        <v/>
      </c>
      <c r="Q138" t="str">
        <f>IFERROR(__xludf.DUMMYFUNCTION("IFERROR(FILTER('Fund Data'!$D:$D, 'Fund Data'!$C:$C = $A138, 'Fund Data'!$A:$A = Q$1, 'Fund Data'!$B:$B = 12),"""")"),"")</f>
        <v/>
      </c>
      <c r="R138" t="str">
        <f>IFERROR(__xludf.DUMMYFUNCTION("IFERROR(FILTER('Fund Data'!$D:$D, 'Fund Data'!$C:$C = $A138, 'Fund Data'!$A:$A = R$1, 'Fund Data'!$B:$B = 12),"""")"),"")</f>
        <v/>
      </c>
      <c r="S138" t="str">
        <f>IFERROR(__xludf.DUMMYFUNCTION("IFERROR(FILTER('Fund Data'!$D:$D, 'Fund Data'!$C:$C = $A138, 'Fund Data'!$A:$A = S$1, 'Fund Data'!$B:$B = 12),"""")"),"")</f>
        <v/>
      </c>
      <c r="T138" t="str">
        <f>IFERROR(__xludf.DUMMYFUNCTION("IFERROR(FILTER('Fund Data'!$D:$D, 'Fund Data'!$C:$C = $A138, 'Fund Data'!$A:$A = T$1, 'Fund Data'!$B:$B = 12),"""")"),"")</f>
        <v/>
      </c>
      <c r="U138" t="str">
        <f>IFERROR(__xludf.DUMMYFUNCTION("IFERROR(FILTER('Fund Data'!$D:$D, 'Fund Data'!$C:$C = $A138, 'Fund Data'!$A:$A = U$1, 'Fund Data'!$B:$B = 12),"""")"),"")</f>
        <v/>
      </c>
      <c r="V138" t="str">
        <f>IFERROR(__xludf.DUMMYFUNCTION("IFERROR(FILTER('Fund Data'!$D:$D, 'Fund Data'!$C:$C = $A138, 'Fund Data'!$A:$A = V$1, 'Fund Data'!$B:$B = 12),"""")"),"")</f>
        <v/>
      </c>
      <c r="W138" t="str">
        <f>IFERROR(__xludf.DUMMYFUNCTION("IFERROR(FILTER('Fund Data'!$D:$D, 'Fund Data'!$C:$C = $A138, 'Fund Data'!$A:$A = W$1, 'Fund Data'!$B:$B = 12),"""")"),"")</f>
        <v/>
      </c>
      <c r="X138" t="str">
        <f>IFERROR(__xludf.DUMMYFUNCTION("IFERROR(FILTER('Fund Data'!$D:$D, 'Fund Data'!$C:$C = $A138, 'Fund Data'!$A:$A = X$1, 'Fund Data'!$B:$B = 12),"""")"),"")</f>
        <v/>
      </c>
      <c r="Y138" t="str">
        <f>IFERROR(__xludf.DUMMYFUNCTION("IFERROR(FILTER('Fund Data'!$D:$D, 'Fund Data'!$C:$C = $A138, 'Fund Data'!$A:$A = Y$1, 'Fund Data'!$B:$B = 12),"""")"),"")</f>
        <v/>
      </c>
      <c r="Z138" t="str">
        <f>IFERROR(__xludf.DUMMYFUNCTION("IFERROR(FILTER('Fund Data'!$D:$D, 'Fund Data'!$C:$C = $A138, 'Fund Data'!$A:$A = Z$1, 'Fund Data'!$B:$B = 12),"""")"),"")</f>
        <v/>
      </c>
      <c r="AA138" t="str">
        <f>IFERROR(__xludf.DUMMYFUNCTION("IFERROR(FILTER('Fund Data'!$D:$D, 'Fund Data'!$C:$C = $A138, 'Fund Data'!$A:$A = AA$1, 'Fund Data'!$B:$B = 12),"""")"),"")</f>
        <v/>
      </c>
      <c r="AB138" t="str">
        <f>IFERROR(__xludf.DUMMYFUNCTION("IFERROR(FILTER('Fund Data'!$D:$D, 'Fund Data'!$C:$C = $A138, 'Fund Data'!$A:$A = AB$1, 'Fund Data'!$B:$B = 12),"""")"),"")</f>
        <v/>
      </c>
      <c r="AC138" t="str">
        <f>IFERROR(__xludf.DUMMYFUNCTION("IFERROR(FILTER('Fund Data'!$D:$D, 'Fund Data'!$C:$C = $A138, 'Fund Data'!$A:$A = AC$1, 'Fund Data'!$B:$B = 12),"""")"),"")</f>
        <v/>
      </c>
      <c r="AD138" t="str">
        <f>IFERROR(__xludf.DUMMYFUNCTION("IFERROR(FILTER('Fund Data'!$D:$D, 'Fund Data'!$C:$C = $A138, 'Fund Data'!$A:$A = AD$1, 'Fund Data'!$B:$B = 12),"""")"),"")</f>
        <v/>
      </c>
      <c r="AE138" t="str">
        <f>IFERROR(__xludf.DUMMYFUNCTION("IFERROR(FILTER('Fund Data'!$D:$D, 'Fund Data'!$C:$C = $A138, 'Fund Data'!$A:$A = AE$1, 'Fund Data'!$B:$B = 12),"""")"),"")</f>
        <v/>
      </c>
    </row>
    <row r="139">
      <c r="A139" s="145" t="str">
        <f>'Endowed Funds'!B:B</f>
        <v/>
      </c>
      <c r="B139" t="str">
        <f>IFERROR(__xludf.DUMMYFUNCTION("IFERROR(FILTER('Fund Data'!$D:$D, 'Fund Data'!$C:$C = $A139, 'Fund Data'!$A:$A = B$1, 'Fund Data'!$B:$B = 12),"""")"),"")</f>
        <v/>
      </c>
      <c r="C139" t="str">
        <f>IFERROR(__xludf.DUMMYFUNCTION("IFERROR(FILTER('Fund Data'!$D:$D, 'Fund Data'!$C:$C = $A139, 'Fund Data'!$A:$A = C$1, 'Fund Data'!$B:$B = 12),"""")"),"")</f>
        <v/>
      </c>
      <c r="D139" t="str">
        <f>IFERROR(__xludf.DUMMYFUNCTION("IFERROR(FILTER('Fund Data'!$D:$D, 'Fund Data'!$C:$C = $A139, 'Fund Data'!$A:$A = D$1, 'Fund Data'!$B:$B = 12),"""")"),"")</f>
        <v/>
      </c>
      <c r="E139" t="str">
        <f>IFERROR(__xludf.DUMMYFUNCTION("IFERROR(FILTER('Fund Data'!$D:$D, 'Fund Data'!$C:$C = $A139, 'Fund Data'!$A:$A = E$1, 'Fund Data'!$B:$B = 12),"""")"),"")</f>
        <v/>
      </c>
      <c r="F139" t="str">
        <f>IFERROR(__xludf.DUMMYFUNCTION("IFERROR(FILTER('Fund Data'!$D:$D, 'Fund Data'!$C:$C = $A139, 'Fund Data'!$A:$A = F$1, 'Fund Data'!$B:$B = 12),"""")"),"")</f>
        <v/>
      </c>
      <c r="G139" t="str">
        <f>IFERROR(__xludf.DUMMYFUNCTION("IFERROR(FILTER('Fund Data'!$D:$D, 'Fund Data'!$C:$C = $A139, 'Fund Data'!$A:$A = G$1, 'Fund Data'!$B:$B = 12),"""")"),"")</f>
        <v/>
      </c>
      <c r="H139" t="str">
        <f>IFERROR(__xludf.DUMMYFUNCTION("IFERROR(FILTER('Fund Data'!$D:$D, 'Fund Data'!$C:$C = $A139, 'Fund Data'!$A:$A = H$1, 'Fund Data'!$B:$B = 12),"""")"),"")</f>
        <v/>
      </c>
      <c r="I139" t="str">
        <f>IFERROR(__xludf.DUMMYFUNCTION("IFERROR(FILTER('Fund Data'!$D:$D, 'Fund Data'!$C:$C = $A139, 'Fund Data'!$A:$A = I$1, 'Fund Data'!$B:$B = 12),"""")"),"")</f>
        <v/>
      </c>
      <c r="J139" t="str">
        <f>IFERROR(__xludf.DUMMYFUNCTION("IFERROR(FILTER('Fund Data'!$D:$D, 'Fund Data'!$C:$C = $A139, 'Fund Data'!$A:$A = J$1, 'Fund Data'!$B:$B = 12),"""")"),"")</f>
        <v/>
      </c>
      <c r="K139" t="str">
        <f>IFERROR(__xludf.DUMMYFUNCTION("IFERROR(FILTER('Fund Data'!$D:$D, 'Fund Data'!$C:$C = $A139, 'Fund Data'!$A:$A = K$1, 'Fund Data'!$B:$B = 12),"""")"),"")</f>
        <v/>
      </c>
      <c r="L139" t="str">
        <f>IFERROR(__xludf.DUMMYFUNCTION("IFERROR(FILTER('Fund Data'!$D:$D, 'Fund Data'!$C:$C = $A139, 'Fund Data'!$A:$A = L$1, 'Fund Data'!$B:$B = 12),"""")"),"")</f>
        <v/>
      </c>
      <c r="M139" t="str">
        <f>IFERROR(__xludf.DUMMYFUNCTION("IFERROR(FILTER('Fund Data'!$D:$D, 'Fund Data'!$C:$C = $A139, 'Fund Data'!$A:$A = M$1, 'Fund Data'!$B:$B = 12),"""")"),"")</f>
        <v/>
      </c>
      <c r="N139" t="str">
        <f>IFERROR(__xludf.DUMMYFUNCTION("IFERROR(FILTER('Fund Data'!$D:$D, 'Fund Data'!$C:$C = $A139, 'Fund Data'!$A:$A = N$1, 'Fund Data'!$B:$B = 12),"""")"),"")</f>
        <v/>
      </c>
      <c r="O139" t="str">
        <f>IFERROR(__xludf.DUMMYFUNCTION("IFERROR(FILTER('Fund Data'!$D:$D, 'Fund Data'!$C:$C = $A139, 'Fund Data'!$A:$A = O$1, 'Fund Data'!$B:$B = 12),"""")"),"")</f>
        <v/>
      </c>
      <c r="P139" t="str">
        <f>IFERROR(__xludf.DUMMYFUNCTION("IFERROR(FILTER('Fund Data'!$D:$D, 'Fund Data'!$C:$C = $A139, 'Fund Data'!$A:$A = P$1, 'Fund Data'!$B:$B = 12),"""")"),"")</f>
        <v/>
      </c>
      <c r="Q139" t="str">
        <f>IFERROR(__xludf.DUMMYFUNCTION("IFERROR(FILTER('Fund Data'!$D:$D, 'Fund Data'!$C:$C = $A139, 'Fund Data'!$A:$A = Q$1, 'Fund Data'!$B:$B = 12),"""")"),"")</f>
        <v/>
      </c>
      <c r="R139" t="str">
        <f>IFERROR(__xludf.DUMMYFUNCTION("IFERROR(FILTER('Fund Data'!$D:$D, 'Fund Data'!$C:$C = $A139, 'Fund Data'!$A:$A = R$1, 'Fund Data'!$B:$B = 12),"""")"),"")</f>
        <v/>
      </c>
      <c r="S139" t="str">
        <f>IFERROR(__xludf.DUMMYFUNCTION("IFERROR(FILTER('Fund Data'!$D:$D, 'Fund Data'!$C:$C = $A139, 'Fund Data'!$A:$A = S$1, 'Fund Data'!$B:$B = 12),"""")"),"")</f>
        <v/>
      </c>
      <c r="T139" t="str">
        <f>IFERROR(__xludf.DUMMYFUNCTION("IFERROR(FILTER('Fund Data'!$D:$D, 'Fund Data'!$C:$C = $A139, 'Fund Data'!$A:$A = T$1, 'Fund Data'!$B:$B = 12),"""")"),"")</f>
        <v/>
      </c>
      <c r="U139" t="str">
        <f>IFERROR(__xludf.DUMMYFUNCTION("IFERROR(FILTER('Fund Data'!$D:$D, 'Fund Data'!$C:$C = $A139, 'Fund Data'!$A:$A = U$1, 'Fund Data'!$B:$B = 12),"""")"),"")</f>
        <v/>
      </c>
      <c r="V139" t="str">
        <f>IFERROR(__xludf.DUMMYFUNCTION("IFERROR(FILTER('Fund Data'!$D:$D, 'Fund Data'!$C:$C = $A139, 'Fund Data'!$A:$A = V$1, 'Fund Data'!$B:$B = 12),"""")"),"")</f>
        <v/>
      </c>
      <c r="W139" t="str">
        <f>IFERROR(__xludf.DUMMYFUNCTION("IFERROR(FILTER('Fund Data'!$D:$D, 'Fund Data'!$C:$C = $A139, 'Fund Data'!$A:$A = W$1, 'Fund Data'!$B:$B = 12),"""")"),"")</f>
        <v/>
      </c>
      <c r="X139" t="str">
        <f>IFERROR(__xludf.DUMMYFUNCTION("IFERROR(FILTER('Fund Data'!$D:$D, 'Fund Data'!$C:$C = $A139, 'Fund Data'!$A:$A = X$1, 'Fund Data'!$B:$B = 12),"""")"),"")</f>
        <v/>
      </c>
      <c r="Y139" t="str">
        <f>IFERROR(__xludf.DUMMYFUNCTION("IFERROR(FILTER('Fund Data'!$D:$D, 'Fund Data'!$C:$C = $A139, 'Fund Data'!$A:$A = Y$1, 'Fund Data'!$B:$B = 12),"""")"),"")</f>
        <v/>
      </c>
      <c r="Z139" t="str">
        <f>IFERROR(__xludf.DUMMYFUNCTION("IFERROR(FILTER('Fund Data'!$D:$D, 'Fund Data'!$C:$C = $A139, 'Fund Data'!$A:$A = Z$1, 'Fund Data'!$B:$B = 12),"""")"),"")</f>
        <v/>
      </c>
      <c r="AA139" t="str">
        <f>IFERROR(__xludf.DUMMYFUNCTION("IFERROR(FILTER('Fund Data'!$D:$D, 'Fund Data'!$C:$C = $A139, 'Fund Data'!$A:$A = AA$1, 'Fund Data'!$B:$B = 12),"""")"),"")</f>
        <v/>
      </c>
      <c r="AB139" t="str">
        <f>IFERROR(__xludf.DUMMYFUNCTION("IFERROR(FILTER('Fund Data'!$D:$D, 'Fund Data'!$C:$C = $A139, 'Fund Data'!$A:$A = AB$1, 'Fund Data'!$B:$B = 12),"""")"),"")</f>
        <v/>
      </c>
      <c r="AC139" t="str">
        <f>IFERROR(__xludf.DUMMYFUNCTION("IFERROR(FILTER('Fund Data'!$D:$D, 'Fund Data'!$C:$C = $A139, 'Fund Data'!$A:$A = AC$1, 'Fund Data'!$B:$B = 12),"""")"),"")</f>
        <v/>
      </c>
      <c r="AD139" t="str">
        <f>IFERROR(__xludf.DUMMYFUNCTION("IFERROR(FILTER('Fund Data'!$D:$D, 'Fund Data'!$C:$C = $A139, 'Fund Data'!$A:$A = AD$1, 'Fund Data'!$B:$B = 12),"""")"),"")</f>
        <v/>
      </c>
      <c r="AE139" t="str">
        <f>IFERROR(__xludf.DUMMYFUNCTION("IFERROR(FILTER('Fund Data'!$D:$D, 'Fund Data'!$C:$C = $A139, 'Fund Data'!$A:$A = AE$1, 'Fund Data'!$B:$B = 12),"""")"),"")</f>
        <v/>
      </c>
    </row>
    <row r="140">
      <c r="A140" s="145" t="str">
        <f>'Endowed Funds'!B:B</f>
        <v/>
      </c>
      <c r="B140" t="str">
        <f>IFERROR(__xludf.DUMMYFUNCTION("IFERROR(FILTER('Fund Data'!$D:$D, 'Fund Data'!$C:$C = $A140, 'Fund Data'!$A:$A = B$1, 'Fund Data'!$B:$B = 12),"""")"),"")</f>
        <v/>
      </c>
      <c r="C140" t="str">
        <f>IFERROR(__xludf.DUMMYFUNCTION("IFERROR(FILTER('Fund Data'!$D:$D, 'Fund Data'!$C:$C = $A140, 'Fund Data'!$A:$A = C$1, 'Fund Data'!$B:$B = 12),"""")"),"")</f>
        <v/>
      </c>
      <c r="D140" t="str">
        <f>IFERROR(__xludf.DUMMYFUNCTION("IFERROR(FILTER('Fund Data'!$D:$D, 'Fund Data'!$C:$C = $A140, 'Fund Data'!$A:$A = D$1, 'Fund Data'!$B:$B = 12),"""")"),"")</f>
        <v/>
      </c>
      <c r="E140" t="str">
        <f>IFERROR(__xludf.DUMMYFUNCTION("IFERROR(FILTER('Fund Data'!$D:$D, 'Fund Data'!$C:$C = $A140, 'Fund Data'!$A:$A = E$1, 'Fund Data'!$B:$B = 12),"""")"),"")</f>
        <v/>
      </c>
      <c r="F140" t="str">
        <f>IFERROR(__xludf.DUMMYFUNCTION("IFERROR(FILTER('Fund Data'!$D:$D, 'Fund Data'!$C:$C = $A140, 'Fund Data'!$A:$A = F$1, 'Fund Data'!$B:$B = 12),"""")"),"")</f>
        <v/>
      </c>
      <c r="G140" t="str">
        <f>IFERROR(__xludf.DUMMYFUNCTION("IFERROR(FILTER('Fund Data'!$D:$D, 'Fund Data'!$C:$C = $A140, 'Fund Data'!$A:$A = G$1, 'Fund Data'!$B:$B = 12),"""")"),"")</f>
        <v/>
      </c>
      <c r="H140" t="str">
        <f>IFERROR(__xludf.DUMMYFUNCTION("IFERROR(FILTER('Fund Data'!$D:$D, 'Fund Data'!$C:$C = $A140, 'Fund Data'!$A:$A = H$1, 'Fund Data'!$B:$B = 12),"""")"),"")</f>
        <v/>
      </c>
      <c r="I140" t="str">
        <f>IFERROR(__xludf.DUMMYFUNCTION("IFERROR(FILTER('Fund Data'!$D:$D, 'Fund Data'!$C:$C = $A140, 'Fund Data'!$A:$A = I$1, 'Fund Data'!$B:$B = 12),"""")"),"")</f>
        <v/>
      </c>
      <c r="J140" t="str">
        <f>IFERROR(__xludf.DUMMYFUNCTION("IFERROR(FILTER('Fund Data'!$D:$D, 'Fund Data'!$C:$C = $A140, 'Fund Data'!$A:$A = J$1, 'Fund Data'!$B:$B = 12),"""")"),"")</f>
        <v/>
      </c>
      <c r="K140" t="str">
        <f>IFERROR(__xludf.DUMMYFUNCTION("IFERROR(FILTER('Fund Data'!$D:$D, 'Fund Data'!$C:$C = $A140, 'Fund Data'!$A:$A = K$1, 'Fund Data'!$B:$B = 12),"""")"),"")</f>
        <v/>
      </c>
      <c r="L140" t="str">
        <f>IFERROR(__xludf.DUMMYFUNCTION("IFERROR(FILTER('Fund Data'!$D:$D, 'Fund Data'!$C:$C = $A140, 'Fund Data'!$A:$A = L$1, 'Fund Data'!$B:$B = 12),"""")"),"")</f>
        <v/>
      </c>
      <c r="M140" t="str">
        <f>IFERROR(__xludf.DUMMYFUNCTION("IFERROR(FILTER('Fund Data'!$D:$D, 'Fund Data'!$C:$C = $A140, 'Fund Data'!$A:$A = M$1, 'Fund Data'!$B:$B = 12),"""")"),"")</f>
        <v/>
      </c>
      <c r="N140" t="str">
        <f>IFERROR(__xludf.DUMMYFUNCTION("IFERROR(FILTER('Fund Data'!$D:$D, 'Fund Data'!$C:$C = $A140, 'Fund Data'!$A:$A = N$1, 'Fund Data'!$B:$B = 12),"""")"),"")</f>
        <v/>
      </c>
      <c r="O140" t="str">
        <f>IFERROR(__xludf.DUMMYFUNCTION("IFERROR(FILTER('Fund Data'!$D:$D, 'Fund Data'!$C:$C = $A140, 'Fund Data'!$A:$A = O$1, 'Fund Data'!$B:$B = 12),"""")"),"")</f>
        <v/>
      </c>
      <c r="P140" t="str">
        <f>IFERROR(__xludf.DUMMYFUNCTION("IFERROR(FILTER('Fund Data'!$D:$D, 'Fund Data'!$C:$C = $A140, 'Fund Data'!$A:$A = P$1, 'Fund Data'!$B:$B = 12),"""")"),"")</f>
        <v/>
      </c>
      <c r="Q140" t="str">
        <f>IFERROR(__xludf.DUMMYFUNCTION("IFERROR(FILTER('Fund Data'!$D:$D, 'Fund Data'!$C:$C = $A140, 'Fund Data'!$A:$A = Q$1, 'Fund Data'!$B:$B = 12),"""")"),"")</f>
        <v/>
      </c>
      <c r="R140" t="str">
        <f>IFERROR(__xludf.DUMMYFUNCTION("IFERROR(FILTER('Fund Data'!$D:$D, 'Fund Data'!$C:$C = $A140, 'Fund Data'!$A:$A = R$1, 'Fund Data'!$B:$B = 12),"""")"),"")</f>
        <v/>
      </c>
      <c r="S140" t="str">
        <f>IFERROR(__xludf.DUMMYFUNCTION("IFERROR(FILTER('Fund Data'!$D:$D, 'Fund Data'!$C:$C = $A140, 'Fund Data'!$A:$A = S$1, 'Fund Data'!$B:$B = 12),"""")"),"")</f>
        <v/>
      </c>
      <c r="T140" t="str">
        <f>IFERROR(__xludf.DUMMYFUNCTION("IFERROR(FILTER('Fund Data'!$D:$D, 'Fund Data'!$C:$C = $A140, 'Fund Data'!$A:$A = T$1, 'Fund Data'!$B:$B = 12),"""")"),"")</f>
        <v/>
      </c>
      <c r="U140" t="str">
        <f>IFERROR(__xludf.DUMMYFUNCTION("IFERROR(FILTER('Fund Data'!$D:$D, 'Fund Data'!$C:$C = $A140, 'Fund Data'!$A:$A = U$1, 'Fund Data'!$B:$B = 12),"""")"),"")</f>
        <v/>
      </c>
      <c r="V140" t="str">
        <f>IFERROR(__xludf.DUMMYFUNCTION("IFERROR(FILTER('Fund Data'!$D:$D, 'Fund Data'!$C:$C = $A140, 'Fund Data'!$A:$A = V$1, 'Fund Data'!$B:$B = 12),"""")"),"")</f>
        <v/>
      </c>
      <c r="W140" t="str">
        <f>IFERROR(__xludf.DUMMYFUNCTION("IFERROR(FILTER('Fund Data'!$D:$D, 'Fund Data'!$C:$C = $A140, 'Fund Data'!$A:$A = W$1, 'Fund Data'!$B:$B = 12),"""")"),"")</f>
        <v/>
      </c>
      <c r="X140" t="str">
        <f>IFERROR(__xludf.DUMMYFUNCTION("IFERROR(FILTER('Fund Data'!$D:$D, 'Fund Data'!$C:$C = $A140, 'Fund Data'!$A:$A = X$1, 'Fund Data'!$B:$B = 12),"""")"),"")</f>
        <v/>
      </c>
      <c r="Y140" t="str">
        <f>IFERROR(__xludf.DUMMYFUNCTION("IFERROR(FILTER('Fund Data'!$D:$D, 'Fund Data'!$C:$C = $A140, 'Fund Data'!$A:$A = Y$1, 'Fund Data'!$B:$B = 12),"""")"),"")</f>
        <v/>
      </c>
      <c r="Z140" t="str">
        <f>IFERROR(__xludf.DUMMYFUNCTION("IFERROR(FILTER('Fund Data'!$D:$D, 'Fund Data'!$C:$C = $A140, 'Fund Data'!$A:$A = Z$1, 'Fund Data'!$B:$B = 12),"""")"),"")</f>
        <v/>
      </c>
      <c r="AA140" t="str">
        <f>IFERROR(__xludf.DUMMYFUNCTION("IFERROR(FILTER('Fund Data'!$D:$D, 'Fund Data'!$C:$C = $A140, 'Fund Data'!$A:$A = AA$1, 'Fund Data'!$B:$B = 12),"""")"),"")</f>
        <v/>
      </c>
      <c r="AB140" t="str">
        <f>IFERROR(__xludf.DUMMYFUNCTION("IFERROR(FILTER('Fund Data'!$D:$D, 'Fund Data'!$C:$C = $A140, 'Fund Data'!$A:$A = AB$1, 'Fund Data'!$B:$B = 12),"""")"),"")</f>
        <v/>
      </c>
      <c r="AC140" t="str">
        <f>IFERROR(__xludf.DUMMYFUNCTION("IFERROR(FILTER('Fund Data'!$D:$D, 'Fund Data'!$C:$C = $A140, 'Fund Data'!$A:$A = AC$1, 'Fund Data'!$B:$B = 12),"""")"),"")</f>
        <v/>
      </c>
      <c r="AD140" t="str">
        <f>IFERROR(__xludf.DUMMYFUNCTION("IFERROR(FILTER('Fund Data'!$D:$D, 'Fund Data'!$C:$C = $A140, 'Fund Data'!$A:$A = AD$1, 'Fund Data'!$B:$B = 12),"""")"),"")</f>
        <v/>
      </c>
      <c r="AE140" t="str">
        <f>IFERROR(__xludf.DUMMYFUNCTION("IFERROR(FILTER('Fund Data'!$D:$D, 'Fund Data'!$C:$C = $A140, 'Fund Data'!$A:$A = AE$1, 'Fund Data'!$B:$B = 12),"""")"),"")</f>
        <v/>
      </c>
    </row>
    <row r="141">
      <c r="A141" s="145" t="str">
        <f>'Endowed Funds'!B:B</f>
        <v/>
      </c>
      <c r="B141" t="str">
        <f>IFERROR(__xludf.DUMMYFUNCTION("IFERROR(FILTER('Fund Data'!$D:$D, 'Fund Data'!$C:$C = $A141, 'Fund Data'!$A:$A = B$1, 'Fund Data'!$B:$B = 12),"""")"),"")</f>
        <v/>
      </c>
      <c r="C141" t="str">
        <f>IFERROR(__xludf.DUMMYFUNCTION("IFERROR(FILTER('Fund Data'!$D:$D, 'Fund Data'!$C:$C = $A141, 'Fund Data'!$A:$A = C$1, 'Fund Data'!$B:$B = 12),"""")"),"")</f>
        <v/>
      </c>
      <c r="D141" t="str">
        <f>IFERROR(__xludf.DUMMYFUNCTION("IFERROR(FILTER('Fund Data'!$D:$D, 'Fund Data'!$C:$C = $A141, 'Fund Data'!$A:$A = D$1, 'Fund Data'!$B:$B = 12),"""")"),"")</f>
        <v/>
      </c>
      <c r="E141" t="str">
        <f>IFERROR(__xludf.DUMMYFUNCTION("IFERROR(FILTER('Fund Data'!$D:$D, 'Fund Data'!$C:$C = $A141, 'Fund Data'!$A:$A = E$1, 'Fund Data'!$B:$B = 12),"""")"),"")</f>
        <v/>
      </c>
      <c r="F141" t="str">
        <f>IFERROR(__xludf.DUMMYFUNCTION("IFERROR(FILTER('Fund Data'!$D:$D, 'Fund Data'!$C:$C = $A141, 'Fund Data'!$A:$A = F$1, 'Fund Data'!$B:$B = 12),"""")"),"")</f>
        <v/>
      </c>
      <c r="G141" t="str">
        <f>IFERROR(__xludf.DUMMYFUNCTION("IFERROR(FILTER('Fund Data'!$D:$D, 'Fund Data'!$C:$C = $A141, 'Fund Data'!$A:$A = G$1, 'Fund Data'!$B:$B = 12),"""")"),"")</f>
        <v/>
      </c>
      <c r="H141" t="str">
        <f>IFERROR(__xludf.DUMMYFUNCTION("IFERROR(FILTER('Fund Data'!$D:$D, 'Fund Data'!$C:$C = $A141, 'Fund Data'!$A:$A = H$1, 'Fund Data'!$B:$B = 12),"""")"),"")</f>
        <v/>
      </c>
      <c r="I141" t="str">
        <f>IFERROR(__xludf.DUMMYFUNCTION("IFERROR(FILTER('Fund Data'!$D:$D, 'Fund Data'!$C:$C = $A141, 'Fund Data'!$A:$A = I$1, 'Fund Data'!$B:$B = 12),"""")"),"")</f>
        <v/>
      </c>
      <c r="J141" t="str">
        <f>IFERROR(__xludf.DUMMYFUNCTION("IFERROR(FILTER('Fund Data'!$D:$D, 'Fund Data'!$C:$C = $A141, 'Fund Data'!$A:$A = J$1, 'Fund Data'!$B:$B = 12),"""")"),"")</f>
        <v/>
      </c>
      <c r="K141" t="str">
        <f>IFERROR(__xludf.DUMMYFUNCTION("IFERROR(FILTER('Fund Data'!$D:$D, 'Fund Data'!$C:$C = $A141, 'Fund Data'!$A:$A = K$1, 'Fund Data'!$B:$B = 12),"""")"),"")</f>
        <v/>
      </c>
      <c r="L141" t="str">
        <f>IFERROR(__xludf.DUMMYFUNCTION("IFERROR(FILTER('Fund Data'!$D:$D, 'Fund Data'!$C:$C = $A141, 'Fund Data'!$A:$A = L$1, 'Fund Data'!$B:$B = 12),"""")"),"")</f>
        <v/>
      </c>
      <c r="M141" t="str">
        <f>IFERROR(__xludf.DUMMYFUNCTION("IFERROR(FILTER('Fund Data'!$D:$D, 'Fund Data'!$C:$C = $A141, 'Fund Data'!$A:$A = M$1, 'Fund Data'!$B:$B = 12),"""")"),"")</f>
        <v/>
      </c>
      <c r="N141" t="str">
        <f>IFERROR(__xludf.DUMMYFUNCTION("IFERROR(FILTER('Fund Data'!$D:$D, 'Fund Data'!$C:$C = $A141, 'Fund Data'!$A:$A = N$1, 'Fund Data'!$B:$B = 12),"""")"),"")</f>
        <v/>
      </c>
      <c r="O141" t="str">
        <f>IFERROR(__xludf.DUMMYFUNCTION("IFERROR(FILTER('Fund Data'!$D:$D, 'Fund Data'!$C:$C = $A141, 'Fund Data'!$A:$A = O$1, 'Fund Data'!$B:$B = 12),"""")"),"")</f>
        <v/>
      </c>
      <c r="P141" t="str">
        <f>IFERROR(__xludf.DUMMYFUNCTION("IFERROR(FILTER('Fund Data'!$D:$D, 'Fund Data'!$C:$C = $A141, 'Fund Data'!$A:$A = P$1, 'Fund Data'!$B:$B = 12),"""")"),"")</f>
        <v/>
      </c>
      <c r="Q141" t="str">
        <f>IFERROR(__xludf.DUMMYFUNCTION("IFERROR(FILTER('Fund Data'!$D:$D, 'Fund Data'!$C:$C = $A141, 'Fund Data'!$A:$A = Q$1, 'Fund Data'!$B:$B = 12),"""")"),"")</f>
        <v/>
      </c>
      <c r="R141" t="str">
        <f>IFERROR(__xludf.DUMMYFUNCTION("IFERROR(FILTER('Fund Data'!$D:$D, 'Fund Data'!$C:$C = $A141, 'Fund Data'!$A:$A = R$1, 'Fund Data'!$B:$B = 12),"""")"),"")</f>
        <v/>
      </c>
      <c r="S141" t="str">
        <f>IFERROR(__xludf.DUMMYFUNCTION("IFERROR(FILTER('Fund Data'!$D:$D, 'Fund Data'!$C:$C = $A141, 'Fund Data'!$A:$A = S$1, 'Fund Data'!$B:$B = 12),"""")"),"")</f>
        <v/>
      </c>
      <c r="T141" t="str">
        <f>IFERROR(__xludf.DUMMYFUNCTION("IFERROR(FILTER('Fund Data'!$D:$D, 'Fund Data'!$C:$C = $A141, 'Fund Data'!$A:$A = T$1, 'Fund Data'!$B:$B = 12),"""")"),"")</f>
        <v/>
      </c>
      <c r="U141" t="str">
        <f>IFERROR(__xludf.DUMMYFUNCTION("IFERROR(FILTER('Fund Data'!$D:$D, 'Fund Data'!$C:$C = $A141, 'Fund Data'!$A:$A = U$1, 'Fund Data'!$B:$B = 12),"""")"),"")</f>
        <v/>
      </c>
      <c r="V141" t="str">
        <f>IFERROR(__xludf.DUMMYFUNCTION("IFERROR(FILTER('Fund Data'!$D:$D, 'Fund Data'!$C:$C = $A141, 'Fund Data'!$A:$A = V$1, 'Fund Data'!$B:$B = 12),"""")"),"")</f>
        <v/>
      </c>
      <c r="W141" t="str">
        <f>IFERROR(__xludf.DUMMYFUNCTION("IFERROR(FILTER('Fund Data'!$D:$D, 'Fund Data'!$C:$C = $A141, 'Fund Data'!$A:$A = W$1, 'Fund Data'!$B:$B = 12),"""")"),"")</f>
        <v/>
      </c>
      <c r="X141" t="str">
        <f>IFERROR(__xludf.DUMMYFUNCTION("IFERROR(FILTER('Fund Data'!$D:$D, 'Fund Data'!$C:$C = $A141, 'Fund Data'!$A:$A = X$1, 'Fund Data'!$B:$B = 12),"""")"),"")</f>
        <v/>
      </c>
      <c r="Y141" t="str">
        <f>IFERROR(__xludf.DUMMYFUNCTION("IFERROR(FILTER('Fund Data'!$D:$D, 'Fund Data'!$C:$C = $A141, 'Fund Data'!$A:$A = Y$1, 'Fund Data'!$B:$B = 12),"""")"),"")</f>
        <v/>
      </c>
      <c r="Z141" t="str">
        <f>IFERROR(__xludf.DUMMYFUNCTION("IFERROR(FILTER('Fund Data'!$D:$D, 'Fund Data'!$C:$C = $A141, 'Fund Data'!$A:$A = Z$1, 'Fund Data'!$B:$B = 12),"""")"),"")</f>
        <v/>
      </c>
      <c r="AA141" t="str">
        <f>IFERROR(__xludf.DUMMYFUNCTION("IFERROR(FILTER('Fund Data'!$D:$D, 'Fund Data'!$C:$C = $A141, 'Fund Data'!$A:$A = AA$1, 'Fund Data'!$B:$B = 12),"""")"),"")</f>
        <v/>
      </c>
      <c r="AB141" t="str">
        <f>IFERROR(__xludf.DUMMYFUNCTION("IFERROR(FILTER('Fund Data'!$D:$D, 'Fund Data'!$C:$C = $A141, 'Fund Data'!$A:$A = AB$1, 'Fund Data'!$B:$B = 12),"""")"),"")</f>
        <v/>
      </c>
      <c r="AC141" t="str">
        <f>IFERROR(__xludf.DUMMYFUNCTION("IFERROR(FILTER('Fund Data'!$D:$D, 'Fund Data'!$C:$C = $A141, 'Fund Data'!$A:$A = AC$1, 'Fund Data'!$B:$B = 12),"""")"),"")</f>
        <v/>
      </c>
      <c r="AD141" t="str">
        <f>IFERROR(__xludf.DUMMYFUNCTION("IFERROR(FILTER('Fund Data'!$D:$D, 'Fund Data'!$C:$C = $A141, 'Fund Data'!$A:$A = AD$1, 'Fund Data'!$B:$B = 12),"""")"),"")</f>
        <v/>
      </c>
      <c r="AE141" t="str">
        <f>IFERROR(__xludf.DUMMYFUNCTION("IFERROR(FILTER('Fund Data'!$D:$D, 'Fund Data'!$C:$C = $A141, 'Fund Data'!$A:$A = AE$1, 'Fund Data'!$B:$B = 12),"""")"),"")</f>
        <v/>
      </c>
    </row>
    <row r="142">
      <c r="A142" s="145" t="str">
        <f>'Endowed Funds'!B:B</f>
        <v/>
      </c>
      <c r="B142" t="str">
        <f>IFERROR(__xludf.DUMMYFUNCTION("IFERROR(FILTER('Fund Data'!$D:$D, 'Fund Data'!$C:$C = $A142, 'Fund Data'!$A:$A = B$1, 'Fund Data'!$B:$B = 12),"""")"),"")</f>
        <v/>
      </c>
      <c r="C142" t="str">
        <f>IFERROR(__xludf.DUMMYFUNCTION("IFERROR(FILTER('Fund Data'!$D:$D, 'Fund Data'!$C:$C = $A142, 'Fund Data'!$A:$A = C$1, 'Fund Data'!$B:$B = 12),"""")"),"")</f>
        <v/>
      </c>
      <c r="D142" t="str">
        <f>IFERROR(__xludf.DUMMYFUNCTION("IFERROR(FILTER('Fund Data'!$D:$D, 'Fund Data'!$C:$C = $A142, 'Fund Data'!$A:$A = D$1, 'Fund Data'!$B:$B = 12),"""")"),"")</f>
        <v/>
      </c>
      <c r="E142" t="str">
        <f>IFERROR(__xludf.DUMMYFUNCTION("IFERROR(FILTER('Fund Data'!$D:$D, 'Fund Data'!$C:$C = $A142, 'Fund Data'!$A:$A = E$1, 'Fund Data'!$B:$B = 12),"""")"),"")</f>
        <v/>
      </c>
      <c r="F142" t="str">
        <f>IFERROR(__xludf.DUMMYFUNCTION("IFERROR(FILTER('Fund Data'!$D:$D, 'Fund Data'!$C:$C = $A142, 'Fund Data'!$A:$A = F$1, 'Fund Data'!$B:$B = 12),"""")"),"")</f>
        <v/>
      </c>
      <c r="G142" t="str">
        <f>IFERROR(__xludf.DUMMYFUNCTION("IFERROR(FILTER('Fund Data'!$D:$D, 'Fund Data'!$C:$C = $A142, 'Fund Data'!$A:$A = G$1, 'Fund Data'!$B:$B = 12),"""")"),"")</f>
        <v/>
      </c>
      <c r="H142" t="str">
        <f>IFERROR(__xludf.DUMMYFUNCTION("IFERROR(FILTER('Fund Data'!$D:$D, 'Fund Data'!$C:$C = $A142, 'Fund Data'!$A:$A = H$1, 'Fund Data'!$B:$B = 12),"""")"),"")</f>
        <v/>
      </c>
      <c r="I142" t="str">
        <f>IFERROR(__xludf.DUMMYFUNCTION("IFERROR(FILTER('Fund Data'!$D:$D, 'Fund Data'!$C:$C = $A142, 'Fund Data'!$A:$A = I$1, 'Fund Data'!$B:$B = 12),"""")"),"")</f>
        <v/>
      </c>
      <c r="J142" t="str">
        <f>IFERROR(__xludf.DUMMYFUNCTION("IFERROR(FILTER('Fund Data'!$D:$D, 'Fund Data'!$C:$C = $A142, 'Fund Data'!$A:$A = J$1, 'Fund Data'!$B:$B = 12),"""")"),"")</f>
        <v/>
      </c>
      <c r="K142" t="str">
        <f>IFERROR(__xludf.DUMMYFUNCTION("IFERROR(FILTER('Fund Data'!$D:$D, 'Fund Data'!$C:$C = $A142, 'Fund Data'!$A:$A = K$1, 'Fund Data'!$B:$B = 12),"""")"),"")</f>
        <v/>
      </c>
      <c r="L142" t="str">
        <f>IFERROR(__xludf.DUMMYFUNCTION("IFERROR(FILTER('Fund Data'!$D:$D, 'Fund Data'!$C:$C = $A142, 'Fund Data'!$A:$A = L$1, 'Fund Data'!$B:$B = 12),"""")"),"")</f>
        <v/>
      </c>
      <c r="M142" t="str">
        <f>IFERROR(__xludf.DUMMYFUNCTION("IFERROR(FILTER('Fund Data'!$D:$D, 'Fund Data'!$C:$C = $A142, 'Fund Data'!$A:$A = M$1, 'Fund Data'!$B:$B = 12),"""")"),"")</f>
        <v/>
      </c>
      <c r="N142" t="str">
        <f>IFERROR(__xludf.DUMMYFUNCTION("IFERROR(FILTER('Fund Data'!$D:$D, 'Fund Data'!$C:$C = $A142, 'Fund Data'!$A:$A = N$1, 'Fund Data'!$B:$B = 12),"""")"),"")</f>
        <v/>
      </c>
      <c r="O142" t="str">
        <f>IFERROR(__xludf.DUMMYFUNCTION("IFERROR(FILTER('Fund Data'!$D:$D, 'Fund Data'!$C:$C = $A142, 'Fund Data'!$A:$A = O$1, 'Fund Data'!$B:$B = 12),"""")"),"")</f>
        <v/>
      </c>
      <c r="P142" t="str">
        <f>IFERROR(__xludf.DUMMYFUNCTION("IFERROR(FILTER('Fund Data'!$D:$D, 'Fund Data'!$C:$C = $A142, 'Fund Data'!$A:$A = P$1, 'Fund Data'!$B:$B = 12),"""")"),"")</f>
        <v/>
      </c>
      <c r="Q142" t="str">
        <f>IFERROR(__xludf.DUMMYFUNCTION("IFERROR(FILTER('Fund Data'!$D:$D, 'Fund Data'!$C:$C = $A142, 'Fund Data'!$A:$A = Q$1, 'Fund Data'!$B:$B = 12),"""")"),"")</f>
        <v/>
      </c>
      <c r="R142" t="str">
        <f>IFERROR(__xludf.DUMMYFUNCTION("IFERROR(FILTER('Fund Data'!$D:$D, 'Fund Data'!$C:$C = $A142, 'Fund Data'!$A:$A = R$1, 'Fund Data'!$B:$B = 12),"""")"),"")</f>
        <v/>
      </c>
      <c r="S142" t="str">
        <f>IFERROR(__xludf.DUMMYFUNCTION("IFERROR(FILTER('Fund Data'!$D:$D, 'Fund Data'!$C:$C = $A142, 'Fund Data'!$A:$A = S$1, 'Fund Data'!$B:$B = 12),"""")"),"")</f>
        <v/>
      </c>
      <c r="T142" t="str">
        <f>IFERROR(__xludf.DUMMYFUNCTION("IFERROR(FILTER('Fund Data'!$D:$D, 'Fund Data'!$C:$C = $A142, 'Fund Data'!$A:$A = T$1, 'Fund Data'!$B:$B = 12),"""")"),"")</f>
        <v/>
      </c>
      <c r="U142" t="str">
        <f>IFERROR(__xludf.DUMMYFUNCTION("IFERROR(FILTER('Fund Data'!$D:$D, 'Fund Data'!$C:$C = $A142, 'Fund Data'!$A:$A = U$1, 'Fund Data'!$B:$B = 12),"""")"),"")</f>
        <v/>
      </c>
      <c r="V142" t="str">
        <f>IFERROR(__xludf.DUMMYFUNCTION("IFERROR(FILTER('Fund Data'!$D:$D, 'Fund Data'!$C:$C = $A142, 'Fund Data'!$A:$A = V$1, 'Fund Data'!$B:$B = 12),"""")"),"")</f>
        <v/>
      </c>
      <c r="W142" t="str">
        <f>IFERROR(__xludf.DUMMYFUNCTION("IFERROR(FILTER('Fund Data'!$D:$D, 'Fund Data'!$C:$C = $A142, 'Fund Data'!$A:$A = W$1, 'Fund Data'!$B:$B = 12),"""")"),"")</f>
        <v/>
      </c>
      <c r="X142" t="str">
        <f>IFERROR(__xludf.DUMMYFUNCTION("IFERROR(FILTER('Fund Data'!$D:$D, 'Fund Data'!$C:$C = $A142, 'Fund Data'!$A:$A = X$1, 'Fund Data'!$B:$B = 12),"""")"),"")</f>
        <v/>
      </c>
      <c r="Y142" t="str">
        <f>IFERROR(__xludf.DUMMYFUNCTION("IFERROR(FILTER('Fund Data'!$D:$D, 'Fund Data'!$C:$C = $A142, 'Fund Data'!$A:$A = Y$1, 'Fund Data'!$B:$B = 12),"""")"),"")</f>
        <v/>
      </c>
      <c r="Z142" t="str">
        <f>IFERROR(__xludf.DUMMYFUNCTION("IFERROR(FILTER('Fund Data'!$D:$D, 'Fund Data'!$C:$C = $A142, 'Fund Data'!$A:$A = Z$1, 'Fund Data'!$B:$B = 12),"""")"),"")</f>
        <v/>
      </c>
      <c r="AA142" t="str">
        <f>IFERROR(__xludf.DUMMYFUNCTION("IFERROR(FILTER('Fund Data'!$D:$D, 'Fund Data'!$C:$C = $A142, 'Fund Data'!$A:$A = AA$1, 'Fund Data'!$B:$B = 12),"""")"),"")</f>
        <v/>
      </c>
      <c r="AB142" t="str">
        <f>IFERROR(__xludf.DUMMYFUNCTION("IFERROR(FILTER('Fund Data'!$D:$D, 'Fund Data'!$C:$C = $A142, 'Fund Data'!$A:$A = AB$1, 'Fund Data'!$B:$B = 12),"""")"),"")</f>
        <v/>
      </c>
      <c r="AC142" t="str">
        <f>IFERROR(__xludf.DUMMYFUNCTION("IFERROR(FILTER('Fund Data'!$D:$D, 'Fund Data'!$C:$C = $A142, 'Fund Data'!$A:$A = AC$1, 'Fund Data'!$B:$B = 12),"""")"),"")</f>
        <v/>
      </c>
      <c r="AD142" t="str">
        <f>IFERROR(__xludf.DUMMYFUNCTION("IFERROR(FILTER('Fund Data'!$D:$D, 'Fund Data'!$C:$C = $A142, 'Fund Data'!$A:$A = AD$1, 'Fund Data'!$B:$B = 12),"""")"),"")</f>
        <v/>
      </c>
      <c r="AE142" t="str">
        <f>IFERROR(__xludf.DUMMYFUNCTION("IFERROR(FILTER('Fund Data'!$D:$D, 'Fund Data'!$C:$C = $A142, 'Fund Data'!$A:$A = AE$1, 'Fund Data'!$B:$B = 12),"""")"),"")</f>
        <v/>
      </c>
    </row>
    <row r="143">
      <c r="A143" s="145" t="str">
        <f>'Endowed Funds'!B:B</f>
        <v/>
      </c>
      <c r="B143" t="str">
        <f>IFERROR(__xludf.DUMMYFUNCTION("IFERROR(FILTER('Fund Data'!$D:$D, 'Fund Data'!$C:$C = $A143, 'Fund Data'!$A:$A = B$1, 'Fund Data'!$B:$B = 12),"""")"),"")</f>
        <v/>
      </c>
      <c r="C143" t="str">
        <f>IFERROR(__xludf.DUMMYFUNCTION("IFERROR(FILTER('Fund Data'!$D:$D, 'Fund Data'!$C:$C = $A143, 'Fund Data'!$A:$A = C$1, 'Fund Data'!$B:$B = 12),"""")"),"")</f>
        <v/>
      </c>
      <c r="D143" t="str">
        <f>IFERROR(__xludf.DUMMYFUNCTION("IFERROR(FILTER('Fund Data'!$D:$D, 'Fund Data'!$C:$C = $A143, 'Fund Data'!$A:$A = D$1, 'Fund Data'!$B:$B = 12),"""")"),"")</f>
        <v/>
      </c>
      <c r="E143" t="str">
        <f>IFERROR(__xludf.DUMMYFUNCTION("IFERROR(FILTER('Fund Data'!$D:$D, 'Fund Data'!$C:$C = $A143, 'Fund Data'!$A:$A = E$1, 'Fund Data'!$B:$B = 12),"""")"),"")</f>
        <v/>
      </c>
      <c r="F143" t="str">
        <f>IFERROR(__xludf.DUMMYFUNCTION("IFERROR(FILTER('Fund Data'!$D:$D, 'Fund Data'!$C:$C = $A143, 'Fund Data'!$A:$A = F$1, 'Fund Data'!$B:$B = 12),"""")"),"")</f>
        <v/>
      </c>
      <c r="G143" t="str">
        <f>IFERROR(__xludf.DUMMYFUNCTION("IFERROR(FILTER('Fund Data'!$D:$D, 'Fund Data'!$C:$C = $A143, 'Fund Data'!$A:$A = G$1, 'Fund Data'!$B:$B = 12),"""")"),"")</f>
        <v/>
      </c>
      <c r="H143" t="str">
        <f>IFERROR(__xludf.DUMMYFUNCTION("IFERROR(FILTER('Fund Data'!$D:$D, 'Fund Data'!$C:$C = $A143, 'Fund Data'!$A:$A = H$1, 'Fund Data'!$B:$B = 12),"""")"),"")</f>
        <v/>
      </c>
      <c r="I143" t="str">
        <f>IFERROR(__xludf.DUMMYFUNCTION("IFERROR(FILTER('Fund Data'!$D:$D, 'Fund Data'!$C:$C = $A143, 'Fund Data'!$A:$A = I$1, 'Fund Data'!$B:$B = 12),"""")"),"")</f>
        <v/>
      </c>
      <c r="J143" t="str">
        <f>IFERROR(__xludf.DUMMYFUNCTION("IFERROR(FILTER('Fund Data'!$D:$D, 'Fund Data'!$C:$C = $A143, 'Fund Data'!$A:$A = J$1, 'Fund Data'!$B:$B = 12),"""")"),"")</f>
        <v/>
      </c>
      <c r="K143" t="str">
        <f>IFERROR(__xludf.DUMMYFUNCTION("IFERROR(FILTER('Fund Data'!$D:$D, 'Fund Data'!$C:$C = $A143, 'Fund Data'!$A:$A = K$1, 'Fund Data'!$B:$B = 12),"""")"),"")</f>
        <v/>
      </c>
      <c r="L143" t="str">
        <f>IFERROR(__xludf.DUMMYFUNCTION("IFERROR(FILTER('Fund Data'!$D:$D, 'Fund Data'!$C:$C = $A143, 'Fund Data'!$A:$A = L$1, 'Fund Data'!$B:$B = 12),"""")"),"")</f>
        <v/>
      </c>
      <c r="M143" t="str">
        <f>IFERROR(__xludf.DUMMYFUNCTION("IFERROR(FILTER('Fund Data'!$D:$D, 'Fund Data'!$C:$C = $A143, 'Fund Data'!$A:$A = M$1, 'Fund Data'!$B:$B = 12),"""")"),"")</f>
        <v/>
      </c>
      <c r="N143" t="str">
        <f>IFERROR(__xludf.DUMMYFUNCTION("IFERROR(FILTER('Fund Data'!$D:$D, 'Fund Data'!$C:$C = $A143, 'Fund Data'!$A:$A = N$1, 'Fund Data'!$B:$B = 12),"""")"),"")</f>
        <v/>
      </c>
      <c r="O143" t="str">
        <f>IFERROR(__xludf.DUMMYFUNCTION("IFERROR(FILTER('Fund Data'!$D:$D, 'Fund Data'!$C:$C = $A143, 'Fund Data'!$A:$A = O$1, 'Fund Data'!$B:$B = 12),"""")"),"")</f>
        <v/>
      </c>
      <c r="P143" t="str">
        <f>IFERROR(__xludf.DUMMYFUNCTION("IFERROR(FILTER('Fund Data'!$D:$D, 'Fund Data'!$C:$C = $A143, 'Fund Data'!$A:$A = P$1, 'Fund Data'!$B:$B = 12),"""")"),"")</f>
        <v/>
      </c>
      <c r="Q143" t="str">
        <f>IFERROR(__xludf.DUMMYFUNCTION("IFERROR(FILTER('Fund Data'!$D:$D, 'Fund Data'!$C:$C = $A143, 'Fund Data'!$A:$A = Q$1, 'Fund Data'!$B:$B = 12),"""")"),"")</f>
        <v/>
      </c>
      <c r="R143" t="str">
        <f>IFERROR(__xludf.DUMMYFUNCTION("IFERROR(FILTER('Fund Data'!$D:$D, 'Fund Data'!$C:$C = $A143, 'Fund Data'!$A:$A = R$1, 'Fund Data'!$B:$B = 12),"""")"),"")</f>
        <v/>
      </c>
      <c r="S143" t="str">
        <f>IFERROR(__xludf.DUMMYFUNCTION("IFERROR(FILTER('Fund Data'!$D:$D, 'Fund Data'!$C:$C = $A143, 'Fund Data'!$A:$A = S$1, 'Fund Data'!$B:$B = 12),"""")"),"")</f>
        <v/>
      </c>
      <c r="T143" t="str">
        <f>IFERROR(__xludf.DUMMYFUNCTION("IFERROR(FILTER('Fund Data'!$D:$D, 'Fund Data'!$C:$C = $A143, 'Fund Data'!$A:$A = T$1, 'Fund Data'!$B:$B = 12),"""")"),"")</f>
        <v/>
      </c>
      <c r="U143" t="str">
        <f>IFERROR(__xludf.DUMMYFUNCTION("IFERROR(FILTER('Fund Data'!$D:$D, 'Fund Data'!$C:$C = $A143, 'Fund Data'!$A:$A = U$1, 'Fund Data'!$B:$B = 12),"""")"),"")</f>
        <v/>
      </c>
      <c r="V143" t="str">
        <f>IFERROR(__xludf.DUMMYFUNCTION("IFERROR(FILTER('Fund Data'!$D:$D, 'Fund Data'!$C:$C = $A143, 'Fund Data'!$A:$A = V$1, 'Fund Data'!$B:$B = 12),"""")"),"")</f>
        <v/>
      </c>
      <c r="W143" t="str">
        <f>IFERROR(__xludf.DUMMYFUNCTION("IFERROR(FILTER('Fund Data'!$D:$D, 'Fund Data'!$C:$C = $A143, 'Fund Data'!$A:$A = W$1, 'Fund Data'!$B:$B = 12),"""")"),"")</f>
        <v/>
      </c>
      <c r="X143" t="str">
        <f>IFERROR(__xludf.DUMMYFUNCTION("IFERROR(FILTER('Fund Data'!$D:$D, 'Fund Data'!$C:$C = $A143, 'Fund Data'!$A:$A = X$1, 'Fund Data'!$B:$B = 12),"""")"),"")</f>
        <v/>
      </c>
      <c r="Y143" t="str">
        <f>IFERROR(__xludf.DUMMYFUNCTION("IFERROR(FILTER('Fund Data'!$D:$D, 'Fund Data'!$C:$C = $A143, 'Fund Data'!$A:$A = Y$1, 'Fund Data'!$B:$B = 12),"""")"),"")</f>
        <v/>
      </c>
      <c r="Z143" t="str">
        <f>IFERROR(__xludf.DUMMYFUNCTION("IFERROR(FILTER('Fund Data'!$D:$D, 'Fund Data'!$C:$C = $A143, 'Fund Data'!$A:$A = Z$1, 'Fund Data'!$B:$B = 12),"""")"),"")</f>
        <v/>
      </c>
      <c r="AA143" t="str">
        <f>IFERROR(__xludf.DUMMYFUNCTION("IFERROR(FILTER('Fund Data'!$D:$D, 'Fund Data'!$C:$C = $A143, 'Fund Data'!$A:$A = AA$1, 'Fund Data'!$B:$B = 12),"""")"),"")</f>
        <v/>
      </c>
      <c r="AB143" t="str">
        <f>IFERROR(__xludf.DUMMYFUNCTION("IFERROR(FILTER('Fund Data'!$D:$D, 'Fund Data'!$C:$C = $A143, 'Fund Data'!$A:$A = AB$1, 'Fund Data'!$B:$B = 12),"""")"),"")</f>
        <v/>
      </c>
      <c r="AC143" t="str">
        <f>IFERROR(__xludf.DUMMYFUNCTION("IFERROR(FILTER('Fund Data'!$D:$D, 'Fund Data'!$C:$C = $A143, 'Fund Data'!$A:$A = AC$1, 'Fund Data'!$B:$B = 12),"""")"),"")</f>
        <v/>
      </c>
      <c r="AD143" t="str">
        <f>IFERROR(__xludf.DUMMYFUNCTION("IFERROR(FILTER('Fund Data'!$D:$D, 'Fund Data'!$C:$C = $A143, 'Fund Data'!$A:$A = AD$1, 'Fund Data'!$B:$B = 12),"""")"),"")</f>
        <v/>
      </c>
      <c r="AE143" t="str">
        <f>IFERROR(__xludf.DUMMYFUNCTION("IFERROR(FILTER('Fund Data'!$D:$D, 'Fund Data'!$C:$C = $A143, 'Fund Data'!$A:$A = AE$1, 'Fund Data'!$B:$B = 12),"""")"),"")</f>
        <v/>
      </c>
    </row>
    <row r="144">
      <c r="A144" s="145" t="str">
        <f>'Endowed Funds'!B:B</f>
        <v/>
      </c>
      <c r="B144" t="str">
        <f>IFERROR(__xludf.DUMMYFUNCTION("IFERROR(FILTER('Fund Data'!$D:$D, 'Fund Data'!$C:$C = $A144, 'Fund Data'!$A:$A = B$1, 'Fund Data'!$B:$B = 12),"""")"),"")</f>
        <v/>
      </c>
      <c r="C144" t="str">
        <f>IFERROR(__xludf.DUMMYFUNCTION("IFERROR(FILTER('Fund Data'!$D:$D, 'Fund Data'!$C:$C = $A144, 'Fund Data'!$A:$A = C$1, 'Fund Data'!$B:$B = 12),"""")"),"")</f>
        <v/>
      </c>
      <c r="D144" t="str">
        <f>IFERROR(__xludf.DUMMYFUNCTION("IFERROR(FILTER('Fund Data'!$D:$D, 'Fund Data'!$C:$C = $A144, 'Fund Data'!$A:$A = D$1, 'Fund Data'!$B:$B = 12),"""")"),"")</f>
        <v/>
      </c>
      <c r="E144" t="str">
        <f>IFERROR(__xludf.DUMMYFUNCTION("IFERROR(FILTER('Fund Data'!$D:$D, 'Fund Data'!$C:$C = $A144, 'Fund Data'!$A:$A = E$1, 'Fund Data'!$B:$B = 12),"""")"),"")</f>
        <v/>
      </c>
      <c r="F144" t="str">
        <f>IFERROR(__xludf.DUMMYFUNCTION("IFERROR(FILTER('Fund Data'!$D:$D, 'Fund Data'!$C:$C = $A144, 'Fund Data'!$A:$A = F$1, 'Fund Data'!$B:$B = 12),"""")"),"")</f>
        <v/>
      </c>
      <c r="G144" t="str">
        <f>IFERROR(__xludf.DUMMYFUNCTION("IFERROR(FILTER('Fund Data'!$D:$D, 'Fund Data'!$C:$C = $A144, 'Fund Data'!$A:$A = G$1, 'Fund Data'!$B:$B = 12),"""")"),"")</f>
        <v/>
      </c>
      <c r="H144" t="str">
        <f>IFERROR(__xludf.DUMMYFUNCTION("IFERROR(FILTER('Fund Data'!$D:$D, 'Fund Data'!$C:$C = $A144, 'Fund Data'!$A:$A = H$1, 'Fund Data'!$B:$B = 12),"""")"),"")</f>
        <v/>
      </c>
      <c r="I144" t="str">
        <f>IFERROR(__xludf.DUMMYFUNCTION("IFERROR(FILTER('Fund Data'!$D:$D, 'Fund Data'!$C:$C = $A144, 'Fund Data'!$A:$A = I$1, 'Fund Data'!$B:$B = 12),"""")"),"")</f>
        <v/>
      </c>
      <c r="J144" t="str">
        <f>IFERROR(__xludf.DUMMYFUNCTION("IFERROR(FILTER('Fund Data'!$D:$D, 'Fund Data'!$C:$C = $A144, 'Fund Data'!$A:$A = J$1, 'Fund Data'!$B:$B = 12),"""")"),"")</f>
        <v/>
      </c>
      <c r="K144" t="str">
        <f>IFERROR(__xludf.DUMMYFUNCTION("IFERROR(FILTER('Fund Data'!$D:$D, 'Fund Data'!$C:$C = $A144, 'Fund Data'!$A:$A = K$1, 'Fund Data'!$B:$B = 12),"""")"),"")</f>
        <v/>
      </c>
      <c r="L144" t="str">
        <f>IFERROR(__xludf.DUMMYFUNCTION("IFERROR(FILTER('Fund Data'!$D:$D, 'Fund Data'!$C:$C = $A144, 'Fund Data'!$A:$A = L$1, 'Fund Data'!$B:$B = 12),"""")"),"")</f>
        <v/>
      </c>
      <c r="M144" t="str">
        <f>IFERROR(__xludf.DUMMYFUNCTION("IFERROR(FILTER('Fund Data'!$D:$D, 'Fund Data'!$C:$C = $A144, 'Fund Data'!$A:$A = M$1, 'Fund Data'!$B:$B = 12),"""")"),"")</f>
        <v/>
      </c>
      <c r="N144" t="str">
        <f>IFERROR(__xludf.DUMMYFUNCTION("IFERROR(FILTER('Fund Data'!$D:$D, 'Fund Data'!$C:$C = $A144, 'Fund Data'!$A:$A = N$1, 'Fund Data'!$B:$B = 12),"""")"),"")</f>
        <v/>
      </c>
      <c r="O144" t="str">
        <f>IFERROR(__xludf.DUMMYFUNCTION("IFERROR(FILTER('Fund Data'!$D:$D, 'Fund Data'!$C:$C = $A144, 'Fund Data'!$A:$A = O$1, 'Fund Data'!$B:$B = 12),"""")"),"")</f>
        <v/>
      </c>
      <c r="P144" t="str">
        <f>IFERROR(__xludf.DUMMYFUNCTION("IFERROR(FILTER('Fund Data'!$D:$D, 'Fund Data'!$C:$C = $A144, 'Fund Data'!$A:$A = P$1, 'Fund Data'!$B:$B = 12),"""")"),"")</f>
        <v/>
      </c>
      <c r="Q144" t="str">
        <f>IFERROR(__xludf.DUMMYFUNCTION("IFERROR(FILTER('Fund Data'!$D:$D, 'Fund Data'!$C:$C = $A144, 'Fund Data'!$A:$A = Q$1, 'Fund Data'!$B:$B = 12),"""")"),"")</f>
        <v/>
      </c>
      <c r="R144" t="str">
        <f>IFERROR(__xludf.DUMMYFUNCTION("IFERROR(FILTER('Fund Data'!$D:$D, 'Fund Data'!$C:$C = $A144, 'Fund Data'!$A:$A = R$1, 'Fund Data'!$B:$B = 12),"""")"),"")</f>
        <v/>
      </c>
      <c r="S144" t="str">
        <f>IFERROR(__xludf.DUMMYFUNCTION("IFERROR(FILTER('Fund Data'!$D:$D, 'Fund Data'!$C:$C = $A144, 'Fund Data'!$A:$A = S$1, 'Fund Data'!$B:$B = 12),"""")"),"")</f>
        <v/>
      </c>
      <c r="T144" t="str">
        <f>IFERROR(__xludf.DUMMYFUNCTION("IFERROR(FILTER('Fund Data'!$D:$D, 'Fund Data'!$C:$C = $A144, 'Fund Data'!$A:$A = T$1, 'Fund Data'!$B:$B = 12),"""")"),"")</f>
        <v/>
      </c>
      <c r="U144" t="str">
        <f>IFERROR(__xludf.DUMMYFUNCTION("IFERROR(FILTER('Fund Data'!$D:$D, 'Fund Data'!$C:$C = $A144, 'Fund Data'!$A:$A = U$1, 'Fund Data'!$B:$B = 12),"""")"),"")</f>
        <v/>
      </c>
      <c r="V144" t="str">
        <f>IFERROR(__xludf.DUMMYFUNCTION("IFERROR(FILTER('Fund Data'!$D:$D, 'Fund Data'!$C:$C = $A144, 'Fund Data'!$A:$A = V$1, 'Fund Data'!$B:$B = 12),"""")"),"")</f>
        <v/>
      </c>
      <c r="W144" t="str">
        <f>IFERROR(__xludf.DUMMYFUNCTION("IFERROR(FILTER('Fund Data'!$D:$D, 'Fund Data'!$C:$C = $A144, 'Fund Data'!$A:$A = W$1, 'Fund Data'!$B:$B = 12),"""")"),"")</f>
        <v/>
      </c>
      <c r="X144" t="str">
        <f>IFERROR(__xludf.DUMMYFUNCTION("IFERROR(FILTER('Fund Data'!$D:$D, 'Fund Data'!$C:$C = $A144, 'Fund Data'!$A:$A = X$1, 'Fund Data'!$B:$B = 12),"""")"),"")</f>
        <v/>
      </c>
      <c r="Y144" t="str">
        <f>IFERROR(__xludf.DUMMYFUNCTION("IFERROR(FILTER('Fund Data'!$D:$D, 'Fund Data'!$C:$C = $A144, 'Fund Data'!$A:$A = Y$1, 'Fund Data'!$B:$B = 12),"""")"),"")</f>
        <v/>
      </c>
      <c r="Z144" t="str">
        <f>IFERROR(__xludf.DUMMYFUNCTION("IFERROR(FILTER('Fund Data'!$D:$D, 'Fund Data'!$C:$C = $A144, 'Fund Data'!$A:$A = Z$1, 'Fund Data'!$B:$B = 12),"""")"),"")</f>
        <v/>
      </c>
      <c r="AA144" t="str">
        <f>IFERROR(__xludf.DUMMYFUNCTION("IFERROR(FILTER('Fund Data'!$D:$D, 'Fund Data'!$C:$C = $A144, 'Fund Data'!$A:$A = AA$1, 'Fund Data'!$B:$B = 12),"""")"),"")</f>
        <v/>
      </c>
      <c r="AB144" t="str">
        <f>IFERROR(__xludf.DUMMYFUNCTION("IFERROR(FILTER('Fund Data'!$D:$D, 'Fund Data'!$C:$C = $A144, 'Fund Data'!$A:$A = AB$1, 'Fund Data'!$B:$B = 12),"""")"),"")</f>
        <v/>
      </c>
      <c r="AC144" t="str">
        <f>IFERROR(__xludf.DUMMYFUNCTION("IFERROR(FILTER('Fund Data'!$D:$D, 'Fund Data'!$C:$C = $A144, 'Fund Data'!$A:$A = AC$1, 'Fund Data'!$B:$B = 12),"""")"),"")</f>
        <v/>
      </c>
      <c r="AD144" t="str">
        <f>IFERROR(__xludf.DUMMYFUNCTION("IFERROR(FILTER('Fund Data'!$D:$D, 'Fund Data'!$C:$C = $A144, 'Fund Data'!$A:$A = AD$1, 'Fund Data'!$B:$B = 12),"""")"),"")</f>
        <v/>
      </c>
      <c r="AE144" t="str">
        <f>IFERROR(__xludf.DUMMYFUNCTION("IFERROR(FILTER('Fund Data'!$D:$D, 'Fund Data'!$C:$C = $A144, 'Fund Data'!$A:$A = AE$1, 'Fund Data'!$B:$B = 12),"""")"),"")</f>
        <v/>
      </c>
    </row>
    <row r="145">
      <c r="A145" s="145" t="str">
        <f>'Endowed Funds'!B:B</f>
        <v/>
      </c>
      <c r="B145" t="str">
        <f>IFERROR(__xludf.DUMMYFUNCTION("IFERROR(FILTER('Fund Data'!$D:$D, 'Fund Data'!$C:$C = $A145, 'Fund Data'!$A:$A = B$1, 'Fund Data'!$B:$B = 12),"""")"),"")</f>
        <v/>
      </c>
      <c r="C145" t="str">
        <f>IFERROR(__xludf.DUMMYFUNCTION("IFERROR(FILTER('Fund Data'!$D:$D, 'Fund Data'!$C:$C = $A145, 'Fund Data'!$A:$A = C$1, 'Fund Data'!$B:$B = 12),"""")"),"")</f>
        <v/>
      </c>
      <c r="D145" t="str">
        <f>IFERROR(__xludf.DUMMYFUNCTION("IFERROR(FILTER('Fund Data'!$D:$D, 'Fund Data'!$C:$C = $A145, 'Fund Data'!$A:$A = D$1, 'Fund Data'!$B:$B = 12),"""")"),"")</f>
        <v/>
      </c>
      <c r="E145" t="str">
        <f>IFERROR(__xludf.DUMMYFUNCTION("IFERROR(FILTER('Fund Data'!$D:$D, 'Fund Data'!$C:$C = $A145, 'Fund Data'!$A:$A = E$1, 'Fund Data'!$B:$B = 12),"""")"),"")</f>
        <v/>
      </c>
      <c r="F145" t="str">
        <f>IFERROR(__xludf.DUMMYFUNCTION("IFERROR(FILTER('Fund Data'!$D:$D, 'Fund Data'!$C:$C = $A145, 'Fund Data'!$A:$A = F$1, 'Fund Data'!$B:$B = 12),"""")"),"")</f>
        <v/>
      </c>
      <c r="G145" t="str">
        <f>IFERROR(__xludf.DUMMYFUNCTION("IFERROR(FILTER('Fund Data'!$D:$D, 'Fund Data'!$C:$C = $A145, 'Fund Data'!$A:$A = G$1, 'Fund Data'!$B:$B = 12),"""")"),"")</f>
        <v/>
      </c>
      <c r="H145" t="str">
        <f>IFERROR(__xludf.DUMMYFUNCTION("IFERROR(FILTER('Fund Data'!$D:$D, 'Fund Data'!$C:$C = $A145, 'Fund Data'!$A:$A = H$1, 'Fund Data'!$B:$B = 12),"""")"),"")</f>
        <v/>
      </c>
      <c r="I145" t="str">
        <f>IFERROR(__xludf.DUMMYFUNCTION("IFERROR(FILTER('Fund Data'!$D:$D, 'Fund Data'!$C:$C = $A145, 'Fund Data'!$A:$A = I$1, 'Fund Data'!$B:$B = 12),"""")"),"")</f>
        <v/>
      </c>
      <c r="J145" t="str">
        <f>IFERROR(__xludf.DUMMYFUNCTION("IFERROR(FILTER('Fund Data'!$D:$D, 'Fund Data'!$C:$C = $A145, 'Fund Data'!$A:$A = J$1, 'Fund Data'!$B:$B = 12),"""")"),"")</f>
        <v/>
      </c>
      <c r="K145" t="str">
        <f>IFERROR(__xludf.DUMMYFUNCTION("IFERROR(FILTER('Fund Data'!$D:$D, 'Fund Data'!$C:$C = $A145, 'Fund Data'!$A:$A = K$1, 'Fund Data'!$B:$B = 12),"""")"),"")</f>
        <v/>
      </c>
      <c r="L145" t="str">
        <f>IFERROR(__xludf.DUMMYFUNCTION("IFERROR(FILTER('Fund Data'!$D:$D, 'Fund Data'!$C:$C = $A145, 'Fund Data'!$A:$A = L$1, 'Fund Data'!$B:$B = 12),"""")"),"")</f>
        <v/>
      </c>
      <c r="M145" t="str">
        <f>IFERROR(__xludf.DUMMYFUNCTION("IFERROR(FILTER('Fund Data'!$D:$D, 'Fund Data'!$C:$C = $A145, 'Fund Data'!$A:$A = M$1, 'Fund Data'!$B:$B = 12),"""")"),"")</f>
        <v/>
      </c>
      <c r="N145" t="str">
        <f>IFERROR(__xludf.DUMMYFUNCTION("IFERROR(FILTER('Fund Data'!$D:$D, 'Fund Data'!$C:$C = $A145, 'Fund Data'!$A:$A = N$1, 'Fund Data'!$B:$B = 12),"""")"),"")</f>
        <v/>
      </c>
      <c r="O145" t="str">
        <f>IFERROR(__xludf.DUMMYFUNCTION("IFERROR(FILTER('Fund Data'!$D:$D, 'Fund Data'!$C:$C = $A145, 'Fund Data'!$A:$A = O$1, 'Fund Data'!$B:$B = 12),"""")"),"")</f>
        <v/>
      </c>
      <c r="P145" t="str">
        <f>IFERROR(__xludf.DUMMYFUNCTION("IFERROR(FILTER('Fund Data'!$D:$D, 'Fund Data'!$C:$C = $A145, 'Fund Data'!$A:$A = P$1, 'Fund Data'!$B:$B = 12),"""")"),"")</f>
        <v/>
      </c>
      <c r="Q145" t="str">
        <f>IFERROR(__xludf.DUMMYFUNCTION("IFERROR(FILTER('Fund Data'!$D:$D, 'Fund Data'!$C:$C = $A145, 'Fund Data'!$A:$A = Q$1, 'Fund Data'!$B:$B = 12),"""")"),"")</f>
        <v/>
      </c>
      <c r="R145" t="str">
        <f>IFERROR(__xludf.DUMMYFUNCTION("IFERROR(FILTER('Fund Data'!$D:$D, 'Fund Data'!$C:$C = $A145, 'Fund Data'!$A:$A = R$1, 'Fund Data'!$B:$B = 12),"""")"),"")</f>
        <v/>
      </c>
      <c r="S145" t="str">
        <f>IFERROR(__xludf.DUMMYFUNCTION("IFERROR(FILTER('Fund Data'!$D:$D, 'Fund Data'!$C:$C = $A145, 'Fund Data'!$A:$A = S$1, 'Fund Data'!$B:$B = 12),"""")"),"")</f>
        <v/>
      </c>
      <c r="T145" t="str">
        <f>IFERROR(__xludf.DUMMYFUNCTION("IFERROR(FILTER('Fund Data'!$D:$D, 'Fund Data'!$C:$C = $A145, 'Fund Data'!$A:$A = T$1, 'Fund Data'!$B:$B = 12),"""")"),"")</f>
        <v/>
      </c>
      <c r="U145" t="str">
        <f>IFERROR(__xludf.DUMMYFUNCTION("IFERROR(FILTER('Fund Data'!$D:$D, 'Fund Data'!$C:$C = $A145, 'Fund Data'!$A:$A = U$1, 'Fund Data'!$B:$B = 12),"""")"),"")</f>
        <v/>
      </c>
      <c r="V145" t="str">
        <f>IFERROR(__xludf.DUMMYFUNCTION("IFERROR(FILTER('Fund Data'!$D:$D, 'Fund Data'!$C:$C = $A145, 'Fund Data'!$A:$A = V$1, 'Fund Data'!$B:$B = 12),"""")"),"")</f>
        <v/>
      </c>
      <c r="W145" t="str">
        <f>IFERROR(__xludf.DUMMYFUNCTION("IFERROR(FILTER('Fund Data'!$D:$D, 'Fund Data'!$C:$C = $A145, 'Fund Data'!$A:$A = W$1, 'Fund Data'!$B:$B = 12),"""")"),"")</f>
        <v/>
      </c>
      <c r="X145" t="str">
        <f>IFERROR(__xludf.DUMMYFUNCTION("IFERROR(FILTER('Fund Data'!$D:$D, 'Fund Data'!$C:$C = $A145, 'Fund Data'!$A:$A = X$1, 'Fund Data'!$B:$B = 12),"""")"),"")</f>
        <v/>
      </c>
      <c r="Y145" t="str">
        <f>IFERROR(__xludf.DUMMYFUNCTION("IFERROR(FILTER('Fund Data'!$D:$D, 'Fund Data'!$C:$C = $A145, 'Fund Data'!$A:$A = Y$1, 'Fund Data'!$B:$B = 12),"""")"),"")</f>
        <v/>
      </c>
      <c r="Z145" t="str">
        <f>IFERROR(__xludf.DUMMYFUNCTION("IFERROR(FILTER('Fund Data'!$D:$D, 'Fund Data'!$C:$C = $A145, 'Fund Data'!$A:$A = Z$1, 'Fund Data'!$B:$B = 12),"""")"),"")</f>
        <v/>
      </c>
      <c r="AA145" t="str">
        <f>IFERROR(__xludf.DUMMYFUNCTION("IFERROR(FILTER('Fund Data'!$D:$D, 'Fund Data'!$C:$C = $A145, 'Fund Data'!$A:$A = AA$1, 'Fund Data'!$B:$B = 12),"""")"),"")</f>
        <v/>
      </c>
      <c r="AB145" t="str">
        <f>IFERROR(__xludf.DUMMYFUNCTION("IFERROR(FILTER('Fund Data'!$D:$D, 'Fund Data'!$C:$C = $A145, 'Fund Data'!$A:$A = AB$1, 'Fund Data'!$B:$B = 12),"""")"),"")</f>
        <v/>
      </c>
      <c r="AC145" t="str">
        <f>IFERROR(__xludf.DUMMYFUNCTION("IFERROR(FILTER('Fund Data'!$D:$D, 'Fund Data'!$C:$C = $A145, 'Fund Data'!$A:$A = AC$1, 'Fund Data'!$B:$B = 12),"""")"),"")</f>
        <v/>
      </c>
      <c r="AD145" t="str">
        <f>IFERROR(__xludf.DUMMYFUNCTION("IFERROR(FILTER('Fund Data'!$D:$D, 'Fund Data'!$C:$C = $A145, 'Fund Data'!$A:$A = AD$1, 'Fund Data'!$B:$B = 12),"""")"),"")</f>
        <v/>
      </c>
      <c r="AE145" t="str">
        <f>IFERROR(__xludf.DUMMYFUNCTION("IFERROR(FILTER('Fund Data'!$D:$D, 'Fund Data'!$C:$C = $A145, 'Fund Data'!$A:$A = AE$1, 'Fund Data'!$B:$B = 12),"""")"),"")</f>
        <v/>
      </c>
    </row>
    <row r="146">
      <c r="A146" s="145" t="str">
        <f>'Endowed Funds'!B:B</f>
        <v/>
      </c>
      <c r="B146" t="str">
        <f>IFERROR(__xludf.DUMMYFUNCTION("IFERROR(FILTER('Fund Data'!$D:$D, 'Fund Data'!$C:$C = $A146, 'Fund Data'!$A:$A = B$1, 'Fund Data'!$B:$B = 12),"""")"),"")</f>
        <v/>
      </c>
      <c r="C146" t="str">
        <f>IFERROR(__xludf.DUMMYFUNCTION("IFERROR(FILTER('Fund Data'!$D:$D, 'Fund Data'!$C:$C = $A146, 'Fund Data'!$A:$A = C$1, 'Fund Data'!$B:$B = 12),"""")"),"")</f>
        <v/>
      </c>
      <c r="D146" t="str">
        <f>IFERROR(__xludf.DUMMYFUNCTION("IFERROR(FILTER('Fund Data'!$D:$D, 'Fund Data'!$C:$C = $A146, 'Fund Data'!$A:$A = D$1, 'Fund Data'!$B:$B = 12),"""")"),"")</f>
        <v/>
      </c>
      <c r="E146" t="str">
        <f>IFERROR(__xludf.DUMMYFUNCTION("IFERROR(FILTER('Fund Data'!$D:$D, 'Fund Data'!$C:$C = $A146, 'Fund Data'!$A:$A = E$1, 'Fund Data'!$B:$B = 12),"""")"),"")</f>
        <v/>
      </c>
      <c r="F146" t="str">
        <f>IFERROR(__xludf.DUMMYFUNCTION("IFERROR(FILTER('Fund Data'!$D:$D, 'Fund Data'!$C:$C = $A146, 'Fund Data'!$A:$A = F$1, 'Fund Data'!$B:$B = 12),"""")"),"")</f>
        <v/>
      </c>
      <c r="G146" t="str">
        <f>IFERROR(__xludf.DUMMYFUNCTION("IFERROR(FILTER('Fund Data'!$D:$D, 'Fund Data'!$C:$C = $A146, 'Fund Data'!$A:$A = G$1, 'Fund Data'!$B:$B = 12),"""")"),"")</f>
        <v/>
      </c>
      <c r="H146" t="str">
        <f>IFERROR(__xludf.DUMMYFUNCTION("IFERROR(FILTER('Fund Data'!$D:$D, 'Fund Data'!$C:$C = $A146, 'Fund Data'!$A:$A = H$1, 'Fund Data'!$B:$B = 12),"""")"),"")</f>
        <v/>
      </c>
      <c r="I146" t="str">
        <f>IFERROR(__xludf.DUMMYFUNCTION("IFERROR(FILTER('Fund Data'!$D:$D, 'Fund Data'!$C:$C = $A146, 'Fund Data'!$A:$A = I$1, 'Fund Data'!$B:$B = 12),"""")"),"")</f>
        <v/>
      </c>
      <c r="J146" t="str">
        <f>IFERROR(__xludf.DUMMYFUNCTION("IFERROR(FILTER('Fund Data'!$D:$D, 'Fund Data'!$C:$C = $A146, 'Fund Data'!$A:$A = J$1, 'Fund Data'!$B:$B = 12),"""")"),"")</f>
        <v/>
      </c>
      <c r="K146" t="str">
        <f>IFERROR(__xludf.DUMMYFUNCTION("IFERROR(FILTER('Fund Data'!$D:$D, 'Fund Data'!$C:$C = $A146, 'Fund Data'!$A:$A = K$1, 'Fund Data'!$B:$B = 12),"""")"),"")</f>
        <v/>
      </c>
      <c r="L146" t="str">
        <f>IFERROR(__xludf.DUMMYFUNCTION("IFERROR(FILTER('Fund Data'!$D:$D, 'Fund Data'!$C:$C = $A146, 'Fund Data'!$A:$A = L$1, 'Fund Data'!$B:$B = 12),"""")"),"")</f>
        <v/>
      </c>
      <c r="M146" t="str">
        <f>IFERROR(__xludf.DUMMYFUNCTION("IFERROR(FILTER('Fund Data'!$D:$D, 'Fund Data'!$C:$C = $A146, 'Fund Data'!$A:$A = M$1, 'Fund Data'!$B:$B = 12),"""")"),"")</f>
        <v/>
      </c>
      <c r="N146" t="str">
        <f>IFERROR(__xludf.DUMMYFUNCTION("IFERROR(FILTER('Fund Data'!$D:$D, 'Fund Data'!$C:$C = $A146, 'Fund Data'!$A:$A = N$1, 'Fund Data'!$B:$B = 12),"""")"),"")</f>
        <v/>
      </c>
      <c r="O146" t="str">
        <f>IFERROR(__xludf.DUMMYFUNCTION("IFERROR(FILTER('Fund Data'!$D:$D, 'Fund Data'!$C:$C = $A146, 'Fund Data'!$A:$A = O$1, 'Fund Data'!$B:$B = 12),"""")"),"")</f>
        <v/>
      </c>
      <c r="P146" t="str">
        <f>IFERROR(__xludf.DUMMYFUNCTION("IFERROR(FILTER('Fund Data'!$D:$D, 'Fund Data'!$C:$C = $A146, 'Fund Data'!$A:$A = P$1, 'Fund Data'!$B:$B = 12),"""")"),"")</f>
        <v/>
      </c>
      <c r="Q146" t="str">
        <f>IFERROR(__xludf.DUMMYFUNCTION("IFERROR(FILTER('Fund Data'!$D:$D, 'Fund Data'!$C:$C = $A146, 'Fund Data'!$A:$A = Q$1, 'Fund Data'!$B:$B = 12),"""")"),"")</f>
        <v/>
      </c>
      <c r="R146" t="str">
        <f>IFERROR(__xludf.DUMMYFUNCTION("IFERROR(FILTER('Fund Data'!$D:$D, 'Fund Data'!$C:$C = $A146, 'Fund Data'!$A:$A = R$1, 'Fund Data'!$B:$B = 12),"""")"),"")</f>
        <v/>
      </c>
      <c r="S146" t="str">
        <f>IFERROR(__xludf.DUMMYFUNCTION("IFERROR(FILTER('Fund Data'!$D:$D, 'Fund Data'!$C:$C = $A146, 'Fund Data'!$A:$A = S$1, 'Fund Data'!$B:$B = 12),"""")"),"")</f>
        <v/>
      </c>
      <c r="T146" t="str">
        <f>IFERROR(__xludf.DUMMYFUNCTION("IFERROR(FILTER('Fund Data'!$D:$D, 'Fund Data'!$C:$C = $A146, 'Fund Data'!$A:$A = T$1, 'Fund Data'!$B:$B = 12),"""")"),"")</f>
        <v/>
      </c>
      <c r="U146" t="str">
        <f>IFERROR(__xludf.DUMMYFUNCTION("IFERROR(FILTER('Fund Data'!$D:$D, 'Fund Data'!$C:$C = $A146, 'Fund Data'!$A:$A = U$1, 'Fund Data'!$B:$B = 12),"""")"),"")</f>
        <v/>
      </c>
      <c r="V146" t="str">
        <f>IFERROR(__xludf.DUMMYFUNCTION("IFERROR(FILTER('Fund Data'!$D:$D, 'Fund Data'!$C:$C = $A146, 'Fund Data'!$A:$A = V$1, 'Fund Data'!$B:$B = 12),"""")"),"")</f>
        <v/>
      </c>
      <c r="W146" t="str">
        <f>IFERROR(__xludf.DUMMYFUNCTION("IFERROR(FILTER('Fund Data'!$D:$D, 'Fund Data'!$C:$C = $A146, 'Fund Data'!$A:$A = W$1, 'Fund Data'!$B:$B = 12),"""")"),"")</f>
        <v/>
      </c>
      <c r="X146" t="str">
        <f>IFERROR(__xludf.DUMMYFUNCTION("IFERROR(FILTER('Fund Data'!$D:$D, 'Fund Data'!$C:$C = $A146, 'Fund Data'!$A:$A = X$1, 'Fund Data'!$B:$B = 12),"""")"),"")</f>
        <v/>
      </c>
      <c r="Y146" t="str">
        <f>IFERROR(__xludf.DUMMYFUNCTION("IFERROR(FILTER('Fund Data'!$D:$D, 'Fund Data'!$C:$C = $A146, 'Fund Data'!$A:$A = Y$1, 'Fund Data'!$B:$B = 12),"""")"),"")</f>
        <v/>
      </c>
      <c r="Z146" t="str">
        <f>IFERROR(__xludf.DUMMYFUNCTION("IFERROR(FILTER('Fund Data'!$D:$D, 'Fund Data'!$C:$C = $A146, 'Fund Data'!$A:$A = Z$1, 'Fund Data'!$B:$B = 12),"""")"),"")</f>
        <v/>
      </c>
      <c r="AA146" t="str">
        <f>IFERROR(__xludf.DUMMYFUNCTION("IFERROR(FILTER('Fund Data'!$D:$D, 'Fund Data'!$C:$C = $A146, 'Fund Data'!$A:$A = AA$1, 'Fund Data'!$B:$B = 12),"""")"),"")</f>
        <v/>
      </c>
      <c r="AB146" t="str">
        <f>IFERROR(__xludf.DUMMYFUNCTION("IFERROR(FILTER('Fund Data'!$D:$D, 'Fund Data'!$C:$C = $A146, 'Fund Data'!$A:$A = AB$1, 'Fund Data'!$B:$B = 12),"""")"),"")</f>
        <v/>
      </c>
      <c r="AC146" t="str">
        <f>IFERROR(__xludf.DUMMYFUNCTION("IFERROR(FILTER('Fund Data'!$D:$D, 'Fund Data'!$C:$C = $A146, 'Fund Data'!$A:$A = AC$1, 'Fund Data'!$B:$B = 12),"""")"),"")</f>
        <v/>
      </c>
      <c r="AD146" t="str">
        <f>IFERROR(__xludf.DUMMYFUNCTION("IFERROR(FILTER('Fund Data'!$D:$D, 'Fund Data'!$C:$C = $A146, 'Fund Data'!$A:$A = AD$1, 'Fund Data'!$B:$B = 12),"""")"),"")</f>
        <v/>
      </c>
      <c r="AE146" t="str">
        <f>IFERROR(__xludf.DUMMYFUNCTION("IFERROR(FILTER('Fund Data'!$D:$D, 'Fund Data'!$C:$C = $A146, 'Fund Data'!$A:$A = AE$1, 'Fund Data'!$B:$B = 12),"""")"),"")</f>
        <v/>
      </c>
    </row>
    <row r="147">
      <c r="A147" s="145" t="str">
        <f>'Endowed Funds'!B:B</f>
        <v/>
      </c>
      <c r="B147" t="str">
        <f>IFERROR(__xludf.DUMMYFUNCTION("IFERROR(FILTER('Fund Data'!$D:$D, 'Fund Data'!$C:$C = $A147, 'Fund Data'!$A:$A = B$1, 'Fund Data'!$B:$B = 12),"""")"),"")</f>
        <v/>
      </c>
      <c r="C147" t="str">
        <f>IFERROR(__xludf.DUMMYFUNCTION("IFERROR(FILTER('Fund Data'!$D:$D, 'Fund Data'!$C:$C = $A147, 'Fund Data'!$A:$A = C$1, 'Fund Data'!$B:$B = 12),"""")"),"")</f>
        <v/>
      </c>
      <c r="D147" t="str">
        <f>IFERROR(__xludf.DUMMYFUNCTION("IFERROR(FILTER('Fund Data'!$D:$D, 'Fund Data'!$C:$C = $A147, 'Fund Data'!$A:$A = D$1, 'Fund Data'!$B:$B = 12),"""")"),"")</f>
        <v/>
      </c>
      <c r="E147" t="str">
        <f>IFERROR(__xludf.DUMMYFUNCTION("IFERROR(FILTER('Fund Data'!$D:$D, 'Fund Data'!$C:$C = $A147, 'Fund Data'!$A:$A = E$1, 'Fund Data'!$B:$B = 12),"""")"),"")</f>
        <v/>
      </c>
      <c r="F147" t="str">
        <f>IFERROR(__xludf.DUMMYFUNCTION("IFERROR(FILTER('Fund Data'!$D:$D, 'Fund Data'!$C:$C = $A147, 'Fund Data'!$A:$A = F$1, 'Fund Data'!$B:$B = 12),"""")"),"")</f>
        <v/>
      </c>
      <c r="G147" t="str">
        <f>IFERROR(__xludf.DUMMYFUNCTION("IFERROR(FILTER('Fund Data'!$D:$D, 'Fund Data'!$C:$C = $A147, 'Fund Data'!$A:$A = G$1, 'Fund Data'!$B:$B = 12),"""")"),"")</f>
        <v/>
      </c>
      <c r="H147" t="str">
        <f>IFERROR(__xludf.DUMMYFUNCTION("IFERROR(FILTER('Fund Data'!$D:$D, 'Fund Data'!$C:$C = $A147, 'Fund Data'!$A:$A = H$1, 'Fund Data'!$B:$B = 12),"""")"),"")</f>
        <v/>
      </c>
      <c r="I147" t="str">
        <f>IFERROR(__xludf.DUMMYFUNCTION("IFERROR(FILTER('Fund Data'!$D:$D, 'Fund Data'!$C:$C = $A147, 'Fund Data'!$A:$A = I$1, 'Fund Data'!$B:$B = 12),"""")"),"")</f>
        <v/>
      </c>
      <c r="J147" t="str">
        <f>IFERROR(__xludf.DUMMYFUNCTION("IFERROR(FILTER('Fund Data'!$D:$D, 'Fund Data'!$C:$C = $A147, 'Fund Data'!$A:$A = J$1, 'Fund Data'!$B:$B = 12),"""")"),"")</f>
        <v/>
      </c>
      <c r="K147" t="str">
        <f>IFERROR(__xludf.DUMMYFUNCTION("IFERROR(FILTER('Fund Data'!$D:$D, 'Fund Data'!$C:$C = $A147, 'Fund Data'!$A:$A = K$1, 'Fund Data'!$B:$B = 12),"""")"),"")</f>
        <v/>
      </c>
      <c r="L147" t="str">
        <f>IFERROR(__xludf.DUMMYFUNCTION("IFERROR(FILTER('Fund Data'!$D:$D, 'Fund Data'!$C:$C = $A147, 'Fund Data'!$A:$A = L$1, 'Fund Data'!$B:$B = 12),"""")"),"")</f>
        <v/>
      </c>
      <c r="M147" t="str">
        <f>IFERROR(__xludf.DUMMYFUNCTION("IFERROR(FILTER('Fund Data'!$D:$D, 'Fund Data'!$C:$C = $A147, 'Fund Data'!$A:$A = M$1, 'Fund Data'!$B:$B = 12),"""")"),"")</f>
        <v/>
      </c>
      <c r="N147" t="str">
        <f>IFERROR(__xludf.DUMMYFUNCTION("IFERROR(FILTER('Fund Data'!$D:$D, 'Fund Data'!$C:$C = $A147, 'Fund Data'!$A:$A = N$1, 'Fund Data'!$B:$B = 12),"""")"),"")</f>
        <v/>
      </c>
      <c r="O147" t="str">
        <f>IFERROR(__xludf.DUMMYFUNCTION("IFERROR(FILTER('Fund Data'!$D:$D, 'Fund Data'!$C:$C = $A147, 'Fund Data'!$A:$A = O$1, 'Fund Data'!$B:$B = 12),"""")"),"")</f>
        <v/>
      </c>
      <c r="P147" t="str">
        <f>IFERROR(__xludf.DUMMYFUNCTION("IFERROR(FILTER('Fund Data'!$D:$D, 'Fund Data'!$C:$C = $A147, 'Fund Data'!$A:$A = P$1, 'Fund Data'!$B:$B = 12),"""")"),"")</f>
        <v/>
      </c>
      <c r="Q147" t="str">
        <f>IFERROR(__xludf.DUMMYFUNCTION("IFERROR(FILTER('Fund Data'!$D:$D, 'Fund Data'!$C:$C = $A147, 'Fund Data'!$A:$A = Q$1, 'Fund Data'!$B:$B = 12),"""")"),"")</f>
        <v/>
      </c>
      <c r="R147" t="str">
        <f>IFERROR(__xludf.DUMMYFUNCTION("IFERROR(FILTER('Fund Data'!$D:$D, 'Fund Data'!$C:$C = $A147, 'Fund Data'!$A:$A = R$1, 'Fund Data'!$B:$B = 12),"""")"),"")</f>
        <v/>
      </c>
      <c r="S147" t="str">
        <f>IFERROR(__xludf.DUMMYFUNCTION("IFERROR(FILTER('Fund Data'!$D:$D, 'Fund Data'!$C:$C = $A147, 'Fund Data'!$A:$A = S$1, 'Fund Data'!$B:$B = 12),"""")"),"")</f>
        <v/>
      </c>
      <c r="T147" t="str">
        <f>IFERROR(__xludf.DUMMYFUNCTION("IFERROR(FILTER('Fund Data'!$D:$D, 'Fund Data'!$C:$C = $A147, 'Fund Data'!$A:$A = T$1, 'Fund Data'!$B:$B = 12),"""")"),"")</f>
        <v/>
      </c>
      <c r="U147" t="str">
        <f>IFERROR(__xludf.DUMMYFUNCTION("IFERROR(FILTER('Fund Data'!$D:$D, 'Fund Data'!$C:$C = $A147, 'Fund Data'!$A:$A = U$1, 'Fund Data'!$B:$B = 12),"""")"),"")</f>
        <v/>
      </c>
      <c r="V147" t="str">
        <f>IFERROR(__xludf.DUMMYFUNCTION("IFERROR(FILTER('Fund Data'!$D:$D, 'Fund Data'!$C:$C = $A147, 'Fund Data'!$A:$A = V$1, 'Fund Data'!$B:$B = 12),"""")"),"")</f>
        <v/>
      </c>
      <c r="W147" t="str">
        <f>IFERROR(__xludf.DUMMYFUNCTION("IFERROR(FILTER('Fund Data'!$D:$D, 'Fund Data'!$C:$C = $A147, 'Fund Data'!$A:$A = W$1, 'Fund Data'!$B:$B = 12),"""")"),"")</f>
        <v/>
      </c>
      <c r="X147" t="str">
        <f>IFERROR(__xludf.DUMMYFUNCTION("IFERROR(FILTER('Fund Data'!$D:$D, 'Fund Data'!$C:$C = $A147, 'Fund Data'!$A:$A = X$1, 'Fund Data'!$B:$B = 12),"""")"),"")</f>
        <v/>
      </c>
      <c r="Y147" t="str">
        <f>IFERROR(__xludf.DUMMYFUNCTION("IFERROR(FILTER('Fund Data'!$D:$D, 'Fund Data'!$C:$C = $A147, 'Fund Data'!$A:$A = Y$1, 'Fund Data'!$B:$B = 12),"""")"),"")</f>
        <v/>
      </c>
      <c r="Z147" t="str">
        <f>IFERROR(__xludf.DUMMYFUNCTION("IFERROR(FILTER('Fund Data'!$D:$D, 'Fund Data'!$C:$C = $A147, 'Fund Data'!$A:$A = Z$1, 'Fund Data'!$B:$B = 12),"""")"),"")</f>
        <v/>
      </c>
      <c r="AA147" t="str">
        <f>IFERROR(__xludf.DUMMYFUNCTION("IFERROR(FILTER('Fund Data'!$D:$D, 'Fund Data'!$C:$C = $A147, 'Fund Data'!$A:$A = AA$1, 'Fund Data'!$B:$B = 12),"""")"),"")</f>
        <v/>
      </c>
      <c r="AB147" t="str">
        <f>IFERROR(__xludf.DUMMYFUNCTION("IFERROR(FILTER('Fund Data'!$D:$D, 'Fund Data'!$C:$C = $A147, 'Fund Data'!$A:$A = AB$1, 'Fund Data'!$B:$B = 12),"""")"),"")</f>
        <v/>
      </c>
      <c r="AC147" t="str">
        <f>IFERROR(__xludf.DUMMYFUNCTION("IFERROR(FILTER('Fund Data'!$D:$D, 'Fund Data'!$C:$C = $A147, 'Fund Data'!$A:$A = AC$1, 'Fund Data'!$B:$B = 12),"""")"),"")</f>
        <v/>
      </c>
      <c r="AD147" t="str">
        <f>IFERROR(__xludf.DUMMYFUNCTION("IFERROR(FILTER('Fund Data'!$D:$D, 'Fund Data'!$C:$C = $A147, 'Fund Data'!$A:$A = AD$1, 'Fund Data'!$B:$B = 12),"""")"),"")</f>
        <v/>
      </c>
      <c r="AE147" t="str">
        <f>IFERROR(__xludf.DUMMYFUNCTION("IFERROR(FILTER('Fund Data'!$D:$D, 'Fund Data'!$C:$C = $A147, 'Fund Data'!$A:$A = AE$1, 'Fund Data'!$B:$B = 12),"""")"),"")</f>
        <v/>
      </c>
    </row>
    <row r="148">
      <c r="A148" s="145" t="str">
        <f>'Endowed Funds'!B:B</f>
        <v/>
      </c>
      <c r="B148" t="str">
        <f>IFERROR(__xludf.DUMMYFUNCTION("IFERROR(FILTER('Fund Data'!$D:$D, 'Fund Data'!$C:$C = $A148, 'Fund Data'!$A:$A = B$1, 'Fund Data'!$B:$B = 12),"""")"),"")</f>
        <v/>
      </c>
      <c r="C148" t="str">
        <f>IFERROR(__xludf.DUMMYFUNCTION("IFERROR(FILTER('Fund Data'!$D:$D, 'Fund Data'!$C:$C = $A148, 'Fund Data'!$A:$A = C$1, 'Fund Data'!$B:$B = 12),"""")"),"")</f>
        <v/>
      </c>
      <c r="D148" t="str">
        <f>IFERROR(__xludf.DUMMYFUNCTION("IFERROR(FILTER('Fund Data'!$D:$D, 'Fund Data'!$C:$C = $A148, 'Fund Data'!$A:$A = D$1, 'Fund Data'!$B:$B = 12),"""")"),"")</f>
        <v/>
      </c>
      <c r="E148" t="str">
        <f>IFERROR(__xludf.DUMMYFUNCTION("IFERROR(FILTER('Fund Data'!$D:$D, 'Fund Data'!$C:$C = $A148, 'Fund Data'!$A:$A = E$1, 'Fund Data'!$B:$B = 12),"""")"),"")</f>
        <v/>
      </c>
      <c r="F148" t="str">
        <f>IFERROR(__xludf.DUMMYFUNCTION("IFERROR(FILTER('Fund Data'!$D:$D, 'Fund Data'!$C:$C = $A148, 'Fund Data'!$A:$A = F$1, 'Fund Data'!$B:$B = 12),"""")"),"")</f>
        <v/>
      </c>
      <c r="G148" t="str">
        <f>IFERROR(__xludf.DUMMYFUNCTION("IFERROR(FILTER('Fund Data'!$D:$D, 'Fund Data'!$C:$C = $A148, 'Fund Data'!$A:$A = G$1, 'Fund Data'!$B:$B = 12),"""")"),"")</f>
        <v/>
      </c>
      <c r="H148" t="str">
        <f>IFERROR(__xludf.DUMMYFUNCTION("IFERROR(FILTER('Fund Data'!$D:$D, 'Fund Data'!$C:$C = $A148, 'Fund Data'!$A:$A = H$1, 'Fund Data'!$B:$B = 12),"""")"),"")</f>
        <v/>
      </c>
      <c r="I148" t="str">
        <f>IFERROR(__xludf.DUMMYFUNCTION("IFERROR(FILTER('Fund Data'!$D:$D, 'Fund Data'!$C:$C = $A148, 'Fund Data'!$A:$A = I$1, 'Fund Data'!$B:$B = 12),"""")"),"")</f>
        <v/>
      </c>
      <c r="J148" t="str">
        <f>IFERROR(__xludf.DUMMYFUNCTION("IFERROR(FILTER('Fund Data'!$D:$D, 'Fund Data'!$C:$C = $A148, 'Fund Data'!$A:$A = J$1, 'Fund Data'!$B:$B = 12),"""")"),"")</f>
        <v/>
      </c>
      <c r="K148" t="str">
        <f>IFERROR(__xludf.DUMMYFUNCTION("IFERROR(FILTER('Fund Data'!$D:$D, 'Fund Data'!$C:$C = $A148, 'Fund Data'!$A:$A = K$1, 'Fund Data'!$B:$B = 12),"""")"),"")</f>
        <v/>
      </c>
      <c r="L148" t="str">
        <f>IFERROR(__xludf.DUMMYFUNCTION("IFERROR(FILTER('Fund Data'!$D:$D, 'Fund Data'!$C:$C = $A148, 'Fund Data'!$A:$A = L$1, 'Fund Data'!$B:$B = 12),"""")"),"")</f>
        <v/>
      </c>
      <c r="M148" t="str">
        <f>IFERROR(__xludf.DUMMYFUNCTION("IFERROR(FILTER('Fund Data'!$D:$D, 'Fund Data'!$C:$C = $A148, 'Fund Data'!$A:$A = M$1, 'Fund Data'!$B:$B = 12),"""")"),"")</f>
        <v/>
      </c>
      <c r="N148" t="str">
        <f>IFERROR(__xludf.DUMMYFUNCTION("IFERROR(FILTER('Fund Data'!$D:$D, 'Fund Data'!$C:$C = $A148, 'Fund Data'!$A:$A = N$1, 'Fund Data'!$B:$B = 12),"""")"),"")</f>
        <v/>
      </c>
      <c r="O148" t="str">
        <f>IFERROR(__xludf.DUMMYFUNCTION("IFERROR(FILTER('Fund Data'!$D:$D, 'Fund Data'!$C:$C = $A148, 'Fund Data'!$A:$A = O$1, 'Fund Data'!$B:$B = 12),"""")"),"")</f>
        <v/>
      </c>
      <c r="P148" t="str">
        <f>IFERROR(__xludf.DUMMYFUNCTION("IFERROR(FILTER('Fund Data'!$D:$D, 'Fund Data'!$C:$C = $A148, 'Fund Data'!$A:$A = P$1, 'Fund Data'!$B:$B = 12),"""")"),"")</f>
        <v/>
      </c>
      <c r="Q148" t="str">
        <f>IFERROR(__xludf.DUMMYFUNCTION("IFERROR(FILTER('Fund Data'!$D:$D, 'Fund Data'!$C:$C = $A148, 'Fund Data'!$A:$A = Q$1, 'Fund Data'!$B:$B = 12),"""")"),"")</f>
        <v/>
      </c>
      <c r="R148" t="str">
        <f>IFERROR(__xludf.DUMMYFUNCTION("IFERROR(FILTER('Fund Data'!$D:$D, 'Fund Data'!$C:$C = $A148, 'Fund Data'!$A:$A = R$1, 'Fund Data'!$B:$B = 12),"""")"),"")</f>
        <v/>
      </c>
      <c r="S148" t="str">
        <f>IFERROR(__xludf.DUMMYFUNCTION("IFERROR(FILTER('Fund Data'!$D:$D, 'Fund Data'!$C:$C = $A148, 'Fund Data'!$A:$A = S$1, 'Fund Data'!$B:$B = 12),"""")"),"")</f>
        <v/>
      </c>
      <c r="T148" t="str">
        <f>IFERROR(__xludf.DUMMYFUNCTION("IFERROR(FILTER('Fund Data'!$D:$D, 'Fund Data'!$C:$C = $A148, 'Fund Data'!$A:$A = T$1, 'Fund Data'!$B:$B = 12),"""")"),"")</f>
        <v/>
      </c>
      <c r="U148" t="str">
        <f>IFERROR(__xludf.DUMMYFUNCTION("IFERROR(FILTER('Fund Data'!$D:$D, 'Fund Data'!$C:$C = $A148, 'Fund Data'!$A:$A = U$1, 'Fund Data'!$B:$B = 12),"""")"),"")</f>
        <v/>
      </c>
      <c r="V148" t="str">
        <f>IFERROR(__xludf.DUMMYFUNCTION("IFERROR(FILTER('Fund Data'!$D:$D, 'Fund Data'!$C:$C = $A148, 'Fund Data'!$A:$A = V$1, 'Fund Data'!$B:$B = 12),"""")"),"")</f>
        <v/>
      </c>
      <c r="W148" t="str">
        <f>IFERROR(__xludf.DUMMYFUNCTION("IFERROR(FILTER('Fund Data'!$D:$D, 'Fund Data'!$C:$C = $A148, 'Fund Data'!$A:$A = W$1, 'Fund Data'!$B:$B = 12),"""")"),"")</f>
        <v/>
      </c>
      <c r="X148" t="str">
        <f>IFERROR(__xludf.DUMMYFUNCTION("IFERROR(FILTER('Fund Data'!$D:$D, 'Fund Data'!$C:$C = $A148, 'Fund Data'!$A:$A = X$1, 'Fund Data'!$B:$B = 12),"""")"),"")</f>
        <v/>
      </c>
      <c r="Y148" t="str">
        <f>IFERROR(__xludf.DUMMYFUNCTION("IFERROR(FILTER('Fund Data'!$D:$D, 'Fund Data'!$C:$C = $A148, 'Fund Data'!$A:$A = Y$1, 'Fund Data'!$B:$B = 12),"""")"),"")</f>
        <v/>
      </c>
      <c r="Z148" t="str">
        <f>IFERROR(__xludf.DUMMYFUNCTION("IFERROR(FILTER('Fund Data'!$D:$D, 'Fund Data'!$C:$C = $A148, 'Fund Data'!$A:$A = Z$1, 'Fund Data'!$B:$B = 12),"""")"),"")</f>
        <v/>
      </c>
      <c r="AA148" t="str">
        <f>IFERROR(__xludf.DUMMYFUNCTION("IFERROR(FILTER('Fund Data'!$D:$D, 'Fund Data'!$C:$C = $A148, 'Fund Data'!$A:$A = AA$1, 'Fund Data'!$B:$B = 12),"""")"),"")</f>
        <v/>
      </c>
      <c r="AB148" t="str">
        <f>IFERROR(__xludf.DUMMYFUNCTION("IFERROR(FILTER('Fund Data'!$D:$D, 'Fund Data'!$C:$C = $A148, 'Fund Data'!$A:$A = AB$1, 'Fund Data'!$B:$B = 12),"""")"),"")</f>
        <v/>
      </c>
      <c r="AC148" t="str">
        <f>IFERROR(__xludf.DUMMYFUNCTION("IFERROR(FILTER('Fund Data'!$D:$D, 'Fund Data'!$C:$C = $A148, 'Fund Data'!$A:$A = AC$1, 'Fund Data'!$B:$B = 12),"""")"),"")</f>
        <v/>
      </c>
      <c r="AD148" t="str">
        <f>IFERROR(__xludf.DUMMYFUNCTION("IFERROR(FILTER('Fund Data'!$D:$D, 'Fund Data'!$C:$C = $A148, 'Fund Data'!$A:$A = AD$1, 'Fund Data'!$B:$B = 12),"""")"),"")</f>
        <v/>
      </c>
      <c r="AE148" t="str">
        <f>IFERROR(__xludf.DUMMYFUNCTION("IFERROR(FILTER('Fund Data'!$D:$D, 'Fund Data'!$C:$C = $A148, 'Fund Data'!$A:$A = AE$1, 'Fund Data'!$B:$B = 12),"""")"),"")</f>
        <v/>
      </c>
    </row>
    <row r="149">
      <c r="A149" s="145" t="str">
        <f>'Endowed Funds'!B:B</f>
        <v/>
      </c>
      <c r="B149" t="str">
        <f>IFERROR(__xludf.DUMMYFUNCTION("IFERROR(FILTER('Fund Data'!$D:$D, 'Fund Data'!$C:$C = $A149, 'Fund Data'!$A:$A = B$1, 'Fund Data'!$B:$B = 12),"""")"),"")</f>
        <v/>
      </c>
      <c r="C149" t="str">
        <f>IFERROR(__xludf.DUMMYFUNCTION("IFERROR(FILTER('Fund Data'!$D:$D, 'Fund Data'!$C:$C = $A149, 'Fund Data'!$A:$A = C$1, 'Fund Data'!$B:$B = 12),"""")"),"")</f>
        <v/>
      </c>
      <c r="D149" t="str">
        <f>IFERROR(__xludf.DUMMYFUNCTION("IFERROR(FILTER('Fund Data'!$D:$D, 'Fund Data'!$C:$C = $A149, 'Fund Data'!$A:$A = D$1, 'Fund Data'!$B:$B = 12),"""")"),"")</f>
        <v/>
      </c>
      <c r="E149" t="str">
        <f>IFERROR(__xludf.DUMMYFUNCTION("IFERROR(FILTER('Fund Data'!$D:$D, 'Fund Data'!$C:$C = $A149, 'Fund Data'!$A:$A = E$1, 'Fund Data'!$B:$B = 12),"""")"),"")</f>
        <v/>
      </c>
      <c r="F149" t="str">
        <f>IFERROR(__xludf.DUMMYFUNCTION("IFERROR(FILTER('Fund Data'!$D:$D, 'Fund Data'!$C:$C = $A149, 'Fund Data'!$A:$A = F$1, 'Fund Data'!$B:$B = 12),"""")"),"")</f>
        <v/>
      </c>
      <c r="G149" t="str">
        <f>IFERROR(__xludf.DUMMYFUNCTION("IFERROR(FILTER('Fund Data'!$D:$D, 'Fund Data'!$C:$C = $A149, 'Fund Data'!$A:$A = G$1, 'Fund Data'!$B:$B = 12),"""")"),"")</f>
        <v/>
      </c>
      <c r="H149" t="str">
        <f>IFERROR(__xludf.DUMMYFUNCTION("IFERROR(FILTER('Fund Data'!$D:$D, 'Fund Data'!$C:$C = $A149, 'Fund Data'!$A:$A = H$1, 'Fund Data'!$B:$B = 12),"""")"),"")</f>
        <v/>
      </c>
      <c r="I149" t="str">
        <f>IFERROR(__xludf.DUMMYFUNCTION("IFERROR(FILTER('Fund Data'!$D:$D, 'Fund Data'!$C:$C = $A149, 'Fund Data'!$A:$A = I$1, 'Fund Data'!$B:$B = 12),"""")"),"")</f>
        <v/>
      </c>
      <c r="J149" t="str">
        <f>IFERROR(__xludf.DUMMYFUNCTION("IFERROR(FILTER('Fund Data'!$D:$D, 'Fund Data'!$C:$C = $A149, 'Fund Data'!$A:$A = J$1, 'Fund Data'!$B:$B = 12),"""")"),"")</f>
        <v/>
      </c>
      <c r="K149" t="str">
        <f>IFERROR(__xludf.DUMMYFUNCTION("IFERROR(FILTER('Fund Data'!$D:$D, 'Fund Data'!$C:$C = $A149, 'Fund Data'!$A:$A = K$1, 'Fund Data'!$B:$B = 12),"""")"),"")</f>
        <v/>
      </c>
      <c r="L149" t="str">
        <f>IFERROR(__xludf.DUMMYFUNCTION("IFERROR(FILTER('Fund Data'!$D:$D, 'Fund Data'!$C:$C = $A149, 'Fund Data'!$A:$A = L$1, 'Fund Data'!$B:$B = 12),"""")"),"")</f>
        <v/>
      </c>
      <c r="M149" t="str">
        <f>IFERROR(__xludf.DUMMYFUNCTION("IFERROR(FILTER('Fund Data'!$D:$D, 'Fund Data'!$C:$C = $A149, 'Fund Data'!$A:$A = M$1, 'Fund Data'!$B:$B = 12),"""")"),"")</f>
        <v/>
      </c>
      <c r="N149" t="str">
        <f>IFERROR(__xludf.DUMMYFUNCTION("IFERROR(FILTER('Fund Data'!$D:$D, 'Fund Data'!$C:$C = $A149, 'Fund Data'!$A:$A = N$1, 'Fund Data'!$B:$B = 12),"""")"),"")</f>
        <v/>
      </c>
      <c r="O149" t="str">
        <f>IFERROR(__xludf.DUMMYFUNCTION("IFERROR(FILTER('Fund Data'!$D:$D, 'Fund Data'!$C:$C = $A149, 'Fund Data'!$A:$A = O$1, 'Fund Data'!$B:$B = 12),"""")"),"")</f>
        <v/>
      </c>
      <c r="P149" t="str">
        <f>IFERROR(__xludf.DUMMYFUNCTION("IFERROR(FILTER('Fund Data'!$D:$D, 'Fund Data'!$C:$C = $A149, 'Fund Data'!$A:$A = P$1, 'Fund Data'!$B:$B = 12),"""")"),"")</f>
        <v/>
      </c>
      <c r="Q149" t="str">
        <f>IFERROR(__xludf.DUMMYFUNCTION("IFERROR(FILTER('Fund Data'!$D:$D, 'Fund Data'!$C:$C = $A149, 'Fund Data'!$A:$A = Q$1, 'Fund Data'!$B:$B = 12),"""")"),"")</f>
        <v/>
      </c>
      <c r="R149" t="str">
        <f>IFERROR(__xludf.DUMMYFUNCTION("IFERROR(FILTER('Fund Data'!$D:$D, 'Fund Data'!$C:$C = $A149, 'Fund Data'!$A:$A = R$1, 'Fund Data'!$B:$B = 12),"""")"),"")</f>
        <v/>
      </c>
      <c r="S149" t="str">
        <f>IFERROR(__xludf.DUMMYFUNCTION("IFERROR(FILTER('Fund Data'!$D:$D, 'Fund Data'!$C:$C = $A149, 'Fund Data'!$A:$A = S$1, 'Fund Data'!$B:$B = 12),"""")"),"")</f>
        <v/>
      </c>
      <c r="T149" t="str">
        <f>IFERROR(__xludf.DUMMYFUNCTION("IFERROR(FILTER('Fund Data'!$D:$D, 'Fund Data'!$C:$C = $A149, 'Fund Data'!$A:$A = T$1, 'Fund Data'!$B:$B = 12),"""")"),"")</f>
        <v/>
      </c>
      <c r="U149" t="str">
        <f>IFERROR(__xludf.DUMMYFUNCTION("IFERROR(FILTER('Fund Data'!$D:$D, 'Fund Data'!$C:$C = $A149, 'Fund Data'!$A:$A = U$1, 'Fund Data'!$B:$B = 12),"""")"),"")</f>
        <v/>
      </c>
      <c r="V149" t="str">
        <f>IFERROR(__xludf.DUMMYFUNCTION("IFERROR(FILTER('Fund Data'!$D:$D, 'Fund Data'!$C:$C = $A149, 'Fund Data'!$A:$A = V$1, 'Fund Data'!$B:$B = 12),"""")"),"")</f>
        <v/>
      </c>
      <c r="W149" t="str">
        <f>IFERROR(__xludf.DUMMYFUNCTION("IFERROR(FILTER('Fund Data'!$D:$D, 'Fund Data'!$C:$C = $A149, 'Fund Data'!$A:$A = W$1, 'Fund Data'!$B:$B = 12),"""")"),"")</f>
        <v/>
      </c>
      <c r="X149" t="str">
        <f>IFERROR(__xludf.DUMMYFUNCTION("IFERROR(FILTER('Fund Data'!$D:$D, 'Fund Data'!$C:$C = $A149, 'Fund Data'!$A:$A = X$1, 'Fund Data'!$B:$B = 12),"""")"),"")</f>
        <v/>
      </c>
      <c r="Y149" t="str">
        <f>IFERROR(__xludf.DUMMYFUNCTION("IFERROR(FILTER('Fund Data'!$D:$D, 'Fund Data'!$C:$C = $A149, 'Fund Data'!$A:$A = Y$1, 'Fund Data'!$B:$B = 12),"""")"),"")</f>
        <v/>
      </c>
      <c r="Z149" t="str">
        <f>IFERROR(__xludf.DUMMYFUNCTION("IFERROR(FILTER('Fund Data'!$D:$D, 'Fund Data'!$C:$C = $A149, 'Fund Data'!$A:$A = Z$1, 'Fund Data'!$B:$B = 12),"""")"),"")</f>
        <v/>
      </c>
      <c r="AA149" t="str">
        <f>IFERROR(__xludf.DUMMYFUNCTION("IFERROR(FILTER('Fund Data'!$D:$D, 'Fund Data'!$C:$C = $A149, 'Fund Data'!$A:$A = AA$1, 'Fund Data'!$B:$B = 12),"""")"),"")</f>
        <v/>
      </c>
      <c r="AB149" t="str">
        <f>IFERROR(__xludf.DUMMYFUNCTION("IFERROR(FILTER('Fund Data'!$D:$D, 'Fund Data'!$C:$C = $A149, 'Fund Data'!$A:$A = AB$1, 'Fund Data'!$B:$B = 12),"""")"),"")</f>
        <v/>
      </c>
      <c r="AC149" t="str">
        <f>IFERROR(__xludf.DUMMYFUNCTION("IFERROR(FILTER('Fund Data'!$D:$D, 'Fund Data'!$C:$C = $A149, 'Fund Data'!$A:$A = AC$1, 'Fund Data'!$B:$B = 12),"""")"),"")</f>
        <v/>
      </c>
      <c r="AD149" t="str">
        <f>IFERROR(__xludf.DUMMYFUNCTION("IFERROR(FILTER('Fund Data'!$D:$D, 'Fund Data'!$C:$C = $A149, 'Fund Data'!$A:$A = AD$1, 'Fund Data'!$B:$B = 12),"""")"),"")</f>
        <v/>
      </c>
      <c r="AE149" t="str">
        <f>IFERROR(__xludf.DUMMYFUNCTION("IFERROR(FILTER('Fund Data'!$D:$D, 'Fund Data'!$C:$C = $A149, 'Fund Data'!$A:$A = AE$1, 'Fund Data'!$B:$B = 12),"""")"),"")</f>
        <v/>
      </c>
    </row>
    <row r="150">
      <c r="A150" s="145" t="str">
        <f>'Endowed Funds'!B:B</f>
        <v/>
      </c>
      <c r="B150" t="str">
        <f>IFERROR(__xludf.DUMMYFUNCTION("IFERROR(FILTER('Fund Data'!$D:$D, 'Fund Data'!$C:$C = $A150, 'Fund Data'!$A:$A = B$1, 'Fund Data'!$B:$B = 12),"""")"),"")</f>
        <v/>
      </c>
      <c r="C150" t="str">
        <f>IFERROR(__xludf.DUMMYFUNCTION("IFERROR(FILTER('Fund Data'!$D:$D, 'Fund Data'!$C:$C = $A150, 'Fund Data'!$A:$A = C$1, 'Fund Data'!$B:$B = 12),"""")"),"")</f>
        <v/>
      </c>
      <c r="D150" t="str">
        <f>IFERROR(__xludf.DUMMYFUNCTION("IFERROR(FILTER('Fund Data'!$D:$D, 'Fund Data'!$C:$C = $A150, 'Fund Data'!$A:$A = D$1, 'Fund Data'!$B:$B = 12),"""")"),"")</f>
        <v/>
      </c>
      <c r="E150" t="str">
        <f>IFERROR(__xludf.DUMMYFUNCTION("IFERROR(FILTER('Fund Data'!$D:$D, 'Fund Data'!$C:$C = $A150, 'Fund Data'!$A:$A = E$1, 'Fund Data'!$B:$B = 12),"""")"),"")</f>
        <v/>
      </c>
      <c r="F150" t="str">
        <f>IFERROR(__xludf.DUMMYFUNCTION("IFERROR(FILTER('Fund Data'!$D:$D, 'Fund Data'!$C:$C = $A150, 'Fund Data'!$A:$A = F$1, 'Fund Data'!$B:$B = 12),"""")"),"")</f>
        <v/>
      </c>
      <c r="G150" t="str">
        <f>IFERROR(__xludf.DUMMYFUNCTION("IFERROR(FILTER('Fund Data'!$D:$D, 'Fund Data'!$C:$C = $A150, 'Fund Data'!$A:$A = G$1, 'Fund Data'!$B:$B = 12),"""")"),"")</f>
        <v/>
      </c>
      <c r="H150" t="str">
        <f>IFERROR(__xludf.DUMMYFUNCTION("IFERROR(FILTER('Fund Data'!$D:$D, 'Fund Data'!$C:$C = $A150, 'Fund Data'!$A:$A = H$1, 'Fund Data'!$B:$B = 12),"""")"),"")</f>
        <v/>
      </c>
      <c r="I150" t="str">
        <f>IFERROR(__xludf.DUMMYFUNCTION("IFERROR(FILTER('Fund Data'!$D:$D, 'Fund Data'!$C:$C = $A150, 'Fund Data'!$A:$A = I$1, 'Fund Data'!$B:$B = 12),"""")"),"")</f>
        <v/>
      </c>
      <c r="J150" t="str">
        <f>IFERROR(__xludf.DUMMYFUNCTION("IFERROR(FILTER('Fund Data'!$D:$D, 'Fund Data'!$C:$C = $A150, 'Fund Data'!$A:$A = J$1, 'Fund Data'!$B:$B = 12),"""")"),"")</f>
        <v/>
      </c>
      <c r="K150" t="str">
        <f>IFERROR(__xludf.DUMMYFUNCTION("IFERROR(FILTER('Fund Data'!$D:$D, 'Fund Data'!$C:$C = $A150, 'Fund Data'!$A:$A = K$1, 'Fund Data'!$B:$B = 12),"""")"),"")</f>
        <v/>
      </c>
      <c r="L150" t="str">
        <f>IFERROR(__xludf.DUMMYFUNCTION("IFERROR(FILTER('Fund Data'!$D:$D, 'Fund Data'!$C:$C = $A150, 'Fund Data'!$A:$A = L$1, 'Fund Data'!$B:$B = 12),"""")"),"")</f>
        <v/>
      </c>
      <c r="M150" t="str">
        <f>IFERROR(__xludf.DUMMYFUNCTION("IFERROR(FILTER('Fund Data'!$D:$D, 'Fund Data'!$C:$C = $A150, 'Fund Data'!$A:$A = M$1, 'Fund Data'!$B:$B = 12),"""")"),"")</f>
        <v/>
      </c>
      <c r="N150" t="str">
        <f>IFERROR(__xludf.DUMMYFUNCTION("IFERROR(FILTER('Fund Data'!$D:$D, 'Fund Data'!$C:$C = $A150, 'Fund Data'!$A:$A = N$1, 'Fund Data'!$B:$B = 12),"""")"),"")</f>
        <v/>
      </c>
      <c r="O150" t="str">
        <f>IFERROR(__xludf.DUMMYFUNCTION("IFERROR(FILTER('Fund Data'!$D:$D, 'Fund Data'!$C:$C = $A150, 'Fund Data'!$A:$A = O$1, 'Fund Data'!$B:$B = 12),"""")"),"")</f>
        <v/>
      </c>
      <c r="P150" t="str">
        <f>IFERROR(__xludf.DUMMYFUNCTION("IFERROR(FILTER('Fund Data'!$D:$D, 'Fund Data'!$C:$C = $A150, 'Fund Data'!$A:$A = P$1, 'Fund Data'!$B:$B = 12),"""")"),"")</f>
        <v/>
      </c>
      <c r="Q150" t="str">
        <f>IFERROR(__xludf.DUMMYFUNCTION("IFERROR(FILTER('Fund Data'!$D:$D, 'Fund Data'!$C:$C = $A150, 'Fund Data'!$A:$A = Q$1, 'Fund Data'!$B:$B = 12),"""")"),"")</f>
        <v/>
      </c>
      <c r="R150" t="str">
        <f>IFERROR(__xludf.DUMMYFUNCTION("IFERROR(FILTER('Fund Data'!$D:$D, 'Fund Data'!$C:$C = $A150, 'Fund Data'!$A:$A = R$1, 'Fund Data'!$B:$B = 12),"""")"),"")</f>
        <v/>
      </c>
      <c r="S150" t="str">
        <f>IFERROR(__xludf.DUMMYFUNCTION("IFERROR(FILTER('Fund Data'!$D:$D, 'Fund Data'!$C:$C = $A150, 'Fund Data'!$A:$A = S$1, 'Fund Data'!$B:$B = 12),"""")"),"")</f>
        <v/>
      </c>
      <c r="T150" t="str">
        <f>IFERROR(__xludf.DUMMYFUNCTION("IFERROR(FILTER('Fund Data'!$D:$D, 'Fund Data'!$C:$C = $A150, 'Fund Data'!$A:$A = T$1, 'Fund Data'!$B:$B = 12),"""")"),"")</f>
        <v/>
      </c>
      <c r="U150" t="str">
        <f>IFERROR(__xludf.DUMMYFUNCTION("IFERROR(FILTER('Fund Data'!$D:$D, 'Fund Data'!$C:$C = $A150, 'Fund Data'!$A:$A = U$1, 'Fund Data'!$B:$B = 12),"""")"),"")</f>
        <v/>
      </c>
      <c r="V150" t="str">
        <f>IFERROR(__xludf.DUMMYFUNCTION("IFERROR(FILTER('Fund Data'!$D:$D, 'Fund Data'!$C:$C = $A150, 'Fund Data'!$A:$A = V$1, 'Fund Data'!$B:$B = 12),"""")"),"")</f>
        <v/>
      </c>
      <c r="W150" t="str">
        <f>IFERROR(__xludf.DUMMYFUNCTION("IFERROR(FILTER('Fund Data'!$D:$D, 'Fund Data'!$C:$C = $A150, 'Fund Data'!$A:$A = W$1, 'Fund Data'!$B:$B = 12),"""")"),"")</f>
        <v/>
      </c>
      <c r="X150" t="str">
        <f>IFERROR(__xludf.DUMMYFUNCTION("IFERROR(FILTER('Fund Data'!$D:$D, 'Fund Data'!$C:$C = $A150, 'Fund Data'!$A:$A = X$1, 'Fund Data'!$B:$B = 12),"""")"),"")</f>
        <v/>
      </c>
      <c r="Y150" t="str">
        <f>IFERROR(__xludf.DUMMYFUNCTION("IFERROR(FILTER('Fund Data'!$D:$D, 'Fund Data'!$C:$C = $A150, 'Fund Data'!$A:$A = Y$1, 'Fund Data'!$B:$B = 12),"""")"),"")</f>
        <v/>
      </c>
      <c r="Z150" t="str">
        <f>IFERROR(__xludf.DUMMYFUNCTION("IFERROR(FILTER('Fund Data'!$D:$D, 'Fund Data'!$C:$C = $A150, 'Fund Data'!$A:$A = Z$1, 'Fund Data'!$B:$B = 12),"""")"),"")</f>
        <v/>
      </c>
      <c r="AA150" t="str">
        <f>IFERROR(__xludf.DUMMYFUNCTION("IFERROR(FILTER('Fund Data'!$D:$D, 'Fund Data'!$C:$C = $A150, 'Fund Data'!$A:$A = AA$1, 'Fund Data'!$B:$B = 12),"""")"),"")</f>
        <v/>
      </c>
      <c r="AB150" t="str">
        <f>IFERROR(__xludf.DUMMYFUNCTION("IFERROR(FILTER('Fund Data'!$D:$D, 'Fund Data'!$C:$C = $A150, 'Fund Data'!$A:$A = AB$1, 'Fund Data'!$B:$B = 12),"""")"),"")</f>
        <v/>
      </c>
      <c r="AC150" t="str">
        <f>IFERROR(__xludf.DUMMYFUNCTION("IFERROR(FILTER('Fund Data'!$D:$D, 'Fund Data'!$C:$C = $A150, 'Fund Data'!$A:$A = AC$1, 'Fund Data'!$B:$B = 12),"""")"),"")</f>
        <v/>
      </c>
      <c r="AD150" t="str">
        <f>IFERROR(__xludf.DUMMYFUNCTION("IFERROR(FILTER('Fund Data'!$D:$D, 'Fund Data'!$C:$C = $A150, 'Fund Data'!$A:$A = AD$1, 'Fund Data'!$B:$B = 12),"""")"),"")</f>
        <v/>
      </c>
      <c r="AE150" t="str">
        <f>IFERROR(__xludf.DUMMYFUNCTION("IFERROR(FILTER('Fund Data'!$D:$D, 'Fund Data'!$C:$C = $A150, 'Fund Data'!$A:$A = AE$1, 'Fund Data'!$B:$B = 12),"""")"),"")</f>
        <v/>
      </c>
    </row>
    <row r="151">
      <c r="A151" s="145" t="str">
        <f>'Endowed Funds'!B:B</f>
        <v/>
      </c>
      <c r="B151" t="str">
        <f>IFERROR(__xludf.DUMMYFUNCTION("IFERROR(FILTER('Fund Data'!$D:$D, 'Fund Data'!$C:$C = $A151, 'Fund Data'!$A:$A = B$1, 'Fund Data'!$B:$B = 12),"""")"),"")</f>
        <v/>
      </c>
      <c r="C151" t="str">
        <f>IFERROR(__xludf.DUMMYFUNCTION("IFERROR(FILTER('Fund Data'!$D:$D, 'Fund Data'!$C:$C = $A151, 'Fund Data'!$A:$A = C$1, 'Fund Data'!$B:$B = 12),"""")"),"")</f>
        <v/>
      </c>
      <c r="D151" t="str">
        <f>IFERROR(__xludf.DUMMYFUNCTION("IFERROR(FILTER('Fund Data'!$D:$D, 'Fund Data'!$C:$C = $A151, 'Fund Data'!$A:$A = D$1, 'Fund Data'!$B:$B = 12),"""")"),"")</f>
        <v/>
      </c>
      <c r="E151" t="str">
        <f>IFERROR(__xludf.DUMMYFUNCTION("IFERROR(FILTER('Fund Data'!$D:$D, 'Fund Data'!$C:$C = $A151, 'Fund Data'!$A:$A = E$1, 'Fund Data'!$B:$B = 12),"""")"),"")</f>
        <v/>
      </c>
      <c r="F151" t="str">
        <f>IFERROR(__xludf.DUMMYFUNCTION("IFERROR(FILTER('Fund Data'!$D:$D, 'Fund Data'!$C:$C = $A151, 'Fund Data'!$A:$A = F$1, 'Fund Data'!$B:$B = 12),"""")"),"")</f>
        <v/>
      </c>
      <c r="G151" t="str">
        <f>IFERROR(__xludf.DUMMYFUNCTION("IFERROR(FILTER('Fund Data'!$D:$D, 'Fund Data'!$C:$C = $A151, 'Fund Data'!$A:$A = G$1, 'Fund Data'!$B:$B = 12),"""")"),"")</f>
        <v/>
      </c>
      <c r="H151" t="str">
        <f>IFERROR(__xludf.DUMMYFUNCTION("IFERROR(FILTER('Fund Data'!$D:$D, 'Fund Data'!$C:$C = $A151, 'Fund Data'!$A:$A = H$1, 'Fund Data'!$B:$B = 12),"""")"),"")</f>
        <v/>
      </c>
      <c r="I151" t="str">
        <f>IFERROR(__xludf.DUMMYFUNCTION("IFERROR(FILTER('Fund Data'!$D:$D, 'Fund Data'!$C:$C = $A151, 'Fund Data'!$A:$A = I$1, 'Fund Data'!$B:$B = 12),"""")"),"")</f>
        <v/>
      </c>
      <c r="J151" t="str">
        <f>IFERROR(__xludf.DUMMYFUNCTION("IFERROR(FILTER('Fund Data'!$D:$D, 'Fund Data'!$C:$C = $A151, 'Fund Data'!$A:$A = J$1, 'Fund Data'!$B:$B = 12),"""")"),"")</f>
        <v/>
      </c>
      <c r="K151" t="str">
        <f>IFERROR(__xludf.DUMMYFUNCTION("IFERROR(FILTER('Fund Data'!$D:$D, 'Fund Data'!$C:$C = $A151, 'Fund Data'!$A:$A = K$1, 'Fund Data'!$B:$B = 12),"""")"),"")</f>
        <v/>
      </c>
      <c r="L151" t="str">
        <f>IFERROR(__xludf.DUMMYFUNCTION("IFERROR(FILTER('Fund Data'!$D:$D, 'Fund Data'!$C:$C = $A151, 'Fund Data'!$A:$A = L$1, 'Fund Data'!$B:$B = 12),"""")"),"")</f>
        <v/>
      </c>
      <c r="M151" t="str">
        <f>IFERROR(__xludf.DUMMYFUNCTION("IFERROR(FILTER('Fund Data'!$D:$D, 'Fund Data'!$C:$C = $A151, 'Fund Data'!$A:$A = M$1, 'Fund Data'!$B:$B = 12),"""")"),"")</f>
        <v/>
      </c>
      <c r="N151" t="str">
        <f>IFERROR(__xludf.DUMMYFUNCTION("IFERROR(FILTER('Fund Data'!$D:$D, 'Fund Data'!$C:$C = $A151, 'Fund Data'!$A:$A = N$1, 'Fund Data'!$B:$B = 12),"""")"),"")</f>
        <v/>
      </c>
      <c r="O151" t="str">
        <f>IFERROR(__xludf.DUMMYFUNCTION("IFERROR(FILTER('Fund Data'!$D:$D, 'Fund Data'!$C:$C = $A151, 'Fund Data'!$A:$A = O$1, 'Fund Data'!$B:$B = 12),"""")"),"")</f>
        <v/>
      </c>
      <c r="P151" t="str">
        <f>IFERROR(__xludf.DUMMYFUNCTION("IFERROR(FILTER('Fund Data'!$D:$D, 'Fund Data'!$C:$C = $A151, 'Fund Data'!$A:$A = P$1, 'Fund Data'!$B:$B = 12),"""")"),"")</f>
        <v/>
      </c>
      <c r="Q151" t="str">
        <f>IFERROR(__xludf.DUMMYFUNCTION("IFERROR(FILTER('Fund Data'!$D:$D, 'Fund Data'!$C:$C = $A151, 'Fund Data'!$A:$A = Q$1, 'Fund Data'!$B:$B = 12),"""")"),"")</f>
        <v/>
      </c>
      <c r="R151" t="str">
        <f>IFERROR(__xludf.DUMMYFUNCTION("IFERROR(FILTER('Fund Data'!$D:$D, 'Fund Data'!$C:$C = $A151, 'Fund Data'!$A:$A = R$1, 'Fund Data'!$B:$B = 12),"""")"),"")</f>
        <v/>
      </c>
      <c r="S151" t="str">
        <f>IFERROR(__xludf.DUMMYFUNCTION("IFERROR(FILTER('Fund Data'!$D:$D, 'Fund Data'!$C:$C = $A151, 'Fund Data'!$A:$A = S$1, 'Fund Data'!$B:$B = 12),"""")"),"")</f>
        <v/>
      </c>
      <c r="T151" t="str">
        <f>IFERROR(__xludf.DUMMYFUNCTION("IFERROR(FILTER('Fund Data'!$D:$D, 'Fund Data'!$C:$C = $A151, 'Fund Data'!$A:$A = T$1, 'Fund Data'!$B:$B = 12),"""")"),"")</f>
        <v/>
      </c>
      <c r="U151" t="str">
        <f>IFERROR(__xludf.DUMMYFUNCTION("IFERROR(FILTER('Fund Data'!$D:$D, 'Fund Data'!$C:$C = $A151, 'Fund Data'!$A:$A = U$1, 'Fund Data'!$B:$B = 12),"""")"),"")</f>
        <v/>
      </c>
      <c r="V151" t="str">
        <f>IFERROR(__xludf.DUMMYFUNCTION("IFERROR(FILTER('Fund Data'!$D:$D, 'Fund Data'!$C:$C = $A151, 'Fund Data'!$A:$A = V$1, 'Fund Data'!$B:$B = 12),"""")"),"")</f>
        <v/>
      </c>
      <c r="W151" t="str">
        <f>IFERROR(__xludf.DUMMYFUNCTION("IFERROR(FILTER('Fund Data'!$D:$D, 'Fund Data'!$C:$C = $A151, 'Fund Data'!$A:$A = W$1, 'Fund Data'!$B:$B = 12),"""")"),"")</f>
        <v/>
      </c>
      <c r="X151" t="str">
        <f>IFERROR(__xludf.DUMMYFUNCTION("IFERROR(FILTER('Fund Data'!$D:$D, 'Fund Data'!$C:$C = $A151, 'Fund Data'!$A:$A = X$1, 'Fund Data'!$B:$B = 12),"""")"),"")</f>
        <v/>
      </c>
      <c r="Y151" t="str">
        <f>IFERROR(__xludf.DUMMYFUNCTION("IFERROR(FILTER('Fund Data'!$D:$D, 'Fund Data'!$C:$C = $A151, 'Fund Data'!$A:$A = Y$1, 'Fund Data'!$B:$B = 12),"""")"),"")</f>
        <v/>
      </c>
      <c r="Z151" t="str">
        <f>IFERROR(__xludf.DUMMYFUNCTION("IFERROR(FILTER('Fund Data'!$D:$D, 'Fund Data'!$C:$C = $A151, 'Fund Data'!$A:$A = Z$1, 'Fund Data'!$B:$B = 12),"""")"),"")</f>
        <v/>
      </c>
      <c r="AA151" t="str">
        <f>IFERROR(__xludf.DUMMYFUNCTION("IFERROR(FILTER('Fund Data'!$D:$D, 'Fund Data'!$C:$C = $A151, 'Fund Data'!$A:$A = AA$1, 'Fund Data'!$B:$B = 12),"""")"),"")</f>
        <v/>
      </c>
      <c r="AB151" t="str">
        <f>IFERROR(__xludf.DUMMYFUNCTION("IFERROR(FILTER('Fund Data'!$D:$D, 'Fund Data'!$C:$C = $A151, 'Fund Data'!$A:$A = AB$1, 'Fund Data'!$B:$B = 12),"""")"),"")</f>
        <v/>
      </c>
      <c r="AC151" t="str">
        <f>IFERROR(__xludf.DUMMYFUNCTION("IFERROR(FILTER('Fund Data'!$D:$D, 'Fund Data'!$C:$C = $A151, 'Fund Data'!$A:$A = AC$1, 'Fund Data'!$B:$B = 12),"""")"),"")</f>
        <v/>
      </c>
      <c r="AD151" t="str">
        <f>IFERROR(__xludf.DUMMYFUNCTION("IFERROR(FILTER('Fund Data'!$D:$D, 'Fund Data'!$C:$C = $A151, 'Fund Data'!$A:$A = AD$1, 'Fund Data'!$B:$B = 12),"""")"),"")</f>
        <v/>
      </c>
      <c r="AE151" t="str">
        <f>IFERROR(__xludf.DUMMYFUNCTION("IFERROR(FILTER('Fund Data'!$D:$D, 'Fund Data'!$C:$C = $A151, 'Fund Data'!$A:$A = AE$1, 'Fund Data'!$B:$B = 12),"""")"),"")</f>
        <v/>
      </c>
    </row>
    <row r="152">
      <c r="A152" s="145" t="str">
        <f>'Endowed Funds'!B:B</f>
        <v/>
      </c>
      <c r="B152" t="str">
        <f>IFERROR(__xludf.DUMMYFUNCTION("IFERROR(FILTER('Fund Data'!$D:$D, 'Fund Data'!$C:$C = $A152, 'Fund Data'!$A:$A = B$1, 'Fund Data'!$B:$B = 12),"""")"),"")</f>
        <v/>
      </c>
      <c r="C152" t="str">
        <f>IFERROR(__xludf.DUMMYFUNCTION("IFERROR(FILTER('Fund Data'!$D:$D, 'Fund Data'!$C:$C = $A152, 'Fund Data'!$A:$A = C$1, 'Fund Data'!$B:$B = 12),"""")"),"")</f>
        <v/>
      </c>
      <c r="D152" t="str">
        <f>IFERROR(__xludf.DUMMYFUNCTION("IFERROR(FILTER('Fund Data'!$D:$D, 'Fund Data'!$C:$C = $A152, 'Fund Data'!$A:$A = D$1, 'Fund Data'!$B:$B = 12),"""")"),"")</f>
        <v/>
      </c>
      <c r="E152" t="str">
        <f>IFERROR(__xludf.DUMMYFUNCTION("IFERROR(FILTER('Fund Data'!$D:$D, 'Fund Data'!$C:$C = $A152, 'Fund Data'!$A:$A = E$1, 'Fund Data'!$B:$B = 12),"""")"),"")</f>
        <v/>
      </c>
      <c r="F152" t="str">
        <f>IFERROR(__xludf.DUMMYFUNCTION("IFERROR(FILTER('Fund Data'!$D:$D, 'Fund Data'!$C:$C = $A152, 'Fund Data'!$A:$A = F$1, 'Fund Data'!$B:$B = 12),"""")"),"")</f>
        <v/>
      </c>
      <c r="G152" t="str">
        <f>IFERROR(__xludf.DUMMYFUNCTION("IFERROR(FILTER('Fund Data'!$D:$D, 'Fund Data'!$C:$C = $A152, 'Fund Data'!$A:$A = G$1, 'Fund Data'!$B:$B = 12),"""")"),"")</f>
        <v/>
      </c>
      <c r="H152" t="str">
        <f>IFERROR(__xludf.DUMMYFUNCTION("IFERROR(FILTER('Fund Data'!$D:$D, 'Fund Data'!$C:$C = $A152, 'Fund Data'!$A:$A = H$1, 'Fund Data'!$B:$B = 12),"""")"),"")</f>
        <v/>
      </c>
      <c r="I152" t="str">
        <f>IFERROR(__xludf.DUMMYFUNCTION("IFERROR(FILTER('Fund Data'!$D:$D, 'Fund Data'!$C:$C = $A152, 'Fund Data'!$A:$A = I$1, 'Fund Data'!$B:$B = 12),"""")"),"")</f>
        <v/>
      </c>
      <c r="J152" t="str">
        <f>IFERROR(__xludf.DUMMYFUNCTION("IFERROR(FILTER('Fund Data'!$D:$D, 'Fund Data'!$C:$C = $A152, 'Fund Data'!$A:$A = J$1, 'Fund Data'!$B:$B = 12),"""")"),"")</f>
        <v/>
      </c>
      <c r="K152" t="str">
        <f>IFERROR(__xludf.DUMMYFUNCTION("IFERROR(FILTER('Fund Data'!$D:$D, 'Fund Data'!$C:$C = $A152, 'Fund Data'!$A:$A = K$1, 'Fund Data'!$B:$B = 12),"""")"),"")</f>
        <v/>
      </c>
      <c r="L152" t="str">
        <f>IFERROR(__xludf.DUMMYFUNCTION("IFERROR(FILTER('Fund Data'!$D:$D, 'Fund Data'!$C:$C = $A152, 'Fund Data'!$A:$A = L$1, 'Fund Data'!$B:$B = 12),"""")"),"")</f>
        <v/>
      </c>
      <c r="M152" t="str">
        <f>IFERROR(__xludf.DUMMYFUNCTION("IFERROR(FILTER('Fund Data'!$D:$D, 'Fund Data'!$C:$C = $A152, 'Fund Data'!$A:$A = M$1, 'Fund Data'!$B:$B = 12),"""")"),"")</f>
        <v/>
      </c>
      <c r="N152" t="str">
        <f>IFERROR(__xludf.DUMMYFUNCTION("IFERROR(FILTER('Fund Data'!$D:$D, 'Fund Data'!$C:$C = $A152, 'Fund Data'!$A:$A = N$1, 'Fund Data'!$B:$B = 12),"""")"),"")</f>
        <v/>
      </c>
      <c r="O152" t="str">
        <f>IFERROR(__xludf.DUMMYFUNCTION("IFERROR(FILTER('Fund Data'!$D:$D, 'Fund Data'!$C:$C = $A152, 'Fund Data'!$A:$A = O$1, 'Fund Data'!$B:$B = 12),"""")"),"")</f>
        <v/>
      </c>
      <c r="P152" t="str">
        <f>IFERROR(__xludf.DUMMYFUNCTION("IFERROR(FILTER('Fund Data'!$D:$D, 'Fund Data'!$C:$C = $A152, 'Fund Data'!$A:$A = P$1, 'Fund Data'!$B:$B = 12),"""")"),"")</f>
        <v/>
      </c>
      <c r="Q152" t="str">
        <f>IFERROR(__xludf.DUMMYFUNCTION("IFERROR(FILTER('Fund Data'!$D:$D, 'Fund Data'!$C:$C = $A152, 'Fund Data'!$A:$A = Q$1, 'Fund Data'!$B:$B = 12),"""")"),"")</f>
        <v/>
      </c>
      <c r="R152" t="str">
        <f>IFERROR(__xludf.DUMMYFUNCTION("IFERROR(FILTER('Fund Data'!$D:$D, 'Fund Data'!$C:$C = $A152, 'Fund Data'!$A:$A = R$1, 'Fund Data'!$B:$B = 12),"""")"),"")</f>
        <v/>
      </c>
      <c r="S152" t="str">
        <f>IFERROR(__xludf.DUMMYFUNCTION("IFERROR(FILTER('Fund Data'!$D:$D, 'Fund Data'!$C:$C = $A152, 'Fund Data'!$A:$A = S$1, 'Fund Data'!$B:$B = 12),"""")"),"")</f>
        <v/>
      </c>
      <c r="T152" t="str">
        <f>IFERROR(__xludf.DUMMYFUNCTION("IFERROR(FILTER('Fund Data'!$D:$D, 'Fund Data'!$C:$C = $A152, 'Fund Data'!$A:$A = T$1, 'Fund Data'!$B:$B = 12),"""")"),"")</f>
        <v/>
      </c>
      <c r="U152" t="str">
        <f>IFERROR(__xludf.DUMMYFUNCTION("IFERROR(FILTER('Fund Data'!$D:$D, 'Fund Data'!$C:$C = $A152, 'Fund Data'!$A:$A = U$1, 'Fund Data'!$B:$B = 12),"""")"),"")</f>
        <v/>
      </c>
      <c r="V152" t="str">
        <f>IFERROR(__xludf.DUMMYFUNCTION("IFERROR(FILTER('Fund Data'!$D:$D, 'Fund Data'!$C:$C = $A152, 'Fund Data'!$A:$A = V$1, 'Fund Data'!$B:$B = 12),"""")"),"")</f>
        <v/>
      </c>
      <c r="W152" t="str">
        <f>IFERROR(__xludf.DUMMYFUNCTION("IFERROR(FILTER('Fund Data'!$D:$D, 'Fund Data'!$C:$C = $A152, 'Fund Data'!$A:$A = W$1, 'Fund Data'!$B:$B = 12),"""")"),"")</f>
        <v/>
      </c>
      <c r="X152" t="str">
        <f>IFERROR(__xludf.DUMMYFUNCTION("IFERROR(FILTER('Fund Data'!$D:$D, 'Fund Data'!$C:$C = $A152, 'Fund Data'!$A:$A = X$1, 'Fund Data'!$B:$B = 12),"""")"),"")</f>
        <v/>
      </c>
      <c r="Y152" t="str">
        <f>IFERROR(__xludf.DUMMYFUNCTION("IFERROR(FILTER('Fund Data'!$D:$D, 'Fund Data'!$C:$C = $A152, 'Fund Data'!$A:$A = Y$1, 'Fund Data'!$B:$B = 12),"""")"),"")</f>
        <v/>
      </c>
      <c r="Z152" t="str">
        <f>IFERROR(__xludf.DUMMYFUNCTION("IFERROR(FILTER('Fund Data'!$D:$D, 'Fund Data'!$C:$C = $A152, 'Fund Data'!$A:$A = Z$1, 'Fund Data'!$B:$B = 12),"""")"),"")</f>
        <v/>
      </c>
      <c r="AA152" t="str">
        <f>IFERROR(__xludf.DUMMYFUNCTION("IFERROR(FILTER('Fund Data'!$D:$D, 'Fund Data'!$C:$C = $A152, 'Fund Data'!$A:$A = AA$1, 'Fund Data'!$B:$B = 12),"""")"),"")</f>
        <v/>
      </c>
      <c r="AB152" t="str">
        <f>IFERROR(__xludf.DUMMYFUNCTION("IFERROR(FILTER('Fund Data'!$D:$D, 'Fund Data'!$C:$C = $A152, 'Fund Data'!$A:$A = AB$1, 'Fund Data'!$B:$B = 12),"""")"),"")</f>
        <v/>
      </c>
      <c r="AC152" t="str">
        <f>IFERROR(__xludf.DUMMYFUNCTION("IFERROR(FILTER('Fund Data'!$D:$D, 'Fund Data'!$C:$C = $A152, 'Fund Data'!$A:$A = AC$1, 'Fund Data'!$B:$B = 12),"""")"),"")</f>
        <v/>
      </c>
      <c r="AD152" t="str">
        <f>IFERROR(__xludf.DUMMYFUNCTION("IFERROR(FILTER('Fund Data'!$D:$D, 'Fund Data'!$C:$C = $A152, 'Fund Data'!$A:$A = AD$1, 'Fund Data'!$B:$B = 12),"""")"),"")</f>
        <v/>
      </c>
      <c r="AE152" t="str">
        <f>IFERROR(__xludf.DUMMYFUNCTION("IFERROR(FILTER('Fund Data'!$D:$D, 'Fund Data'!$C:$C = $A152, 'Fund Data'!$A:$A = AE$1, 'Fund Data'!$B:$B = 12),"""")"),"")</f>
        <v/>
      </c>
    </row>
    <row r="153">
      <c r="A153" s="145" t="str">
        <f>'Endowed Funds'!B:B</f>
        <v/>
      </c>
      <c r="B153" t="str">
        <f>IFERROR(__xludf.DUMMYFUNCTION("IFERROR(FILTER('Fund Data'!$D:$D, 'Fund Data'!$C:$C = $A153, 'Fund Data'!$A:$A = B$1, 'Fund Data'!$B:$B = 12),"""")"),"")</f>
        <v/>
      </c>
      <c r="C153" t="str">
        <f>IFERROR(__xludf.DUMMYFUNCTION("IFERROR(FILTER('Fund Data'!$D:$D, 'Fund Data'!$C:$C = $A153, 'Fund Data'!$A:$A = C$1, 'Fund Data'!$B:$B = 12),"""")"),"")</f>
        <v/>
      </c>
      <c r="D153" t="str">
        <f>IFERROR(__xludf.DUMMYFUNCTION("IFERROR(FILTER('Fund Data'!$D:$D, 'Fund Data'!$C:$C = $A153, 'Fund Data'!$A:$A = D$1, 'Fund Data'!$B:$B = 12),"""")"),"")</f>
        <v/>
      </c>
      <c r="E153" t="str">
        <f>IFERROR(__xludf.DUMMYFUNCTION("IFERROR(FILTER('Fund Data'!$D:$D, 'Fund Data'!$C:$C = $A153, 'Fund Data'!$A:$A = E$1, 'Fund Data'!$B:$B = 12),"""")"),"")</f>
        <v/>
      </c>
      <c r="F153" t="str">
        <f>IFERROR(__xludf.DUMMYFUNCTION("IFERROR(FILTER('Fund Data'!$D:$D, 'Fund Data'!$C:$C = $A153, 'Fund Data'!$A:$A = F$1, 'Fund Data'!$B:$B = 12),"""")"),"")</f>
        <v/>
      </c>
      <c r="G153" t="str">
        <f>IFERROR(__xludf.DUMMYFUNCTION("IFERROR(FILTER('Fund Data'!$D:$D, 'Fund Data'!$C:$C = $A153, 'Fund Data'!$A:$A = G$1, 'Fund Data'!$B:$B = 12),"""")"),"")</f>
        <v/>
      </c>
      <c r="H153" t="str">
        <f>IFERROR(__xludf.DUMMYFUNCTION("IFERROR(FILTER('Fund Data'!$D:$D, 'Fund Data'!$C:$C = $A153, 'Fund Data'!$A:$A = H$1, 'Fund Data'!$B:$B = 12),"""")"),"")</f>
        <v/>
      </c>
      <c r="I153" t="str">
        <f>IFERROR(__xludf.DUMMYFUNCTION("IFERROR(FILTER('Fund Data'!$D:$D, 'Fund Data'!$C:$C = $A153, 'Fund Data'!$A:$A = I$1, 'Fund Data'!$B:$B = 12),"""")"),"")</f>
        <v/>
      </c>
      <c r="J153" t="str">
        <f>IFERROR(__xludf.DUMMYFUNCTION("IFERROR(FILTER('Fund Data'!$D:$D, 'Fund Data'!$C:$C = $A153, 'Fund Data'!$A:$A = J$1, 'Fund Data'!$B:$B = 12),"""")"),"")</f>
        <v/>
      </c>
      <c r="K153" t="str">
        <f>IFERROR(__xludf.DUMMYFUNCTION("IFERROR(FILTER('Fund Data'!$D:$D, 'Fund Data'!$C:$C = $A153, 'Fund Data'!$A:$A = K$1, 'Fund Data'!$B:$B = 12),"""")"),"")</f>
        <v/>
      </c>
      <c r="L153" t="str">
        <f>IFERROR(__xludf.DUMMYFUNCTION("IFERROR(FILTER('Fund Data'!$D:$D, 'Fund Data'!$C:$C = $A153, 'Fund Data'!$A:$A = L$1, 'Fund Data'!$B:$B = 12),"""")"),"")</f>
        <v/>
      </c>
      <c r="M153" t="str">
        <f>IFERROR(__xludf.DUMMYFUNCTION("IFERROR(FILTER('Fund Data'!$D:$D, 'Fund Data'!$C:$C = $A153, 'Fund Data'!$A:$A = M$1, 'Fund Data'!$B:$B = 12),"""")"),"")</f>
        <v/>
      </c>
      <c r="N153" t="str">
        <f>IFERROR(__xludf.DUMMYFUNCTION("IFERROR(FILTER('Fund Data'!$D:$D, 'Fund Data'!$C:$C = $A153, 'Fund Data'!$A:$A = N$1, 'Fund Data'!$B:$B = 12),"""")"),"")</f>
        <v/>
      </c>
      <c r="O153" t="str">
        <f>IFERROR(__xludf.DUMMYFUNCTION("IFERROR(FILTER('Fund Data'!$D:$D, 'Fund Data'!$C:$C = $A153, 'Fund Data'!$A:$A = O$1, 'Fund Data'!$B:$B = 12),"""")"),"")</f>
        <v/>
      </c>
      <c r="P153" t="str">
        <f>IFERROR(__xludf.DUMMYFUNCTION("IFERROR(FILTER('Fund Data'!$D:$D, 'Fund Data'!$C:$C = $A153, 'Fund Data'!$A:$A = P$1, 'Fund Data'!$B:$B = 12),"""")"),"")</f>
        <v/>
      </c>
      <c r="Q153" t="str">
        <f>IFERROR(__xludf.DUMMYFUNCTION("IFERROR(FILTER('Fund Data'!$D:$D, 'Fund Data'!$C:$C = $A153, 'Fund Data'!$A:$A = Q$1, 'Fund Data'!$B:$B = 12),"""")"),"")</f>
        <v/>
      </c>
      <c r="R153" t="str">
        <f>IFERROR(__xludf.DUMMYFUNCTION("IFERROR(FILTER('Fund Data'!$D:$D, 'Fund Data'!$C:$C = $A153, 'Fund Data'!$A:$A = R$1, 'Fund Data'!$B:$B = 12),"""")"),"")</f>
        <v/>
      </c>
      <c r="S153" t="str">
        <f>IFERROR(__xludf.DUMMYFUNCTION("IFERROR(FILTER('Fund Data'!$D:$D, 'Fund Data'!$C:$C = $A153, 'Fund Data'!$A:$A = S$1, 'Fund Data'!$B:$B = 12),"""")"),"")</f>
        <v/>
      </c>
      <c r="T153" t="str">
        <f>IFERROR(__xludf.DUMMYFUNCTION("IFERROR(FILTER('Fund Data'!$D:$D, 'Fund Data'!$C:$C = $A153, 'Fund Data'!$A:$A = T$1, 'Fund Data'!$B:$B = 12),"""")"),"")</f>
        <v/>
      </c>
      <c r="U153" t="str">
        <f>IFERROR(__xludf.DUMMYFUNCTION("IFERROR(FILTER('Fund Data'!$D:$D, 'Fund Data'!$C:$C = $A153, 'Fund Data'!$A:$A = U$1, 'Fund Data'!$B:$B = 12),"""")"),"")</f>
        <v/>
      </c>
      <c r="V153" t="str">
        <f>IFERROR(__xludf.DUMMYFUNCTION("IFERROR(FILTER('Fund Data'!$D:$D, 'Fund Data'!$C:$C = $A153, 'Fund Data'!$A:$A = V$1, 'Fund Data'!$B:$B = 12),"""")"),"")</f>
        <v/>
      </c>
      <c r="W153" t="str">
        <f>IFERROR(__xludf.DUMMYFUNCTION("IFERROR(FILTER('Fund Data'!$D:$D, 'Fund Data'!$C:$C = $A153, 'Fund Data'!$A:$A = W$1, 'Fund Data'!$B:$B = 12),"""")"),"")</f>
        <v/>
      </c>
      <c r="X153" t="str">
        <f>IFERROR(__xludf.DUMMYFUNCTION("IFERROR(FILTER('Fund Data'!$D:$D, 'Fund Data'!$C:$C = $A153, 'Fund Data'!$A:$A = X$1, 'Fund Data'!$B:$B = 12),"""")"),"")</f>
        <v/>
      </c>
      <c r="Y153" t="str">
        <f>IFERROR(__xludf.DUMMYFUNCTION("IFERROR(FILTER('Fund Data'!$D:$D, 'Fund Data'!$C:$C = $A153, 'Fund Data'!$A:$A = Y$1, 'Fund Data'!$B:$B = 12),"""")"),"")</f>
        <v/>
      </c>
      <c r="Z153" t="str">
        <f>IFERROR(__xludf.DUMMYFUNCTION("IFERROR(FILTER('Fund Data'!$D:$D, 'Fund Data'!$C:$C = $A153, 'Fund Data'!$A:$A = Z$1, 'Fund Data'!$B:$B = 12),"""")"),"")</f>
        <v/>
      </c>
      <c r="AA153" t="str">
        <f>IFERROR(__xludf.DUMMYFUNCTION("IFERROR(FILTER('Fund Data'!$D:$D, 'Fund Data'!$C:$C = $A153, 'Fund Data'!$A:$A = AA$1, 'Fund Data'!$B:$B = 12),"""")"),"")</f>
        <v/>
      </c>
      <c r="AB153" t="str">
        <f>IFERROR(__xludf.DUMMYFUNCTION("IFERROR(FILTER('Fund Data'!$D:$D, 'Fund Data'!$C:$C = $A153, 'Fund Data'!$A:$A = AB$1, 'Fund Data'!$B:$B = 12),"""")"),"")</f>
        <v/>
      </c>
      <c r="AC153" t="str">
        <f>IFERROR(__xludf.DUMMYFUNCTION("IFERROR(FILTER('Fund Data'!$D:$D, 'Fund Data'!$C:$C = $A153, 'Fund Data'!$A:$A = AC$1, 'Fund Data'!$B:$B = 12),"""")"),"")</f>
        <v/>
      </c>
      <c r="AD153" t="str">
        <f>IFERROR(__xludf.DUMMYFUNCTION("IFERROR(FILTER('Fund Data'!$D:$D, 'Fund Data'!$C:$C = $A153, 'Fund Data'!$A:$A = AD$1, 'Fund Data'!$B:$B = 12),"""")"),"")</f>
        <v/>
      </c>
      <c r="AE153" t="str">
        <f>IFERROR(__xludf.DUMMYFUNCTION("IFERROR(FILTER('Fund Data'!$D:$D, 'Fund Data'!$C:$C = $A153, 'Fund Data'!$A:$A = AE$1, 'Fund Data'!$B:$B = 12),"""")"),"")</f>
        <v/>
      </c>
    </row>
    <row r="154">
      <c r="A154" s="145" t="str">
        <f>'Endowed Funds'!B:B</f>
        <v/>
      </c>
      <c r="B154" t="str">
        <f>IFERROR(__xludf.DUMMYFUNCTION("IFERROR(FILTER('Fund Data'!$D:$D, 'Fund Data'!$C:$C = $A154, 'Fund Data'!$A:$A = B$1, 'Fund Data'!$B:$B = 12),"""")"),"")</f>
        <v/>
      </c>
      <c r="C154" t="str">
        <f>IFERROR(__xludf.DUMMYFUNCTION("IFERROR(FILTER('Fund Data'!$D:$D, 'Fund Data'!$C:$C = $A154, 'Fund Data'!$A:$A = C$1, 'Fund Data'!$B:$B = 12),"""")"),"")</f>
        <v/>
      </c>
      <c r="D154" t="str">
        <f>IFERROR(__xludf.DUMMYFUNCTION("IFERROR(FILTER('Fund Data'!$D:$D, 'Fund Data'!$C:$C = $A154, 'Fund Data'!$A:$A = D$1, 'Fund Data'!$B:$B = 12),"""")"),"")</f>
        <v/>
      </c>
      <c r="E154" t="str">
        <f>IFERROR(__xludf.DUMMYFUNCTION("IFERROR(FILTER('Fund Data'!$D:$D, 'Fund Data'!$C:$C = $A154, 'Fund Data'!$A:$A = E$1, 'Fund Data'!$B:$B = 12),"""")"),"")</f>
        <v/>
      </c>
      <c r="F154" t="str">
        <f>IFERROR(__xludf.DUMMYFUNCTION("IFERROR(FILTER('Fund Data'!$D:$D, 'Fund Data'!$C:$C = $A154, 'Fund Data'!$A:$A = F$1, 'Fund Data'!$B:$B = 12),"""")"),"")</f>
        <v/>
      </c>
      <c r="G154" t="str">
        <f>IFERROR(__xludf.DUMMYFUNCTION("IFERROR(FILTER('Fund Data'!$D:$D, 'Fund Data'!$C:$C = $A154, 'Fund Data'!$A:$A = G$1, 'Fund Data'!$B:$B = 12),"""")"),"")</f>
        <v/>
      </c>
      <c r="H154" t="str">
        <f>IFERROR(__xludf.DUMMYFUNCTION("IFERROR(FILTER('Fund Data'!$D:$D, 'Fund Data'!$C:$C = $A154, 'Fund Data'!$A:$A = H$1, 'Fund Data'!$B:$B = 12),"""")"),"")</f>
        <v/>
      </c>
      <c r="I154" t="str">
        <f>IFERROR(__xludf.DUMMYFUNCTION("IFERROR(FILTER('Fund Data'!$D:$D, 'Fund Data'!$C:$C = $A154, 'Fund Data'!$A:$A = I$1, 'Fund Data'!$B:$B = 12),"""")"),"")</f>
        <v/>
      </c>
      <c r="J154" t="str">
        <f>IFERROR(__xludf.DUMMYFUNCTION("IFERROR(FILTER('Fund Data'!$D:$D, 'Fund Data'!$C:$C = $A154, 'Fund Data'!$A:$A = J$1, 'Fund Data'!$B:$B = 12),"""")"),"")</f>
        <v/>
      </c>
      <c r="K154" t="str">
        <f>IFERROR(__xludf.DUMMYFUNCTION("IFERROR(FILTER('Fund Data'!$D:$D, 'Fund Data'!$C:$C = $A154, 'Fund Data'!$A:$A = K$1, 'Fund Data'!$B:$B = 12),"""")"),"")</f>
        <v/>
      </c>
      <c r="L154" t="str">
        <f>IFERROR(__xludf.DUMMYFUNCTION("IFERROR(FILTER('Fund Data'!$D:$D, 'Fund Data'!$C:$C = $A154, 'Fund Data'!$A:$A = L$1, 'Fund Data'!$B:$B = 12),"""")"),"")</f>
        <v/>
      </c>
      <c r="M154" t="str">
        <f>IFERROR(__xludf.DUMMYFUNCTION("IFERROR(FILTER('Fund Data'!$D:$D, 'Fund Data'!$C:$C = $A154, 'Fund Data'!$A:$A = M$1, 'Fund Data'!$B:$B = 12),"""")"),"")</f>
        <v/>
      </c>
      <c r="N154" t="str">
        <f>IFERROR(__xludf.DUMMYFUNCTION("IFERROR(FILTER('Fund Data'!$D:$D, 'Fund Data'!$C:$C = $A154, 'Fund Data'!$A:$A = N$1, 'Fund Data'!$B:$B = 12),"""")"),"")</f>
        <v/>
      </c>
      <c r="O154" t="str">
        <f>IFERROR(__xludf.DUMMYFUNCTION("IFERROR(FILTER('Fund Data'!$D:$D, 'Fund Data'!$C:$C = $A154, 'Fund Data'!$A:$A = O$1, 'Fund Data'!$B:$B = 12),"""")"),"")</f>
        <v/>
      </c>
      <c r="P154" t="str">
        <f>IFERROR(__xludf.DUMMYFUNCTION("IFERROR(FILTER('Fund Data'!$D:$D, 'Fund Data'!$C:$C = $A154, 'Fund Data'!$A:$A = P$1, 'Fund Data'!$B:$B = 12),"""")"),"")</f>
        <v/>
      </c>
      <c r="Q154" t="str">
        <f>IFERROR(__xludf.DUMMYFUNCTION("IFERROR(FILTER('Fund Data'!$D:$D, 'Fund Data'!$C:$C = $A154, 'Fund Data'!$A:$A = Q$1, 'Fund Data'!$B:$B = 12),"""")"),"")</f>
        <v/>
      </c>
      <c r="R154" t="str">
        <f>IFERROR(__xludf.DUMMYFUNCTION("IFERROR(FILTER('Fund Data'!$D:$D, 'Fund Data'!$C:$C = $A154, 'Fund Data'!$A:$A = R$1, 'Fund Data'!$B:$B = 12),"""")"),"")</f>
        <v/>
      </c>
      <c r="S154" t="str">
        <f>IFERROR(__xludf.DUMMYFUNCTION("IFERROR(FILTER('Fund Data'!$D:$D, 'Fund Data'!$C:$C = $A154, 'Fund Data'!$A:$A = S$1, 'Fund Data'!$B:$B = 12),"""")"),"")</f>
        <v/>
      </c>
      <c r="T154" t="str">
        <f>IFERROR(__xludf.DUMMYFUNCTION("IFERROR(FILTER('Fund Data'!$D:$D, 'Fund Data'!$C:$C = $A154, 'Fund Data'!$A:$A = T$1, 'Fund Data'!$B:$B = 12),"""")"),"")</f>
        <v/>
      </c>
      <c r="U154" t="str">
        <f>IFERROR(__xludf.DUMMYFUNCTION("IFERROR(FILTER('Fund Data'!$D:$D, 'Fund Data'!$C:$C = $A154, 'Fund Data'!$A:$A = U$1, 'Fund Data'!$B:$B = 12),"""")"),"")</f>
        <v/>
      </c>
      <c r="V154" t="str">
        <f>IFERROR(__xludf.DUMMYFUNCTION("IFERROR(FILTER('Fund Data'!$D:$D, 'Fund Data'!$C:$C = $A154, 'Fund Data'!$A:$A = V$1, 'Fund Data'!$B:$B = 12),"""")"),"")</f>
        <v/>
      </c>
      <c r="W154" t="str">
        <f>IFERROR(__xludf.DUMMYFUNCTION("IFERROR(FILTER('Fund Data'!$D:$D, 'Fund Data'!$C:$C = $A154, 'Fund Data'!$A:$A = W$1, 'Fund Data'!$B:$B = 12),"""")"),"")</f>
        <v/>
      </c>
      <c r="X154" t="str">
        <f>IFERROR(__xludf.DUMMYFUNCTION("IFERROR(FILTER('Fund Data'!$D:$D, 'Fund Data'!$C:$C = $A154, 'Fund Data'!$A:$A = X$1, 'Fund Data'!$B:$B = 12),"""")"),"")</f>
        <v/>
      </c>
      <c r="Y154" t="str">
        <f>IFERROR(__xludf.DUMMYFUNCTION("IFERROR(FILTER('Fund Data'!$D:$D, 'Fund Data'!$C:$C = $A154, 'Fund Data'!$A:$A = Y$1, 'Fund Data'!$B:$B = 12),"""")"),"")</f>
        <v/>
      </c>
      <c r="Z154" t="str">
        <f>IFERROR(__xludf.DUMMYFUNCTION("IFERROR(FILTER('Fund Data'!$D:$D, 'Fund Data'!$C:$C = $A154, 'Fund Data'!$A:$A = Z$1, 'Fund Data'!$B:$B = 12),"""")"),"")</f>
        <v/>
      </c>
      <c r="AA154" t="str">
        <f>IFERROR(__xludf.DUMMYFUNCTION("IFERROR(FILTER('Fund Data'!$D:$D, 'Fund Data'!$C:$C = $A154, 'Fund Data'!$A:$A = AA$1, 'Fund Data'!$B:$B = 12),"""")"),"")</f>
        <v/>
      </c>
      <c r="AB154" t="str">
        <f>IFERROR(__xludf.DUMMYFUNCTION("IFERROR(FILTER('Fund Data'!$D:$D, 'Fund Data'!$C:$C = $A154, 'Fund Data'!$A:$A = AB$1, 'Fund Data'!$B:$B = 12),"""")"),"")</f>
        <v/>
      </c>
      <c r="AC154" t="str">
        <f>IFERROR(__xludf.DUMMYFUNCTION("IFERROR(FILTER('Fund Data'!$D:$D, 'Fund Data'!$C:$C = $A154, 'Fund Data'!$A:$A = AC$1, 'Fund Data'!$B:$B = 12),"""")"),"")</f>
        <v/>
      </c>
      <c r="AD154" t="str">
        <f>IFERROR(__xludf.DUMMYFUNCTION("IFERROR(FILTER('Fund Data'!$D:$D, 'Fund Data'!$C:$C = $A154, 'Fund Data'!$A:$A = AD$1, 'Fund Data'!$B:$B = 12),"""")"),"")</f>
        <v/>
      </c>
      <c r="AE154" t="str">
        <f>IFERROR(__xludf.DUMMYFUNCTION("IFERROR(FILTER('Fund Data'!$D:$D, 'Fund Data'!$C:$C = $A154, 'Fund Data'!$A:$A = AE$1, 'Fund Data'!$B:$B = 12),"""")"),"")</f>
        <v/>
      </c>
    </row>
    <row r="155">
      <c r="A155" s="145" t="str">
        <f>'Endowed Funds'!B:B</f>
        <v/>
      </c>
      <c r="B155" t="str">
        <f>IFERROR(__xludf.DUMMYFUNCTION("IFERROR(FILTER('Fund Data'!$D:$D, 'Fund Data'!$C:$C = $A155, 'Fund Data'!$A:$A = B$1, 'Fund Data'!$B:$B = 12),"""")"),"")</f>
        <v/>
      </c>
      <c r="C155" t="str">
        <f>IFERROR(__xludf.DUMMYFUNCTION("IFERROR(FILTER('Fund Data'!$D:$D, 'Fund Data'!$C:$C = $A155, 'Fund Data'!$A:$A = C$1, 'Fund Data'!$B:$B = 12),"""")"),"")</f>
        <v/>
      </c>
      <c r="D155" t="str">
        <f>IFERROR(__xludf.DUMMYFUNCTION("IFERROR(FILTER('Fund Data'!$D:$D, 'Fund Data'!$C:$C = $A155, 'Fund Data'!$A:$A = D$1, 'Fund Data'!$B:$B = 12),"""")"),"")</f>
        <v/>
      </c>
      <c r="E155" t="str">
        <f>IFERROR(__xludf.DUMMYFUNCTION("IFERROR(FILTER('Fund Data'!$D:$D, 'Fund Data'!$C:$C = $A155, 'Fund Data'!$A:$A = E$1, 'Fund Data'!$B:$B = 12),"""")"),"")</f>
        <v/>
      </c>
      <c r="F155" t="str">
        <f>IFERROR(__xludf.DUMMYFUNCTION("IFERROR(FILTER('Fund Data'!$D:$D, 'Fund Data'!$C:$C = $A155, 'Fund Data'!$A:$A = F$1, 'Fund Data'!$B:$B = 12),"""")"),"")</f>
        <v/>
      </c>
      <c r="G155" t="str">
        <f>IFERROR(__xludf.DUMMYFUNCTION("IFERROR(FILTER('Fund Data'!$D:$D, 'Fund Data'!$C:$C = $A155, 'Fund Data'!$A:$A = G$1, 'Fund Data'!$B:$B = 12),"""")"),"")</f>
        <v/>
      </c>
      <c r="H155" t="str">
        <f>IFERROR(__xludf.DUMMYFUNCTION("IFERROR(FILTER('Fund Data'!$D:$D, 'Fund Data'!$C:$C = $A155, 'Fund Data'!$A:$A = H$1, 'Fund Data'!$B:$B = 12),"""")"),"")</f>
        <v/>
      </c>
      <c r="I155" t="str">
        <f>IFERROR(__xludf.DUMMYFUNCTION("IFERROR(FILTER('Fund Data'!$D:$D, 'Fund Data'!$C:$C = $A155, 'Fund Data'!$A:$A = I$1, 'Fund Data'!$B:$B = 12),"""")"),"")</f>
        <v/>
      </c>
      <c r="J155" t="str">
        <f>IFERROR(__xludf.DUMMYFUNCTION("IFERROR(FILTER('Fund Data'!$D:$D, 'Fund Data'!$C:$C = $A155, 'Fund Data'!$A:$A = J$1, 'Fund Data'!$B:$B = 12),"""")"),"")</f>
        <v/>
      </c>
      <c r="K155" t="str">
        <f>IFERROR(__xludf.DUMMYFUNCTION("IFERROR(FILTER('Fund Data'!$D:$D, 'Fund Data'!$C:$C = $A155, 'Fund Data'!$A:$A = K$1, 'Fund Data'!$B:$B = 12),"""")"),"")</f>
        <v/>
      </c>
      <c r="L155" t="str">
        <f>IFERROR(__xludf.DUMMYFUNCTION("IFERROR(FILTER('Fund Data'!$D:$D, 'Fund Data'!$C:$C = $A155, 'Fund Data'!$A:$A = L$1, 'Fund Data'!$B:$B = 12),"""")"),"")</f>
        <v/>
      </c>
      <c r="M155" t="str">
        <f>IFERROR(__xludf.DUMMYFUNCTION("IFERROR(FILTER('Fund Data'!$D:$D, 'Fund Data'!$C:$C = $A155, 'Fund Data'!$A:$A = M$1, 'Fund Data'!$B:$B = 12),"""")"),"")</f>
        <v/>
      </c>
      <c r="N155" t="str">
        <f>IFERROR(__xludf.DUMMYFUNCTION("IFERROR(FILTER('Fund Data'!$D:$D, 'Fund Data'!$C:$C = $A155, 'Fund Data'!$A:$A = N$1, 'Fund Data'!$B:$B = 12),"""")"),"")</f>
        <v/>
      </c>
      <c r="O155" t="str">
        <f>IFERROR(__xludf.DUMMYFUNCTION("IFERROR(FILTER('Fund Data'!$D:$D, 'Fund Data'!$C:$C = $A155, 'Fund Data'!$A:$A = O$1, 'Fund Data'!$B:$B = 12),"""")"),"")</f>
        <v/>
      </c>
      <c r="P155" t="str">
        <f>IFERROR(__xludf.DUMMYFUNCTION("IFERROR(FILTER('Fund Data'!$D:$D, 'Fund Data'!$C:$C = $A155, 'Fund Data'!$A:$A = P$1, 'Fund Data'!$B:$B = 12),"""")"),"")</f>
        <v/>
      </c>
      <c r="Q155" t="str">
        <f>IFERROR(__xludf.DUMMYFUNCTION("IFERROR(FILTER('Fund Data'!$D:$D, 'Fund Data'!$C:$C = $A155, 'Fund Data'!$A:$A = Q$1, 'Fund Data'!$B:$B = 12),"""")"),"")</f>
        <v/>
      </c>
      <c r="R155" t="str">
        <f>IFERROR(__xludf.DUMMYFUNCTION("IFERROR(FILTER('Fund Data'!$D:$D, 'Fund Data'!$C:$C = $A155, 'Fund Data'!$A:$A = R$1, 'Fund Data'!$B:$B = 12),"""")"),"")</f>
        <v/>
      </c>
      <c r="S155" t="str">
        <f>IFERROR(__xludf.DUMMYFUNCTION("IFERROR(FILTER('Fund Data'!$D:$D, 'Fund Data'!$C:$C = $A155, 'Fund Data'!$A:$A = S$1, 'Fund Data'!$B:$B = 12),"""")"),"")</f>
        <v/>
      </c>
      <c r="T155" t="str">
        <f>IFERROR(__xludf.DUMMYFUNCTION("IFERROR(FILTER('Fund Data'!$D:$D, 'Fund Data'!$C:$C = $A155, 'Fund Data'!$A:$A = T$1, 'Fund Data'!$B:$B = 12),"""")"),"")</f>
        <v/>
      </c>
      <c r="U155" t="str">
        <f>IFERROR(__xludf.DUMMYFUNCTION("IFERROR(FILTER('Fund Data'!$D:$D, 'Fund Data'!$C:$C = $A155, 'Fund Data'!$A:$A = U$1, 'Fund Data'!$B:$B = 12),"""")"),"")</f>
        <v/>
      </c>
      <c r="V155" t="str">
        <f>IFERROR(__xludf.DUMMYFUNCTION("IFERROR(FILTER('Fund Data'!$D:$D, 'Fund Data'!$C:$C = $A155, 'Fund Data'!$A:$A = V$1, 'Fund Data'!$B:$B = 12),"""")"),"")</f>
        <v/>
      </c>
      <c r="W155" t="str">
        <f>IFERROR(__xludf.DUMMYFUNCTION("IFERROR(FILTER('Fund Data'!$D:$D, 'Fund Data'!$C:$C = $A155, 'Fund Data'!$A:$A = W$1, 'Fund Data'!$B:$B = 12),"""")"),"")</f>
        <v/>
      </c>
      <c r="X155" t="str">
        <f>IFERROR(__xludf.DUMMYFUNCTION("IFERROR(FILTER('Fund Data'!$D:$D, 'Fund Data'!$C:$C = $A155, 'Fund Data'!$A:$A = X$1, 'Fund Data'!$B:$B = 12),"""")"),"")</f>
        <v/>
      </c>
      <c r="Y155" t="str">
        <f>IFERROR(__xludf.DUMMYFUNCTION("IFERROR(FILTER('Fund Data'!$D:$D, 'Fund Data'!$C:$C = $A155, 'Fund Data'!$A:$A = Y$1, 'Fund Data'!$B:$B = 12),"""")"),"")</f>
        <v/>
      </c>
      <c r="Z155" t="str">
        <f>IFERROR(__xludf.DUMMYFUNCTION("IFERROR(FILTER('Fund Data'!$D:$D, 'Fund Data'!$C:$C = $A155, 'Fund Data'!$A:$A = Z$1, 'Fund Data'!$B:$B = 12),"""")"),"")</f>
        <v/>
      </c>
      <c r="AA155" t="str">
        <f>IFERROR(__xludf.DUMMYFUNCTION("IFERROR(FILTER('Fund Data'!$D:$D, 'Fund Data'!$C:$C = $A155, 'Fund Data'!$A:$A = AA$1, 'Fund Data'!$B:$B = 12),"""")"),"")</f>
        <v/>
      </c>
      <c r="AB155" t="str">
        <f>IFERROR(__xludf.DUMMYFUNCTION("IFERROR(FILTER('Fund Data'!$D:$D, 'Fund Data'!$C:$C = $A155, 'Fund Data'!$A:$A = AB$1, 'Fund Data'!$B:$B = 12),"""")"),"")</f>
        <v/>
      </c>
      <c r="AC155" t="str">
        <f>IFERROR(__xludf.DUMMYFUNCTION("IFERROR(FILTER('Fund Data'!$D:$D, 'Fund Data'!$C:$C = $A155, 'Fund Data'!$A:$A = AC$1, 'Fund Data'!$B:$B = 12),"""")"),"")</f>
        <v/>
      </c>
      <c r="AD155" t="str">
        <f>IFERROR(__xludf.DUMMYFUNCTION("IFERROR(FILTER('Fund Data'!$D:$D, 'Fund Data'!$C:$C = $A155, 'Fund Data'!$A:$A = AD$1, 'Fund Data'!$B:$B = 12),"""")"),"")</f>
        <v/>
      </c>
      <c r="AE155" t="str">
        <f>IFERROR(__xludf.DUMMYFUNCTION("IFERROR(FILTER('Fund Data'!$D:$D, 'Fund Data'!$C:$C = $A155, 'Fund Data'!$A:$A = AE$1, 'Fund Data'!$B:$B = 12),"""")"),"")</f>
        <v/>
      </c>
    </row>
    <row r="156">
      <c r="A156" s="145" t="str">
        <f>'Endowed Funds'!B:B</f>
        <v/>
      </c>
      <c r="B156" t="str">
        <f>IFERROR(__xludf.DUMMYFUNCTION("IFERROR(FILTER('Fund Data'!$D:$D, 'Fund Data'!$C:$C = $A156, 'Fund Data'!$A:$A = B$1, 'Fund Data'!$B:$B = 12),"""")"),"")</f>
        <v/>
      </c>
      <c r="C156" t="str">
        <f>IFERROR(__xludf.DUMMYFUNCTION("IFERROR(FILTER('Fund Data'!$D:$D, 'Fund Data'!$C:$C = $A156, 'Fund Data'!$A:$A = C$1, 'Fund Data'!$B:$B = 12),"""")"),"")</f>
        <v/>
      </c>
      <c r="D156" t="str">
        <f>IFERROR(__xludf.DUMMYFUNCTION("IFERROR(FILTER('Fund Data'!$D:$D, 'Fund Data'!$C:$C = $A156, 'Fund Data'!$A:$A = D$1, 'Fund Data'!$B:$B = 12),"""")"),"")</f>
        <v/>
      </c>
      <c r="E156" t="str">
        <f>IFERROR(__xludf.DUMMYFUNCTION("IFERROR(FILTER('Fund Data'!$D:$D, 'Fund Data'!$C:$C = $A156, 'Fund Data'!$A:$A = E$1, 'Fund Data'!$B:$B = 12),"""")"),"")</f>
        <v/>
      </c>
      <c r="F156" t="str">
        <f>IFERROR(__xludf.DUMMYFUNCTION("IFERROR(FILTER('Fund Data'!$D:$D, 'Fund Data'!$C:$C = $A156, 'Fund Data'!$A:$A = F$1, 'Fund Data'!$B:$B = 12),"""")"),"")</f>
        <v/>
      </c>
      <c r="G156" t="str">
        <f>IFERROR(__xludf.DUMMYFUNCTION("IFERROR(FILTER('Fund Data'!$D:$D, 'Fund Data'!$C:$C = $A156, 'Fund Data'!$A:$A = G$1, 'Fund Data'!$B:$B = 12),"""")"),"")</f>
        <v/>
      </c>
      <c r="H156" t="str">
        <f>IFERROR(__xludf.DUMMYFUNCTION("IFERROR(FILTER('Fund Data'!$D:$D, 'Fund Data'!$C:$C = $A156, 'Fund Data'!$A:$A = H$1, 'Fund Data'!$B:$B = 12),"""")"),"")</f>
        <v/>
      </c>
      <c r="I156" t="str">
        <f>IFERROR(__xludf.DUMMYFUNCTION("IFERROR(FILTER('Fund Data'!$D:$D, 'Fund Data'!$C:$C = $A156, 'Fund Data'!$A:$A = I$1, 'Fund Data'!$B:$B = 12),"""")"),"")</f>
        <v/>
      </c>
      <c r="J156" t="str">
        <f>IFERROR(__xludf.DUMMYFUNCTION("IFERROR(FILTER('Fund Data'!$D:$D, 'Fund Data'!$C:$C = $A156, 'Fund Data'!$A:$A = J$1, 'Fund Data'!$B:$B = 12),"""")"),"")</f>
        <v/>
      </c>
      <c r="K156" t="str">
        <f>IFERROR(__xludf.DUMMYFUNCTION("IFERROR(FILTER('Fund Data'!$D:$D, 'Fund Data'!$C:$C = $A156, 'Fund Data'!$A:$A = K$1, 'Fund Data'!$B:$B = 12),"""")"),"")</f>
        <v/>
      </c>
      <c r="L156" t="str">
        <f>IFERROR(__xludf.DUMMYFUNCTION("IFERROR(FILTER('Fund Data'!$D:$D, 'Fund Data'!$C:$C = $A156, 'Fund Data'!$A:$A = L$1, 'Fund Data'!$B:$B = 12),"""")"),"")</f>
        <v/>
      </c>
      <c r="M156" t="str">
        <f>IFERROR(__xludf.DUMMYFUNCTION("IFERROR(FILTER('Fund Data'!$D:$D, 'Fund Data'!$C:$C = $A156, 'Fund Data'!$A:$A = M$1, 'Fund Data'!$B:$B = 12),"""")"),"")</f>
        <v/>
      </c>
      <c r="N156" t="str">
        <f>IFERROR(__xludf.DUMMYFUNCTION("IFERROR(FILTER('Fund Data'!$D:$D, 'Fund Data'!$C:$C = $A156, 'Fund Data'!$A:$A = N$1, 'Fund Data'!$B:$B = 12),"""")"),"")</f>
        <v/>
      </c>
      <c r="O156" t="str">
        <f>IFERROR(__xludf.DUMMYFUNCTION("IFERROR(FILTER('Fund Data'!$D:$D, 'Fund Data'!$C:$C = $A156, 'Fund Data'!$A:$A = O$1, 'Fund Data'!$B:$B = 12),"""")"),"")</f>
        <v/>
      </c>
      <c r="P156" t="str">
        <f>IFERROR(__xludf.DUMMYFUNCTION("IFERROR(FILTER('Fund Data'!$D:$D, 'Fund Data'!$C:$C = $A156, 'Fund Data'!$A:$A = P$1, 'Fund Data'!$B:$B = 12),"""")"),"")</f>
        <v/>
      </c>
      <c r="Q156" t="str">
        <f>IFERROR(__xludf.DUMMYFUNCTION("IFERROR(FILTER('Fund Data'!$D:$D, 'Fund Data'!$C:$C = $A156, 'Fund Data'!$A:$A = Q$1, 'Fund Data'!$B:$B = 12),"""")"),"")</f>
        <v/>
      </c>
      <c r="R156" t="str">
        <f>IFERROR(__xludf.DUMMYFUNCTION("IFERROR(FILTER('Fund Data'!$D:$D, 'Fund Data'!$C:$C = $A156, 'Fund Data'!$A:$A = R$1, 'Fund Data'!$B:$B = 12),"""")"),"")</f>
        <v/>
      </c>
      <c r="S156" t="str">
        <f>IFERROR(__xludf.DUMMYFUNCTION("IFERROR(FILTER('Fund Data'!$D:$D, 'Fund Data'!$C:$C = $A156, 'Fund Data'!$A:$A = S$1, 'Fund Data'!$B:$B = 12),"""")"),"")</f>
        <v/>
      </c>
      <c r="T156" t="str">
        <f>IFERROR(__xludf.DUMMYFUNCTION("IFERROR(FILTER('Fund Data'!$D:$D, 'Fund Data'!$C:$C = $A156, 'Fund Data'!$A:$A = T$1, 'Fund Data'!$B:$B = 12),"""")"),"")</f>
        <v/>
      </c>
      <c r="U156" t="str">
        <f>IFERROR(__xludf.DUMMYFUNCTION("IFERROR(FILTER('Fund Data'!$D:$D, 'Fund Data'!$C:$C = $A156, 'Fund Data'!$A:$A = U$1, 'Fund Data'!$B:$B = 12),"""")"),"")</f>
        <v/>
      </c>
      <c r="V156" t="str">
        <f>IFERROR(__xludf.DUMMYFUNCTION("IFERROR(FILTER('Fund Data'!$D:$D, 'Fund Data'!$C:$C = $A156, 'Fund Data'!$A:$A = V$1, 'Fund Data'!$B:$B = 12),"""")"),"")</f>
        <v/>
      </c>
      <c r="W156" t="str">
        <f>IFERROR(__xludf.DUMMYFUNCTION("IFERROR(FILTER('Fund Data'!$D:$D, 'Fund Data'!$C:$C = $A156, 'Fund Data'!$A:$A = W$1, 'Fund Data'!$B:$B = 12),"""")"),"")</f>
        <v/>
      </c>
      <c r="X156" t="str">
        <f>IFERROR(__xludf.DUMMYFUNCTION("IFERROR(FILTER('Fund Data'!$D:$D, 'Fund Data'!$C:$C = $A156, 'Fund Data'!$A:$A = X$1, 'Fund Data'!$B:$B = 12),"""")"),"")</f>
        <v/>
      </c>
      <c r="Y156" t="str">
        <f>IFERROR(__xludf.DUMMYFUNCTION("IFERROR(FILTER('Fund Data'!$D:$D, 'Fund Data'!$C:$C = $A156, 'Fund Data'!$A:$A = Y$1, 'Fund Data'!$B:$B = 12),"""")"),"")</f>
        <v/>
      </c>
      <c r="Z156" t="str">
        <f>IFERROR(__xludf.DUMMYFUNCTION("IFERROR(FILTER('Fund Data'!$D:$D, 'Fund Data'!$C:$C = $A156, 'Fund Data'!$A:$A = Z$1, 'Fund Data'!$B:$B = 12),"""")"),"")</f>
        <v/>
      </c>
      <c r="AA156" t="str">
        <f>IFERROR(__xludf.DUMMYFUNCTION("IFERROR(FILTER('Fund Data'!$D:$D, 'Fund Data'!$C:$C = $A156, 'Fund Data'!$A:$A = AA$1, 'Fund Data'!$B:$B = 12),"""")"),"")</f>
        <v/>
      </c>
      <c r="AB156" t="str">
        <f>IFERROR(__xludf.DUMMYFUNCTION("IFERROR(FILTER('Fund Data'!$D:$D, 'Fund Data'!$C:$C = $A156, 'Fund Data'!$A:$A = AB$1, 'Fund Data'!$B:$B = 12),"""")"),"")</f>
        <v/>
      </c>
      <c r="AC156" t="str">
        <f>IFERROR(__xludf.DUMMYFUNCTION("IFERROR(FILTER('Fund Data'!$D:$D, 'Fund Data'!$C:$C = $A156, 'Fund Data'!$A:$A = AC$1, 'Fund Data'!$B:$B = 12),"""")"),"")</f>
        <v/>
      </c>
      <c r="AD156" t="str">
        <f>IFERROR(__xludf.DUMMYFUNCTION("IFERROR(FILTER('Fund Data'!$D:$D, 'Fund Data'!$C:$C = $A156, 'Fund Data'!$A:$A = AD$1, 'Fund Data'!$B:$B = 12),"""")"),"")</f>
        <v/>
      </c>
      <c r="AE156" t="str">
        <f>IFERROR(__xludf.DUMMYFUNCTION("IFERROR(FILTER('Fund Data'!$D:$D, 'Fund Data'!$C:$C = $A156, 'Fund Data'!$A:$A = AE$1, 'Fund Data'!$B:$B = 12),"""")"),"")</f>
        <v/>
      </c>
    </row>
    <row r="157">
      <c r="A157" s="145" t="str">
        <f>'Endowed Funds'!B:B</f>
        <v/>
      </c>
      <c r="B157" t="str">
        <f>IFERROR(__xludf.DUMMYFUNCTION("IFERROR(FILTER('Fund Data'!$D:$D, 'Fund Data'!$C:$C = $A157, 'Fund Data'!$A:$A = B$1, 'Fund Data'!$B:$B = 12),"""")"),"")</f>
        <v/>
      </c>
      <c r="C157" t="str">
        <f>IFERROR(__xludf.DUMMYFUNCTION("IFERROR(FILTER('Fund Data'!$D:$D, 'Fund Data'!$C:$C = $A157, 'Fund Data'!$A:$A = C$1, 'Fund Data'!$B:$B = 12),"""")"),"")</f>
        <v/>
      </c>
      <c r="D157" t="str">
        <f>IFERROR(__xludf.DUMMYFUNCTION("IFERROR(FILTER('Fund Data'!$D:$D, 'Fund Data'!$C:$C = $A157, 'Fund Data'!$A:$A = D$1, 'Fund Data'!$B:$B = 12),"""")"),"")</f>
        <v/>
      </c>
      <c r="E157" t="str">
        <f>IFERROR(__xludf.DUMMYFUNCTION("IFERROR(FILTER('Fund Data'!$D:$D, 'Fund Data'!$C:$C = $A157, 'Fund Data'!$A:$A = E$1, 'Fund Data'!$B:$B = 12),"""")"),"")</f>
        <v/>
      </c>
      <c r="F157" t="str">
        <f>IFERROR(__xludf.DUMMYFUNCTION("IFERROR(FILTER('Fund Data'!$D:$D, 'Fund Data'!$C:$C = $A157, 'Fund Data'!$A:$A = F$1, 'Fund Data'!$B:$B = 12),"""")"),"")</f>
        <v/>
      </c>
      <c r="G157" t="str">
        <f>IFERROR(__xludf.DUMMYFUNCTION("IFERROR(FILTER('Fund Data'!$D:$D, 'Fund Data'!$C:$C = $A157, 'Fund Data'!$A:$A = G$1, 'Fund Data'!$B:$B = 12),"""")"),"")</f>
        <v/>
      </c>
      <c r="H157" t="str">
        <f>IFERROR(__xludf.DUMMYFUNCTION("IFERROR(FILTER('Fund Data'!$D:$D, 'Fund Data'!$C:$C = $A157, 'Fund Data'!$A:$A = H$1, 'Fund Data'!$B:$B = 12),"""")"),"")</f>
        <v/>
      </c>
      <c r="I157" t="str">
        <f>IFERROR(__xludf.DUMMYFUNCTION("IFERROR(FILTER('Fund Data'!$D:$D, 'Fund Data'!$C:$C = $A157, 'Fund Data'!$A:$A = I$1, 'Fund Data'!$B:$B = 12),"""")"),"")</f>
        <v/>
      </c>
      <c r="J157" t="str">
        <f>IFERROR(__xludf.DUMMYFUNCTION("IFERROR(FILTER('Fund Data'!$D:$D, 'Fund Data'!$C:$C = $A157, 'Fund Data'!$A:$A = J$1, 'Fund Data'!$B:$B = 12),"""")"),"")</f>
        <v/>
      </c>
      <c r="K157" t="str">
        <f>IFERROR(__xludf.DUMMYFUNCTION("IFERROR(FILTER('Fund Data'!$D:$D, 'Fund Data'!$C:$C = $A157, 'Fund Data'!$A:$A = K$1, 'Fund Data'!$B:$B = 12),"""")"),"")</f>
        <v/>
      </c>
      <c r="L157" t="str">
        <f>IFERROR(__xludf.DUMMYFUNCTION("IFERROR(FILTER('Fund Data'!$D:$D, 'Fund Data'!$C:$C = $A157, 'Fund Data'!$A:$A = L$1, 'Fund Data'!$B:$B = 12),"""")"),"")</f>
        <v/>
      </c>
      <c r="M157" t="str">
        <f>IFERROR(__xludf.DUMMYFUNCTION("IFERROR(FILTER('Fund Data'!$D:$D, 'Fund Data'!$C:$C = $A157, 'Fund Data'!$A:$A = M$1, 'Fund Data'!$B:$B = 12),"""")"),"")</f>
        <v/>
      </c>
      <c r="N157" t="str">
        <f>IFERROR(__xludf.DUMMYFUNCTION("IFERROR(FILTER('Fund Data'!$D:$D, 'Fund Data'!$C:$C = $A157, 'Fund Data'!$A:$A = N$1, 'Fund Data'!$B:$B = 12),"""")"),"")</f>
        <v/>
      </c>
      <c r="O157" t="str">
        <f>IFERROR(__xludf.DUMMYFUNCTION("IFERROR(FILTER('Fund Data'!$D:$D, 'Fund Data'!$C:$C = $A157, 'Fund Data'!$A:$A = O$1, 'Fund Data'!$B:$B = 12),"""")"),"")</f>
        <v/>
      </c>
      <c r="P157" t="str">
        <f>IFERROR(__xludf.DUMMYFUNCTION("IFERROR(FILTER('Fund Data'!$D:$D, 'Fund Data'!$C:$C = $A157, 'Fund Data'!$A:$A = P$1, 'Fund Data'!$B:$B = 12),"""")"),"")</f>
        <v/>
      </c>
      <c r="Q157" t="str">
        <f>IFERROR(__xludf.DUMMYFUNCTION("IFERROR(FILTER('Fund Data'!$D:$D, 'Fund Data'!$C:$C = $A157, 'Fund Data'!$A:$A = Q$1, 'Fund Data'!$B:$B = 12),"""")"),"")</f>
        <v/>
      </c>
      <c r="R157" t="str">
        <f>IFERROR(__xludf.DUMMYFUNCTION("IFERROR(FILTER('Fund Data'!$D:$D, 'Fund Data'!$C:$C = $A157, 'Fund Data'!$A:$A = R$1, 'Fund Data'!$B:$B = 12),"""")"),"")</f>
        <v/>
      </c>
      <c r="S157" t="str">
        <f>IFERROR(__xludf.DUMMYFUNCTION("IFERROR(FILTER('Fund Data'!$D:$D, 'Fund Data'!$C:$C = $A157, 'Fund Data'!$A:$A = S$1, 'Fund Data'!$B:$B = 12),"""")"),"")</f>
        <v/>
      </c>
      <c r="T157" t="str">
        <f>IFERROR(__xludf.DUMMYFUNCTION("IFERROR(FILTER('Fund Data'!$D:$D, 'Fund Data'!$C:$C = $A157, 'Fund Data'!$A:$A = T$1, 'Fund Data'!$B:$B = 12),"""")"),"")</f>
        <v/>
      </c>
      <c r="U157" t="str">
        <f>IFERROR(__xludf.DUMMYFUNCTION("IFERROR(FILTER('Fund Data'!$D:$D, 'Fund Data'!$C:$C = $A157, 'Fund Data'!$A:$A = U$1, 'Fund Data'!$B:$B = 12),"""")"),"")</f>
        <v/>
      </c>
      <c r="V157" t="str">
        <f>IFERROR(__xludf.DUMMYFUNCTION("IFERROR(FILTER('Fund Data'!$D:$D, 'Fund Data'!$C:$C = $A157, 'Fund Data'!$A:$A = V$1, 'Fund Data'!$B:$B = 12),"""")"),"")</f>
        <v/>
      </c>
      <c r="W157" t="str">
        <f>IFERROR(__xludf.DUMMYFUNCTION("IFERROR(FILTER('Fund Data'!$D:$D, 'Fund Data'!$C:$C = $A157, 'Fund Data'!$A:$A = W$1, 'Fund Data'!$B:$B = 12),"""")"),"")</f>
        <v/>
      </c>
      <c r="X157" t="str">
        <f>IFERROR(__xludf.DUMMYFUNCTION("IFERROR(FILTER('Fund Data'!$D:$D, 'Fund Data'!$C:$C = $A157, 'Fund Data'!$A:$A = X$1, 'Fund Data'!$B:$B = 12),"""")"),"")</f>
        <v/>
      </c>
      <c r="Y157" t="str">
        <f>IFERROR(__xludf.DUMMYFUNCTION("IFERROR(FILTER('Fund Data'!$D:$D, 'Fund Data'!$C:$C = $A157, 'Fund Data'!$A:$A = Y$1, 'Fund Data'!$B:$B = 12),"""")"),"")</f>
        <v/>
      </c>
      <c r="Z157" t="str">
        <f>IFERROR(__xludf.DUMMYFUNCTION("IFERROR(FILTER('Fund Data'!$D:$D, 'Fund Data'!$C:$C = $A157, 'Fund Data'!$A:$A = Z$1, 'Fund Data'!$B:$B = 12),"""")"),"")</f>
        <v/>
      </c>
    </row>
    <row r="158">
      <c r="A158" s="145" t="str">
        <f>'Endowed Funds'!B:B</f>
        <v/>
      </c>
      <c r="B158" t="str">
        <f>IFERROR(__xludf.DUMMYFUNCTION("IFERROR(FILTER('Fund Data'!$D:$D, 'Fund Data'!$C:$C = $A158, 'Fund Data'!$A:$A = B$1, 'Fund Data'!$B:$B = 12),"""")"),"")</f>
        <v/>
      </c>
      <c r="C158" t="str">
        <f>IFERROR(__xludf.DUMMYFUNCTION("IFERROR(FILTER('Fund Data'!$D:$D, 'Fund Data'!$C:$C = $A158, 'Fund Data'!$A:$A = C$1, 'Fund Data'!$B:$B = 12),"""")"),"")</f>
        <v/>
      </c>
      <c r="D158" t="str">
        <f>IFERROR(__xludf.DUMMYFUNCTION("IFERROR(FILTER('Fund Data'!$D:$D, 'Fund Data'!$C:$C = $A158, 'Fund Data'!$A:$A = D$1, 'Fund Data'!$B:$B = 12),"""")"),"")</f>
        <v/>
      </c>
      <c r="E158" t="str">
        <f>IFERROR(__xludf.DUMMYFUNCTION("IFERROR(FILTER('Fund Data'!$D:$D, 'Fund Data'!$C:$C = $A158, 'Fund Data'!$A:$A = E$1, 'Fund Data'!$B:$B = 12),"""")"),"")</f>
        <v/>
      </c>
      <c r="F158" t="str">
        <f>IFERROR(__xludf.DUMMYFUNCTION("IFERROR(FILTER('Fund Data'!$D:$D, 'Fund Data'!$C:$C = $A158, 'Fund Data'!$A:$A = F$1, 'Fund Data'!$B:$B = 12),"""")"),"")</f>
        <v/>
      </c>
      <c r="G158" t="str">
        <f>IFERROR(__xludf.DUMMYFUNCTION("IFERROR(FILTER('Fund Data'!$D:$D, 'Fund Data'!$C:$C = $A158, 'Fund Data'!$A:$A = G$1, 'Fund Data'!$B:$B = 12),"""")"),"")</f>
        <v/>
      </c>
      <c r="H158" t="str">
        <f>IFERROR(__xludf.DUMMYFUNCTION("IFERROR(FILTER('Fund Data'!$D:$D, 'Fund Data'!$C:$C = $A158, 'Fund Data'!$A:$A = H$1, 'Fund Data'!$B:$B = 12),"""")"),"")</f>
        <v/>
      </c>
      <c r="I158" t="str">
        <f>IFERROR(__xludf.DUMMYFUNCTION("IFERROR(FILTER('Fund Data'!$D:$D, 'Fund Data'!$C:$C = $A158, 'Fund Data'!$A:$A = I$1, 'Fund Data'!$B:$B = 12),"""")"),"")</f>
        <v/>
      </c>
      <c r="J158" t="str">
        <f>IFERROR(__xludf.DUMMYFUNCTION("IFERROR(FILTER('Fund Data'!$D:$D, 'Fund Data'!$C:$C = $A158, 'Fund Data'!$A:$A = J$1, 'Fund Data'!$B:$B = 12),"""")"),"")</f>
        <v/>
      </c>
      <c r="K158" t="str">
        <f>IFERROR(__xludf.DUMMYFUNCTION("IFERROR(FILTER('Fund Data'!$D:$D, 'Fund Data'!$C:$C = $A158, 'Fund Data'!$A:$A = K$1, 'Fund Data'!$B:$B = 12),"""")"),"")</f>
        <v/>
      </c>
      <c r="L158" t="str">
        <f>IFERROR(__xludf.DUMMYFUNCTION("IFERROR(FILTER('Fund Data'!$D:$D, 'Fund Data'!$C:$C = $A158, 'Fund Data'!$A:$A = L$1, 'Fund Data'!$B:$B = 12),"""")"),"")</f>
        <v/>
      </c>
      <c r="M158" t="str">
        <f>IFERROR(__xludf.DUMMYFUNCTION("IFERROR(FILTER('Fund Data'!$D:$D, 'Fund Data'!$C:$C = $A158, 'Fund Data'!$A:$A = M$1, 'Fund Data'!$B:$B = 12),"""")"),"")</f>
        <v/>
      </c>
      <c r="N158" t="str">
        <f>IFERROR(__xludf.DUMMYFUNCTION("IFERROR(FILTER('Fund Data'!$D:$D, 'Fund Data'!$C:$C = $A158, 'Fund Data'!$A:$A = N$1, 'Fund Data'!$B:$B = 12),"""")"),"")</f>
        <v/>
      </c>
      <c r="O158" t="str">
        <f>IFERROR(__xludf.DUMMYFUNCTION("IFERROR(FILTER('Fund Data'!$D:$D, 'Fund Data'!$C:$C = $A158, 'Fund Data'!$A:$A = O$1, 'Fund Data'!$B:$B = 12),"""")"),"")</f>
        <v/>
      </c>
      <c r="P158" t="str">
        <f>IFERROR(__xludf.DUMMYFUNCTION("IFERROR(FILTER('Fund Data'!$D:$D, 'Fund Data'!$C:$C = $A158, 'Fund Data'!$A:$A = P$1, 'Fund Data'!$B:$B = 12),"""")"),"")</f>
        <v/>
      </c>
      <c r="Q158" t="str">
        <f>IFERROR(__xludf.DUMMYFUNCTION("IFERROR(FILTER('Fund Data'!$D:$D, 'Fund Data'!$C:$C = $A158, 'Fund Data'!$A:$A = Q$1, 'Fund Data'!$B:$B = 12),"""")"),"")</f>
        <v/>
      </c>
      <c r="R158" t="str">
        <f>IFERROR(__xludf.DUMMYFUNCTION("IFERROR(FILTER('Fund Data'!$D:$D, 'Fund Data'!$C:$C = $A158, 'Fund Data'!$A:$A = R$1, 'Fund Data'!$B:$B = 12),"""")"),"")</f>
        <v/>
      </c>
      <c r="S158" t="str">
        <f>IFERROR(__xludf.DUMMYFUNCTION("IFERROR(FILTER('Fund Data'!$D:$D, 'Fund Data'!$C:$C = $A158, 'Fund Data'!$A:$A = S$1, 'Fund Data'!$B:$B = 12),"""")"),"")</f>
        <v/>
      </c>
      <c r="T158" t="str">
        <f>IFERROR(__xludf.DUMMYFUNCTION("IFERROR(FILTER('Fund Data'!$D:$D, 'Fund Data'!$C:$C = $A158, 'Fund Data'!$A:$A = T$1, 'Fund Data'!$B:$B = 12),"""")"),"")</f>
        <v/>
      </c>
      <c r="U158" t="str">
        <f>IFERROR(__xludf.DUMMYFUNCTION("IFERROR(FILTER('Fund Data'!$D:$D, 'Fund Data'!$C:$C = $A158, 'Fund Data'!$A:$A = U$1, 'Fund Data'!$B:$B = 12),"""")"),"")</f>
        <v/>
      </c>
      <c r="V158" t="str">
        <f>IFERROR(__xludf.DUMMYFUNCTION("IFERROR(FILTER('Fund Data'!$D:$D, 'Fund Data'!$C:$C = $A158, 'Fund Data'!$A:$A = V$1, 'Fund Data'!$B:$B = 12),"""")"),"")</f>
        <v/>
      </c>
      <c r="W158" t="str">
        <f>IFERROR(__xludf.DUMMYFUNCTION("IFERROR(FILTER('Fund Data'!$D:$D, 'Fund Data'!$C:$C = $A158, 'Fund Data'!$A:$A = W$1, 'Fund Data'!$B:$B = 12),"""")"),"")</f>
        <v/>
      </c>
      <c r="X158" t="str">
        <f>IFERROR(__xludf.DUMMYFUNCTION("IFERROR(FILTER('Fund Data'!$D:$D, 'Fund Data'!$C:$C = $A158, 'Fund Data'!$A:$A = X$1, 'Fund Data'!$B:$B = 12),"""")"),"")</f>
        <v/>
      </c>
      <c r="Y158" t="str">
        <f>IFERROR(__xludf.DUMMYFUNCTION("IFERROR(FILTER('Fund Data'!$D:$D, 'Fund Data'!$C:$C = $A158, 'Fund Data'!$A:$A = Y$1, 'Fund Data'!$B:$B = 12),"""")"),"")</f>
        <v/>
      </c>
      <c r="Z158" t="str">
        <f>IFERROR(__xludf.DUMMYFUNCTION("IFERROR(FILTER('Fund Data'!$D:$D, 'Fund Data'!$C:$C = $A158, 'Fund Data'!$A:$A = Z$1, 'Fund Data'!$B:$B = 12),"""")"),"")</f>
        <v/>
      </c>
    </row>
    <row r="159">
      <c r="A159" s="145" t="str">
        <f>'Endowed Funds'!B:B</f>
        <v/>
      </c>
      <c r="B159" t="str">
        <f>IFERROR(__xludf.DUMMYFUNCTION("IFERROR(FILTER('Fund Data'!$D:$D, 'Fund Data'!$C:$C = $A159, 'Fund Data'!$A:$A = B$1, 'Fund Data'!$B:$B = 12),"""")"),"")</f>
        <v/>
      </c>
      <c r="C159" t="str">
        <f>IFERROR(__xludf.DUMMYFUNCTION("IFERROR(FILTER('Fund Data'!$D:$D, 'Fund Data'!$C:$C = $A159, 'Fund Data'!$A:$A = C$1, 'Fund Data'!$B:$B = 12),"""")"),"")</f>
        <v/>
      </c>
      <c r="D159" t="str">
        <f>IFERROR(__xludf.DUMMYFUNCTION("IFERROR(FILTER('Fund Data'!$D:$D, 'Fund Data'!$C:$C = $A159, 'Fund Data'!$A:$A = D$1, 'Fund Data'!$B:$B = 12),"""")"),"")</f>
        <v/>
      </c>
      <c r="E159" t="str">
        <f>IFERROR(__xludf.DUMMYFUNCTION("IFERROR(FILTER('Fund Data'!$D:$D, 'Fund Data'!$C:$C = $A159, 'Fund Data'!$A:$A = E$1, 'Fund Data'!$B:$B = 12),"""")"),"")</f>
        <v/>
      </c>
      <c r="F159" t="str">
        <f>IFERROR(__xludf.DUMMYFUNCTION("IFERROR(FILTER('Fund Data'!$D:$D, 'Fund Data'!$C:$C = $A159, 'Fund Data'!$A:$A = F$1, 'Fund Data'!$B:$B = 12),"""")"),"")</f>
        <v/>
      </c>
      <c r="G159" t="str">
        <f>IFERROR(__xludf.DUMMYFUNCTION("IFERROR(FILTER('Fund Data'!$D:$D, 'Fund Data'!$C:$C = $A159, 'Fund Data'!$A:$A = G$1, 'Fund Data'!$B:$B = 12),"""")"),"")</f>
        <v/>
      </c>
      <c r="H159" t="str">
        <f>IFERROR(__xludf.DUMMYFUNCTION("IFERROR(FILTER('Fund Data'!$D:$D, 'Fund Data'!$C:$C = $A159, 'Fund Data'!$A:$A = H$1, 'Fund Data'!$B:$B = 12),"""")"),"")</f>
        <v/>
      </c>
      <c r="I159" t="str">
        <f>IFERROR(__xludf.DUMMYFUNCTION("IFERROR(FILTER('Fund Data'!$D:$D, 'Fund Data'!$C:$C = $A159, 'Fund Data'!$A:$A = I$1, 'Fund Data'!$B:$B = 12),"""")"),"")</f>
        <v/>
      </c>
      <c r="J159" t="str">
        <f>IFERROR(__xludf.DUMMYFUNCTION("IFERROR(FILTER('Fund Data'!$D:$D, 'Fund Data'!$C:$C = $A159, 'Fund Data'!$A:$A = J$1, 'Fund Data'!$B:$B = 12),"""")"),"")</f>
        <v/>
      </c>
      <c r="K159" t="str">
        <f>IFERROR(__xludf.DUMMYFUNCTION("IFERROR(FILTER('Fund Data'!$D:$D, 'Fund Data'!$C:$C = $A159, 'Fund Data'!$A:$A = K$1, 'Fund Data'!$B:$B = 12),"""")"),"")</f>
        <v/>
      </c>
      <c r="L159" t="str">
        <f>IFERROR(__xludf.DUMMYFUNCTION("IFERROR(FILTER('Fund Data'!$D:$D, 'Fund Data'!$C:$C = $A159, 'Fund Data'!$A:$A = L$1, 'Fund Data'!$B:$B = 12),"""")"),"")</f>
        <v/>
      </c>
      <c r="M159" t="str">
        <f>IFERROR(__xludf.DUMMYFUNCTION("IFERROR(FILTER('Fund Data'!$D:$D, 'Fund Data'!$C:$C = $A159, 'Fund Data'!$A:$A = M$1, 'Fund Data'!$B:$B = 12),"""")"),"")</f>
        <v/>
      </c>
      <c r="N159" t="str">
        <f>IFERROR(__xludf.DUMMYFUNCTION("IFERROR(FILTER('Fund Data'!$D:$D, 'Fund Data'!$C:$C = $A159, 'Fund Data'!$A:$A = N$1, 'Fund Data'!$B:$B = 12),"""")"),"")</f>
        <v/>
      </c>
      <c r="O159" t="str">
        <f>IFERROR(__xludf.DUMMYFUNCTION("IFERROR(FILTER('Fund Data'!$D:$D, 'Fund Data'!$C:$C = $A159, 'Fund Data'!$A:$A = O$1, 'Fund Data'!$B:$B = 12),"""")"),"")</f>
        <v/>
      </c>
      <c r="P159" t="str">
        <f>IFERROR(__xludf.DUMMYFUNCTION("IFERROR(FILTER('Fund Data'!$D:$D, 'Fund Data'!$C:$C = $A159, 'Fund Data'!$A:$A = P$1, 'Fund Data'!$B:$B = 12),"""")"),"")</f>
        <v/>
      </c>
      <c r="Q159" t="str">
        <f>IFERROR(__xludf.DUMMYFUNCTION("IFERROR(FILTER('Fund Data'!$D:$D, 'Fund Data'!$C:$C = $A159, 'Fund Data'!$A:$A = Q$1, 'Fund Data'!$B:$B = 12),"""")"),"")</f>
        <v/>
      </c>
      <c r="R159" t="str">
        <f>IFERROR(__xludf.DUMMYFUNCTION("IFERROR(FILTER('Fund Data'!$D:$D, 'Fund Data'!$C:$C = $A159, 'Fund Data'!$A:$A = R$1, 'Fund Data'!$B:$B = 12),"""")"),"")</f>
        <v/>
      </c>
      <c r="S159" t="str">
        <f>IFERROR(__xludf.DUMMYFUNCTION("IFERROR(FILTER('Fund Data'!$D:$D, 'Fund Data'!$C:$C = $A159, 'Fund Data'!$A:$A = S$1, 'Fund Data'!$B:$B = 12),"""")"),"")</f>
        <v/>
      </c>
      <c r="T159" t="str">
        <f>IFERROR(__xludf.DUMMYFUNCTION("IFERROR(FILTER('Fund Data'!$D:$D, 'Fund Data'!$C:$C = $A159, 'Fund Data'!$A:$A = T$1, 'Fund Data'!$B:$B = 12),"""")"),"")</f>
        <v/>
      </c>
      <c r="U159" t="str">
        <f>IFERROR(__xludf.DUMMYFUNCTION("IFERROR(FILTER('Fund Data'!$D:$D, 'Fund Data'!$C:$C = $A159, 'Fund Data'!$A:$A = U$1, 'Fund Data'!$B:$B = 12),"""")"),"")</f>
        <v/>
      </c>
      <c r="V159" t="str">
        <f>IFERROR(__xludf.DUMMYFUNCTION("IFERROR(FILTER('Fund Data'!$D:$D, 'Fund Data'!$C:$C = $A159, 'Fund Data'!$A:$A = V$1, 'Fund Data'!$B:$B = 12),"""")"),"")</f>
        <v/>
      </c>
      <c r="W159" t="str">
        <f>IFERROR(__xludf.DUMMYFUNCTION("IFERROR(FILTER('Fund Data'!$D:$D, 'Fund Data'!$C:$C = $A159, 'Fund Data'!$A:$A = W$1, 'Fund Data'!$B:$B = 12),"""")"),"")</f>
        <v/>
      </c>
      <c r="X159" t="str">
        <f>IFERROR(__xludf.DUMMYFUNCTION("IFERROR(FILTER('Fund Data'!$D:$D, 'Fund Data'!$C:$C = $A159, 'Fund Data'!$A:$A = X$1, 'Fund Data'!$B:$B = 12),"""")"),"")</f>
        <v/>
      </c>
      <c r="Y159" t="str">
        <f>IFERROR(__xludf.DUMMYFUNCTION("IFERROR(FILTER('Fund Data'!$D:$D, 'Fund Data'!$C:$C = $A159, 'Fund Data'!$A:$A = Y$1, 'Fund Data'!$B:$B = 12),"""")"),"")</f>
        <v/>
      </c>
      <c r="Z159" t="str">
        <f>IFERROR(__xludf.DUMMYFUNCTION("IFERROR(FILTER('Fund Data'!$D:$D, 'Fund Data'!$C:$C = $A159, 'Fund Data'!$A:$A = Z$1, 'Fund Data'!$B:$B = 12),"""")"),"")</f>
        <v/>
      </c>
    </row>
    <row r="160">
      <c r="A160" s="145" t="str">
        <f>'Endowed Funds'!B:B</f>
        <v/>
      </c>
      <c r="B160" t="str">
        <f>IFERROR(__xludf.DUMMYFUNCTION("IFERROR(FILTER('Fund Data'!$D:$D, 'Fund Data'!$C:$C = $A160, 'Fund Data'!$A:$A = B$1, 'Fund Data'!$B:$B = 12),"""")"),"")</f>
        <v/>
      </c>
      <c r="C160" t="str">
        <f>IFERROR(__xludf.DUMMYFUNCTION("IFERROR(FILTER('Fund Data'!$D:$D, 'Fund Data'!$C:$C = $A160, 'Fund Data'!$A:$A = C$1, 'Fund Data'!$B:$B = 12),"""")"),"")</f>
        <v/>
      </c>
      <c r="D160" t="str">
        <f>IFERROR(__xludf.DUMMYFUNCTION("IFERROR(FILTER('Fund Data'!$D:$D, 'Fund Data'!$C:$C = $A160, 'Fund Data'!$A:$A = D$1, 'Fund Data'!$B:$B = 12),"""")"),"")</f>
        <v/>
      </c>
      <c r="E160" t="str">
        <f>IFERROR(__xludf.DUMMYFUNCTION("IFERROR(FILTER('Fund Data'!$D:$D, 'Fund Data'!$C:$C = $A160, 'Fund Data'!$A:$A = E$1, 'Fund Data'!$B:$B = 12),"""")"),"")</f>
        <v/>
      </c>
      <c r="F160" t="str">
        <f>IFERROR(__xludf.DUMMYFUNCTION("IFERROR(FILTER('Fund Data'!$D:$D, 'Fund Data'!$C:$C = $A160, 'Fund Data'!$A:$A = F$1, 'Fund Data'!$B:$B = 12),"""")"),"")</f>
        <v/>
      </c>
      <c r="G160" t="str">
        <f>IFERROR(__xludf.DUMMYFUNCTION("IFERROR(FILTER('Fund Data'!$D:$D, 'Fund Data'!$C:$C = $A160, 'Fund Data'!$A:$A = G$1, 'Fund Data'!$B:$B = 12),"""")"),"")</f>
        <v/>
      </c>
      <c r="H160" t="str">
        <f>IFERROR(__xludf.DUMMYFUNCTION("IFERROR(FILTER('Fund Data'!$D:$D, 'Fund Data'!$C:$C = $A160, 'Fund Data'!$A:$A = H$1, 'Fund Data'!$B:$B = 12),"""")"),"")</f>
        <v/>
      </c>
      <c r="I160" t="str">
        <f>IFERROR(__xludf.DUMMYFUNCTION("IFERROR(FILTER('Fund Data'!$D:$D, 'Fund Data'!$C:$C = $A160, 'Fund Data'!$A:$A = I$1, 'Fund Data'!$B:$B = 12),"""")"),"")</f>
        <v/>
      </c>
      <c r="J160" t="str">
        <f>IFERROR(__xludf.DUMMYFUNCTION("IFERROR(FILTER('Fund Data'!$D:$D, 'Fund Data'!$C:$C = $A160, 'Fund Data'!$A:$A = J$1, 'Fund Data'!$B:$B = 12),"""")"),"")</f>
        <v/>
      </c>
      <c r="K160" t="str">
        <f>IFERROR(__xludf.DUMMYFUNCTION("IFERROR(FILTER('Fund Data'!$D:$D, 'Fund Data'!$C:$C = $A160, 'Fund Data'!$A:$A = K$1, 'Fund Data'!$B:$B = 12),"""")"),"")</f>
        <v/>
      </c>
      <c r="L160" t="str">
        <f>IFERROR(__xludf.DUMMYFUNCTION("IFERROR(FILTER('Fund Data'!$D:$D, 'Fund Data'!$C:$C = $A160, 'Fund Data'!$A:$A = L$1, 'Fund Data'!$B:$B = 12),"""")"),"")</f>
        <v/>
      </c>
      <c r="M160" t="str">
        <f>IFERROR(__xludf.DUMMYFUNCTION("IFERROR(FILTER('Fund Data'!$D:$D, 'Fund Data'!$C:$C = $A160, 'Fund Data'!$A:$A = M$1, 'Fund Data'!$B:$B = 12),"""")"),"")</f>
        <v/>
      </c>
      <c r="N160" t="str">
        <f>IFERROR(__xludf.DUMMYFUNCTION("IFERROR(FILTER('Fund Data'!$D:$D, 'Fund Data'!$C:$C = $A160, 'Fund Data'!$A:$A = N$1, 'Fund Data'!$B:$B = 12),"""")"),"")</f>
        <v/>
      </c>
      <c r="O160" t="str">
        <f>IFERROR(__xludf.DUMMYFUNCTION("IFERROR(FILTER('Fund Data'!$D:$D, 'Fund Data'!$C:$C = $A160, 'Fund Data'!$A:$A = O$1, 'Fund Data'!$B:$B = 12),"""")"),"")</f>
        <v/>
      </c>
      <c r="P160" t="str">
        <f>IFERROR(__xludf.DUMMYFUNCTION("IFERROR(FILTER('Fund Data'!$D:$D, 'Fund Data'!$C:$C = $A160, 'Fund Data'!$A:$A = P$1, 'Fund Data'!$B:$B = 12),"""")"),"")</f>
        <v/>
      </c>
      <c r="Q160" t="str">
        <f>IFERROR(__xludf.DUMMYFUNCTION("IFERROR(FILTER('Fund Data'!$D:$D, 'Fund Data'!$C:$C = $A160, 'Fund Data'!$A:$A = Q$1, 'Fund Data'!$B:$B = 12),"""")"),"")</f>
        <v/>
      </c>
      <c r="R160" t="str">
        <f>IFERROR(__xludf.DUMMYFUNCTION("IFERROR(FILTER('Fund Data'!$D:$D, 'Fund Data'!$C:$C = $A160, 'Fund Data'!$A:$A = R$1, 'Fund Data'!$B:$B = 12),"""")"),"")</f>
        <v/>
      </c>
      <c r="S160" t="str">
        <f>IFERROR(__xludf.DUMMYFUNCTION("IFERROR(FILTER('Fund Data'!$D:$D, 'Fund Data'!$C:$C = $A160, 'Fund Data'!$A:$A = S$1, 'Fund Data'!$B:$B = 12),"""")"),"")</f>
        <v/>
      </c>
      <c r="T160" t="str">
        <f>IFERROR(__xludf.DUMMYFUNCTION("IFERROR(FILTER('Fund Data'!$D:$D, 'Fund Data'!$C:$C = $A160, 'Fund Data'!$A:$A = T$1, 'Fund Data'!$B:$B = 12),"""")"),"")</f>
        <v/>
      </c>
      <c r="U160" t="str">
        <f>IFERROR(__xludf.DUMMYFUNCTION("IFERROR(FILTER('Fund Data'!$D:$D, 'Fund Data'!$C:$C = $A160, 'Fund Data'!$A:$A = U$1, 'Fund Data'!$B:$B = 12),"""")"),"")</f>
        <v/>
      </c>
      <c r="V160" t="str">
        <f>IFERROR(__xludf.DUMMYFUNCTION("IFERROR(FILTER('Fund Data'!$D:$D, 'Fund Data'!$C:$C = $A160, 'Fund Data'!$A:$A = V$1, 'Fund Data'!$B:$B = 12),"""")"),"")</f>
        <v/>
      </c>
      <c r="W160" t="str">
        <f>IFERROR(__xludf.DUMMYFUNCTION("IFERROR(FILTER('Fund Data'!$D:$D, 'Fund Data'!$C:$C = $A160, 'Fund Data'!$A:$A = W$1, 'Fund Data'!$B:$B = 12),"""")"),"")</f>
        <v/>
      </c>
      <c r="X160" t="str">
        <f>IFERROR(__xludf.DUMMYFUNCTION("IFERROR(FILTER('Fund Data'!$D:$D, 'Fund Data'!$C:$C = $A160, 'Fund Data'!$A:$A = X$1, 'Fund Data'!$B:$B = 12),"""")"),"")</f>
        <v/>
      </c>
      <c r="Y160" t="str">
        <f>IFERROR(__xludf.DUMMYFUNCTION("IFERROR(FILTER('Fund Data'!$D:$D, 'Fund Data'!$C:$C = $A160, 'Fund Data'!$A:$A = Y$1, 'Fund Data'!$B:$B = 12),"""")"),"")</f>
        <v/>
      </c>
      <c r="Z160" t="str">
        <f>IFERROR(__xludf.DUMMYFUNCTION("IFERROR(FILTER('Fund Data'!$D:$D, 'Fund Data'!$C:$C = $A160, 'Fund Data'!$A:$A = Z$1, 'Fund Data'!$B:$B = 12),"""")"),"")</f>
        <v/>
      </c>
    </row>
    <row r="161">
      <c r="A161" s="145" t="str">
        <f>'Endowed Funds'!B:B</f>
        <v/>
      </c>
      <c r="B161" t="str">
        <f>IFERROR(__xludf.DUMMYFUNCTION("IFERROR(FILTER('Fund Data'!$D:$D, 'Fund Data'!$C:$C = $A161, 'Fund Data'!$A:$A = B$1, 'Fund Data'!$B:$B = 12),"""")"),"")</f>
        <v/>
      </c>
      <c r="C161" t="str">
        <f>IFERROR(__xludf.DUMMYFUNCTION("IFERROR(FILTER('Fund Data'!$D:$D, 'Fund Data'!$C:$C = $A161, 'Fund Data'!$A:$A = C$1, 'Fund Data'!$B:$B = 12),"""")"),"")</f>
        <v/>
      </c>
      <c r="D161" t="str">
        <f>IFERROR(__xludf.DUMMYFUNCTION("IFERROR(FILTER('Fund Data'!$D:$D, 'Fund Data'!$C:$C = $A161, 'Fund Data'!$A:$A = D$1, 'Fund Data'!$B:$B = 12),"""")"),"")</f>
        <v/>
      </c>
      <c r="E161" t="str">
        <f>IFERROR(__xludf.DUMMYFUNCTION("IFERROR(FILTER('Fund Data'!$D:$D, 'Fund Data'!$C:$C = $A161, 'Fund Data'!$A:$A = E$1, 'Fund Data'!$B:$B = 12),"""")"),"")</f>
        <v/>
      </c>
      <c r="F161" t="str">
        <f>IFERROR(__xludf.DUMMYFUNCTION("IFERROR(FILTER('Fund Data'!$D:$D, 'Fund Data'!$C:$C = $A161, 'Fund Data'!$A:$A = F$1, 'Fund Data'!$B:$B = 12),"""")"),"")</f>
        <v/>
      </c>
      <c r="G161" t="str">
        <f>IFERROR(__xludf.DUMMYFUNCTION("IFERROR(FILTER('Fund Data'!$D:$D, 'Fund Data'!$C:$C = $A161, 'Fund Data'!$A:$A = G$1, 'Fund Data'!$B:$B = 12),"""")"),"")</f>
        <v/>
      </c>
      <c r="H161" t="str">
        <f>IFERROR(__xludf.DUMMYFUNCTION("IFERROR(FILTER('Fund Data'!$D:$D, 'Fund Data'!$C:$C = $A161, 'Fund Data'!$A:$A = H$1, 'Fund Data'!$B:$B = 12),"""")"),"")</f>
        <v/>
      </c>
      <c r="I161" t="str">
        <f>IFERROR(__xludf.DUMMYFUNCTION("IFERROR(FILTER('Fund Data'!$D:$D, 'Fund Data'!$C:$C = $A161, 'Fund Data'!$A:$A = I$1, 'Fund Data'!$B:$B = 12),"""")"),"")</f>
        <v/>
      </c>
      <c r="J161" t="str">
        <f>IFERROR(__xludf.DUMMYFUNCTION("IFERROR(FILTER('Fund Data'!$D:$D, 'Fund Data'!$C:$C = $A161, 'Fund Data'!$A:$A = J$1, 'Fund Data'!$B:$B = 12),"""")"),"")</f>
        <v/>
      </c>
      <c r="K161" t="str">
        <f>IFERROR(__xludf.DUMMYFUNCTION("IFERROR(FILTER('Fund Data'!$D:$D, 'Fund Data'!$C:$C = $A161, 'Fund Data'!$A:$A = K$1, 'Fund Data'!$B:$B = 12),"""")"),"")</f>
        <v/>
      </c>
      <c r="L161" t="str">
        <f>IFERROR(__xludf.DUMMYFUNCTION("IFERROR(FILTER('Fund Data'!$D:$D, 'Fund Data'!$C:$C = $A161, 'Fund Data'!$A:$A = L$1, 'Fund Data'!$B:$B = 12),"""")"),"")</f>
        <v/>
      </c>
      <c r="M161" t="str">
        <f>IFERROR(__xludf.DUMMYFUNCTION("IFERROR(FILTER('Fund Data'!$D:$D, 'Fund Data'!$C:$C = $A161, 'Fund Data'!$A:$A = M$1, 'Fund Data'!$B:$B = 12),"""")"),"")</f>
        <v/>
      </c>
      <c r="N161" t="str">
        <f>IFERROR(__xludf.DUMMYFUNCTION("IFERROR(FILTER('Fund Data'!$D:$D, 'Fund Data'!$C:$C = $A161, 'Fund Data'!$A:$A = N$1, 'Fund Data'!$B:$B = 12),"""")"),"")</f>
        <v/>
      </c>
      <c r="O161" t="str">
        <f>IFERROR(__xludf.DUMMYFUNCTION("IFERROR(FILTER('Fund Data'!$D:$D, 'Fund Data'!$C:$C = $A161, 'Fund Data'!$A:$A = O$1, 'Fund Data'!$B:$B = 12),"""")"),"")</f>
        <v/>
      </c>
      <c r="P161" t="str">
        <f>IFERROR(__xludf.DUMMYFUNCTION("IFERROR(FILTER('Fund Data'!$D:$D, 'Fund Data'!$C:$C = $A161, 'Fund Data'!$A:$A = P$1, 'Fund Data'!$B:$B = 12),"""")"),"")</f>
        <v/>
      </c>
      <c r="Q161" t="str">
        <f>IFERROR(__xludf.DUMMYFUNCTION("IFERROR(FILTER('Fund Data'!$D:$D, 'Fund Data'!$C:$C = $A161, 'Fund Data'!$A:$A = Q$1, 'Fund Data'!$B:$B = 12),"""")"),"")</f>
        <v/>
      </c>
      <c r="R161" t="str">
        <f>IFERROR(__xludf.DUMMYFUNCTION("IFERROR(FILTER('Fund Data'!$D:$D, 'Fund Data'!$C:$C = $A161, 'Fund Data'!$A:$A = R$1, 'Fund Data'!$B:$B = 12),"""")"),"")</f>
        <v/>
      </c>
      <c r="S161" t="str">
        <f>IFERROR(__xludf.DUMMYFUNCTION("IFERROR(FILTER('Fund Data'!$D:$D, 'Fund Data'!$C:$C = $A161, 'Fund Data'!$A:$A = S$1, 'Fund Data'!$B:$B = 12),"""")"),"")</f>
        <v/>
      </c>
      <c r="T161" t="str">
        <f>IFERROR(__xludf.DUMMYFUNCTION("IFERROR(FILTER('Fund Data'!$D:$D, 'Fund Data'!$C:$C = $A161, 'Fund Data'!$A:$A = T$1, 'Fund Data'!$B:$B = 12),"""")"),"")</f>
        <v/>
      </c>
      <c r="U161" t="str">
        <f>IFERROR(__xludf.DUMMYFUNCTION("IFERROR(FILTER('Fund Data'!$D:$D, 'Fund Data'!$C:$C = $A161, 'Fund Data'!$A:$A = U$1, 'Fund Data'!$B:$B = 12),"""")"),"")</f>
        <v/>
      </c>
      <c r="V161" t="str">
        <f>IFERROR(__xludf.DUMMYFUNCTION("IFERROR(FILTER('Fund Data'!$D:$D, 'Fund Data'!$C:$C = $A161, 'Fund Data'!$A:$A = V$1, 'Fund Data'!$B:$B = 12),"""")"),"")</f>
        <v/>
      </c>
      <c r="W161" t="str">
        <f>IFERROR(__xludf.DUMMYFUNCTION("IFERROR(FILTER('Fund Data'!$D:$D, 'Fund Data'!$C:$C = $A161, 'Fund Data'!$A:$A = W$1, 'Fund Data'!$B:$B = 12),"""")"),"")</f>
        <v/>
      </c>
      <c r="X161" t="str">
        <f>IFERROR(__xludf.DUMMYFUNCTION("IFERROR(FILTER('Fund Data'!$D:$D, 'Fund Data'!$C:$C = $A161, 'Fund Data'!$A:$A = X$1, 'Fund Data'!$B:$B = 12),"""")"),"")</f>
        <v/>
      </c>
      <c r="Y161" t="str">
        <f>IFERROR(__xludf.DUMMYFUNCTION("IFERROR(FILTER('Fund Data'!$D:$D, 'Fund Data'!$C:$C = $A161, 'Fund Data'!$A:$A = Y$1, 'Fund Data'!$B:$B = 12),"""")"),"")</f>
        <v/>
      </c>
      <c r="Z161" t="str">
        <f>IFERROR(__xludf.DUMMYFUNCTION("IFERROR(FILTER('Fund Data'!$D:$D, 'Fund Data'!$C:$C = $A161, 'Fund Data'!$A:$A = Z$1, 'Fund Data'!$B:$B = 12),"""")"),"")</f>
        <v/>
      </c>
    </row>
    <row r="162">
      <c r="A162" s="145" t="str">
        <f>'Endowed Funds'!B:B</f>
        <v/>
      </c>
      <c r="B162" t="str">
        <f>IFERROR(__xludf.DUMMYFUNCTION("IFERROR(FILTER('Fund Data'!$D:$D, 'Fund Data'!$C:$C = $A162, 'Fund Data'!$A:$A = B$1, 'Fund Data'!$B:$B = 12),"""")"),"")</f>
        <v/>
      </c>
      <c r="C162" t="str">
        <f>IFERROR(__xludf.DUMMYFUNCTION("IFERROR(FILTER('Fund Data'!$D:$D, 'Fund Data'!$C:$C = $A162, 'Fund Data'!$A:$A = C$1, 'Fund Data'!$B:$B = 12),"""")"),"")</f>
        <v/>
      </c>
      <c r="D162" t="str">
        <f>IFERROR(__xludf.DUMMYFUNCTION("IFERROR(FILTER('Fund Data'!$D:$D, 'Fund Data'!$C:$C = $A162, 'Fund Data'!$A:$A = D$1, 'Fund Data'!$B:$B = 12),"""")"),"")</f>
        <v/>
      </c>
      <c r="E162" t="str">
        <f>IFERROR(__xludf.DUMMYFUNCTION("IFERROR(FILTER('Fund Data'!$D:$D, 'Fund Data'!$C:$C = $A162, 'Fund Data'!$A:$A = E$1, 'Fund Data'!$B:$B = 12),"""")"),"")</f>
        <v/>
      </c>
      <c r="F162" t="str">
        <f>IFERROR(__xludf.DUMMYFUNCTION("IFERROR(FILTER('Fund Data'!$D:$D, 'Fund Data'!$C:$C = $A162, 'Fund Data'!$A:$A = F$1, 'Fund Data'!$B:$B = 12),"""")"),"")</f>
        <v/>
      </c>
      <c r="G162" t="str">
        <f>IFERROR(__xludf.DUMMYFUNCTION("IFERROR(FILTER('Fund Data'!$D:$D, 'Fund Data'!$C:$C = $A162, 'Fund Data'!$A:$A = G$1, 'Fund Data'!$B:$B = 12),"""")"),"")</f>
        <v/>
      </c>
      <c r="H162" t="str">
        <f>IFERROR(__xludf.DUMMYFUNCTION("IFERROR(FILTER('Fund Data'!$D:$D, 'Fund Data'!$C:$C = $A162, 'Fund Data'!$A:$A = H$1, 'Fund Data'!$B:$B = 12),"""")"),"")</f>
        <v/>
      </c>
      <c r="I162" t="str">
        <f>IFERROR(__xludf.DUMMYFUNCTION("IFERROR(FILTER('Fund Data'!$D:$D, 'Fund Data'!$C:$C = $A162, 'Fund Data'!$A:$A = I$1, 'Fund Data'!$B:$B = 12),"""")"),"")</f>
        <v/>
      </c>
      <c r="J162" t="str">
        <f>IFERROR(__xludf.DUMMYFUNCTION("IFERROR(FILTER('Fund Data'!$D:$D, 'Fund Data'!$C:$C = $A162, 'Fund Data'!$A:$A = J$1, 'Fund Data'!$B:$B = 12),"""")"),"")</f>
        <v/>
      </c>
      <c r="K162" t="str">
        <f>IFERROR(__xludf.DUMMYFUNCTION("IFERROR(FILTER('Fund Data'!$D:$D, 'Fund Data'!$C:$C = $A162, 'Fund Data'!$A:$A = K$1, 'Fund Data'!$B:$B = 12),"""")"),"")</f>
        <v/>
      </c>
      <c r="L162" t="str">
        <f>IFERROR(__xludf.DUMMYFUNCTION("IFERROR(FILTER('Fund Data'!$D:$D, 'Fund Data'!$C:$C = $A162, 'Fund Data'!$A:$A = L$1, 'Fund Data'!$B:$B = 12),"""")"),"")</f>
        <v/>
      </c>
      <c r="M162" t="str">
        <f>IFERROR(__xludf.DUMMYFUNCTION("IFERROR(FILTER('Fund Data'!$D:$D, 'Fund Data'!$C:$C = $A162, 'Fund Data'!$A:$A = M$1, 'Fund Data'!$B:$B = 12),"""")"),"")</f>
        <v/>
      </c>
      <c r="N162" t="str">
        <f>IFERROR(__xludf.DUMMYFUNCTION("IFERROR(FILTER('Fund Data'!$D:$D, 'Fund Data'!$C:$C = $A162, 'Fund Data'!$A:$A = N$1, 'Fund Data'!$B:$B = 12),"""")"),"")</f>
        <v/>
      </c>
      <c r="O162" t="str">
        <f>IFERROR(__xludf.DUMMYFUNCTION("IFERROR(FILTER('Fund Data'!$D:$D, 'Fund Data'!$C:$C = $A162, 'Fund Data'!$A:$A = O$1, 'Fund Data'!$B:$B = 12),"""")"),"")</f>
        <v/>
      </c>
      <c r="P162" t="str">
        <f>IFERROR(__xludf.DUMMYFUNCTION("IFERROR(FILTER('Fund Data'!$D:$D, 'Fund Data'!$C:$C = $A162, 'Fund Data'!$A:$A = P$1, 'Fund Data'!$B:$B = 12),"""")"),"")</f>
        <v/>
      </c>
      <c r="Q162" t="str">
        <f>IFERROR(__xludf.DUMMYFUNCTION("IFERROR(FILTER('Fund Data'!$D:$D, 'Fund Data'!$C:$C = $A162, 'Fund Data'!$A:$A = Q$1, 'Fund Data'!$B:$B = 12),"""")"),"")</f>
        <v/>
      </c>
      <c r="R162" t="str">
        <f>IFERROR(__xludf.DUMMYFUNCTION("IFERROR(FILTER('Fund Data'!$D:$D, 'Fund Data'!$C:$C = $A162, 'Fund Data'!$A:$A = R$1, 'Fund Data'!$B:$B = 12),"""")"),"")</f>
        <v/>
      </c>
      <c r="S162" t="str">
        <f>IFERROR(__xludf.DUMMYFUNCTION("IFERROR(FILTER('Fund Data'!$D:$D, 'Fund Data'!$C:$C = $A162, 'Fund Data'!$A:$A = S$1, 'Fund Data'!$B:$B = 12),"""")"),"")</f>
        <v/>
      </c>
      <c r="T162" t="str">
        <f>IFERROR(__xludf.DUMMYFUNCTION("IFERROR(FILTER('Fund Data'!$D:$D, 'Fund Data'!$C:$C = $A162, 'Fund Data'!$A:$A = T$1, 'Fund Data'!$B:$B = 12),"""")"),"")</f>
        <v/>
      </c>
      <c r="U162" t="str">
        <f>IFERROR(__xludf.DUMMYFUNCTION("IFERROR(FILTER('Fund Data'!$D:$D, 'Fund Data'!$C:$C = $A162, 'Fund Data'!$A:$A = U$1, 'Fund Data'!$B:$B = 12),"""")"),"")</f>
        <v/>
      </c>
      <c r="V162" t="str">
        <f>IFERROR(__xludf.DUMMYFUNCTION("IFERROR(FILTER('Fund Data'!$D:$D, 'Fund Data'!$C:$C = $A162, 'Fund Data'!$A:$A = V$1, 'Fund Data'!$B:$B = 12),"""")"),"")</f>
        <v/>
      </c>
      <c r="W162" t="str">
        <f>IFERROR(__xludf.DUMMYFUNCTION("IFERROR(FILTER('Fund Data'!$D:$D, 'Fund Data'!$C:$C = $A162, 'Fund Data'!$A:$A = W$1, 'Fund Data'!$B:$B = 12),"""")"),"")</f>
        <v/>
      </c>
      <c r="X162" t="str">
        <f>IFERROR(__xludf.DUMMYFUNCTION("IFERROR(FILTER('Fund Data'!$D:$D, 'Fund Data'!$C:$C = $A162, 'Fund Data'!$A:$A = X$1, 'Fund Data'!$B:$B = 12),"""")"),"")</f>
        <v/>
      </c>
      <c r="Y162" t="str">
        <f>IFERROR(__xludf.DUMMYFUNCTION("IFERROR(FILTER('Fund Data'!$D:$D, 'Fund Data'!$C:$C = $A162, 'Fund Data'!$A:$A = Y$1, 'Fund Data'!$B:$B = 12),"""")"),"")</f>
        <v/>
      </c>
      <c r="Z162" t="str">
        <f>IFERROR(__xludf.DUMMYFUNCTION("IFERROR(FILTER('Fund Data'!$D:$D, 'Fund Data'!$C:$C = $A162, 'Fund Data'!$A:$A = Z$1, 'Fund Data'!$B:$B = 12),"""")"),"")</f>
        <v/>
      </c>
    </row>
    <row r="163">
      <c r="A163" s="145" t="str">
        <f>'Endowed Funds'!B:B</f>
        <v/>
      </c>
      <c r="B163" t="str">
        <f>IFERROR(__xludf.DUMMYFUNCTION("IFERROR(FILTER('Fund Data'!$D:$D, 'Fund Data'!$C:$C = $A163, 'Fund Data'!$A:$A = B$1, 'Fund Data'!$B:$B = 12),"""")"),"")</f>
        <v/>
      </c>
      <c r="C163" t="str">
        <f>IFERROR(__xludf.DUMMYFUNCTION("IFERROR(FILTER('Fund Data'!$D:$D, 'Fund Data'!$C:$C = $A163, 'Fund Data'!$A:$A = C$1, 'Fund Data'!$B:$B = 12),"""")"),"")</f>
        <v/>
      </c>
      <c r="D163" t="str">
        <f>IFERROR(__xludf.DUMMYFUNCTION("IFERROR(FILTER('Fund Data'!$D:$D, 'Fund Data'!$C:$C = $A163, 'Fund Data'!$A:$A = D$1, 'Fund Data'!$B:$B = 12),"""")"),"")</f>
        <v/>
      </c>
      <c r="E163" t="str">
        <f>IFERROR(__xludf.DUMMYFUNCTION("IFERROR(FILTER('Fund Data'!$D:$D, 'Fund Data'!$C:$C = $A163, 'Fund Data'!$A:$A = E$1, 'Fund Data'!$B:$B = 12),"""")"),"")</f>
        <v/>
      </c>
      <c r="F163" t="str">
        <f>IFERROR(__xludf.DUMMYFUNCTION("IFERROR(FILTER('Fund Data'!$D:$D, 'Fund Data'!$C:$C = $A163, 'Fund Data'!$A:$A = F$1, 'Fund Data'!$B:$B = 12),"""")"),"")</f>
        <v/>
      </c>
      <c r="G163" t="str">
        <f>IFERROR(__xludf.DUMMYFUNCTION("IFERROR(FILTER('Fund Data'!$D:$D, 'Fund Data'!$C:$C = $A163, 'Fund Data'!$A:$A = G$1, 'Fund Data'!$B:$B = 12),"""")"),"")</f>
        <v/>
      </c>
      <c r="H163" t="str">
        <f>IFERROR(__xludf.DUMMYFUNCTION("IFERROR(FILTER('Fund Data'!$D:$D, 'Fund Data'!$C:$C = $A163, 'Fund Data'!$A:$A = H$1, 'Fund Data'!$B:$B = 12),"""")"),"")</f>
        <v/>
      </c>
      <c r="I163" t="str">
        <f>IFERROR(__xludf.DUMMYFUNCTION("IFERROR(FILTER('Fund Data'!$D:$D, 'Fund Data'!$C:$C = $A163, 'Fund Data'!$A:$A = I$1, 'Fund Data'!$B:$B = 12),"""")"),"")</f>
        <v/>
      </c>
      <c r="J163" t="str">
        <f>IFERROR(__xludf.DUMMYFUNCTION("IFERROR(FILTER('Fund Data'!$D:$D, 'Fund Data'!$C:$C = $A163, 'Fund Data'!$A:$A = J$1, 'Fund Data'!$B:$B = 12),"""")"),"")</f>
        <v/>
      </c>
      <c r="K163" t="str">
        <f>IFERROR(__xludf.DUMMYFUNCTION("IFERROR(FILTER('Fund Data'!$D:$D, 'Fund Data'!$C:$C = $A163, 'Fund Data'!$A:$A = K$1, 'Fund Data'!$B:$B = 12),"""")"),"")</f>
        <v/>
      </c>
      <c r="L163" t="str">
        <f>IFERROR(__xludf.DUMMYFUNCTION("IFERROR(FILTER('Fund Data'!$D:$D, 'Fund Data'!$C:$C = $A163, 'Fund Data'!$A:$A = L$1, 'Fund Data'!$B:$B = 12),"""")"),"")</f>
        <v/>
      </c>
      <c r="M163" t="str">
        <f>IFERROR(__xludf.DUMMYFUNCTION("IFERROR(FILTER('Fund Data'!$D:$D, 'Fund Data'!$C:$C = $A163, 'Fund Data'!$A:$A = M$1, 'Fund Data'!$B:$B = 12),"""")"),"")</f>
        <v/>
      </c>
      <c r="N163" t="str">
        <f>IFERROR(__xludf.DUMMYFUNCTION("IFERROR(FILTER('Fund Data'!$D:$D, 'Fund Data'!$C:$C = $A163, 'Fund Data'!$A:$A = N$1, 'Fund Data'!$B:$B = 12),"""")"),"")</f>
        <v/>
      </c>
      <c r="O163" t="str">
        <f>IFERROR(__xludf.DUMMYFUNCTION("IFERROR(FILTER('Fund Data'!$D:$D, 'Fund Data'!$C:$C = $A163, 'Fund Data'!$A:$A = O$1, 'Fund Data'!$B:$B = 12),"""")"),"")</f>
        <v/>
      </c>
      <c r="P163" t="str">
        <f>IFERROR(__xludf.DUMMYFUNCTION("IFERROR(FILTER('Fund Data'!$D:$D, 'Fund Data'!$C:$C = $A163, 'Fund Data'!$A:$A = P$1, 'Fund Data'!$B:$B = 12),"""")"),"")</f>
        <v/>
      </c>
      <c r="Q163" t="str">
        <f>IFERROR(__xludf.DUMMYFUNCTION("IFERROR(FILTER('Fund Data'!$D:$D, 'Fund Data'!$C:$C = $A163, 'Fund Data'!$A:$A = Q$1, 'Fund Data'!$B:$B = 12),"""")"),"")</f>
        <v/>
      </c>
      <c r="R163" t="str">
        <f>IFERROR(__xludf.DUMMYFUNCTION("IFERROR(FILTER('Fund Data'!$D:$D, 'Fund Data'!$C:$C = $A163, 'Fund Data'!$A:$A = R$1, 'Fund Data'!$B:$B = 12),"""")"),"")</f>
        <v/>
      </c>
      <c r="S163" t="str">
        <f>IFERROR(__xludf.DUMMYFUNCTION("IFERROR(FILTER('Fund Data'!$D:$D, 'Fund Data'!$C:$C = $A163, 'Fund Data'!$A:$A = S$1, 'Fund Data'!$B:$B = 12),"""")"),"")</f>
        <v/>
      </c>
      <c r="T163" t="str">
        <f>IFERROR(__xludf.DUMMYFUNCTION("IFERROR(FILTER('Fund Data'!$D:$D, 'Fund Data'!$C:$C = $A163, 'Fund Data'!$A:$A = T$1, 'Fund Data'!$B:$B = 12),"""")"),"")</f>
        <v/>
      </c>
      <c r="U163" t="str">
        <f>IFERROR(__xludf.DUMMYFUNCTION("IFERROR(FILTER('Fund Data'!$D:$D, 'Fund Data'!$C:$C = $A163, 'Fund Data'!$A:$A = U$1, 'Fund Data'!$B:$B = 12),"""")"),"")</f>
        <v/>
      </c>
      <c r="V163" t="str">
        <f>IFERROR(__xludf.DUMMYFUNCTION("IFERROR(FILTER('Fund Data'!$D:$D, 'Fund Data'!$C:$C = $A163, 'Fund Data'!$A:$A = V$1, 'Fund Data'!$B:$B = 12),"""")"),"")</f>
        <v/>
      </c>
      <c r="W163" t="str">
        <f>IFERROR(__xludf.DUMMYFUNCTION("IFERROR(FILTER('Fund Data'!$D:$D, 'Fund Data'!$C:$C = $A163, 'Fund Data'!$A:$A = W$1, 'Fund Data'!$B:$B = 12),"""")"),"")</f>
        <v/>
      </c>
      <c r="X163" t="str">
        <f>IFERROR(__xludf.DUMMYFUNCTION("IFERROR(FILTER('Fund Data'!$D:$D, 'Fund Data'!$C:$C = $A163, 'Fund Data'!$A:$A = X$1, 'Fund Data'!$B:$B = 12),"""")"),"")</f>
        <v/>
      </c>
      <c r="Y163" t="str">
        <f>IFERROR(__xludf.DUMMYFUNCTION("IFERROR(FILTER('Fund Data'!$D:$D, 'Fund Data'!$C:$C = $A163, 'Fund Data'!$A:$A = Y$1, 'Fund Data'!$B:$B = 12),"""")"),"")</f>
        <v/>
      </c>
      <c r="Z163" t="str">
        <f>IFERROR(__xludf.DUMMYFUNCTION("IFERROR(FILTER('Fund Data'!$D:$D, 'Fund Data'!$C:$C = $A163, 'Fund Data'!$A:$A = Z$1, 'Fund Data'!$B:$B = 12),"""")"),"")</f>
        <v/>
      </c>
    </row>
    <row r="164">
      <c r="A164" s="145" t="str">
        <f>'Endowed Funds'!B:B</f>
        <v/>
      </c>
      <c r="B164" t="str">
        <f>IFERROR(__xludf.DUMMYFUNCTION("IFERROR(FILTER('Fund Data'!$D:$D, 'Fund Data'!$C:$C = $A164, 'Fund Data'!$A:$A = B$1, 'Fund Data'!$B:$B = 12),"""")"),"")</f>
        <v/>
      </c>
      <c r="C164" t="str">
        <f>IFERROR(__xludf.DUMMYFUNCTION("IFERROR(FILTER('Fund Data'!$D:$D, 'Fund Data'!$C:$C = $A164, 'Fund Data'!$A:$A = C$1, 'Fund Data'!$B:$B = 12),"""")"),"")</f>
        <v/>
      </c>
      <c r="D164" t="str">
        <f>IFERROR(__xludf.DUMMYFUNCTION("IFERROR(FILTER('Fund Data'!$D:$D, 'Fund Data'!$C:$C = $A164, 'Fund Data'!$A:$A = D$1, 'Fund Data'!$B:$B = 12),"""")"),"")</f>
        <v/>
      </c>
      <c r="E164" t="str">
        <f>IFERROR(__xludf.DUMMYFUNCTION("IFERROR(FILTER('Fund Data'!$D:$D, 'Fund Data'!$C:$C = $A164, 'Fund Data'!$A:$A = E$1, 'Fund Data'!$B:$B = 12),"""")"),"")</f>
        <v/>
      </c>
      <c r="F164" t="str">
        <f>IFERROR(__xludf.DUMMYFUNCTION("IFERROR(FILTER('Fund Data'!$D:$D, 'Fund Data'!$C:$C = $A164, 'Fund Data'!$A:$A = F$1, 'Fund Data'!$B:$B = 12),"""")"),"")</f>
        <v/>
      </c>
      <c r="G164" t="str">
        <f>IFERROR(__xludf.DUMMYFUNCTION("IFERROR(FILTER('Fund Data'!$D:$D, 'Fund Data'!$C:$C = $A164, 'Fund Data'!$A:$A = G$1, 'Fund Data'!$B:$B = 12),"""")"),"")</f>
        <v/>
      </c>
      <c r="H164" t="str">
        <f>IFERROR(__xludf.DUMMYFUNCTION("IFERROR(FILTER('Fund Data'!$D:$D, 'Fund Data'!$C:$C = $A164, 'Fund Data'!$A:$A = H$1, 'Fund Data'!$B:$B = 12),"""")"),"")</f>
        <v/>
      </c>
      <c r="I164" t="str">
        <f>IFERROR(__xludf.DUMMYFUNCTION("IFERROR(FILTER('Fund Data'!$D:$D, 'Fund Data'!$C:$C = $A164, 'Fund Data'!$A:$A = I$1, 'Fund Data'!$B:$B = 12),"""")"),"")</f>
        <v/>
      </c>
      <c r="J164" t="str">
        <f>IFERROR(__xludf.DUMMYFUNCTION("IFERROR(FILTER('Fund Data'!$D:$D, 'Fund Data'!$C:$C = $A164, 'Fund Data'!$A:$A = J$1, 'Fund Data'!$B:$B = 12),"""")"),"")</f>
        <v/>
      </c>
      <c r="K164" t="str">
        <f>IFERROR(__xludf.DUMMYFUNCTION("IFERROR(FILTER('Fund Data'!$D:$D, 'Fund Data'!$C:$C = $A164, 'Fund Data'!$A:$A = K$1, 'Fund Data'!$B:$B = 12),"""")"),"")</f>
        <v/>
      </c>
      <c r="L164" t="str">
        <f>IFERROR(__xludf.DUMMYFUNCTION("IFERROR(FILTER('Fund Data'!$D:$D, 'Fund Data'!$C:$C = $A164, 'Fund Data'!$A:$A = L$1, 'Fund Data'!$B:$B = 12),"""")"),"")</f>
        <v/>
      </c>
      <c r="M164" t="str">
        <f>IFERROR(__xludf.DUMMYFUNCTION("IFERROR(FILTER('Fund Data'!$D:$D, 'Fund Data'!$C:$C = $A164, 'Fund Data'!$A:$A = M$1, 'Fund Data'!$B:$B = 12),"""")"),"")</f>
        <v/>
      </c>
      <c r="N164" t="str">
        <f>IFERROR(__xludf.DUMMYFUNCTION("IFERROR(FILTER('Fund Data'!$D:$D, 'Fund Data'!$C:$C = $A164, 'Fund Data'!$A:$A = N$1, 'Fund Data'!$B:$B = 12),"""")"),"")</f>
        <v/>
      </c>
      <c r="O164" t="str">
        <f>IFERROR(__xludf.DUMMYFUNCTION("IFERROR(FILTER('Fund Data'!$D:$D, 'Fund Data'!$C:$C = $A164, 'Fund Data'!$A:$A = O$1, 'Fund Data'!$B:$B = 12),"""")"),"")</f>
        <v/>
      </c>
      <c r="P164" t="str">
        <f>IFERROR(__xludf.DUMMYFUNCTION("IFERROR(FILTER('Fund Data'!$D:$D, 'Fund Data'!$C:$C = $A164, 'Fund Data'!$A:$A = P$1, 'Fund Data'!$B:$B = 12),"""")"),"")</f>
        <v/>
      </c>
      <c r="Q164" t="str">
        <f>IFERROR(__xludf.DUMMYFUNCTION("IFERROR(FILTER('Fund Data'!$D:$D, 'Fund Data'!$C:$C = $A164, 'Fund Data'!$A:$A = Q$1, 'Fund Data'!$B:$B = 12),"""")"),"")</f>
        <v/>
      </c>
      <c r="R164" t="str">
        <f>IFERROR(__xludf.DUMMYFUNCTION("IFERROR(FILTER('Fund Data'!$D:$D, 'Fund Data'!$C:$C = $A164, 'Fund Data'!$A:$A = R$1, 'Fund Data'!$B:$B = 12),"""")"),"")</f>
        <v/>
      </c>
      <c r="S164" t="str">
        <f>IFERROR(__xludf.DUMMYFUNCTION("IFERROR(FILTER('Fund Data'!$D:$D, 'Fund Data'!$C:$C = $A164, 'Fund Data'!$A:$A = S$1, 'Fund Data'!$B:$B = 12),"""")"),"")</f>
        <v/>
      </c>
      <c r="T164" t="str">
        <f>IFERROR(__xludf.DUMMYFUNCTION("IFERROR(FILTER('Fund Data'!$D:$D, 'Fund Data'!$C:$C = $A164, 'Fund Data'!$A:$A = T$1, 'Fund Data'!$B:$B = 12),"""")"),"")</f>
        <v/>
      </c>
      <c r="U164" t="str">
        <f>IFERROR(__xludf.DUMMYFUNCTION("IFERROR(FILTER('Fund Data'!$D:$D, 'Fund Data'!$C:$C = $A164, 'Fund Data'!$A:$A = U$1, 'Fund Data'!$B:$B = 12),"""")"),"")</f>
        <v/>
      </c>
      <c r="V164" t="str">
        <f>IFERROR(__xludf.DUMMYFUNCTION("IFERROR(FILTER('Fund Data'!$D:$D, 'Fund Data'!$C:$C = $A164, 'Fund Data'!$A:$A = V$1, 'Fund Data'!$B:$B = 12),"""")"),"")</f>
        <v/>
      </c>
      <c r="W164" t="str">
        <f>IFERROR(__xludf.DUMMYFUNCTION("IFERROR(FILTER('Fund Data'!$D:$D, 'Fund Data'!$C:$C = $A164, 'Fund Data'!$A:$A = W$1, 'Fund Data'!$B:$B = 12),"""")"),"")</f>
        <v/>
      </c>
      <c r="X164" t="str">
        <f>IFERROR(__xludf.DUMMYFUNCTION("IFERROR(FILTER('Fund Data'!$D:$D, 'Fund Data'!$C:$C = $A164, 'Fund Data'!$A:$A = X$1, 'Fund Data'!$B:$B = 12),"""")"),"")</f>
        <v/>
      </c>
      <c r="Y164" t="str">
        <f>IFERROR(__xludf.DUMMYFUNCTION("IFERROR(FILTER('Fund Data'!$D:$D, 'Fund Data'!$C:$C = $A164, 'Fund Data'!$A:$A = Y$1, 'Fund Data'!$B:$B = 12),"""")"),"")</f>
        <v/>
      </c>
      <c r="Z164" t="str">
        <f>IFERROR(__xludf.DUMMYFUNCTION("IFERROR(FILTER('Fund Data'!$D:$D, 'Fund Data'!$C:$C = $A164, 'Fund Data'!$A:$A = Z$1, 'Fund Data'!$B:$B = 12),"""")"),"")</f>
        <v/>
      </c>
    </row>
    <row r="165">
      <c r="A165" s="145" t="str">
        <f>'Endowed Funds'!B:B</f>
        <v/>
      </c>
      <c r="B165" t="str">
        <f>IFERROR(__xludf.DUMMYFUNCTION("IFERROR(FILTER('Fund Data'!$D:$D, 'Fund Data'!$C:$C = $A165, 'Fund Data'!$A:$A = B$1, 'Fund Data'!$B:$B = 12),"""")"),"")</f>
        <v/>
      </c>
      <c r="C165" t="str">
        <f>IFERROR(__xludf.DUMMYFUNCTION("IFERROR(FILTER('Fund Data'!$D:$D, 'Fund Data'!$C:$C = $A165, 'Fund Data'!$A:$A = C$1, 'Fund Data'!$B:$B = 12),"""")"),"")</f>
        <v/>
      </c>
      <c r="D165" t="str">
        <f>IFERROR(__xludf.DUMMYFUNCTION("IFERROR(FILTER('Fund Data'!$D:$D, 'Fund Data'!$C:$C = $A165, 'Fund Data'!$A:$A = D$1, 'Fund Data'!$B:$B = 12),"""")"),"")</f>
        <v/>
      </c>
      <c r="E165" t="str">
        <f>IFERROR(__xludf.DUMMYFUNCTION("IFERROR(FILTER('Fund Data'!$D:$D, 'Fund Data'!$C:$C = $A165, 'Fund Data'!$A:$A = E$1, 'Fund Data'!$B:$B = 12),"""")"),"")</f>
        <v/>
      </c>
      <c r="F165" t="str">
        <f>IFERROR(__xludf.DUMMYFUNCTION("IFERROR(FILTER('Fund Data'!$D:$D, 'Fund Data'!$C:$C = $A165, 'Fund Data'!$A:$A = F$1, 'Fund Data'!$B:$B = 12),"""")"),"")</f>
        <v/>
      </c>
      <c r="G165" t="str">
        <f>IFERROR(__xludf.DUMMYFUNCTION("IFERROR(FILTER('Fund Data'!$D:$D, 'Fund Data'!$C:$C = $A165, 'Fund Data'!$A:$A = G$1, 'Fund Data'!$B:$B = 12),"""")"),"")</f>
        <v/>
      </c>
      <c r="H165" t="str">
        <f>IFERROR(__xludf.DUMMYFUNCTION("IFERROR(FILTER('Fund Data'!$D:$D, 'Fund Data'!$C:$C = $A165, 'Fund Data'!$A:$A = H$1, 'Fund Data'!$B:$B = 12),"""")"),"")</f>
        <v/>
      </c>
      <c r="I165" t="str">
        <f>IFERROR(__xludf.DUMMYFUNCTION("IFERROR(FILTER('Fund Data'!$D:$D, 'Fund Data'!$C:$C = $A165, 'Fund Data'!$A:$A = I$1, 'Fund Data'!$B:$B = 12),"""")"),"")</f>
        <v/>
      </c>
      <c r="J165" t="str">
        <f>IFERROR(__xludf.DUMMYFUNCTION("IFERROR(FILTER('Fund Data'!$D:$D, 'Fund Data'!$C:$C = $A165, 'Fund Data'!$A:$A = J$1, 'Fund Data'!$B:$B = 12),"""")"),"")</f>
        <v/>
      </c>
      <c r="K165" t="str">
        <f>IFERROR(__xludf.DUMMYFUNCTION("IFERROR(FILTER('Fund Data'!$D:$D, 'Fund Data'!$C:$C = $A165, 'Fund Data'!$A:$A = K$1, 'Fund Data'!$B:$B = 12),"""")"),"")</f>
        <v/>
      </c>
      <c r="L165" t="str">
        <f>IFERROR(__xludf.DUMMYFUNCTION("IFERROR(FILTER('Fund Data'!$D:$D, 'Fund Data'!$C:$C = $A165, 'Fund Data'!$A:$A = L$1, 'Fund Data'!$B:$B = 12),"""")"),"")</f>
        <v/>
      </c>
      <c r="M165" t="str">
        <f>IFERROR(__xludf.DUMMYFUNCTION("IFERROR(FILTER('Fund Data'!$D:$D, 'Fund Data'!$C:$C = $A165, 'Fund Data'!$A:$A = M$1, 'Fund Data'!$B:$B = 12),"""")"),"")</f>
        <v/>
      </c>
      <c r="N165" t="str">
        <f>IFERROR(__xludf.DUMMYFUNCTION("IFERROR(FILTER('Fund Data'!$D:$D, 'Fund Data'!$C:$C = $A165, 'Fund Data'!$A:$A = N$1, 'Fund Data'!$B:$B = 12),"""")"),"")</f>
        <v/>
      </c>
      <c r="O165" t="str">
        <f>IFERROR(__xludf.DUMMYFUNCTION("IFERROR(FILTER('Fund Data'!$D:$D, 'Fund Data'!$C:$C = $A165, 'Fund Data'!$A:$A = O$1, 'Fund Data'!$B:$B = 12),"""")"),"")</f>
        <v/>
      </c>
      <c r="P165" t="str">
        <f>IFERROR(__xludf.DUMMYFUNCTION("IFERROR(FILTER('Fund Data'!$D:$D, 'Fund Data'!$C:$C = $A165, 'Fund Data'!$A:$A = P$1, 'Fund Data'!$B:$B = 12),"""")"),"")</f>
        <v/>
      </c>
      <c r="Q165" t="str">
        <f>IFERROR(__xludf.DUMMYFUNCTION("IFERROR(FILTER('Fund Data'!$D:$D, 'Fund Data'!$C:$C = $A165, 'Fund Data'!$A:$A = Q$1, 'Fund Data'!$B:$B = 12),"""")"),"")</f>
        <v/>
      </c>
      <c r="R165" t="str">
        <f>IFERROR(__xludf.DUMMYFUNCTION("IFERROR(FILTER('Fund Data'!$D:$D, 'Fund Data'!$C:$C = $A165, 'Fund Data'!$A:$A = R$1, 'Fund Data'!$B:$B = 12),"""")"),"")</f>
        <v/>
      </c>
      <c r="S165" t="str">
        <f>IFERROR(__xludf.DUMMYFUNCTION("IFERROR(FILTER('Fund Data'!$D:$D, 'Fund Data'!$C:$C = $A165, 'Fund Data'!$A:$A = S$1, 'Fund Data'!$B:$B = 12),"""")"),"")</f>
        <v/>
      </c>
      <c r="T165" t="str">
        <f>IFERROR(__xludf.DUMMYFUNCTION("IFERROR(FILTER('Fund Data'!$D:$D, 'Fund Data'!$C:$C = $A165, 'Fund Data'!$A:$A = T$1, 'Fund Data'!$B:$B = 12),"""")"),"")</f>
        <v/>
      </c>
      <c r="U165" t="str">
        <f>IFERROR(__xludf.DUMMYFUNCTION("IFERROR(FILTER('Fund Data'!$D:$D, 'Fund Data'!$C:$C = $A165, 'Fund Data'!$A:$A = U$1, 'Fund Data'!$B:$B = 12),"""")"),"")</f>
        <v/>
      </c>
      <c r="V165" t="str">
        <f>IFERROR(__xludf.DUMMYFUNCTION("IFERROR(FILTER('Fund Data'!$D:$D, 'Fund Data'!$C:$C = $A165, 'Fund Data'!$A:$A = V$1, 'Fund Data'!$B:$B = 12),"""")"),"")</f>
        <v/>
      </c>
      <c r="W165" t="str">
        <f>IFERROR(__xludf.DUMMYFUNCTION("IFERROR(FILTER('Fund Data'!$D:$D, 'Fund Data'!$C:$C = $A165, 'Fund Data'!$A:$A = W$1, 'Fund Data'!$B:$B = 12),"""")"),"")</f>
        <v/>
      </c>
      <c r="X165" t="str">
        <f>IFERROR(__xludf.DUMMYFUNCTION("IFERROR(FILTER('Fund Data'!$D:$D, 'Fund Data'!$C:$C = $A165, 'Fund Data'!$A:$A = X$1, 'Fund Data'!$B:$B = 12),"""")"),"")</f>
        <v/>
      </c>
      <c r="Y165" t="str">
        <f>IFERROR(__xludf.DUMMYFUNCTION("IFERROR(FILTER('Fund Data'!$D:$D, 'Fund Data'!$C:$C = $A165, 'Fund Data'!$A:$A = Y$1, 'Fund Data'!$B:$B = 12),"""")"),"")</f>
        <v/>
      </c>
      <c r="Z165" t="str">
        <f>IFERROR(__xludf.DUMMYFUNCTION("IFERROR(FILTER('Fund Data'!$D:$D, 'Fund Data'!$C:$C = $A165, 'Fund Data'!$A:$A = Z$1, 'Fund Data'!$B:$B = 12),"""")"),"")</f>
        <v/>
      </c>
    </row>
    <row r="166">
      <c r="A166" s="145" t="str">
        <f>'Endowed Funds'!B:B</f>
        <v/>
      </c>
      <c r="B166" t="str">
        <f>IFERROR(__xludf.DUMMYFUNCTION("IFERROR(FILTER('Fund Data'!$D:$D, 'Fund Data'!$C:$C = $A166, 'Fund Data'!$A:$A = B$1, 'Fund Data'!$B:$B = 12),"""")"),"")</f>
        <v/>
      </c>
      <c r="C166" t="str">
        <f>IFERROR(__xludf.DUMMYFUNCTION("IFERROR(FILTER('Fund Data'!$D:$D, 'Fund Data'!$C:$C = $A166, 'Fund Data'!$A:$A = C$1, 'Fund Data'!$B:$B = 12),"""")"),"")</f>
        <v/>
      </c>
      <c r="D166" t="str">
        <f>IFERROR(__xludf.DUMMYFUNCTION("IFERROR(FILTER('Fund Data'!$D:$D, 'Fund Data'!$C:$C = $A166, 'Fund Data'!$A:$A = D$1, 'Fund Data'!$B:$B = 12),"""")"),"")</f>
        <v/>
      </c>
      <c r="E166" t="str">
        <f>IFERROR(__xludf.DUMMYFUNCTION("IFERROR(FILTER('Fund Data'!$D:$D, 'Fund Data'!$C:$C = $A166, 'Fund Data'!$A:$A = E$1, 'Fund Data'!$B:$B = 12),"""")"),"")</f>
        <v/>
      </c>
      <c r="F166" t="str">
        <f>IFERROR(__xludf.DUMMYFUNCTION("IFERROR(FILTER('Fund Data'!$D:$D, 'Fund Data'!$C:$C = $A166, 'Fund Data'!$A:$A = F$1, 'Fund Data'!$B:$B = 12),"""")"),"")</f>
        <v/>
      </c>
      <c r="G166" t="str">
        <f>IFERROR(__xludf.DUMMYFUNCTION("IFERROR(FILTER('Fund Data'!$D:$D, 'Fund Data'!$C:$C = $A166, 'Fund Data'!$A:$A = G$1, 'Fund Data'!$B:$B = 12),"""")"),"")</f>
        <v/>
      </c>
      <c r="H166" t="str">
        <f>IFERROR(__xludf.DUMMYFUNCTION("IFERROR(FILTER('Fund Data'!$D:$D, 'Fund Data'!$C:$C = $A166, 'Fund Data'!$A:$A = H$1, 'Fund Data'!$B:$B = 12),"""")"),"")</f>
        <v/>
      </c>
      <c r="I166" t="str">
        <f>IFERROR(__xludf.DUMMYFUNCTION("IFERROR(FILTER('Fund Data'!$D:$D, 'Fund Data'!$C:$C = $A166, 'Fund Data'!$A:$A = I$1, 'Fund Data'!$B:$B = 12),"""")"),"")</f>
        <v/>
      </c>
      <c r="J166" t="str">
        <f>IFERROR(__xludf.DUMMYFUNCTION("IFERROR(FILTER('Fund Data'!$D:$D, 'Fund Data'!$C:$C = $A166, 'Fund Data'!$A:$A = J$1, 'Fund Data'!$B:$B = 12),"""")"),"")</f>
        <v/>
      </c>
      <c r="K166" t="str">
        <f>IFERROR(__xludf.DUMMYFUNCTION("IFERROR(FILTER('Fund Data'!$D:$D, 'Fund Data'!$C:$C = $A166, 'Fund Data'!$A:$A = K$1, 'Fund Data'!$B:$B = 12),"""")"),"")</f>
        <v/>
      </c>
      <c r="L166" t="str">
        <f>IFERROR(__xludf.DUMMYFUNCTION("IFERROR(FILTER('Fund Data'!$D:$D, 'Fund Data'!$C:$C = $A166, 'Fund Data'!$A:$A = L$1, 'Fund Data'!$B:$B = 12),"""")"),"")</f>
        <v/>
      </c>
      <c r="M166" t="str">
        <f>IFERROR(__xludf.DUMMYFUNCTION("IFERROR(FILTER('Fund Data'!$D:$D, 'Fund Data'!$C:$C = $A166, 'Fund Data'!$A:$A = M$1, 'Fund Data'!$B:$B = 12),"""")"),"")</f>
        <v/>
      </c>
      <c r="N166" t="str">
        <f>IFERROR(__xludf.DUMMYFUNCTION("IFERROR(FILTER('Fund Data'!$D:$D, 'Fund Data'!$C:$C = $A166, 'Fund Data'!$A:$A = N$1, 'Fund Data'!$B:$B = 12),"""")"),"")</f>
        <v/>
      </c>
      <c r="O166" t="str">
        <f>IFERROR(__xludf.DUMMYFUNCTION("IFERROR(FILTER('Fund Data'!$D:$D, 'Fund Data'!$C:$C = $A166, 'Fund Data'!$A:$A = O$1, 'Fund Data'!$B:$B = 12),"""")"),"")</f>
        <v/>
      </c>
      <c r="P166" t="str">
        <f>IFERROR(__xludf.DUMMYFUNCTION("IFERROR(FILTER('Fund Data'!$D:$D, 'Fund Data'!$C:$C = $A166, 'Fund Data'!$A:$A = P$1, 'Fund Data'!$B:$B = 12),"""")"),"")</f>
        <v/>
      </c>
      <c r="Q166" t="str">
        <f>IFERROR(__xludf.DUMMYFUNCTION("IFERROR(FILTER('Fund Data'!$D:$D, 'Fund Data'!$C:$C = $A166, 'Fund Data'!$A:$A = Q$1, 'Fund Data'!$B:$B = 12),"""")"),"")</f>
        <v/>
      </c>
      <c r="R166" t="str">
        <f>IFERROR(__xludf.DUMMYFUNCTION("IFERROR(FILTER('Fund Data'!$D:$D, 'Fund Data'!$C:$C = $A166, 'Fund Data'!$A:$A = R$1, 'Fund Data'!$B:$B = 12),"""")"),"")</f>
        <v/>
      </c>
      <c r="S166" t="str">
        <f>IFERROR(__xludf.DUMMYFUNCTION("IFERROR(FILTER('Fund Data'!$D:$D, 'Fund Data'!$C:$C = $A166, 'Fund Data'!$A:$A = S$1, 'Fund Data'!$B:$B = 12),"""")"),"")</f>
        <v/>
      </c>
      <c r="T166" t="str">
        <f>IFERROR(__xludf.DUMMYFUNCTION("IFERROR(FILTER('Fund Data'!$D:$D, 'Fund Data'!$C:$C = $A166, 'Fund Data'!$A:$A = T$1, 'Fund Data'!$B:$B = 12),"""")"),"")</f>
        <v/>
      </c>
      <c r="U166" t="str">
        <f>IFERROR(__xludf.DUMMYFUNCTION("IFERROR(FILTER('Fund Data'!$D:$D, 'Fund Data'!$C:$C = $A166, 'Fund Data'!$A:$A = U$1, 'Fund Data'!$B:$B = 12),"""")"),"")</f>
        <v/>
      </c>
      <c r="V166" t="str">
        <f>IFERROR(__xludf.DUMMYFUNCTION("IFERROR(FILTER('Fund Data'!$D:$D, 'Fund Data'!$C:$C = $A166, 'Fund Data'!$A:$A = V$1, 'Fund Data'!$B:$B = 12),"""")"),"")</f>
        <v/>
      </c>
      <c r="W166" t="str">
        <f>IFERROR(__xludf.DUMMYFUNCTION("IFERROR(FILTER('Fund Data'!$D:$D, 'Fund Data'!$C:$C = $A166, 'Fund Data'!$A:$A = W$1, 'Fund Data'!$B:$B = 12),"""")"),"")</f>
        <v/>
      </c>
      <c r="X166" t="str">
        <f>IFERROR(__xludf.DUMMYFUNCTION("IFERROR(FILTER('Fund Data'!$D:$D, 'Fund Data'!$C:$C = $A166, 'Fund Data'!$A:$A = X$1, 'Fund Data'!$B:$B = 12),"""")"),"")</f>
        <v/>
      </c>
      <c r="Y166" t="str">
        <f>IFERROR(__xludf.DUMMYFUNCTION("IFERROR(FILTER('Fund Data'!$D:$D, 'Fund Data'!$C:$C = $A166, 'Fund Data'!$A:$A = Y$1, 'Fund Data'!$B:$B = 12),"""")"),"")</f>
        <v/>
      </c>
      <c r="Z166" t="str">
        <f>IFERROR(__xludf.DUMMYFUNCTION("IFERROR(FILTER('Fund Data'!$D:$D, 'Fund Data'!$C:$C = $A166, 'Fund Data'!$A:$A = Z$1, 'Fund Data'!$B:$B = 12),"""")"),"")</f>
        <v/>
      </c>
    </row>
    <row r="167">
      <c r="A167" s="145" t="str">
        <f>'Endowed Funds'!B:B</f>
        <v/>
      </c>
      <c r="B167" t="str">
        <f>IFERROR(__xludf.DUMMYFUNCTION("IFERROR(FILTER('Fund Data'!$D:$D, 'Fund Data'!$C:$C = $A167, 'Fund Data'!$A:$A = B$1, 'Fund Data'!$B:$B = 12),"""")"),"")</f>
        <v/>
      </c>
      <c r="C167" t="str">
        <f>IFERROR(__xludf.DUMMYFUNCTION("IFERROR(FILTER('Fund Data'!$D:$D, 'Fund Data'!$C:$C = $A167, 'Fund Data'!$A:$A = C$1, 'Fund Data'!$B:$B = 12),"""")"),"")</f>
        <v/>
      </c>
      <c r="D167" t="str">
        <f>IFERROR(__xludf.DUMMYFUNCTION("IFERROR(FILTER('Fund Data'!$D:$D, 'Fund Data'!$C:$C = $A167, 'Fund Data'!$A:$A = D$1, 'Fund Data'!$B:$B = 12),"""")"),"")</f>
        <v/>
      </c>
      <c r="E167" t="str">
        <f>IFERROR(__xludf.DUMMYFUNCTION("IFERROR(FILTER('Fund Data'!$D:$D, 'Fund Data'!$C:$C = $A167, 'Fund Data'!$A:$A = E$1, 'Fund Data'!$B:$B = 12),"""")"),"")</f>
        <v/>
      </c>
      <c r="F167" t="str">
        <f>IFERROR(__xludf.DUMMYFUNCTION("IFERROR(FILTER('Fund Data'!$D:$D, 'Fund Data'!$C:$C = $A167, 'Fund Data'!$A:$A = F$1, 'Fund Data'!$B:$B = 12),"""")"),"")</f>
        <v/>
      </c>
      <c r="G167" t="str">
        <f>IFERROR(__xludf.DUMMYFUNCTION("IFERROR(FILTER('Fund Data'!$D:$D, 'Fund Data'!$C:$C = $A167, 'Fund Data'!$A:$A = G$1, 'Fund Data'!$B:$B = 12),"""")"),"")</f>
        <v/>
      </c>
      <c r="H167" t="str">
        <f>IFERROR(__xludf.DUMMYFUNCTION("IFERROR(FILTER('Fund Data'!$D:$D, 'Fund Data'!$C:$C = $A167, 'Fund Data'!$A:$A = H$1, 'Fund Data'!$B:$B = 12),"""")"),"")</f>
        <v/>
      </c>
      <c r="I167" t="str">
        <f>IFERROR(__xludf.DUMMYFUNCTION("IFERROR(FILTER('Fund Data'!$D:$D, 'Fund Data'!$C:$C = $A167, 'Fund Data'!$A:$A = I$1, 'Fund Data'!$B:$B = 12),"""")"),"")</f>
        <v/>
      </c>
      <c r="J167" t="str">
        <f>IFERROR(__xludf.DUMMYFUNCTION("IFERROR(FILTER('Fund Data'!$D:$D, 'Fund Data'!$C:$C = $A167, 'Fund Data'!$A:$A = J$1, 'Fund Data'!$B:$B = 12),"""")"),"")</f>
        <v/>
      </c>
      <c r="K167" t="str">
        <f>IFERROR(__xludf.DUMMYFUNCTION("IFERROR(FILTER('Fund Data'!$D:$D, 'Fund Data'!$C:$C = $A167, 'Fund Data'!$A:$A = K$1, 'Fund Data'!$B:$B = 12),"""")"),"")</f>
        <v/>
      </c>
      <c r="L167" t="str">
        <f>IFERROR(__xludf.DUMMYFUNCTION("IFERROR(FILTER('Fund Data'!$D:$D, 'Fund Data'!$C:$C = $A167, 'Fund Data'!$A:$A = L$1, 'Fund Data'!$B:$B = 12),"""")"),"")</f>
        <v/>
      </c>
      <c r="M167" t="str">
        <f>IFERROR(__xludf.DUMMYFUNCTION("IFERROR(FILTER('Fund Data'!$D:$D, 'Fund Data'!$C:$C = $A167, 'Fund Data'!$A:$A = M$1, 'Fund Data'!$B:$B = 12),"""")"),"")</f>
        <v/>
      </c>
      <c r="N167" t="str">
        <f>IFERROR(__xludf.DUMMYFUNCTION("IFERROR(FILTER('Fund Data'!$D:$D, 'Fund Data'!$C:$C = $A167, 'Fund Data'!$A:$A = N$1, 'Fund Data'!$B:$B = 12),"""")"),"")</f>
        <v/>
      </c>
      <c r="O167" t="str">
        <f>IFERROR(__xludf.DUMMYFUNCTION("IFERROR(FILTER('Fund Data'!$D:$D, 'Fund Data'!$C:$C = $A167, 'Fund Data'!$A:$A = O$1, 'Fund Data'!$B:$B = 12),"""")"),"")</f>
        <v/>
      </c>
      <c r="P167" t="str">
        <f>IFERROR(__xludf.DUMMYFUNCTION("IFERROR(FILTER('Fund Data'!$D:$D, 'Fund Data'!$C:$C = $A167, 'Fund Data'!$A:$A = P$1, 'Fund Data'!$B:$B = 12),"""")"),"")</f>
        <v/>
      </c>
      <c r="Q167" t="str">
        <f>IFERROR(__xludf.DUMMYFUNCTION("IFERROR(FILTER('Fund Data'!$D:$D, 'Fund Data'!$C:$C = $A167, 'Fund Data'!$A:$A = Q$1, 'Fund Data'!$B:$B = 12),"""")"),"")</f>
        <v/>
      </c>
      <c r="R167" t="str">
        <f>IFERROR(__xludf.DUMMYFUNCTION("IFERROR(FILTER('Fund Data'!$D:$D, 'Fund Data'!$C:$C = $A167, 'Fund Data'!$A:$A = R$1, 'Fund Data'!$B:$B = 12),"""")"),"")</f>
        <v/>
      </c>
      <c r="S167" t="str">
        <f>IFERROR(__xludf.DUMMYFUNCTION("IFERROR(FILTER('Fund Data'!$D:$D, 'Fund Data'!$C:$C = $A167, 'Fund Data'!$A:$A = S$1, 'Fund Data'!$B:$B = 12),"""")"),"")</f>
        <v/>
      </c>
      <c r="T167" t="str">
        <f>IFERROR(__xludf.DUMMYFUNCTION("IFERROR(FILTER('Fund Data'!$D:$D, 'Fund Data'!$C:$C = $A167, 'Fund Data'!$A:$A = T$1, 'Fund Data'!$B:$B = 12),"""")"),"")</f>
        <v/>
      </c>
      <c r="U167" t="str">
        <f>IFERROR(__xludf.DUMMYFUNCTION("IFERROR(FILTER('Fund Data'!$D:$D, 'Fund Data'!$C:$C = $A167, 'Fund Data'!$A:$A = U$1, 'Fund Data'!$B:$B = 12),"""")"),"")</f>
        <v/>
      </c>
      <c r="V167" t="str">
        <f>IFERROR(__xludf.DUMMYFUNCTION("IFERROR(FILTER('Fund Data'!$D:$D, 'Fund Data'!$C:$C = $A167, 'Fund Data'!$A:$A = V$1, 'Fund Data'!$B:$B = 12),"""")"),"")</f>
        <v/>
      </c>
      <c r="W167" t="str">
        <f>IFERROR(__xludf.DUMMYFUNCTION("IFERROR(FILTER('Fund Data'!$D:$D, 'Fund Data'!$C:$C = $A167, 'Fund Data'!$A:$A = W$1, 'Fund Data'!$B:$B = 12),"""")"),"")</f>
        <v/>
      </c>
      <c r="X167" t="str">
        <f>IFERROR(__xludf.DUMMYFUNCTION("IFERROR(FILTER('Fund Data'!$D:$D, 'Fund Data'!$C:$C = $A167, 'Fund Data'!$A:$A = X$1, 'Fund Data'!$B:$B = 12),"""")"),"")</f>
        <v/>
      </c>
      <c r="Y167" t="str">
        <f>IFERROR(__xludf.DUMMYFUNCTION("IFERROR(FILTER('Fund Data'!$D:$D, 'Fund Data'!$C:$C = $A167, 'Fund Data'!$A:$A = Y$1, 'Fund Data'!$B:$B = 12),"""")"),"")</f>
        <v/>
      </c>
      <c r="Z167" t="str">
        <f>IFERROR(__xludf.DUMMYFUNCTION("IFERROR(FILTER('Fund Data'!$D:$D, 'Fund Data'!$C:$C = $A167, 'Fund Data'!$A:$A = Z$1, 'Fund Data'!$B:$B = 12),"""")"),"")</f>
        <v/>
      </c>
    </row>
    <row r="168">
      <c r="A168" s="145" t="str">
        <f>'Endowed Funds'!B:B</f>
        <v/>
      </c>
      <c r="B168" t="str">
        <f>IFERROR(__xludf.DUMMYFUNCTION("IFERROR(FILTER('Fund Data'!$D:$D, 'Fund Data'!$C:$C = $A168, 'Fund Data'!$A:$A = B$1, 'Fund Data'!$B:$B = 12),"""")"),"")</f>
        <v/>
      </c>
      <c r="C168" t="str">
        <f>IFERROR(__xludf.DUMMYFUNCTION("IFERROR(FILTER('Fund Data'!$D:$D, 'Fund Data'!$C:$C = $A168, 'Fund Data'!$A:$A = C$1, 'Fund Data'!$B:$B = 12),"""")"),"")</f>
        <v/>
      </c>
      <c r="D168" t="str">
        <f>IFERROR(__xludf.DUMMYFUNCTION("IFERROR(FILTER('Fund Data'!$D:$D, 'Fund Data'!$C:$C = $A168, 'Fund Data'!$A:$A = D$1, 'Fund Data'!$B:$B = 12),"""")"),"")</f>
        <v/>
      </c>
      <c r="E168" t="str">
        <f>IFERROR(__xludf.DUMMYFUNCTION("IFERROR(FILTER('Fund Data'!$D:$D, 'Fund Data'!$C:$C = $A168, 'Fund Data'!$A:$A = E$1, 'Fund Data'!$B:$B = 12),"""")"),"")</f>
        <v/>
      </c>
      <c r="F168" t="str">
        <f>IFERROR(__xludf.DUMMYFUNCTION("IFERROR(FILTER('Fund Data'!$D:$D, 'Fund Data'!$C:$C = $A168, 'Fund Data'!$A:$A = F$1, 'Fund Data'!$B:$B = 12),"""")"),"")</f>
        <v/>
      </c>
      <c r="G168" t="str">
        <f>IFERROR(__xludf.DUMMYFUNCTION("IFERROR(FILTER('Fund Data'!$D:$D, 'Fund Data'!$C:$C = $A168, 'Fund Data'!$A:$A = G$1, 'Fund Data'!$B:$B = 12),"""")"),"")</f>
        <v/>
      </c>
      <c r="H168" t="str">
        <f>IFERROR(__xludf.DUMMYFUNCTION("IFERROR(FILTER('Fund Data'!$D:$D, 'Fund Data'!$C:$C = $A168, 'Fund Data'!$A:$A = H$1, 'Fund Data'!$B:$B = 12),"""")"),"")</f>
        <v/>
      </c>
      <c r="I168" t="str">
        <f>IFERROR(__xludf.DUMMYFUNCTION("IFERROR(FILTER('Fund Data'!$D:$D, 'Fund Data'!$C:$C = $A168, 'Fund Data'!$A:$A = I$1, 'Fund Data'!$B:$B = 12),"""")"),"")</f>
        <v/>
      </c>
      <c r="J168" t="str">
        <f>IFERROR(__xludf.DUMMYFUNCTION("IFERROR(FILTER('Fund Data'!$D:$D, 'Fund Data'!$C:$C = $A168, 'Fund Data'!$A:$A = J$1, 'Fund Data'!$B:$B = 12),"""")"),"")</f>
        <v/>
      </c>
      <c r="K168" t="str">
        <f>IFERROR(__xludf.DUMMYFUNCTION("IFERROR(FILTER('Fund Data'!$D:$D, 'Fund Data'!$C:$C = $A168, 'Fund Data'!$A:$A = K$1, 'Fund Data'!$B:$B = 12),"""")"),"")</f>
        <v/>
      </c>
      <c r="L168" t="str">
        <f>IFERROR(__xludf.DUMMYFUNCTION("IFERROR(FILTER('Fund Data'!$D:$D, 'Fund Data'!$C:$C = $A168, 'Fund Data'!$A:$A = L$1, 'Fund Data'!$B:$B = 12),"""")"),"")</f>
        <v/>
      </c>
      <c r="M168" t="str">
        <f>IFERROR(__xludf.DUMMYFUNCTION("IFERROR(FILTER('Fund Data'!$D:$D, 'Fund Data'!$C:$C = $A168, 'Fund Data'!$A:$A = M$1, 'Fund Data'!$B:$B = 12),"""")"),"")</f>
        <v/>
      </c>
      <c r="N168" t="str">
        <f>IFERROR(__xludf.DUMMYFUNCTION("IFERROR(FILTER('Fund Data'!$D:$D, 'Fund Data'!$C:$C = $A168, 'Fund Data'!$A:$A = N$1, 'Fund Data'!$B:$B = 12),"""")"),"")</f>
        <v/>
      </c>
      <c r="O168" t="str">
        <f>IFERROR(__xludf.DUMMYFUNCTION("IFERROR(FILTER('Fund Data'!$D:$D, 'Fund Data'!$C:$C = $A168, 'Fund Data'!$A:$A = O$1, 'Fund Data'!$B:$B = 12),"""")"),"")</f>
        <v/>
      </c>
      <c r="P168" t="str">
        <f>IFERROR(__xludf.DUMMYFUNCTION("IFERROR(FILTER('Fund Data'!$D:$D, 'Fund Data'!$C:$C = $A168, 'Fund Data'!$A:$A = P$1, 'Fund Data'!$B:$B = 12),"""")"),"")</f>
        <v/>
      </c>
      <c r="Q168" t="str">
        <f>IFERROR(__xludf.DUMMYFUNCTION("IFERROR(FILTER('Fund Data'!$D:$D, 'Fund Data'!$C:$C = $A168, 'Fund Data'!$A:$A = Q$1, 'Fund Data'!$B:$B = 12),"""")"),"")</f>
        <v/>
      </c>
      <c r="R168" t="str">
        <f>IFERROR(__xludf.DUMMYFUNCTION("IFERROR(FILTER('Fund Data'!$D:$D, 'Fund Data'!$C:$C = $A168, 'Fund Data'!$A:$A = R$1, 'Fund Data'!$B:$B = 12),"""")"),"")</f>
        <v/>
      </c>
      <c r="S168" t="str">
        <f>IFERROR(__xludf.DUMMYFUNCTION("IFERROR(FILTER('Fund Data'!$D:$D, 'Fund Data'!$C:$C = $A168, 'Fund Data'!$A:$A = S$1, 'Fund Data'!$B:$B = 12),"""")"),"")</f>
        <v/>
      </c>
      <c r="T168" t="str">
        <f>IFERROR(__xludf.DUMMYFUNCTION("IFERROR(FILTER('Fund Data'!$D:$D, 'Fund Data'!$C:$C = $A168, 'Fund Data'!$A:$A = T$1, 'Fund Data'!$B:$B = 12),"""")"),"")</f>
        <v/>
      </c>
      <c r="U168" t="str">
        <f>IFERROR(__xludf.DUMMYFUNCTION("IFERROR(FILTER('Fund Data'!$D:$D, 'Fund Data'!$C:$C = $A168, 'Fund Data'!$A:$A = U$1, 'Fund Data'!$B:$B = 12),"""")"),"")</f>
        <v/>
      </c>
      <c r="V168" t="str">
        <f>IFERROR(__xludf.DUMMYFUNCTION("IFERROR(FILTER('Fund Data'!$D:$D, 'Fund Data'!$C:$C = $A168, 'Fund Data'!$A:$A = V$1, 'Fund Data'!$B:$B = 12),"""")"),"")</f>
        <v/>
      </c>
      <c r="W168" t="str">
        <f>IFERROR(__xludf.DUMMYFUNCTION("IFERROR(FILTER('Fund Data'!$D:$D, 'Fund Data'!$C:$C = $A168, 'Fund Data'!$A:$A = W$1, 'Fund Data'!$B:$B = 12),"""")"),"")</f>
        <v/>
      </c>
      <c r="X168" t="str">
        <f>IFERROR(__xludf.DUMMYFUNCTION("IFERROR(FILTER('Fund Data'!$D:$D, 'Fund Data'!$C:$C = $A168, 'Fund Data'!$A:$A = X$1, 'Fund Data'!$B:$B = 12),"""")"),"")</f>
        <v/>
      </c>
      <c r="Y168" t="str">
        <f>IFERROR(__xludf.DUMMYFUNCTION("IFERROR(FILTER('Fund Data'!$D:$D, 'Fund Data'!$C:$C = $A168, 'Fund Data'!$A:$A = Y$1, 'Fund Data'!$B:$B = 12),"""")"),"")</f>
        <v/>
      </c>
      <c r="Z168" t="str">
        <f>IFERROR(__xludf.DUMMYFUNCTION("IFERROR(FILTER('Fund Data'!$D:$D, 'Fund Data'!$C:$C = $A168, 'Fund Data'!$A:$A = Z$1, 'Fund Data'!$B:$B = 12),"""")"),"")</f>
        <v/>
      </c>
    </row>
    <row r="169">
      <c r="A169" s="145" t="str">
        <f>'Endowed Funds'!B:B</f>
        <v/>
      </c>
      <c r="B169" t="str">
        <f>IFERROR(__xludf.DUMMYFUNCTION("IFERROR(FILTER('Fund Data'!$D:$D, 'Fund Data'!$C:$C = $A169, 'Fund Data'!$A:$A = B$1, 'Fund Data'!$B:$B = 12),"""")"),"")</f>
        <v/>
      </c>
      <c r="C169" t="str">
        <f>IFERROR(__xludf.DUMMYFUNCTION("IFERROR(FILTER('Fund Data'!$D:$D, 'Fund Data'!$C:$C = $A169, 'Fund Data'!$A:$A = C$1, 'Fund Data'!$B:$B = 12),"""")"),"")</f>
        <v/>
      </c>
      <c r="D169" t="str">
        <f>IFERROR(__xludf.DUMMYFUNCTION("IFERROR(FILTER('Fund Data'!$D:$D, 'Fund Data'!$C:$C = $A169, 'Fund Data'!$A:$A = D$1, 'Fund Data'!$B:$B = 12),"""")"),"")</f>
        <v/>
      </c>
      <c r="E169" t="str">
        <f>IFERROR(__xludf.DUMMYFUNCTION("IFERROR(FILTER('Fund Data'!$D:$D, 'Fund Data'!$C:$C = $A169, 'Fund Data'!$A:$A = E$1, 'Fund Data'!$B:$B = 12),"""")"),"")</f>
        <v/>
      </c>
      <c r="F169" t="str">
        <f>IFERROR(__xludf.DUMMYFUNCTION("IFERROR(FILTER('Fund Data'!$D:$D, 'Fund Data'!$C:$C = $A169, 'Fund Data'!$A:$A = F$1, 'Fund Data'!$B:$B = 12),"""")"),"")</f>
        <v/>
      </c>
      <c r="G169" t="str">
        <f>IFERROR(__xludf.DUMMYFUNCTION("IFERROR(FILTER('Fund Data'!$D:$D, 'Fund Data'!$C:$C = $A169, 'Fund Data'!$A:$A = G$1, 'Fund Data'!$B:$B = 12),"""")"),"")</f>
        <v/>
      </c>
      <c r="H169" t="str">
        <f>IFERROR(__xludf.DUMMYFUNCTION("IFERROR(FILTER('Fund Data'!$D:$D, 'Fund Data'!$C:$C = $A169, 'Fund Data'!$A:$A = H$1, 'Fund Data'!$B:$B = 12),"""")"),"")</f>
        <v/>
      </c>
      <c r="I169" t="str">
        <f>IFERROR(__xludf.DUMMYFUNCTION("IFERROR(FILTER('Fund Data'!$D:$D, 'Fund Data'!$C:$C = $A169, 'Fund Data'!$A:$A = I$1, 'Fund Data'!$B:$B = 12),"""")"),"")</f>
        <v/>
      </c>
      <c r="J169" t="str">
        <f>IFERROR(__xludf.DUMMYFUNCTION("IFERROR(FILTER('Fund Data'!$D:$D, 'Fund Data'!$C:$C = $A169, 'Fund Data'!$A:$A = J$1, 'Fund Data'!$B:$B = 12),"""")"),"")</f>
        <v/>
      </c>
      <c r="K169" t="str">
        <f>IFERROR(__xludf.DUMMYFUNCTION("IFERROR(FILTER('Fund Data'!$D:$D, 'Fund Data'!$C:$C = $A169, 'Fund Data'!$A:$A = K$1, 'Fund Data'!$B:$B = 12),"""")"),"")</f>
        <v/>
      </c>
      <c r="L169" t="str">
        <f>IFERROR(__xludf.DUMMYFUNCTION("IFERROR(FILTER('Fund Data'!$D:$D, 'Fund Data'!$C:$C = $A169, 'Fund Data'!$A:$A = L$1, 'Fund Data'!$B:$B = 12),"""")"),"")</f>
        <v/>
      </c>
      <c r="M169" t="str">
        <f>IFERROR(__xludf.DUMMYFUNCTION("IFERROR(FILTER('Fund Data'!$D:$D, 'Fund Data'!$C:$C = $A169, 'Fund Data'!$A:$A = M$1, 'Fund Data'!$B:$B = 12),"""")"),"")</f>
        <v/>
      </c>
      <c r="N169" t="str">
        <f>IFERROR(__xludf.DUMMYFUNCTION("IFERROR(FILTER('Fund Data'!$D:$D, 'Fund Data'!$C:$C = $A169, 'Fund Data'!$A:$A = N$1, 'Fund Data'!$B:$B = 12),"""")"),"")</f>
        <v/>
      </c>
      <c r="O169" t="str">
        <f>IFERROR(__xludf.DUMMYFUNCTION("IFERROR(FILTER('Fund Data'!$D:$D, 'Fund Data'!$C:$C = $A169, 'Fund Data'!$A:$A = O$1, 'Fund Data'!$B:$B = 12),"""")"),"")</f>
        <v/>
      </c>
      <c r="P169" t="str">
        <f>IFERROR(__xludf.DUMMYFUNCTION("IFERROR(FILTER('Fund Data'!$D:$D, 'Fund Data'!$C:$C = $A169, 'Fund Data'!$A:$A = P$1, 'Fund Data'!$B:$B = 12),"""")"),"")</f>
        <v/>
      </c>
      <c r="Q169" t="str">
        <f>IFERROR(__xludf.DUMMYFUNCTION("IFERROR(FILTER('Fund Data'!$D:$D, 'Fund Data'!$C:$C = $A169, 'Fund Data'!$A:$A = Q$1, 'Fund Data'!$B:$B = 12),"""")"),"")</f>
        <v/>
      </c>
      <c r="R169" t="str">
        <f>IFERROR(__xludf.DUMMYFUNCTION("IFERROR(FILTER('Fund Data'!$D:$D, 'Fund Data'!$C:$C = $A169, 'Fund Data'!$A:$A = R$1, 'Fund Data'!$B:$B = 12),"""")"),"")</f>
        <v/>
      </c>
      <c r="S169" t="str">
        <f>IFERROR(__xludf.DUMMYFUNCTION("IFERROR(FILTER('Fund Data'!$D:$D, 'Fund Data'!$C:$C = $A169, 'Fund Data'!$A:$A = S$1, 'Fund Data'!$B:$B = 12),"""")"),"")</f>
        <v/>
      </c>
      <c r="T169" t="str">
        <f>IFERROR(__xludf.DUMMYFUNCTION("IFERROR(FILTER('Fund Data'!$D:$D, 'Fund Data'!$C:$C = $A169, 'Fund Data'!$A:$A = T$1, 'Fund Data'!$B:$B = 12),"""")"),"")</f>
        <v/>
      </c>
      <c r="U169" t="str">
        <f>IFERROR(__xludf.DUMMYFUNCTION("IFERROR(FILTER('Fund Data'!$D:$D, 'Fund Data'!$C:$C = $A169, 'Fund Data'!$A:$A = U$1, 'Fund Data'!$B:$B = 12),"""")"),"")</f>
        <v/>
      </c>
      <c r="V169" t="str">
        <f>IFERROR(__xludf.DUMMYFUNCTION("IFERROR(FILTER('Fund Data'!$D:$D, 'Fund Data'!$C:$C = $A169, 'Fund Data'!$A:$A = V$1, 'Fund Data'!$B:$B = 12),"""")"),"")</f>
        <v/>
      </c>
      <c r="W169" t="str">
        <f>IFERROR(__xludf.DUMMYFUNCTION("IFERROR(FILTER('Fund Data'!$D:$D, 'Fund Data'!$C:$C = $A169, 'Fund Data'!$A:$A = W$1, 'Fund Data'!$B:$B = 12),"""")"),"")</f>
        <v/>
      </c>
      <c r="X169" t="str">
        <f>IFERROR(__xludf.DUMMYFUNCTION("IFERROR(FILTER('Fund Data'!$D:$D, 'Fund Data'!$C:$C = $A169, 'Fund Data'!$A:$A = X$1, 'Fund Data'!$B:$B = 12),"""")"),"")</f>
        <v/>
      </c>
      <c r="Y169" t="str">
        <f>IFERROR(__xludf.DUMMYFUNCTION("IFERROR(FILTER('Fund Data'!$D:$D, 'Fund Data'!$C:$C = $A169, 'Fund Data'!$A:$A = Y$1, 'Fund Data'!$B:$B = 12),"""")"),"")</f>
        <v/>
      </c>
      <c r="Z169" t="str">
        <f>IFERROR(__xludf.DUMMYFUNCTION("IFERROR(FILTER('Fund Data'!$D:$D, 'Fund Data'!$C:$C = $A169, 'Fund Data'!$A:$A = Z$1, 'Fund Data'!$B:$B = 12),"""")"),"")</f>
        <v/>
      </c>
    </row>
    <row r="170">
      <c r="B170" t="str">
        <f>IFERROR(__xludf.DUMMYFUNCTION("IFERROR(FILTER('Fund Data'!$D:$D, 'Fund Data'!$C:$C = $A170, 'Fund Data'!$A:$A = B$1, 'Fund Data'!$B:$B = 12),"""")"),"")</f>
        <v/>
      </c>
      <c r="C170" t="str">
        <f>IFERROR(__xludf.DUMMYFUNCTION("IFERROR(FILTER('Fund Data'!$D:$D, 'Fund Data'!$C:$C = $A170, 'Fund Data'!$A:$A = C$1, 'Fund Data'!$B:$B = 12),"""")"),"")</f>
        <v/>
      </c>
      <c r="D170" t="str">
        <f>IFERROR(__xludf.DUMMYFUNCTION("IFERROR(FILTER('Fund Data'!$D:$D, 'Fund Data'!$C:$C = $A170, 'Fund Data'!$A:$A = D$1, 'Fund Data'!$B:$B = 12),"""")"),"")</f>
        <v/>
      </c>
      <c r="E170" t="str">
        <f>IFERROR(__xludf.DUMMYFUNCTION("IFERROR(FILTER('Fund Data'!$D:$D, 'Fund Data'!$C:$C = $A170, 'Fund Data'!$A:$A = E$1, 'Fund Data'!$B:$B = 12),"""")"),"")</f>
        <v/>
      </c>
      <c r="F170" t="str">
        <f>IFERROR(__xludf.DUMMYFUNCTION("IFERROR(FILTER('Fund Data'!$D:$D, 'Fund Data'!$C:$C = $A170, 'Fund Data'!$A:$A = F$1, 'Fund Data'!$B:$B = 12),"""")"),"")</f>
        <v/>
      </c>
      <c r="G170" t="str">
        <f>IFERROR(__xludf.DUMMYFUNCTION("IFERROR(FILTER('Fund Data'!$D:$D, 'Fund Data'!$C:$C = $A170, 'Fund Data'!$A:$A = G$1, 'Fund Data'!$B:$B = 12),"""")"),"")</f>
        <v/>
      </c>
      <c r="H170" t="str">
        <f>IFERROR(__xludf.DUMMYFUNCTION("IFERROR(FILTER('Fund Data'!$D:$D, 'Fund Data'!$C:$C = $A170, 'Fund Data'!$A:$A = H$1, 'Fund Data'!$B:$B = 12),"""")"),"")</f>
        <v/>
      </c>
      <c r="I170" t="str">
        <f>IFERROR(__xludf.DUMMYFUNCTION("IFERROR(FILTER('Fund Data'!$D:$D, 'Fund Data'!$C:$C = $A170, 'Fund Data'!$A:$A = I$1, 'Fund Data'!$B:$B = 12),"""")"),"")</f>
        <v/>
      </c>
      <c r="J170" t="str">
        <f>IFERROR(__xludf.DUMMYFUNCTION("IFERROR(FILTER('Fund Data'!$D:$D, 'Fund Data'!$C:$C = $A170, 'Fund Data'!$A:$A = J$1, 'Fund Data'!$B:$B = 12),"""")"),"")</f>
        <v/>
      </c>
      <c r="K170" t="str">
        <f>IFERROR(__xludf.DUMMYFUNCTION("IFERROR(FILTER('Fund Data'!$D:$D, 'Fund Data'!$C:$C = $A170, 'Fund Data'!$A:$A = K$1, 'Fund Data'!$B:$B = 12),"""")"),"")</f>
        <v/>
      </c>
      <c r="L170" t="str">
        <f>IFERROR(__xludf.DUMMYFUNCTION("IFERROR(FILTER('Fund Data'!$D:$D, 'Fund Data'!$C:$C = $A170, 'Fund Data'!$A:$A = L$1, 'Fund Data'!$B:$B = 12),"""")"),"")</f>
        <v/>
      </c>
      <c r="M170" t="str">
        <f>IFERROR(__xludf.DUMMYFUNCTION("IFERROR(FILTER('Fund Data'!$D:$D, 'Fund Data'!$C:$C = $A170, 'Fund Data'!$A:$A = M$1, 'Fund Data'!$B:$B = 12),"""")"),"")</f>
        <v/>
      </c>
      <c r="N170" t="str">
        <f>IFERROR(__xludf.DUMMYFUNCTION("IFERROR(FILTER('Fund Data'!$D:$D, 'Fund Data'!$C:$C = $A170, 'Fund Data'!$A:$A = N$1, 'Fund Data'!$B:$B = 12),"""")"),"")</f>
        <v/>
      </c>
      <c r="O170" t="str">
        <f>IFERROR(__xludf.DUMMYFUNCTION("IFERROR(FILTER('Fund Data'!$D:$D, 'Fund Data'!$C:$C = $A170, 'Fund Data'!$A:$A = O$1, 'Fund Data'!$B:$B = 12),"""")"),"")</f>
        <v/>
      </c>
      <c r="P170" t="str">
        <f>IFERROR(__xludf.DUMMYFUNCTION("IFERROR(FILTER('Fund Data'!$D:$D, 'Fund Data'!$C:$C = $A170, 'Fund Data'!$A:$A = P$1, 'Fund Data'!$B:$B = 12),"""")"),"")</f>
        <v/>
      </c>
      <c r="Q170" t="str">
        <f>IFERROR(__xludf.DUMMYFUNCTION("IFERROR(FILTER('Fund Data'!$D:$D, 'Fund Data'!$C:$C = $A170, 'Fund Data'!$A:$A = Q$1, 'Fund Data'!$B:$B = 12),"""")"),"")</f>
        <v/>
      </c>
      <c r="R170" t="str">
        <f>IFERROR(__xludf.DUMMYFUNCTION("IFERROR(FILTER('Fund Data'!$D:$D, 'Fund Data'!$C:$C = $A170, 'Fund Data'!$A:$A = R$1, 'Fund Data'!$B:$B = 12),"""")"),"")</f>
        <v/>
      </c>
      <c r="S170" t="str">
        <f>IFERROR(__xludf.DUMMYFUNCTION("IFERROR(FILTER('Fund Data'!$D:$D, 'Fund Data'!$C:$C = $A170, 'Fund Data'!$A:$A = S$1, 'Fund Data'!$B:$B = 12),"""")"),"")</f>
        <v/>
      </c>
      <c r="T170" t="str">
        <f>IFERROR(__xludf.DUMMYFUNCTION("IFERROR(FILTER('Fund Data'!$D:$D, 'Fund Data'!$C:$C = $A170, 'Fund Data'!$A:$A = T$1, 'Fund Data'!$B:$B = 12),"""")"),"")</f>
        <v/>
      </c>
      <c r="U170" t="str">
        <f>IFERROR(__xludf.DUMMYFUNCTION("IFERROR(FILTER('Fund Data'!$D:$D, 'Fund Data'!$C:$C = $A170, 'Fund Data'!$A:$A = U$1, 'Fund Data'!$B:$B = 12),"""")"),"")</f>
        <v/>
      </c>
      <c r="V170" t="str">
        <f>IFERROR(__xludf.DUMMYFUNCTION("IFERROR(FILTER('Fund Data'!$D:$D, 'Fund Data'!$C:$C = $A170, 'Fund Data'!$A:$A = V$1, 'Fund Data'!$B:$B = 12),"""")"),"")</f>
        <v/>
      </c>
      <c r="W170" t="str">
        <f>IFERROR(__xludf.DUMMYFUNCTION("IFERROR(FILTER('Fund Data'!$D:$D, 'Fund Data'!$C:$C = $A170, 'Fund Data'!$A:$A = W$1, 'Fund Data'!$B:$B = 12),"""")"),"")</f>
        <v/>
      </c>
      <c r="X170" t="str">
        <f>IFERROR(__xludf.DUMMYFUNCTION("IFERROR(FILTER('Fund Data'!$D:$D, 'Fund Data'!$C:$C = $A170, 'Fund Data'!$A:$A = X$1, 'Fund Data'!$B:$B = 12),"""")"),"")</f>
        <v/>
      </c>
      <c r="Y170" t="str">
        <f>IFERROR(__xludf.DUMMYFUNCTION("IFERROR(FILTER('Fund Data'!$D:$D, 'Fund Data'!$C:$C = $A170, 'Fund Data'!$A:$A = Y$1, 'Fund Data'!$B:$B = 12),"""")"),"")</f>
        <v/>
      </c>
      <c r="Z170" t="str">
        <f>IFERROR(__xludf.DUMMYFUNCTION("IFERROR(FILTER('Fund Data'!$D:$D, 'Fund Data'!$C:$C = $A170, 'Fund Data'!$A:$A = Z$1, 'Fund Data'!$B:$B = 12),"""")"),"")</f>
        <v/>
      </c>
    </row>
    <row r="171">
      <c r="B171" t="str">
        <f>IFERROR(__xludf.DUMMYFUNCTION("IFERROR(FILTER('Fund Data'!$D:$D, 'Fund Data'!$C:$C = $A171, 'Fund Data'!$A:$A = B$1, 'Fund Data'!$B:$B = 12),"""")"),"")</f>
        <v/>
      </c>
      <c r="C171" t="str">
        <f>IFERROR(__xludf.DUMMYFUNCTION("IFERROR(FILTER('Fund Data'!$D:$D, 'Fund Data'!$C:$C = $A171, 'Fund Data'!$A:$A = C$1, 'Fund Data'!$B:$B = 12),"""")"),"")</f>
        <v/>
      </c>
      <c r="D171" t="str">
        <f>IFERROR(__xludf.DUMMYFUNCTION("IFERROR(FILTER('Fund Data'!$D:$D, 'Fund Data'!$C:$C = $A171, 'Fund Data'!$A:$A = D$1, 'Fund Data'!$B:$B = 12),"""")"),"")</f>
        <v/>
      </c>
      <c r="E171" t="str">
        <f>IFERROR(__xludf.DUMMYFUNCTION("IFERROR(FILTER('Fund Data'!$D:$D, 'Fund Data'!$C:$C = $A171, 'Fund Data'!$A:$A = E$1, 'Fund Data'!$B:$B = 12),"""")"),"")</f>
        <v/>
      </c>
      <c r="F171" t="str">
        <f>IFERROR(__xludf.DUMMYFUNCTION("IFERROR(FILTER('Fund Data'!$D:$D, 'Fund Data'!$C:$C = $A171, 'Fund Data'!$A:$A = F$1, 'Fund Data'!$B:$B = 12),"""")"),"")</f>
        <v/>
      </c>
      <c r="G171" t="str">
        <f>IFERROR(__xludf.DUMMYFUNCTION("IFERROR(FILTER('Fund Data'!$D:$D, 'Fund Data'!$C:$C = $A171, 'Fund Data'!$A:$A = G$1, 'Fund Data'!$B:$B = 12),"""")"),"")</f>
        <v/>
      </c>
      <c r="H171" t="str">
        <f>IFERROR(__xludf.DUMMYFUNCTION("IFERROR(FILTER('Fund Data'!$D:$D, 'Fund Data'!$C:$C = $A171, 'Fund Data'!$A:$A = H$1, 'Fund Data'!$B:$B = 12),"""")"),"")</f>
        <v/>
      </c>
      <c r="I171" t="str">
        <f>IFERROR(__xludf.DUMMYFUNCTION("IFERROR(FILTER('Fund Data'!$D:$D, 'Fund Data'!$C:$C = $A171, 'Fund Data'!$A:$A = I$1, 'Fund Data'!$B:$B = 12),"""")"),"")</f>
        <v/>
      </c>
      <c r="J171" t="str">
        <f>IFERROR(__xludf.DUMMYFUNCTION("IFERROR(FILTER('Fund Data'!$D:$D, 'Fund Data'!$C:$C = $A171, 'Fund Data'!$A:$A = J$1, 'Fund Data'!$B:$B = 12),"""")"),"")</f>
        <v/>
      </c>
      <c r="K171" t="str">
        <f>IFERROR(__xludf.DUMMYFUNCTION("IFERROR(FILTER('Fund Data'!$D:$D, 'Fund Data'!$C:$C = $A171, 'Fund Data'!$A:$A = K$1, 'Fund Data'!$B:$B = 12),"""")"),"")</f>
        <v/>
      </c>
      <c r="L171" t="str">
        <f>IFERROR(__xludf.DUMMYFUNCTION("IFERROR(FILTER('Fund Data'!$D:$D, 'Fund Data'!$C:$C = $A171, 'Fund Data'!$A:$A = L$1, 'Fund Data'!$B:$B = 12),"""")"),"")</f>
        <v/>
      </c>
      <c r="M171" t="str">
        <f>IFERROR(__xludf.DUMMYFUNCTION("IFERROR(FILTER('Fund Data'!$D:$D, 'Fund Data'!$C:$C = $A171, 'Fund Data'!$A:$A = M$1, 'Fund Data'!$B:$B = 12),"""")"),"")</f>
        <v/>
      </c>
      <c r="N171" t="str">
        <f>IFERROR(__xludf.DUMMYFUNCTION("IFERROR(FILTER('Fund Data'!$D:$D, 'Fund Data'!$C:$C = $A171, 'Fund Data'!$A:$A = N$1, 'Fund Data'!$B:$B = 12),"""")"),"")</f>
        <v/>
      </c>
      <c r="O171" t="str">
        <f>IFERROR(__xludf.DUMMYFUNCTION("IFERROR(FILTER('Fund Data'!$D:$D, 'Fund Data'!$C:$C = $A171, 'Fund Data'!$A:$A = O$1, 'Fund Data'!$B:$B = 12),"""")"),"")</f>
        <v/>
      </c>
      <c r="P171" t="str">
        <f>IFERROR(__xludf.DUMMYFUNCTION("IFERROR(FILTER('Fund Data'!$D:$D, 'Fund Data'!$C:$C = $A171, 'Fund Data'!$A:$A = P$1, 'Fund Data'!$B:$B = 12),"""")"),"")</f>
        <v/>
      </c>
      <c r="Q171" t="str">
        <f>IFERROR(__xludf.DUMMYFUNCTION("IFERROR(FILTER('Fund Data'!$D:$D, 'Fund Data'!$C:$C = $A171, 'Fund Data'!$A:$A = Q$1, 'Fund Data'!$B:$B = 12),"""")"),"")</f>
        <v/>
      </c>
      <c r="R171" t="str">
        <f>IFERROR(__xludf.DUMMYFUNCTION("IFERROR(FILTER('Fund Data'!$D:$D, 'Fund Data'!$C:$C = $A171, 'Fund Data'!$A:$A = R$1, 'Fund Data'!$B:$B = 12),"""")"),"")</f>
        <v/>
      </c>
      <c r="S171" t="str">
        <f>IFERROR(__xludf.DUMMYFUNCTION("IFERROR(FILTER('Fund Data'!$D:$D, 'Fund Data'!$C:$C = $A171, 'Fund Data'!$A:$A = S$1, 'Fund Data'!$B:$B = 12),"""")"),"")</f>
        <v/>
      </c>
      <c r="T171" t="str">
        <f>IFERROR(__xludf.DUMMYFUNCTION("IFERROR(FILTER('Fund Data'!$D:$D, 'Fund Data'!$C:$C = $A171, 'Fund Data'!$A:$A = T$1, 'Fund Data'!$B:$B = 12),"""")"),"")</f>
        <v/>
      </c>
      <c r="U171" t="str">
        <f>IFERROR(__xludf.DUMMYFUNCTION("IFERROR(FILTER('Fund Data'!$D:$D, 'Fund Data'!$C:$C = $A171, 'Fund Data'!$A:$A = U$1, 'Fund Data'!$B:$B = 12),"""")"),"")</f>
        <v/>
      </c>
      <c r="V171" t="str">
        <f>IFERROR(__xludf.DUMMYFUNCTION("IFERROR(FILTER('Fund Data'!$D:$D, 'Fund Data'!$C:$C = $A171, 'Fund Data'!$A:$A = V$1, 'Fund Data'!$B:$B = 12),"""")"),"")</f>
        <v/>
      </c>
      <c r="W171" t="str">
        <f>IFERROR(__xludf.DUMMYFUNCTION("IFERROR(FILTER('Fund Data'!$D:$D, 'Fund Data'!$C:$C = $A171, 'Fund Data'!$A:$A = W$1, 'Fund Data'!$B:$B = 12),"""")"),"")</f>
        <v/>
      </c>
      <c r="X171" t="str">
        <f>IFERROR(__xludf.DUMMYFUNCTION("IFERROR(FILTER('Fund Data'!$D:$D, 'Fund Data'!$C:$C = $A171, 'Fund Data'!$A:$A = X$1, 'Fund Data'!$B:$B = 12),"""")"),"")</f>
        <v/>
      </c>
      <c r="Y171" t="str">
        <f>IFERROR(__xludf.DUMMYFUNCTION("IFERROR(FILTER('Fund Data'!$D:$D, 'Fund Data'!$C:$C = $A171, 'Fund Data'!$A:$A = Y$1, 'Fund Data'!$B:$B = 12),"""")"),"")</f>
        <v/>
      </c>
      <c r="Z171" t="str">
        <f>IFERROR(__xludf.DUMMYFUNCTION("IFERROR(FILTER('Fund Data'!$D:$D, 'Fund Data'!$C:$C = $A171, 'Fund Data'!$A:$A = Z$1, 'Fund Data'!$B:$B = 12),"""")"),"")</f>
        <v/>
      </c>
    </row>
    <row r="172">
      <c r="B172" t="str">
        <f>IFERROR(__xludf.DUMMYFUNCTION("IFERROR(FILTER('Fund Data'!$D:$D, 'Fund Data'!$C:$C = $A172, 'Fund Data'!$A:$A = B$1, 'Fund Data'!$B:$B = 12),"""")"),"")</f>
        <v/>
      </c>
      <c r="C172" t="str">
        <f>IFERROR(__xludf.DUMMYFUNCTION("IFERROR(FILTER('Fund Data'!$D:$D, 'Fund Data'!$C:$C = $A172, 'Fund Data'!$A:$A = C$1, 'Fund Data'!$B:$B = 12),"""")"),"")</f>
        <v/>
      </c>
      <c r="D172" t="str">
        <f>IFERROR(__xludf.DUMMYFUNCTION("IFERROR(FILTER('Fund Data'!$D:$D, 'Fund Data'!$C:$C = $A172, 'Fund Data'!$A:$A = D$1, 'Fund Data'!$B:$B = 12),"""")"),"")</f>
        <v/>
      </c>
      <c r="E172" t="str">
        <f>IFERROR(__xludf.DUMMYFUNCTION("IFERROR(FILTER('Fund Data'!$D:$D, 'Fund Data'!$C:$C = $A172, 'Fund Data'!$A:$A = E$1, 'Fund Data'!$B:$B = 12),"""")"),"")</f>
        <v/>
      </c>
      <c r="F172" t="str">
        <f>IFERROR(__xludf.DUMMYFUNCTION("IFERROR(FILTER('Fund Data'!$D:$D, 'Fund Data'!$C:$C = $A172, 'Fund Data'!$A:$A = F$1, 'Fund Data'!$B:$B = 12),"""")"),"")</f>
        <v/>
      </c>
      <c r="G172" t="str">
        <f>IFERROR(__xludf.DUMMYFUNCTION("IFERROR(FILTER('Fund Data'!$D:$D, 'Fund Data'!$C:$C = $A172, 'Fund Data'!$A:$A = G$1, 'Fund Data'!$B:$B = 12),"""")"),"")</f>
        <v/>
      </c>
      <c r="H172" t="str">
        <f>IFERROR(__xludf.DUMMYFUNCTION("IFERROR(FILTER('Fund Data'!$D:$D, 'Fund Data'!$C:$C = $A172, 'Fund Data'!$A:$A = H$1, 'Fund Data'!$B:$B = 12),"""")"),"")</f>
        <v/>
      </c>
      <c r="I172" t="str">
        <f>IFERROR(__xludf.DUMMYFUNCTION("IFERROR(FILTER('Fund Data'!$D:$D, 'Fund Data'!$C:$C = $A172, 'Fund Data'!$A:$A = I$1, 'Fund Data'!$B:$B = 12),"""")"),"")</f>
        <v/>
      </c>
      <c r="J172" t="str">
        <f>IFERROR(__xludf.DUMMYFUNCTION("IFERROR(FILTER('Fund Data'!$D:$D, 'Fund Data'!$C:$C = $A172, 'Fund Data'!$A:$A = J$1, 'Fund Data'!$B:$B = 12),"""")"),"")</f>
        <v/>
      </c>
      <c r="K172" t="str">
        <f>IFERROR(__xludf.DUMMYFUNCTION("IFERROR(FILTER('Fund Data'!$D:$D, 'Fund Data'!$C:$C = $A172, 'Fund Data'!$A:$A = K$1, 'Fund Data'!$B:$B = 12),"""")"),"")</f>
        <v/>
      </c>
      <c r="L172" t="str">
        <f>IFERROR(__xludf.DUMMYFUNCTION("IFERROR(FILTER('Fund Data'!$D:$D, 'Fund Data'!$C:$C = $A172, 'Fund Data'!$A:$A = L$1, 'Fund Data'!$B:$B = 12),"""")"),"")</f>
        <v/>
      </c>
      <c r="M172" t="str">
        <f>IFERROR(__xludf.DUMMYFUNCTION("IFERROR(FILTER('Fund Data'!$D:$D, 'Fund Data'!$C:$C = $A172, 'Fund Data'!$A:$A = M$1, 'Fund Data'!$B:$B = 12),"""")"),"")</f>
        <v/>
      </c>
      <c r="N172" t="str">
        <f>IFERROR(__xludf.DUMMYFUNCTION("IFERROR(FILTER('Fund Data'!$D:$D, 'Fund Data'!$C:$C = $A172, 'Fund Data'!$A:$A = N$1, 'Fund Data'!$B:$B = 12),"""")"),"")</f>
        <v/>
      </c>
      <c r="O172" t="str">
        <f>IFERROR(__xludf.DUMMYFUNCTION("IFERROR(FILTER('Fund Data'!$D:$D, 'Fund Data'!$C:$C = $A172, 'Fund Data'!$A:$A = O$1, 'Fund Data'!$B:$B = 12),"""")"),"")</f>
        <v/>
      </c>
      <c r="P172" t="str">
        <f>IFERROR(__xludf.DUMMYFUNCTION("IFERROR(FILTER('Fund Data'!$D:$D, 'Fund Data'!$C:$C = $A172, 'Fund Data'!$A:$A = P$1, 'Fund Data'!$B:$B = 12),"""")"),"")</f>
        <v/>
      </c>
      <c r="Q172" t="str">
        <f>IFERROR(__xludf.DUMMYFUNCTION("IFERROR(FILTER('Fund Data'!$D:$D, 'Fund Data'!$C:$C = $A172, 'Fund Data'!$A:$A = Q$1, 'Fund Data'!$B:$B = 12),"""")"),"")</f>
        <v/>
      </c>
      <c r="R172" t="str">
        <f>IFERROR(__xludf.DUMMYFUNCTION("IFERROR(FILTER('Fund Data'!$D:$D, 'Fund Data'!$C:$C = $A172, 'Fund Data'!$A:$A = R$1, 'Fund Data'!$B:$B = 12),"""")"),"")</f>
        <v/>
      </c>
      <c r="S172" t="str">
        <f>IFERROR(__xludf.DUMMYFUNCTION("IFERROR(FILTER('Fund Data'!$D:$D, 'Fund Data'!$C:$C = $A172, 'Fund Data'!$A:$A = S$1, 'Fund Data'!$B:$B = 12),"""")"),"")</f>
        <v/>
      </c>
      <c r="T172" t="str">
        <f>IFERROR(__xludf.DUMMYFUNCTION("IFERROR(FILTER('Fund Data'!$D:$D, 'Fund Data'!$C:$C = $A172, 'Fund Data'!$A:$A = T$1, 'Fund Data'!$B:$B = 12),"""")"),"")</f>
        <v/>
      </c>
      <c r="U172" t="str">
        <f>IFERROR(__xludf.DUMMYFUNCTION("IFERROR(FILTER('Fund Data'!$D:$D, 'Fund Data'!$C:$C = $A172, 'Fund Data'!$A:$A = U$1, 'Fund Data'!$B:$B = 12),"""")"),"")</f>
        <v/>
      </c>
      <c r="V172" t="str">
        <f>IFERROR(__xludf.DUMMYFUNCTION("IFERROR(FILTER('Fund Data'!$D:$D, 'Fund Data'!$C:$C = $A172, 'Fund Data'!$A:$A = V$1, 'Fund Data'!$B:$B = 12),"""")"),"")</f>
        <v/>
      </c>
      <c r="W172" t="str">
        <f>IFERROR(__xludf.DUMMYFUNCTION("IFERROR(FILTER('Fund Data'!$D:$D, 'Fund Data'!$C:$C = $A172, 'Fund Data'!$A:$A = W$1, 'Fund Data'!$B:$B = 12),"""")"),"")</f>
        <v/>
      </c>
      <c r="X172" t="str">
        <f>IFERROR(__xludf.DUMMYFUNCTION("IFERROR(FILTER('Fund Data'!$D:$D, 'Fund Data'!$C:$C = $A172, 'Fund Data'!$A:$A = X$1, 'Fund Data'!$B:$B = 12),"""")"),"")</f>
        <v/>
      </c>
      <c r="Y172" t="str">
        <f>IFERROR(__xludf.DUMMYFUNCTION("IFERROR(FILTER('Fund Data'!$D:$D, 'Fund Data'!$C:$C = $A172, 'Fund Data'!$A:$A = Y$1, 'Fund Data'!$B:$B = 12),"""")"),"")</f>
        <v/>
      </c>
      <c r="Z172" t="str">
        <f>IFERROR(__xludf.DUMMYFUNCTION("IFERROR(FILTER('Fund Data'!$D:$D, 'Fund Data'!$C:$C = $A172, 'Fund Data'!$A:$A = Z$1, 'Fund Data'!$B:$B = 12),"""")"),"")</f>
        <v/>
      </c>
    </row>
    <row r="173">
      <c r="B173" t="str">
        <f>IFERROR(__xludf.DUMMYFUNCTION("IFERROR(FILTER('Fund Data'!$D:$D, 'Fund Data'!$C:$C = $A173, 'Fund Data'!$A:$A = B$1, 'Fund Data'!$B:$B = 12),"""")"),"")</f>
        <v/>
      </c>
      <c r="C173" t="str">
        <f>IFERROR(__xludf.DUMMYFUNCTION("IFERROR(FILTER('Fund Data'!$D:$D, 'Fund Data'!$C:$C = $A173, 'Fund Data'!$A:$A = C$1, 'Fund Data'!$B:$B = 12),"""")"),"")</f>
        <v/>
      </c>
      <c r="D173" t="str">
        <f>IFERROR(__xludf.DUMMYFUNCTION("IFERROR(FILTER('Fund Data'!$D:$D, 'Fund Data'!$C:$C = $A173, 'Fund Data'!$A:$A = D$1, 'Fund Data'!$B:$B = 12),"""")"),"")</f>
        <v/>
      </c>
      <c r="E173" t="str">
        <f>IFERROR(__xludf.DUMMYFUNCTION("IFERROR(FILTER('Fund Data'!$D:$D, 'Fund Data'!$C:$C = $A173, 'Fund Data'!$A:$A = E$1, 'Fund Data'!$B:$B = 12),"""")"),"")</f>
        <v/>
      </c>
      <c r="F173" t="str">
        <f>IFERROR(__xludf.DUMMYFUNCTION("IFERROR(FILTER('Fund Data'!$D:$D, 'Fund Data'!$C:$C = $A173, 'Fund Data'!$A:$A = F$1, 'Fund Data'!$B:$B = 12),"""")"),"")</f>
        <v/>
      </c>
      <c r="G173" t="str">
        <f>IFERROR(__xludf.DUMMYFUNCTION("IFERROR(FILTER('Fund Data'!$D:$D, 'Fund Data'!$C:$C = $A173, 'Fund Data'!$A:$A = G$1, 'Fund Data'!$B:$B = 12),"""")"),"")</f>
        <v/>
      </c>
      <c r="H173" t="str">
        <f>IFERROR(__xludf.DUMMYFUNCTION("IFERROR(FILTER('Fund Data'!$D:$D, 'Fund Data'!$C:$C = $A173, 'Fund Data'!$A:$A = H$1, 'Fund Data'!$B:$B = 12),"""")"),"")</f>
        <v/>
      </c>
      <c r="I173" t="str">
        <f>IFERROR(__xludf.DUMMYFUNCTION("IFERROR(FILTER('Fund Data'!$D:$D, 'Fund Data'!$C:$C = $A173, 'Fund Data'!$A:$A = I$1, 'Fund Data'!$B:$B = 12),"""")"),"")</f>
        <v/>
      </c>
      <c r="J173" t="str">
        <f>IFERROR(__xludf.DUMMYFUNCTION("IFERROR(FILTER('Fund Data'!$D:$D, 'Fund Data'!$C:$C = $A173, 'Fund Data'!$A:$A = J$1, 'Fund Data'!$B:$B = 12),"""")"),"")</f>
        <v/>
      </c>
      <c r="K173" t="str">
        <f>IFERROR(__xludf.DUMMYFUNCTION("IFERROR(FILTER('Fund Data'!$D:$D, 'Fund Data'!$C:$C = $A173, 'Fund Data'!$A:$A = K$1, 'Fund Data'!$B:$B = 12),"""")"),"")</f>
        <v/>
      </c>
      <c r="L173" t="str">
        <f>IFERROR(__xludf.DUMMYFUNCTION("IFERROR(FILTER('Fund Data'!$D:$D, 'Fund Data'!$C:$C = $A173, 'Fund Data'!$A:$A = L$1, 'Fund Data'!$B:$B = 12),"""")"),"")</f>
        <v/>
      </c>
      <c r="M173" t="str">
        <f>IFERROR(__xludf.DUMMYFUNCTION("IFERROR(FILTER('Fund Data'!$D:$D, 'Fund Data'!$C:$C = $A173, 'Fund Data'!$A:$A = M$1, 'Fund Data'!$B:$B = 12),"""")"),"")</f>
        <v/>
      </c>
      <c r="N173" t="str">
        <f>IFERROR(__xludf.DUMMYFUNCTION("IFERROR(FILTER('Fund Data'!$D:$D, 'Fund Data'!$C:$C = $A173, 'Fund Data'!$A:$A = N$1, 'Fund Data'!$B:$B = 12),"""")"),"")</f>
        <v/>
      </c>
      <c r="O173" t="str">
        <f>IFERROR(__xludf.DUMMYFUNCTION("IFERROR(FILTER('Fund Data'!$D:$D, 'Fund Data'!$C:$C = $A173, 'Fund Data'!$A:$A = O$1, 'Fund Data'!$B:$B = 12),"""")"),"")</f>
        <v/>
      </c>
      <c r="P173" t="str">
        <f>IFERROR(__xludf.DUMMYFUNCTION("IFERROR(FILTER('Fund Data'!$D:$D, 'Fund Data'!$C:$C = $A173, 'Fund Data'!$A:$A = P$1, 'Fund Data'!$B:$B = 12),"""")"),"")</f>
        <v/>
      </c>
      <c r="Q173" t="str">
        <f>IFERROR(__xludf.DUMMYFUNCTION("IFERROR(FILTER('Fund Data'!$D:$D, 'Fund Data'!$C:$C = $A173, 'Fund Data'!$A:$A = Q$1, 'Fund Data'!$B:$B = 12),"""")"),"")</f>
        <v/>
      </c>
      <c r="R173" t="str">
        <f>IFERROR(__xludf.DUMMYFUNCTION("IFERROR(FILTER('Fund Data'!$D:$D, 'Fund Data'!$C:$C = $A173, 'Fund Data'!$A:$A = R$1, 'Fund Data'!$B:$B = 12),"""")"),"")</f>
        <v/>
      </c>
      <c r="S173" t="str">
        <f>IFERROR(__xludf.DUMMYFUNCTION("IFERROR(FILTER('Fund Data'!$D:$D, 'Fund Data'!$C:$C = $A173, 'Fund Data'!$A:$A = S$1, 'Fund Data'!$B:$B = 12),"""")"),"")</f>
        <v/>
      </c>
      <c r="T173" t="str">
        <f>IFERROR(__xludf.DUMMYFUNCTION("IFERROR(FILTER('Fund Data'!$D:$D, 'Fund Data'!$C:$C = $A173, 'Fund Data'!$A:$A = T$1, 'Fund Data'!$B:$B = 12),"""")"),"")</f>
        <v/>
      </c>
      <c r="U173" t="str">
        <f>IFERROR(__xludf.DUMMYFUNCTION("IFERROR(FILTER('Fund Data'!$D:$D, 'Fund Data'!$C:$C = $A173, 'Fund Data'!$A:$A = U$1, 'Fund Data'!$B:$B = 12),"""")"),"")</f>
        <v/>
      </c>
      <c r="V173" t="str">
        <f>IFERROR(__xludf.DUMMYFUNCTION("IFERROR(FILTER('Fund Data'!$D:$D, 'Fund Data'!$C:$C = $A173, 'Fund Data'!$A:$A = V$1, 'Fund Data'!$B:$B = 12),"""")"),"")</f>
        <v/>
      </c>
      <c r="W173" t="str">
        <f>IFERROR(__xludf.DUMMYFUNCTION("IFERROR(FILTER('Fund Data'!$D:$D, 'Fund Data'!$C:$C = $A173, 'Fund Data'!$A:$A = W$1, 'Fund Data'!$B:$B = 12),"""")"),"")</f>
        <v/>
      </c>
      <c r="X173" t="str">
        <f>IFERROR(__xludf.DUMMYFUNCTION("IFERROR(FILTER('Fund Data'!$D:$D, 'Fund Data'!$C:$C = $A173, 'Fund Data'!$A:$A = X$1, 'Fund Data'!$B:$B = 12),"""")"),"")</f>
        <v/>
      </c>
      <c r="Y173" t="str">
        <f>IFERROR(__xludf.DUMMYFUNCTION("IFERROR(FILTER('Fund Data'!$D:$D, 'Fund Data'!$C:$C = $A173, 'Fund Data'!$A:$A = Y$1, 'Fund Data'!$B:$B = 12),"""")"),"")</f>
        <v/>
      </c>
      <c r="Z173" t="str">
        <f>IFERROR(__xludf.DUMMYFUNCTION("IFERROR(FILTER('Fund Data'!$D:$D, 'Fund Data'!$C:$C = $A173, 'Fund Data'!$A:$A = Z$1, 'Fund Data'!$B:$B = 12),"""")"),"")</f>
        <v/>
      </c>
    </row>
    <row r="174">
      <c r="B174" t="str">
        <f>IFERROR(__xludf.DUMMYFUNCTION("IFERROR(FILTER('Fund Data'!$D:$D, 'Fund Data'!$C:$C = $A174, 'Fund Data'!$A:$A = B$1, 'Fund Data'!$B:$B = 12),"""")"),"")</f>
        <v/>
      </c>
      <c r="C174" t="str">
        <f>IFERROR(__xludf.DUMMYFUNCTION("IFERROR(FILTER('Fund Data'!$D:$D, 'Fund Data'!$C:$C = $A174, 'Fund Data'!$A:$A = C$1, 'Fund Data'!$B:$B = 12),"""")"),"")</f>
        <v/>
      </c>
      <c r="D174" t="str">
        <f>IFERROR(__xludf.DUMMYFUNCTION("IFERROR(FILTER('Fund Data'!$D:$D, 'Fund Data'!$C:$C = $A174, 'Fund Data'!$A:$A = D$1, 'Fund Data'!$B:$B = 12),"""")"),"")</f>
        <v/>
      </c>
      <c r="E174" t="str">
        <f>IFERROR(__xludf.DUMMYFUNCTION("IFERROR(FILTER('Fund Data'!$D:$D, 'Fund Data'!$C:$C = $A174, 'Fund Data'!$A:$A = E$1, 'Fund Data'!$B:$B = 12),"""")"),"")</f>
        <v/>
      </c>
      <c r="F174" t="str">
        <f>IFERROR(__xludf.DUMMYFUNCTION("IFERROR(FILTER('Fund Data'!$D:$D, 'Fund Data'!$C:$C = $A174, 'Fund Data'!$A:$A = F$1, 'Fund Data'!$B:$B = 12),"""")"),"")</f>
        <v/>
      </c>
      <c r="G174" t="str">
        <f>IFERROR(__xludf.DUMMYFUNCTION("IFERROR(FILTER('Fund Data'!$D:$D, 'Fund Data'!$C:$C = $A174, 'Fund Data'!$A:$A = G$1, 'Fund Data'!$B:$B = 12),"""")"),"")</f>
        <v/>
      </c>
      <c r="H174" t="str">
        <f>IFERROR(__xludf.DUMMYFUNCTION("IFERROR(FILTER('Fund Data'!$D:$D, 'Fund Data'!$C:$C = $A174, 'Fund Data'!$A:$A = H$1, 'Fund Data'!$B:$B = 12),"""")"),"")</f>
        <v/>
      </c>
      <c r="I174" t="str">
        <f>IFERROR(__xludf.DUMMYFUNCTION("IFERROR(FILTER('Fund Data'!$D:$D, 'Fund Data'!$C:$C = $A174, 'Fund Data'!$A:$A = I$1, 'Fund Data'!$B:$B = 12),"""")"),"")</f>
        <v/>
      </c>
      <c r="J174" t="str">
        <f>IFERROR(__xludf.DUMMYFUNCTION("IFERROR(FILTER('Fund Data'!$D:$D, 'Fund Data'!$C:$C = $A174, 'Fund Data'!$A:$A = J$1, 'Fund Data'!$B:$B = 12),"""")"),"")</f>
        <v/>
      </c>
      <c r="K174" t="str">
        <f>IFERROR(__xludf.DUMMYFUNCTION("IFERROR(FILTER('Fund Data'!$D:$D, 'Fund Data'!$C:$C = $A174, 'Fund Data'!$A:$A = K$1, 'Fund Data'!$B:$B = 12),"""")"),"")</f>
        <v/>
      </c>
      <c r="L174" t="str">
        <f>IFERROR(__xludf.DUMMYFUNCTION("IFERROR(FILTER('Fund Data'!$D:$D, 'Fund Data'!$C:$C = $A174, 'Fund Data'!$A:$A = L$1, 'Fund Data'!$B:$B = 12),"""")"),"")</f>
        <v/>
      </c>
      <c r="M174" t="str">
        <f>IFERROR(__xludf.DUMMYFUNCTION("IFERROR(FILTER('Fund Data'!$D:$D, 'Fund Data'!$C:$C = $A174, 'Fund Data'!$A:$A = M$1, 'Fund Data'!$B:$B = 12),"""")"),"")</f>
        <v/>
      </c>
      <c r="N174" t="str">
        <f>IFERROR(__xludf.DUMMYFUNCTION("IFERROR(FILTER('Fund Data'!$D:$D, 'Fund Data'!$C:$C = $A174, 'Fund Data'!$A:$A = N$1, 'Fund Data'!$B:$B = 12),"""")"),"")</f>
        <v/>
      </c>
      <c r="O174" t="str">
        <f>IFERROR(__xludf.DUMMYFUNCTION("IFERROR(FILTER('Fund Data'!$D:$D, 'Fund Data'!$C:$C = $A174, 'Fund Data'!$A:$A = O$1, 'Fund Data'!$B:$B = 12),"""")"),"")</f>
        <v/>
      </c>
      <c r="P174" t="str">
        <f>IFERROR(__xludf.DUMMYFUNCTION("IFERROR(FILTER('Fund Data'!$D:$D, 'Fund Data'!$C:$C = $A174, 'Fund Data'!$A:$A = P$1, 'Fund Data'!$B:$B = 12),"""")"),"")</f>
        <v/>
      </c>
      <c r="Q174" t="str">
        <f>IFERROR(__xludf.DUMMYFUNCTION("IFERROR(FILTER('Fund Data'!$D:$D, 'Fund Data'!$C:$C = $A174, 'Fund Data'!$A:$A = Q$1, 'Fund Data'!$B:$B = 12),"""")"),"")</f>
        <v/>
      </c>
      <c r="R174" t="str">
        <f>IFERROR(__xludf.DUMMYFUNCTION("IFERROR(FILTER('Fund Data'!$D:$D, 'Fund Data'!$C:$C = $A174, 'Fund Data'!$A:$A = R$1, 'Fund Data'!$B:$B = 12),"""")"),"")</f>
        <v/>
      </c>
      <c r="S174" t="str">
        <f>IFERROR(__xludf.DUMMYFUNCTION("IFERROR(FILTER('Fund Data'!$D:$D, 'Fund Data'!$C:$C = $A174, 'Fund Data'!$A:$A = S$1, 'Fund Data'!$B:$B = 12),"""")"),"")</f>
        <v/>
      </c>
      <c r="T174" t="str">
        <f>IFERROR(__xludf.DUMMYFUNCTION("IFERROR(FILTER('Fund Data'!$D:$D, 'Fund Data'!$C:$C = $A174, 'Fund Data'!$A:$A = T$1, 'Fund Data'!$B:$B = 12),"""")"),"")</f>
        <v/>
      </c>
      <c r="U174" t="str">
        <f>IFERROR(__xludf.DUMMYFUNCTION("IFERROR(FILTER('Fund Data'!$D:$D, 'Fund Data'!$C:$C = $A174, 'Fund Data'!$A:$A = U$1, 'Fund Data'!$B:$B = 12),"""")"),"")</f>
        <v/>
      </c>
      <c r="V174" t="str">
        <f>IFERROR(__xludf.DUMMYFUNCTION("IFERROR(FILTER('Fund Data'!$D:$D, 'Fund Data'!$C:$C = $A174, 'Fund Data'!$A:$A = V$1, 'Fund Data'!$B:$B = 12),"""")"),"")</f>
        <v/>
      </c>
      <c r="W174" t="str">
        <f>IFERROR(__xludf.DUMMYFUNCTION("IFERROR(FILTER('Fund Data'!$D:$D, 'Fund Data'!$C:$C = $A174, 'Fund Data'!$A:$A = W$1, 'Fund Data'!$B:$B = 12),"""")"),"")</f>
        <v/>
      </c>
      <c r="X174" t="str">
        <f>IFERROR(__xludf.DUMMYFUNCTION("IFERROR(FILTER('Fund Data'!$D:$D, 'Fund Data'!$C:$C = $A174, 'Fund Data'!$A:$A = X$1, 'Fund Data'!$B:$B = 12),"""")"),"")</f>
        <v/>
      </c>
      <c r="Y174" t="str">
        <f>IFERROR(__xludf.DUMMYFUNCTION("IFERROR(FILTER('Fund Data'!$D:$D, 'Fund Data'!$C:$C = $A174, 'Fund Data'!$A:$A = Y$1, 'Fund Data'!$B:$B = 12),"""")"),"")</f>
        <v/>
      </c>
      <c r="Z174" t="str">
        <f>IFERROR(__xludf.DUMMYFUNCTION("IFERROR(FILTER('Fund Data'!$D:$D, 'Fund Data'!$C:$C = $A174, 'Fund Data'!$A:$A = Z$1, 'Fund Data'!$B:$B = 12),"""")"),"")</f>
        <v/>
      </c>
    </row>
    <row r="175">
      <c r="B175" t="str">
        <f>IFERROR(__xludf.DUMMYFUNCTION("IFERROR(FILTER('Fund Data'!$D:$D, 'Fund Data'!$C:$C = $A175, 'Fund Data'!$A:$A = B$1, 'Fund Data'!$B:$B = 12),"""")"),"")</f>
        <v/>
      </c>
      <c r="C175" t="str">
        <f>IFERROR(__xludf.DUMMYFUNCTION("IFERROR(FILTER('Fund Data'!$D:$D, 'Fund Data'!$C:$C = $A175, 'Fund Data'!$A:$A = C$1, 'Fund Data'!$B:$B = 12),"""")"),"")</f>
        <v/>
      </c>
      <c r="D175" t="str">
        <f>IFERROR(__xludf.DUMMYFUNCTION("IFERROR(FILTER('Fund Data'!$D:$D, 'Fund Data'!$C:$C = $A175, 'Fund Data'!$A:$A = D$1, 'Fund Data'!$B:$B = 12),"""")"),"")</f>
        <v/>
      </c>
      <c r="E175" t="str">
        <f>IFERROR(__xludf.DUMMYFUNCTION("IFERROR(FILTER('Fund Data'!$D:$D, 'Fund Data'!$C:$C = $A175, 'Fund Data'!$A:$A = E$1, 'Fund Data'!$B:$B = 12),"""")"),"")</f>
        <v/>
      </c>
      <c r="F175" t="str">
        <f>IFERROR(__xludf.DUMMYFUNCTION("IFERROR(FILTER('Fund Data'!$D:$D, 'Fund Data'!$C:$C = $A175, 'Fund Data'!$A:$A = F$1, 'Fund Data'!$B:$B = 12),"""")"),"")</f>
        <v/>
      </c>
      <c r="G175" t="str">
        <f>IFERROR(__xludf.DUMMYFUNCTION("IFERROR(FILTER('Fund Data'!$D:$D, 'Fund Data'!$C:$C = $A175, 'Fund Data'!$A:$A = G$1, 'Fund Data'!$B:$B = 12),"""")"),"")</f>
        <v/>
      </c>
      <c r="H175" t="str">
        <f>IFERROR(__xludf.DUMMYFUNCTION("IFERROR(FILTER('Fund Data'!$D:$D, 'Fund Data'!$C:$C = $A175, 'Fund Data'!$A:$A = H$1, 'Fund Data'!$B:$B = 12),"""")"),"")</f>
        <v/>
      </c>
      <c r="I175" t="str">
        <f>IFERROR(__xludf.DUMMYFUNCTION("IFERROR(FILTER('Fund Data'!$D:$D, 'Fund Data'!$C:$C = $A175, 'Fund Data'!$A:$A = I$1, 'Fund Data'!$B:$B = 12),"""")"),"")</f>
        <v/>
      </c>
      <c r="J175" t="str">
        <f>IFERROR(__xludf.DUMMYFUNCTION("IFERROR(FILTER('Fund Data'!$D:$D, 'Fund Data'!$C:$C = $A175, 'Fund Data'!$A:$A = J$1, 'Fund Data'!$B:$B = 12),"""")"),"")</f>
        <v/>
      </c>
      <c r="K175" t="str">
        <f>IFERROR(__xludf.DUMMYFUNCTION("IFERROR(FILTER('Fund Data'!$D:$D, 'Fund Data'!$C:$C = $A175, 'Fund Data'!$A:$A = K$1, 'Fund Data'!$B:$B = 12),"""")"),"")</f>
        <v/>
      </c>
      <c r="L175" t="str">
        <f>IFERROR(__xludf.DUMMYFUNCTION("IFERROR(FILTER('Fund Data'!$D:$D, 'Fund Data'!$C:$C = $A175, 'Fund Data'!$A:$A = L$1, 'Fund Data'!$B:$B = 12),"""")"),"")</f>
        <v/>
      </c>
      <c r="M175" t="str">
        <f>IFERROR(__xludf.DUMMYFUNCTION("IFERROR(FILTER('Fund Data'!$D:$D, 'Fund Data'!$C:$C = $A175, 'Fund Data'!$A:$A = M$1, 'Fund Data'!$B:$B = 12),"""")"),"")</f>
        <v/>
      </c>
      <c r="N175" t="str">
        <f>IFERROR(__xludf.DUMMYFUNCTION("IFERROR(FILTER('Fund Data'!$D:$D, 'Fund Data'!$C:$C = $A175, 'Fund Data'!$A:$A = N$1, 'Fund Data'!$B:$B = 12),"""")"),"")</f>
        <v/>
      </c>
      <c r="O175" t="str">
        <f>IFERROR(__xludf.DUMMYFUNCTION("IFERROR(FILTER('Fund Data'!$D:$D, 'Fund Data'!$C:$C = $A175, 'Fund Data'!$A:$A = O$1, 'Fund Data'!$B:$B = 12),"""")"),"")</f>
        <v/>
      </c>
      <c r="P175" t="str">
        <f>IFERROR(__xludf.DUMMYFUNCTION("IFERROR(FILTER('Fund Data'!$D:$D, 'Fund Data'!$C:$C = $A175, 'Fund Data'!$A:$A = P$1, 'Fund Data'!$B:$B = 12),"""")"),"")</f>
        <v/>
      </c>
      <c r="Q175" t="str">
        <f>IFERROR(__xludf.DUMMYFUNCTION("IFERROR(FILTER('Fund Data'!$D:$D, 'Fund Data'!$C:$C = $A175, 'Fund Data'!$A:$A = Q$1, 'Fund Data'!$B:$B = 12),"""")"),"")</f>
        <v/>
      </c>
      <c r="R175" t="str">
        <f>IFERROR(__xludf.DUMMYFUNCTION("IFERROR(FILTER('Fund Data'!$D:$D, 'Fund Data'!$C:$C = $A175, 'Fund Data'!$A:$A = R$1, 'Fund Data'!$B:$B = 12),"""")"),"")</f>
        <v/>
      </c>
      <c r="S175" t="str">
        <f>IFERROR(__xludf.DUMMYFUNCTION("IFERROR(FILTER('Fund Data'!$D:$D, 'Fund Data'!$C:$C = $A175, 'Fund Data'!$A:$A = S$1, 'Fund Data'!$B:$B = 12),"""")"),"")</f>
        <v/>
      </c>
      <c r="T175" t="str">
        <f>IFERROR(__xludf.DUMMYFUNCTION("IFERROR(FILTER('Fund Data'!$D:$D, 'Fund Data'!$C:$C = $A175, 'Fund Data'!$A:$A = T$1, 'Fund Data'!$B:$B = 12),"""")"),"")</f>
        <v/>
      </c>
      <c r="U175" t="str">
        <f>IFERROR(__xludf.DUMMYFUNCTION("IFERROR(FILTER('Fund Data'!$D:$D, 'Fund Data'!$C:$C = $A175, 'Fund Data'!$A:$A = U$1, 'Fund Data'!$B:$B = 12),"""")"),"")</f>
        <v/>
      </c>
      <c r="V175" t="str">
        <f>IFERROR(__xludf.DUMMYFUNCTION("IFERROR(FILTER('Fund Data'!$D:$D, 'Fund Data'!$C:$C = $A175, 'Fund Data'!$A:$A = V$1, 'Fund Data'!$B:$B = 12),"""")"),"")</f>
        <v/>
      </c>
      <c r="W175" t="str">
        <f>IFERROR(__xludf.DUMMYFUNCTION("IFERROR(FILTER('Fund Data'!$D:$D, 'Fund Data'!$C:$C = $A175, 'Fund Data'!$A:$A = W$1, 'Fund Data'!$B:$B = 12),"""")"),"")</f>
        <v/>
      </c>
      <c r="X175" t="str">
        <f>IFERROR(__xludf.DUMMYFUNCTION("IFERROR(FILTER('Fund Data'!$D:$D, 'Fund Data'!$C:$C = $A175, 'Fund Data'!$A:$A = X$1, 'Fund Data'!$B:$B = 12),"""")"),"")</f>
        <v/>
      </c>
      <c r="Y175" t="str">
        <f>IFERROR(__xludf.DUMMYFUNCTION("IFERROR(FILTER('Fund Data'!$D:$D, 'Fund Data'!$C:$C = $A175, 'Fund Data'!$A:$A = Y$1, 'Fund Data'!$B:$B = 12),"""")"),"")</f>
        <v/>
      </c>
      <c r="Z175" t="str">
        <f>IFERROR(__xludf.DUMMYFUNCTION("IFERROR(FILTER('Fund Data'!$D:$D, 'Fund Data'!$C:$C = $A175, 'Fund Data'!$A:$A = Z$1, 'Fund Data'!$B:$B = 12),"""")"),"")</f>
        <v/>
      </c>
    </row>
    <row r="176">
      <c r="B176" t="str">
        <f>IFERROR(__xludf.DUMMYFUNCTION("IFERROR(FILTER('Fund Data'!$D:$D, 'Fund Data'!$C:$C = $A176, 'Fund Data'!$A:$A = B$1, 'Fund Data'!$B:$B = 12),"""")"),"")</f>
        <v/>
      </c>
      <c r="C176" t="str">
        <f>IFERROR(__xludf.DUMMYFUNCTION("IFERROR(FILTER('Fund Data'!$D:$D, 'Fund Data'!$C:$C = $A176, 'Fund Data'!$A:$A = C$1, 'Fund Data'!$B:$B = 12),"""")"),"")</f>
        <v/>
      </c>
      <c r="D176" t="str">
        <f>IFERROR(__xludf.DUMMYFUNCTION("IFERROR(FILTER('Fund Data'!$D:$D, 'Fund Data'!$C:$C = $A176, 'Fund Data'!$A:$A = D$1, 'Fund Data'!$B:$B = 12),"""")"),"")</f>
        <v/>
      </c>
      <c r="E176" t="str">
        <f>IFERROR(__xludf.DUMMYFUNCTION("IFERROR(FILTER('Fund Data'!$D:$D, 'Fund Data'!$C:$C = $A176, 'Fund Data'!$A:$A = E$1, 'Fund Data'!$B:$B = 12),"""")"),"")</f>
        <v/>
      </c>
      <c r="F176" t="str">
        <f>IFERROR(__xludf.DUMMYFUNCTION("IFERROR(FILTER('Fund Data'!$D:$D, 'Fund Data'!$C:$C = $A176, 'Fund Data'!$A:$A = F$1, 'Fund Data'!$B:$B = 12),"""")"),"")</f>
        <v/>
      </c>
      <c r="G176" t="str">
        <f>IFERROR(__xludf.DUMMYFUNCTION("IFERROR(FILTER('Fund Data'!$D:$D, 'Fund Data'!$C:$C = $A176, 'Fund Data'!$A:$A = G$1, 'Fund Data'!$B:$B = 12),"""")"),"")</f>
        <v/>
      </c>
      <c r="H176" t="str">
        <f>IFERROR(__xludf.DUMMYFUNCTION("IFERROR(FILTER('Fund Data'!$D:$D, 'Fund Data'!$C:$C = $A176, 'Fund Data'!$A:$A = H$1, 'Fund Data'!$B:$B = 12),"""")"),"")</f>
        <v/>
      </c>
      <c r="I176" t="str">
        <f>IFERROR(__xludf.DUMMYFUNCTION("IFERROR(FILTER('Fund Data'!$D:$D, 'Fund Data'!$C:$C = $A176, 'Fund Data'!$A:$A = I$1, 'Fund Data'!$B:$B = 12),"""")"),"")</f>
        <v/>
      </c>
      <c r="J176" t="str">
        <f>IFERROR(__xludf.DUMMYFUNCTION("IFERROR(FILTER('Fund Data'!$D:$D, 'Fund Data'!$C:$C = $A176, 'Fund Data'!$A:$A = J$1, 'Fund Data'!$B:$B = 12),"""")"),"")</f>
        <v/>
      </c>
      <c r="K176" t="str">
        <f>IFERROR(__xludf.DUMMYFUNCTION("IFERROR(FILTER('Fund Data'!$D:$D, 'Fund Data'!$C:$C = $A176, 'Fund Data'!$A:$A = K$1, 'Fund Data'!$B:$B = 12),"""")"),"")</f>
        <v/>
      </c>
      <c r="L176" t="str">
        <f>IFERROR(__xludf.DUMMYFUNCTION("IFERROR(FILTER('Fund Data'!$D:$D, 'Fund Data'!$C:$C = $A176, 'Fund Data'!$A:$A = L$1, 'Fund Data'!$B:$B = 12),"""")"),"")</f>
        <v/>
      </c>
      <c r="M176" t="str">
        <f>IFERROR(__xludf.DUMMYFUNCTION("IFERROR(FILTER('Fund Data'!$D:$D, 'Fund Data'!$C:$C = $A176, 'Fund Data'!$A:$A = M$1, 'Fund Data'!$B:$B = 12),"""")"),"")</f>
        <v/>
      </c>
      <c r="N176" t="str">
        <f>IFERROR(__xludf.DUMMYFUNCTION("IFERROR(FILTER('Fund Data'!$D:$D, 'Fund Data'!$C:$C = $A176, 'Fund Data'!$A:$A = N$1, 'Fund Data'!$B:$B = 12),"""")"),"")</f>
        <v/>
      </c>
      <c r="O176" t="str">
        <f>IFERROR(__xludf.DUMMYFUNCTION("IFERROR(FILTER('Fund Data'!$D:$D, 'Fund Data'!$C:$C = $A176, 'Fund Data'!$A:$A = O$1, 'Fund Data'!$B:$B = 12),"""")"),"")</f>
        <v/>
      </c>
      <c r="P176" t="str">
        <f>IFERROR(__xludf.DUMMYFUNCTION("IFERROR(FILTER('Fund Data'!$D:$D, 'Fund Data'!$C:$C = $A176, 'Fund Data'!$A:$A = P$1, 'Fund Data'!$B:$B = 12),"""")"),"")</f>
        <v/>
      </c>
      <c r="Q176" t="str">
        <f>IFERROR(__xludf.DUMMYFUNCTION("IFERROR(FILTER('Fund Data'!$D:$D, 'Fund Data'!$C:$C = $A176, 'Fund Data'!$A:$A = Q$1, 'Fund Data'!$B:$B = 12),"""")"),"")</f>
        <v/>
      </c>
      <c r="R176" t="str">
        <f>IFERROR(__xludf.DUMMYFUNCTION("IFERROR(FILTER('Fund Data'!$D:$D, 'Fund Data'!$C:$C = $A176, 'Fund Data'!$A:$A = R$1, 'Fund Data'!$B:$B = 12),"""")"),"")</f>
        <v/>
      </c>
      <c r="S176" t="str">
        <f>IFERROR(__xludf.DUMMYFUNCTION("IFERROR(FILTER('Fund Data'!$D:$D, 'Fund Data'!$C:$C = $A176, 'Fund Data'!$A:$A = S$1, 'Fund Data'!$B:$B = 12),"""")"),"")</f>
        <v/>
      </c>
      <c r="T176" t="str">
        <f>IFERROR(__xludf.DUMMYFUNCTION("IFERROR(FILTER('Fund Data'!$D:$D, 'Fund Data'!$C:$C = $A176, 'Fund Data'!$A:$A = T$1, 'Fund Data'!$B:$B = 12),"""")"),"")</f>
        <v/>
      </c>
      <c r="U176" t="str">
        <f>IFERROR(__xludf.DUMMYFUNCTION("IFERROR(FILTER('Fund Data'!$D:$D, 'Fund Data'!$C:$C = $A176, 'Fund Data'!$A:$A = U$1, 'Fund Data'!$B:$B = 12),"""")"),"")</f>
        <v/>
      </c>
      <c r="V176" t="str">
        <f>IFERROR(__xludf.DUMMYFUNCTION("IFERROR(FILTER('Fund Data'!$D:$D, 'Fund Data'!$C:$C = $A176, 'Fund Data'!$A:$A = V$1, 'Fund Data'!$B:$B = 12),"""")"),"")</f>
        <v/>
      </c>
      <c r="W176" t="str">
        <f>IFERROR(__xludf.DUMMYFUNCTION("IFERROR(FILTER('Fund Data'!$D:$D, 'Fund Data'!$C:$C = $A176, 'Fund Data'!$A:$A = W$1, 'Fund Data'!$B:$B = 12),"""")"),"")</f>
        <v/>
      </c>
      <c r="X176" t="str">
        <f>IFERROR(__xludf.DUMMYFUNCTION("IFERROR(FILTER('Fund Data'!$D:$D, 'Fund Data'!$C:$C = $A176, 'Fund Data'!$A:$A = X$1, 'Fund Data'!$B:$B = 12),"""")"),"")</f>
        <v/>
      </c>
      <c r="Y176" t="str">
        <f>IFERROR(__xludf.DUMMYFUNCTION("IFERROR(FILTER('Fund Data'!$D:$D, 'Fund Data'!$C:$C = $A176, 'Fund Data'!$A:$A = Y$1, 'Fund Data'!$B:$B = 12),"""")"),"")</f>
        <v/>
      </c>
      <c r="Z176" t="str">
        <f>IFERROR(__xludf.DUMMYFUNCTION("IFERROR(FILTER('Fund Data'!$D:$D, 'Fund Data'!$C:$C = $A176, 'Fund Data'!$A:$A = Z$1, 'Fund Data'!$B:$B = 12),"""")"),"")</f>
        <v/>
      </c>
    </row>
    <row r="177">
      <c r="B177" t="str">
        <f>IFERROR(__xludf.DUMMYFUNCTION("IFERROR(FILTER('Fund Data'!$D:$D, 'Fund Data'!$C:$C = $A177, 'Fund Data'!$A:$A = B$1, 'Fund Data'!$B:$B = 12),"""")"),"")</f>
        <v/>
      </c>
      <c r="C177" t="str">
        <f>IFERROR(__xludf.DUMMYFUNCTION("IFERROR(FILTER('Fund Data'!$D:$D, 'Fund Data'!$C:$C = $A177, 'Fund Data'!$A:$A = C$1, 'Fund Data'!$B:$B = 12),"""")"),"")</f>
        <v/>
      </c>
      <c r="D177" t="str">
        <f>IFERROR(__xludf.DUMMYFUNCTION("IFERROR(FILTER('Fund Data'!$D:$D, 'Fund Data'!$C:$C = $A177, 'Fund Data'!$A:$A = D$1, 'Fund Data'!$B:$B = 12),"""")"),"")</f>
        <v/>
      </c>
      <c r="E177" t="str">
        <f>IFERROR(__xludf.DUMMYFUNCTION("IFERROR(FILTER('Fund Data'!$D:$D, 'Fund Data'!$C:$C = $A177, 'Fund Data'!$A:$A = E$1, 'Fund Data'!$B:$B = 12),"""")"),"")</f>
        <v/>
      </c>
      <c r="F177" t="str">
        <f>IFERROR(__xludf.DUMMYFUNCTION("IFERROR(FILTER('Fund Data'!$D:$D, 'Fund Data'!$C:$C = $A177, 'Fund Data'!$A:$A = F$1, 'Fund Data'!$B:$B = 12),"""")"),"")</f>
        <v/>
      </c>
      <c r="G177" t="str">
        <f>IFERROR(__xludf.DUMMYFUNCTION("IFERROR(FILTER('Fund Data'!$D:$D, 'Fund Data'!$C:$C = $A177, 'Fund Data'!$A:$A = G$1, 'Fund Data'!$B:$B = 12),"""")"),"")</f>
        <v/>
      </c>
      <c r="H177" t="str">
        <f>IFERROR(__xludf.DUMMYFUNCTION("IFERROR(FILTER('Fund Data'!$D:$D, 'Fund Data'!$C:$C = $A177, 'Fund Data'!$A:$A = H$1, 'Fund Data'!$B:$B = 12),"""")"),"")</f>
        <v/>
      </c>
      <c r="I177" t="str">
        <f>IFERROR(__xludf.DUMMYFUNCTION("IFERROR(FILTER('Fund Data'!$D:$D, 'Fund Data'!$C:$C = $A177, 'Fund Data'!$A:$A = I$1, 'Fund Data'!$B:$B = 12),"""")"),"")</f>
        <v/>
      </c>
      <c r="J177" t="str">
        <f>IFERROR(__xludf.DUMMYFUNCTION("IFERROR(FILTER('Fund Data'!$D:$D, 'Fund Data'!$C:$C = $A177, 'Fund Data'!$A:$A = J$1, 'Fund Data'!$B:$B = 12),"""")"),"")</f>
        <v/>
      </c>
      <c r="K177" t="str">
        <f>IFERROR(__xludf.DUMMYFUNCTION("IFERROR(FILTER('Fund Data'!$D:$D, 'Fund Data'!$C:$C = $A177, 'Fund Data'!$A:$A = K$1, 'Fund Data'!$B:$B = 12),"""")"),"")</f>
        <v/>
      </c>
      <c r="L177" t="str">
        <f>IFERROR(__xludf.DUMMYFUNCTION("IFERROR(FILTER('Fund Data'!$D:$D, 'Fund Data'!$C:$C = $A177, 'Fund Data'!$A:$A = L$1, 'Fund Data'!$B:$B = 12),"""")"),"")</f>
        <v/>
      </c>
      <c r="M177" t="str">
        <f>IFERROR(__xludf.DUMMYFUNCTION("IFERROR(FILTER('Fund Data'!$D:$D, 'Fund Data'!$C:$C = $A177, 'Fund Data'!$A:$A = M$1, 'Fund Data'!$B:$B = 12),"""")"),"")</f>
        <v/>
      </c>
      <c r="N177" t="str">
        <f>IFERROR(__xludf.DUMMYFUNCTION("IFERROR(FILTER('Fund Data'!$D:$D, 'Fund Data'!$C:$C = $A177, 'Fund Data'!$A:$A = N$1, 'Fund Data'!$B:$B = 12),"""")"),"")</f>
        <v/>
      </c>
      <c r="O177" t="str">
        <f>IFERROR(__xludf.DUMMYFUNCTION("IFERROR(FILTER('Fund Data'!$D:$D, 'Fund Data'!$C:$C = $A177, 'Fund Data'!$A:$A = O$1, 'Fund Data'!$B:$B = 12),"""")"),"")</f>
        <v/>
      </c>
      <c r="P177" t="str">
        <f>IFERROR(__xludf.DUMMYFUNCTION("IFERROR(FILTER('Fund Data'!$D:$D, 'Fund Data'!$C:$C = $A177, 'Fund Data'!$A:$A = P$1, 'Fund Data'!$B:$B = 12),"""")"),"")</f>
        <v/>
      </c>
      <c r="Q177" t="str">
        <f>IFERROR(__xludf.DUMMYFUNCTION("IFERROR(FILTER('Fund Data'!$D:$D, 'Fund Data'!$C:$C = $A177, 'Fund Data'!$A:$A = Q$1, 'Fund Data'!$B:$B = 12),"""")"),"")</f>
        <v/>
      </c>
      <c r="R177" t="str">
        <f>IFERROR(__xludf.DUMMYFUNCTION("IFERROR(FILTER('Fund Data'!$D:$D, 'Fund Data'!$C:$C = $A177, 'Fund Data'!$A:$A = R$1, 'Fund Data'!$B:$B = 12),"""")"),"")</f>
        <v/>
      </c>
      <c r="S177" t="str">
        <f>IFERROR(__xludf.DUMMYFUNCTION("IFERROR(FILTER('Fund Data'!$D:$D, 'Fund Data'!$C:$C = $A177, 'Fund Data'!$A:$A = S$1, 'Fund Data'!$B:$B = 12),"""")"),"")</f>
        <v/>
      </c>
      <c r="T177" t="str">
        <f>IFERROR(__xludf.DUMMYFUNCTION("IFERROR(FILTER('Fund Data'!$D:$D, 'Fund Data'!$C:$C = $A177, 'Fund Data'!$A:$A = T$1, 'Fund Data'!$B:$B = 12),"""")"),"")</f>
        <v/>
      </c>
      <c r="U177" t="str">
        <f>IFERROR(__xludf.DUMMYFUNCTION("IFERROR(FILTER('Fund Data'!$D:$D, 'Fund Data'!$C:$C = $A177, 'Fund Data'!$A:$A = U$1, 'Fund Data'!$B:$B = 12),"""")"),"")</f>
        <v/>
      </c>
      <c r="V177" t="str">
        <f>IFERROR(__xludf.DUMMYFUNCTION("IFERROR(FILTER('Fund Data'!$D:$D, 'Fund Data'!$C:$C = $A177, 'Fund Data'!$A:$A = V$1, 'Fund Data'!$B:$B = 12),"""")"),"")</f>
        <v/>
      </c>
      <c r="W177" t="str">
        <f>IFERROR(__xludf.DUMMYFUNCTION("IFERROR(FILTER('Fund Data'!$D:$D, 'Fund Data'!$C:$C = $A177, 'Fund Data'!$A:$A = W$1, 'Fund Data'!$B:$B = 12),"""")"),"")</f>
        <v/>
      </c>
      <c r="X177" t="str">
        <f>IFERROR(__xludf.DUMMYFUNCTION("IFERROR(FILTER('Fund Data'!$D:$D, 'Fund Data'!$C:$C = $A177, 'Fund Data'!$A:$A = X$1, 'Fund Data'!$B:$B = 12),"""")"),"")</f>
        <v/>
      </c>
      <c r="Y177" t="str">
        <f>IFERROR(__xludf.DUMMYFUNCTION("IFERROR(FILTER('Fund Data'!$D:$D, 'Fund Data'!$C:$C = $A177, 'Fund Data'!$A:$A = Y$1, 'Fund Data'!$B:$B = 12),"""")"),"")</f>
        <v/>
      </c>
      <c r="Z177" t="str">
        <f>IFERROR(__xludf.DUMMYFUNCTION("IFERROR(FILTER('Fund Data'!$D:$D, 'Fund Data'!$C:$C = $A177, 'Fund Data'!$A:$A = Z$1, 'Fund Data'!$B:$B = 12),"""")"),"")</f>
        <v/>
      </c>
    </row>
    <row r="178">
      <c r="B178" t="str">
        <f>IFERROR(__xludf.DUMMYFUNCTION("IFERROR(FILTER('Fund Data'!$D:$D, 'Fund Data'!$C:$C = $A178, 'Fund Data'!$A:$A = B$1, 'Fund Data'!$B:$B = 12),"""")"),"")</f>
        <v/>
      </c>
      <c r="C178" t="str">
        <f>IFERROR(__xludf.DUMMYFUNCTION("IFERROR(FILTER('Fund Data'!$D:$D, 'Fund Data'!$C:$C = $A178, 'Fund Data'!$A:$A = C$1, 'Fund Data'!$B:$B = 12),"""")"),"")</f>
        <v/>
      </c>
      <c r="D178" t="str">
        <f>IFERROR(__xludf.DUMMYFUNCTION("IFERROR(FILTER('Fund Data'!$D:$D, 'Fund Data'!$C:$C = $A178, 'Fund Data'!$A:$A = D$1, 'Fund Data'!$B:$B = 12),"""")"),"")</f>
        <v/>
      </c>
      <c r="E178" t="str">
        <f>IFERROR(__xludf.DUMMYFUNCTION("IFERROR(FILTER('Fund Data'!$D:$D, 'Fund Data'!$C:$C = $A178, 'Fund Data'!$A:$A = E$1, 'Fund Data'!$B:$B = 12),"""")"),"")</f>
        <v/>
      </c>
      <c r="F178" t="str">
        <f>IFERROR(__xludf.DUMMYFUNCTION("IFERROR(FILTER('Fund Data'!$D:$D, 'Fund Data'!$C:$C = $A178, 'Fund Data'!$A:$A = F$1, 'Fund Data'!$B:$B = 12),"""")"),"")</f>
        <v/>
      </c>
      <c r="G178" t="str">
        <f>IFERROR(__xludf.DUMMYFUNCTION("IFERROR(FILTER('Fund Data'!$D:$D, 'Fund Data'!$C:$C = $A178, 'Fund Data'!$A:$A = G$1, 'Fund Data'!$B:$B = 12),"""")"),"")</f>
        <v/>
      </c>
      <c r="H178" t="str">
        <f>IFERROR(__xludf.DUMMYFUNCTION("IFERROR(FILTER('Fund Data'!$D:$D, 'Fund Data'!$C:$C = $A178, 'Fund Data'!$A:$A = H$1, 'Fund Data'!$B:$B = 12),"""")"),"")</f>
        <v/>
      </c>
      <c r="I178" t="str">
        <f>IFERROR(__xludf.DUMMYFUNCTION("IFERROR(FILTER('Fund Data'!$D:$D, 'Fund Data'!$C:$C = $A178, 'Fund Data'!$A:$A = I$1, 'Fund Data'!$B:$B = 12),"""")"),"")</f>
        <v/>
      </c>
      <c r="J178" t="str">
        <f>IFERROR(__xludf.DUMMYFUNCTION("IFERROR(FILTER('Fund Data'!$D:$D, 'Fund Data'!$C:$C = $A178, 'Fund Data'!$A:$A = J$1, 'Fund Data'!$B:$B = 12),"""")"),"")</f>
        <v/>
      </c>
      <c r="K178" t="str">
        <f>IFERROR(__xludf.DUMMYFUNCTION("IFERROR(FILTER('Fund Data'!$D:$D, 'Fund Data'!$C:$C = $A178, 'Fund Data'!$A:$A = K$1, 'Fund Data'!$B:$B = 12),"""")"),"")</f>
        <v/>
      </c>
      <c r="L178" t="str">
        <f>IFERROR(__xludf.DUMMYFUNCTION("IFERROR(FILTER('Fund Data'!$D:$D, 'Fund Data'!$C:$C = $A178, 'Fund Data'!$A:$A = L$1, 'Fund Data'!$B:$B = 12),"""")"),"")</f>
        <v/>
      </c>
      <c r="M178" t="str">
        <f>IFERROR(__xludf.DUMMYFUNCTION("IFERROR(FILTER('Fund Data'!$D:$D, 'Fund Data'!$C:$C = $A178, 'Fund Data'!$A:$A = M$1, 'Fund Data'!$B:$B = 12),"""")"),"")</f>
        <v/>
      </c>
      <c r="N178" t="str">
        <f>IFERROR(__xludf.DUMMYFUNCTION("IFERROR(FILTER('Fund Data'!$D:$D, 'Fund Data'!$C:$C = $A178, 'Fund Data'!$A:$A = N$1, 'Fund Data'!$B:$B = 12),"""")"),"")</f>
        <v/>
      </c>
      <c r="O178" t="str">
        <f>IFERROR(__xludf.DUMMYFUNCTION("IFERROR(FILTER('Fund Data'!$D:$D, 'Fund Data'!$C:$C = $A178, 'Fund Data'!$A:$A = O$1, 'Fund Data'!$B:$B = 12),"""")"),"")</f>
        <v/>
      </c>
      <c r="P178" t="str">
        <f>IFERROR(__xludf.DUMMYFUNCTION("IFERROR(FILTER('Fund Data'!$D:$D, 'Fund Data'!$C:$C = $A178, 'Fund Data'!$A:$A = P$1, 'Fund Data'!$B:$B = 12),"""")"),"")</f>
        <v/>
      </c>
      <c r="Q178" t="str">
        <f>IFERROR(__xludf.DUMMYFUNCTION("IFERROR(FILTER('Fund Data'!$D:$D, 'Fund Data'!$C:$C = $A178, 'Fund Data'!$A:$A = Q$1, 'Fund Data'!$B:$B = 12),"""")"),"")</f>
        <v/>
      </c>
      <c r="R178" t="str">
        <f>IFERROR(__xludf.DUMMYFUNCTION("IFERROR(FILTER('Fund Data'!$D:$D, 'Fund Data'!$C:$C = $A178, 'Fund Data'!$A:$A = R$1, 'Fund Data'!$B:$B = 12),"""")"),"")</f>
        <v/>
      </c>
      <c r="S178" t="str">
        <f>IFERROR(__xludf.DUMMYFUNCTION("IFERROR(FILTER('Fund Data'!$D:$D, 'Fund Data'!$C:$C = $A178, 'Fund Data'!$A:$A = S$1, 'Fund Data'!$B:$B = 12),"""")"),"")</f>
        <v/>
      </c>
      <c r="T178" t="str">
        <f>IFERROR(__xludf.DUMMYFUNCTION("IFERROR(FILTER('Fund Data'!$D:$D, 'Fund Data'!$C:$C = $A178, 'Fund Data'!$A:$A = T$1, 'Fund Data'!$B:$B = 12),"""")"),"")</f>
        <v/>
      </c>
      <c r="U178" t="str">
        <f>IFERROR(__xludf.DUMMYFUNCTION("IFERROR(FILTER('Fund Data'!$D:$D, 'Fund Data'!$C:$C = $A178, 'Fund Data'!$A:$A = U$1, 'Fund Data'!$B:$B = 12),"""")"),"")</f>
        <v/>
      </c>
      <c r="V178" t="str">
        <f>IFERROR(__xludf.DUMMYFUNCTION("IFERROR(FILTER('Fund Data'!$D:$D, 'Fund Data'!$C:$C = $A178, 'Fund Data'!$A:$A = V$1, 'Fund Data'!$B:$B = 12),"""")"),"")</f>
        <v/>
      </c>
      <c r="W178" t="str">
        <f>IFERROR(__xludf.DUMMYFUNCTION("IFERROR(FILTER('Fund Data'!$D:$D, 'Fund Data'!$C:$C = $A178, 'Fund Data'!$A:$A = W$1, 'Fund Data'!$B:$B = 12),"""")"),"")</f>
        <v/>
      </c>
      <c r="X178" t="str">
        <f>IFERROR(__xludf.DUMMYFUNCTION("IFERROR(FILTER('Fund Data'!$D:$D, 'Fund Data'!$C:$C = $A178, 'Fund Data'!$A:$A = X$1, 'Fund Data'!$B:$B = 12),"""")"),"")</f>
        <v/>
      </c>
      <c r="Y178" t="str">
        <f>IFERROR(__xludf.DUMMYFUNCTION("IFERROR(FILTER('Fund Data'!$D:$D, 'Fund Data'!$C:$C = $A178, 'Fund Data'!$A:$A = Y$1, 'Fund Data'!$B:$B = 12),"""")"),"")</f>
        <v/>
      </c>
      <c r="Z178" t="str">
        <f>IFERROR(__xludf.DUMMYFUNCTION("IFERROR(FILTER('Fund Data'!$D:$D, 'Fund Data'!$C:$C = $A178, 'Fund Data'!$A:$A = Z$1, 'Fund Data'!$B:$B = 12),"""")"),"")</f>
        <v/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5.0"/>
  </cols>
  <sheetData>
    <row r="1">
      <c r="A1" s="145" t="str">
        <f>'Endowed Funds'!B:B</f>
        <v>Fund</v>
      </c>
      <c r="B1" s="145">
        <v>1990.0</v>
      </c>
      <c r="C1" s="145">
        <v>1991.0</v>
      </c>
      <c r="D1" s="145">
        <v>1992.0</v>
      </c>
      <c r="E1" s="145">
        <v>1993.0</v>
      </c>
      <c r="F1" s="145">
        <v>1994.0</v>
      </c>
      <c r="G1" s="145">
        <v>1995.0</v>
      </c>
      <c r="H1" s="145">
        <v>1996.0</v>
      </c>
      <c r="I1" s="145">
        <v>1997.0</v>
      </c>
      <c r="J1" s="145">
        <v>1998.0</v>
      </c>
      <c r="K1" s="145">
        <v>1999.0</v>
      </c>
      <c r="L1" s="145">
        <v>2000.0</v>
      </c>
      <c r="M1" s="145">
        <v>2001.0</v>
      </c>
      <c r="N1" s="145">
        <v>2002.0</v>
      </c>
      <c r="O1" s="145">
        <v>2003.0</v>
      </c>
      <c r="P1" s="145">
        <v>2004.0</v>
      </c>
      <c r="Q1" s="145">
        <v>2005.0</v>
      </c>
      <c r="R1" s="145">
        <v>2006.0</v>
      </c>
      <c r="S1" s="145">
        <v>2007.0</v>
      </c>
      <c r="T1" s="145">
        <v>2008.0</v>
      </c>
      <c r="U1" s="145">
        <v>2009.0</v>
      </c>
      <c r="V1" s="145">
        <v>2010.0</v>
      </c>
      <c r="W1" s="145">
        <v>2011.0</v>
      </c>
      <c r="X1" s="145">
        <v>2012.0</v>
      </c>
      <c r="Y1" s="145">
        <v>2013.0</v>
      </c>
      <c r="Z1" s="145">
        <v>2014.0</v>
      </c>
      <c r="AA1" s="145">
        <v>2015.0</v>
      </c>
      <c r="AB1" s="145">
        <v>2016.0</v>
      </c>
      <c r="AC1" s="145">
        <v>2017.0</v>
      </c>
      <c r="AD1" s="145">
        <v>2018.0</v>
      </c>
      <c r="AE1" s="145">
        <v>2019.0</v>
      </c>
      <c r="AF1" s="145">
        <v>2020.0</v>
      </c>
    </row>
    <row r="2">
      <c r="A2" s="153" t="str">
        <f>'Endowed Funds'!B:B</f>
        <v>Albert G. Boyce, Jr. Family Fund</v>
      </c>
      <c r="B2" s="170" t="str">
        <f>IFERROR(__xludf.DUMMYFUNCTION("IFERROR(A2 * (1 + AVERAGE(Filter('Inflation Data'!$C:$C, 'Inflation Data'!$A:$A = B$1))) + 'Fund YTD Contributions'!B2, 'Fund YTD Contributions'!B2)"),"  ")</f>
        <v/>
      </c>
      <c r="C2" s="170">
        <f>IFERROR(__xludf.DUMMYFUNCTION("IFERROR(B2 * (1 + AVERAGE(Filter('Inflation Data'!$C:$C,'Inflation Data'!$A:$A = C$1))) + 'Fund YTD Contributions'!C2,'Fund YTD Contributions'!C2)"),0.0)</f>
        <v>0</v>
      </c>
      <c r="D2" s="170">
        <f>IFERROR(__xludf.DUMMYFUNCTION("IFERROR(C2 * (1 + AVERAGE(Filter('Inflation Data'!$C:$C,'Inflation Data'!$A:$A = D$1))) + 'Fund YTD Contributions'!D2,'Fund YTD Contributions'!D2)"),0.0)</f>
        <v>0</v>
      </c>
      <c r="E2" s="170">
        <f>IFERROR(__xludf.DUMMYFUNCTION("IFERROR(D2 * (1 + AVERAGE(Filter('Inflation Data'!$C:$C,'Inflation Data'!$A:$A = E$1))) + 'Fund YTD Contributions'!E2,'Fund YTD Contributions'!E2)"),0.0)</f>
        <v>0</v>
      </c>
      <c r="F2" s="170">
        <f>IFERROR(__xludf.DUMMYFUNCTION("IFERROR(E2 * (1 + AVERAGE(Filter('Inflation Data'!$C:$C,'Inflation Data'!$A:$A = F$1))) + 'Fund YTD Contributions'!F2,'Fund YTD Contributions'!F2)"),0.0)</f>
        <v>0</v>
      </c>
      <c r="G2" s="170">
        <f>IFERROR(__xludf.DUMMYFUNCTION("IFERROR(F2 * (1 + AVERAGE(Filter('Inflation Data'!$C:$C,'Inflation Data'!$A:$A = G$1))) + 'Fund YTD Contributions'!G2,'Fund YTD Contributions'!G2)"),0.0)</f>
        <v>0</v>
      </c>
      <c r="H2" s="170">
        <f>IFERROR(__xludf.DUMMYFUNCTION("IFERROR(G2 * (1 + AVERAGE(Filter('Inflation Data'!$C:$C,'Inflation Data'!$A:$A = H$1))) + 'Fund YTD Contributions'!H2,'Fund YTD Contributions'!H2)"),0.0)</f>
        <v>0</v>
      </c>
      <c r="I2" s="170">
        <f>IFERROR(__xludf.DUMMYFUNCTION("IFERROR(H2 * (1 + AVERAGE(Filter('Inflation Data'!$C:$C,'Inflation Data'!$A:$A = I$1))) + 'Fund YTD Contributions'!I2,'Fund YTD Contributions'!I2)"),0.0)</f>
        <v>0</v>
      </c>
      <c r="J2" s="170">
        <f>IFERROR(__xludf.DUMMYFUNCTION("IFERROR(I2 * (1 + AVERAGE(Filter('Inflation Data'!$C:$C,'Inflation Data'!$A:$A = J$1))) + 'Fund YTD Contributions'!J2,'Fund YTD Contributions'!J2)"),0.0)</f>
        <v>0</v>
      </c>
      <c r="K2" s="170">
        <f>IFERROR(__xludf.DUMMYFUNCTION("IFERROR(J2 * (1 + AVERAGE(Filter('Inflation Data'!$C:$C,'Inflation Data'!$A:$A = K$1))) + 'Fund YTD Contributions'!K2,'Fund YTD Contributions'!K2)"),0.0)</f>
        <v>0</v>
      </c>
      <c r="L2" s="170">
        <f>IFERROR(__xludf.DUMMYFUNCTION("IFERROR(K2 * (1 + AVERAGE(Filter('Inflation Data'!$C:$C,'Inflation Data'!$A:$A = L$1))) + 'Fund YTD Contributions'!L2,'Fund YTD Contributions'!L2)"),0.0)</f>
        <v>0</v>
      </c>
      <c r="M2" s="170">
        <f>IFERROR(__xludf.DUMMYFUNCTION("IFERROR(L2 * (1 + AVERAGE(Filter('Inflation Data'!$C:$C,'Inflation Data'!$A:$A = M$1))) + 'Fund YTD Contributions'!M2,'Fund YTD Contributions'!M2)"),0.0)</f>
        <v>0</v>
      </c>
      <c r="N2" s="170">
        <f>IFERROR(__xludf.DUMMYFUNCTION("IFERROR(M2 * (1 + AVERAGE(Filter('Inflation Data'!$C:$C,'Inflation Data'!$A:$A = N$1))) + 'Fund YTD Contributions'!N2,'Fund YTD Contributions'!N2)"),0.0)</f>
        <v>0</v>
      </c>
      <c r="O2" s="170">
        <f>IFERROR(__xludf.DUMMYFUNCTION("IFERROR(N2 * (1 + AVERAGE(Filter('Inflation Data'!$C:$C,'Inflation Data'!$A:$A = O$1))) + 'Fund YTD Contributions'!O2,'Fund YTD Contributions'!O2)"),0.0)</f>
        <v>0</v>
      </c>
      <c r="P2" s="170">
        <f>IFERROR(__xludf.DUMMYFUNCTION("IFERROR(O2 * (1 + AVERAGE(Filter('Inflation Data'!$C:$C,'Inflation Data'!$A:$A = P$1))) + 'Fund YTD Contributions'!P2,'Fund YTD Contributions'!P2)"),30000.0)</f>
        <v>30000</v>
      </c>
      <c r="Q2" s="170">
        <f>IFERROR(__xludf.DUMMYFUNCTION("IFERROR(P2 * (1 + AVERAGE(Filter('Inflation Data'!$C:$C,'Inflation Data'!$A:$A = Q$1))) + 'Fund YTD Contributions'!Q2,'Fund YTD Contributions'!Q2)"),161017.10114749998)</f>
        <v>161017.1011</v>
      </c>
      <c r="R2" s="170">
        <f>IFERROR(__xludf.DUMMYFUNCTION("IFERROR(Q2 * (1 + AVERAGE(Filter('Inflation Data'!$C:$C,'Inflation Data'!$A:$A = R$1))) + 'Fund YTD Contributions'!R2,'Fund YTD Contributions'!R2)"),196226.35872800695)</f>
        <v>196226.3587</v>
      </c>
      <c r="S2" s="170">
        <f>IFERROR(__xludf.DUMMYFUNCTION("IFERROR(R2 * (1 + AVERAGE(Filter('Inflation Data'!$C:$C,'Inflation Data'!$A:$A = S$1))) + 'Fund YTD Contributions'!S2,'Fund YTD Contributions'!S2)"),231823.42660200133)</f>
        <v>231823.4266</v>
      </c>
      <c r="T2" s="170">
        <f>IFERROR(__xludf.DUMMYFUNCTION("IFERROR(S2 * (1 + AVERAGE(Filter('Inflation Data'!$C:$C,'Inflation Data'!$A:$A = T$1))) + 'Fund YTD Contributions'!T2,'Fund YTD Contributions'!T2)"),270738.5045653152)</f>
        <v>270738.5046</v>
      </c>
      <c r="U2" s="170">
        <f>IFERROR(__xludf.DUMMYFUNCTION("IFERROR(T2 * (1 + AVERAGE(Filter('Inflation Data'!$C:$C,'Inflation Data'!$A:$A = U$1))) + 'Fund YTD Contributions'!U2,'Fund YTD Contributions'!U2)"),269823.9498968936)</f>
        <v>269823.9499</v>
      </c>
      <c r="V2" s="170">
        <f>IFERROR(__xludf.DUMMYFUNCTION("IFERROR(U2 * (1 + AVERAGE(Filter('Inflation Data'!$C:$C,'Inflation Data'!$A:$A = V$1))) + 'Fund YTD Contributions'!V2,'Fund YTD Contributions'!V2)"),274260.71776568907)</f>
        <v>274260.7178</v>
      </c>
      <c r="W2" s="170">
        <f>IFERROR(__xludf.DUMMYFUNCTION("IFERROR(V2 * (1 + AVERAGE(Filter('Inflation Data'!$C:$C,'Inflation Data'!$A:$A = W$1))) + 'Fund YTD Contributions'!W2,'Fund YTD Contributions'!W2)"),282914.19584084733)</f>
        <v>282914.1958</v>
      </c>
      <c r="X2" s="170">
        <f>IFERROR(__xludf.DUMMYFUNCTION("IFERROR(W2 * (1 + AVERAGE(Filter('Inflation Data'!$C:$C,'Inflation Data'!$A:$A = X$1))) + 'Fund YTD Contributions'!X2,'Fund YTD Contributions'!X2)"),288779.552367012)</f>
        <v>288779.5524</v>
      </c>
      <c r="Y2" s="170">
        <f>IFERROR(__xludf.DUMMYFUNCTION("IFERROR(X2 * (1 + AVERAGE(Filter('Inflation Data'!$C:$C,'Inflation Data'!$A:$A = Y$1))) + 'Fund YTD Contributions'!Y2,'Fund YTD Contributions'!Y2)"),293013.1920956686)</f>
        <v>293013.1921</v>
      </c>
      <c r="Z2" s="170">
        <f>IFERROR(__xludf.DUMMYFUNCTION("IFERROR(Y2 * (1 + AVERAGE(Filter('Inflation Data'!$C:$C,'Inflation Data'!$A:$A = Z$1))) + 'Fund YTD Contributions'!Z2,'Fund YTD Contributions'!Z2)"),307826.5871473192)</f>
        <v>307826.5871</v>
      </c>
      <c r="AA2" s="170">
        <f>IFERROR(__xludf.DUMMYFUNCTION("IFERROR(Z2 * (1 + AVERAGE(Filter('Inflation Data'!$C:$C,'Inflation Data'!$A:$A = AA$1))) + 'Fund YTD Contributions'!AA2,'Fund YTD Contributions'!AA2)"),319053.59159986995)</f>
        <v>319053.5916</v>
      </c>
      <c r="AB2" s="170">
        <f>IFERROR(__xludf.DUMMYFUNCTION("IFERROR(AA2 * (1 + AVERAGE(Filter('Inflation Data'!$C:$C,'Inflation Data'!$A:$A = AB$1))) + 'Fund YTD Contributions'!AB2,'Fund YTD Contributions'!AB2)"),334124.54969708924)</f>
        <v>334124.5497</v>
      </c>
      <c r="AC2" s="170">
        <f>IFERROR(__xludf.DUMMYFUNCTION("IFERROR(AB2 * (1 + AVERAGE(Filter('Inflation Data'!$C:$C,'Inflation Data'!$A:$A = AC$1))) + 'Fund YTD Contributions'!AC2,'Fund YTD Contributions'!AC2)"),351339.79846652143)</f>
        <v>351339.7985</v>
      </c>
      <c r="AD2" s="170">
        <f>IFERROR(__xludf.DUMMYFUNCTION("IFERROR(AC2 * (1 + AVERAGE(Filter('Inflation Data'!$C:$C,'Inflation Data'!$A:$A = AD$1))) + 'Fund YTD Contributions'!AD2,'Fund YTD Contributions'!AD2)"),378110.9215294993)</f>
        <v>378110.9215</v>
      </c>
      <c r="AE2" s="170">
        <f>IFERROR(__xludf.DUMMYFUNCTION("IFERROR(AD2 * (1 + AVERAGE(Filter('Inflation Data'!$C:$C,'Inflation Data'!$A:$A = AE$1))) + 'Fund YTD Contributions'!AE2,'Fund YTD Contributions'!AE2)"),384705.60054391646)</f>
        <v>384705.6005</v>
      </c>
      <c r="AF2" s="170" t="str">
        <f>IFERROR(__xludf.DUMMYFUNCTION("IFERROR(AE2 * (1 + AVERAGE(Filter('Inflation Data'!$C:$C,'Inflation Data'!$A:$A = AF$1))) + 'Fund YTD Contributions'!AF2,'Fund YTD Contributions'!AF2)"),"")</f>
        <v/>
      </c>
    </row>
    <row r="3">
      <c r="A3" s="153" t="str">
        <f>'Endowed Funds'!B:B</f>
        <v>Alden C. Hayes Research Fund</v>
      </c>
      <c r="B3" s="170" t="str">
        <f>IFERROR(__xludf.DUMMYFUNCTION("IFERROR(A3 * (1 + AVERAGE(Filter('Inflation Data'!$C:$C,'Inflation Data'!$A:$A = B$1))) + 'Fund YTD Contributions'!B3,'Fund YTD Contributions'!B3)"),"  ")</f>
        <v/>
      </c>
      <c r="C3" s="170">
        <f>IFERROR(__xludf.DUMMYFUNCTION("IFERROR(B3 * (1 + AVERAGE(Filter('Inflation Data'!$C:$C,'Inflation Data'!$A:$A = C$1))) + 'Fund YTD Contributions'!C3,'Fund YTD Contributions'!C3)"),0.0)</f>
        <v>0</v>
      </c>
      <c r="D3" s="170">
        <f>IFERROR(__xludf.DUMMYFUNCTION("IFERROR(C3 * (1 + AVERAGE(Filter('Inflation Data'!$C:$C,'Inflation Data'!$A:$A = D$1))) + 'Fund YTD Contributions'!D3,'Fund YTD Contributions'!D3)"),0.0)</f>
        <v>0</v>
      </c>
      <c r="E3" s="170">
        <f>IFERROR(__xludf.DUMMYFUNCTION("IFERROR(D3 * (1 + AVERAGE(Filter('Inflation Data'!$C:$C,'Inflation Data'!$A:$A = E$1))) + 'Fund YTD Contributions'!E3,'Fund YTD Contributions'!E3)"),0.0)</f>
        <v>0</v>
      </c>
      <c r="F3" s="170">
        <f>IFERROR(__xludf.DUMMYFUNCTION("IFERROR(E3 * (1 + AVERAGE(Filter('Inflation Data'!$C:$C,'Inflation Data'!$A:$A = F$1))) + 'Fund YTD Contributions'!F3,'Fund YTD Contributions'!F3)"),0.0)</f>
        <v>0</v>
      </c>
      <c r="G3" s="170">
        <f>IFERROR(__xludf.DUMMYFUNCTION("IFERROR(F3 * (1 + AVERAGE(Filter('Inflation Data'!$C:$C,'Inflation Data'!$A:$A = G$1))) + 'Fund YTD Contributions'!G3,'Fund YTD Contributions'!G3)"),0.0)</f>
        <v>0</v>
      </c>
      <c r="H3" s="170">
        <f>IFERROR(__xludf.DUMMYFUNCTION("IFERROR(G3 * (1 + AVERAGE(Filter('Inflation Data'!$C:$C,'Inflation Data'!$A:$A = H$1))) + 'Fund YTD Contributions'!H3,'Fund YTD Contributions'!H3)"),80299.0)</f>
        <v>80299</v>
      </c>
      <c r="I3" s="170">
        <f>IFERROR(__xludf.DUMMYFUNCTION("IFERROR(H3 * (1 + AVERAGE(Filter('Inflation Data'!$C:$C,'Inflation Data'!$A:$A = I$1))) + 'Fund YTD Contributions'!I3,'Fund YTD Contributions'!I3)"),82178.8046086875)</f>
        <v>82178.80461</v>
      </c>
      <c r="J3" s="170">
        <f>IFERROR(__xludf.DUMMYFUNCTION("IFERROR(I3 * (1 + AVERAGE(Filter('Inflation Data'!$C:$C,'Inflation Data'!$A:$A = J$1))) + 'Fund YTD Contributions'!J3,'Fund YTD Contributions'!J3)"),106169.29280221931)</f>
        <v>106169.2928</v>
      </c>
      <c r="K3" s="170">
        <f>IFERROR(__xludf.DUMMYFUNCTION("IFERROR(J3 * (1 + AVERAGE(Filter('Inflation Data'!$C:$C,'Inflation Data'!$A:$A = K$1))) + 'Fund YTD Contributions'!K3,'Fund YTD Contributions'!K3)"),116590.54222865678)</f>
        <v>116590.5422</v>
      </c>
      <c r="L3" s="170">
        <f>IFERROR(__xludf.DUMMYFUNCTION("IFERROR(K3 * (1 + AVERAGE(Filter('Inflation Data'!$C:$C,'Inflation Data'!$A:$A = L$1))) + 'Fund YTD Contributions'!L3,'Fund YTD Contributions'!L3)"),141143.68435602833)</f>
        <v>141143.6844</v>
      </c>
      <c r="M3" s="170">
        <f>IFERROR(__xludf.DUMMYFUNCTION("IFERROR(L3 * (1 + AVERAGE(Filter('Inflation Data'!$C:$C,'Inflation Data'!$A:$A = M$1))) + 'Fund YTD Contributions'!M3,'Fund YTD Contributions'!M3)"),166946.00100225117)</f>
        <v>166946.001</v>
      </c>
      <c r="N3" s="170">
        <f>IFERROR(__xludf.DUMMYFUNCTION("IFERROR(M3 * (1 + AVERAGE(Filter('Inflation Data'!$C:$C,'Inflation Data'!$A:$A = N$1))) + 'Fund YTD Contributions'!N3,'Fund YTD Contributions'!N3)"),186070.63413407112)</f>
        <v>186070.6341</v>
      </c>
      <c r="O3" s="170">
        <f>IFERROR(__xludf.DUMMYFUNCTION("IFERROR(N3 * (1 + AVERAGE(Filter('Inflation Data'!$C:$C,'Inflation Data'!$A:$A = O$1))) + 'Fund YTD Contributions'!O3,'Fund YTD Contributions'!O3)"),193298.65934755598)</f>
        <v>193298.6593</v>
      </c>
      <c r="P3" s="170">
        <f>IFERROR(__xludf.DUMMYFUNCTION("IFERROR(O3 * (1 + AVERAGE(Filter('Inflation Data'!$C:$C,'Inflation Data'!$A:$A = P$1))) + 'Fund YTD Contributions'!P3,'Fund YTD Contributions'!P3)"),207585.72460678912)</f>
        <v>207585.7246</v>
      </c>
      <c r="Q3" s="170">
        <f>IFERROR(__xludf.DUMMYFUNCTION("IFERROR(P3 * (1 + AVERAGE(Filter('Inflation Data'!$C:$C,'Inflation Data'!$A:$A = Q$1))) + 'Fund YTD Contributions'!Q3,'Fund YTD Contributions'!Q3)"),225724.58056352858)</f>
        <v>225724.5806</v>
      </c>
      <c r="R3" s="170">
        <f>IFERROR(__xludf.DUMMYFUNCTION("IFERROR(Q3 * (1 + AVERAGE(Filter('Inflation Data'!$C:$C,'Inflation Data'!$A:$A = R$1))) + 'Fund YTD Contributions'!R3,'Fund YTD Contributions'!R3)"),307920.3575081294)</f>
        <v>307920.3575</v>
      </c>
      <c r="S3" s="170">
        <f>IFERROR(__xludf.DUMMYFUNCTION("IFERROR(R3 * (1 + AVERAGE(Filter('Inflation Data'!$C:$C,'Inflation Data'!$A:$A = S$1))) + 'Fund YTD Contributions'!S3,'Fund YTD Contributions'!S3)"),321545.3321906822)</f>
        <v>321545.3322</v>
      </c>
      <c r="T3" s="170">
        <f>IFERROR(__xludf.DUMMYFUNCTION("IFERROR(S3 * (1 + AVERAGE(Filter('Inflation Data'!$C:$C,'Inflation Data'!$A:$A = T$1))) + 'Fund YTD Contributions'!T3,'Fund YTD Contributions'!T3)"),334909.7852738213)</f>
        <v>334909.7853</v>
      </c>
      <c r="U3" s="170">
        <f>IFERROR(__xludf.DUMMYFUNCTION("IFERROR(T3 * (1 + AVERAGE(Filter('Inflation Data'!$C:$C,'Inflation Data'!$A:$A = U$1))) + 'Fund YTD Contributions'!U3,'Fund YTD Contributions'!U3)"),334778.46001916635)</f>
        <v>334778.46</v>
      </c>
      <c r="V3" s="170">
        <f>IFERROR(__xludf.DUMMYFUNCTION("IFERROR(U3 * (1 + AVERAGE(Filter('Inflation Data'!$C:$C,'Inflation Data'!$A:$A = V$1))) + 'Fund YTD Contributions'!V3,'Fund YTD Contributions'!V3)"),341033.2875748576)</f>
        <v>341033.2876</v>
      </c>
      <c r="W3" s="170">
        <f>IFERROR(__xludf.DUMMYFUNCTION("IFERROR(V3 * (1 + AVERAGE(Filter('Inflation Data'!$C:$C,'Inflation Data'!$A:$A = W$1))) + 'Fund YTD Contributions'!W3,'Fund YTD Contributions'!W3)"),352043.5747241439)</f>
        <v>352043.5747</v>
      </c>
      <c r="X3" s="170">
        <f>IFERROR(__xludf.DUMMYFUNCTION("IFERROR(W3 * (1 + AVERAGE(Filter('Inflation Data'!$C:$C,'Inflation Data'!$A:$A = X$1))) + 'Fund YTD Contributions'!X3,'Fund YTD Contributions'!X3)"),359592.11650415475)</f>
        <v>359592.1165</v>
      </c>
      <c r="Y3" s="170">
        <f>IFERROR(__xludf.DUMMYFUNCTION("IFERROR(X3 * (1 + AVERAGE(Filter('Inflation Data'!$C:$C,'Inflation Data'!$A:$A = Y$1))) + 'Fund YTD Contributions'!Y3,'Fund YTD Contributions'!Y3)"),364863.90066638275)</f>
        <v>364863.9007</v>
      </c>
      <c r="Z3" s="170">
        <f>IFERROR(__xludf.DUMMYFUNCTION("IFERROR(Y3 * (1 + AVERAGE(Filter('Inflation Data'!$C:$C,'Inflation Data'!$A:$A = Z$1))) + 'Fund YTD Contributions'!Z3,'Fund YTD Contributions'!Z3)"),370781.6458151633)</f>
        <v>370781.6458</v>
      </c>
      <c r="AA3" s="170">
        <f>IFERROR(__xludf.DUMMYFUNCTION("IFERROR(Z3 * (1 + AVERAGE(Filter('Inflation Data'!$C:$C,'Inflation Data'!$A:$A = AA$1))) + 'Fund YTD Contributions'!AA3,'Fund YTD Contributions'!AA3)"),371222.5035544186)</f>
        <v>371222.5036</v>
      </c>
      <c r="AB3" s="170">
        <f>IFERROR(__xludf.DUMMYFUNCTION("IFERROR(AA3 * (1 + AVERAGE(Filter('Inflation Data'!$C:$C,'Inflation Data'!$A:$A = AB$1))) + 'Fund YTD Contributions'!AB3,'Fund YTD Contributions'!AB3)"),375906.7518544009)</f>
        <v>375906.7519</v>
      </c>
      <c r="AC3" s="170">
        <f>IFERROR(__xludf.DUMMYFUNCTION("IFERROR(AB3 * (1 + AVERAGE(Filter('Inflation Data'!$C:$C,'Inflation Data'!$A:$A = AC$1))) + 'Fund YTD Contributions'!AC3,'Fund YTD Contributions'!AC3)"),383919.63628101203)</f>
        <v>383919.6363</v>
      </c>
      <c r="AD3" s="170">
        <f>IFERROR(__xludf.DUMMYFUNCTION("IFERROR(AC3 * (1 + AVERAGE(Filter('Inflation Data'!$C:$C,'Inflation Data'!$A:$A = AD$1))) + 'Fund YTD Contributions'!AD3,'Fund YTD Contributions'!AD3)"),393297.5820168445)</f>
        <v>393297.582</v>
      </c>
      <c r="AE3" s="170">
        <f>IFERROR(__xludf.DUMMYFUNCTION("IFERROR(AD3 * (1 + AVERAGE(Filter('Inflation Data'!$C:$C,'Inflation Data'!$A:$A = AE$1))) + 'Fund YTD Contributions'!AE3,'Fund YTD Contributions'!AE3)"),400157.1334417433)</f>
        <v>400157.1334</v>
      </c>
      <c r="AF3" s="170" t="str">
        <f>IFERROR(__xludf.DUMMYFUNCTION("IFERROR(AE3 * (1 + AVERAGE(Filter('Inflation Data'!$C:$C,'Inflation Data'!$A:$A = AF$1))) + 'Fund YTD Contributions'!AF3,'Fund YTD Contributions'!AF3)"),"")</f>
        <v/>
      </c>
    </row>
    <row r="4">
      <c r="A4" s="153" t="str">
        <f>'Endowed Funds'!B:B</f>
        <v>American Indian Initiatives Fund</v>
      </c>
      <c r="B4" s="170" t="str">
        <f>IFERROR(__xludf.DUMMYFUNCTION("IFERROR(A4 * (1 + AVERAGE(Filter('Inflation Data'!$C:$C,'Inflation Data'!$A:$A = B$1))) + 'Fund YTD Contributions'!B4,'Fund YTD Contributions'!B4)"),"  ")</f>
        <v/>
      </c>
      <c r="C4" s="170">
        <f>IFERROR(__xludf.DUMMYFUNCTION("IFERROR(B4 * (1 + AVERAGE(Filter('Inflation Data'!$C:$C,'Inflation Data'!$A:$A = C$1))) + 'Fund YTD Contributions'!C4,'Fund YTD Contributions'!C4)"),0.0)</f>
        <v>0</v>
      </c>
      <c r="D4" s="170">
        <f>IFERROR(__xludf.DUMMYFUNCTION("IFERROR(C4 * (1 + AVERAGE(Filter('Inflation Data'!$C:$C,'Inflation Data'!$A:$A = D$1))) + 'Fund YTD Contributions'!D4,'Fund YTD Contributions'!D4)"),0.0)</f>
        <v>0</v>
      </c>
      <c r="E4" s="170">
        <f>IFERROR(__xludf.DUMMYFUNCTION("IFERROR(D4 * (1 + AVERAGE(Filter('Inflation Data'!$C:$C,'Inflation Data'!$A:$A = E$1))) + 'Fund YTD Contributions'!E4,'Fund YTD Contributions'!E4)"),0.0)</f>
        <v>0</v>
      </c>
      <c r="F4" s="170">
        <f>IFERROR(__xludf.DUMMYFUNCTION("IFERROR(E4 * (1 + AVERAGE(Filter('Inflation Data'!$C:$C,'Inflation Data'!$A:$A = F$1))) + 'Fund YTD Contributions'!F4,'Fund YTD Contributions'!F4)"),0.0)</f>
        <v>0</v>
      </c>
      <c r="G4" s="170">
        <f>IFERROR(__xludf.DUMMYFUNCTION("IFERROR(F4 * (1 + AVERAGE(Filter('Inflation Data'!$C:$C,'Inflation Data'!$A:$A = G$1))) + 'Fund YTD Contributions'!G4,'Fund YTD Contributions'!G4)"),0.0)</f>
        <v>0</v>
      </c>
      <c r="H4" s="170">
        <f>IFERROR(__xludf.DUMMYFUNCTION("IFERROR(G4 * (1 + AVERAGE(Filter('Inflation Data'!$C:$C,'Inflation Data'!$A:$A = H$1))) + 'Fund YTD Contributions'!H4,'Fund YTD Contributions'!H4)"),0.0)</f>
        <v>0</v>
      </c>
      <c r="I4" s="170">
        <f>IFERROR(__xludf.DUMMYFUNCTION("IFERROR(H4 * (1 + AVERAGE(Filter('Inflation Data'!$C:$C,'Inflation Data'!$A:$A = I$1))) + 'Fund YTD Contributions'!I4,'Fund YTD Contributions'!I4)"),0.0)</f>
        <v>0</v>
      </c>
      <c r="J4" s="170">
        <f>IFERROR(__xludf.DUMMYFUNCTION("IFERROR(I4 * (1 + AVERAGE(Filter('Inflation Data'!$C:$C,'Inflation Data'!$A:$A = J$1))) + 'Fund YTD Contributions'!J4,'Fund YTD Contributions'!J4)"),0.0)</f>
        <v>0</v>
      </c>
      <c r="K4" s="170">
        <f>IFERROR(__xludf.DUMMYFUNCTION("IFERROR(J4 * (1 + AVERAGE(Filter('Inflation Data'!$C:$C,'Inflation Data'!$A:$A = K$1))) + 'Fund YTD Contributions'!K4,'Fund YTD Contributions'!K4)"),0.0)</f>
        <v>0</v>
      </c>
      <c r="L4" s="170">
        <f>IFERROR(__xludf.DUMMYFUNCTION("IFERROR(K4 * (1 + AVERAGE(Filter('Inflation Data'!$C:$C,'Inflation Data'!$A:$A = L$1))) + 'Fund YTD Contributions'!L4,'Fund YTD Contributions'!L4)"),20000.0)</f>
        <v>20000</v>
      </c>
      <c r="M4" s="170">
        <f>IFERROR(__xludf.DUMMYFUNCTION("IFERROR(L4 * (1 + AVERAGE(Filter('Inflation Data'!$C:$C,'Inflation Data'!$A:$A = M$1))) + 'Fund YTD Contributions'!M4,'Fund YTD Contributions'!M4)"),31566.342966666667)</f>
        <v>31566.34297</v>
      </c>
      <c r="N4" s="170">
        <f>IFERROR(__xludf.DUMMYFUNCTION("IFERROR(M4 * (1 + AVERAGE(Filter('Inflation Data'!$C:$C,'Inflation Data'!$A:$A = N$1))) + 'Fund YTD Contributions'!N4,'Fund YTD Contributions'!N4)"),42066.85650696512)</f>
        <v>42066.85651</v>
      </c>
      <c r="O4" s="170">
        <f>IFERROR(__xludf.DUMMYFUNCTION("IFERROR(N4 * (1 + AVERAGE(Filter('Inflation Data'!$C:$C,'Inflation Data'!$A:$A = O$1))) + 'Fund YTD Contributions'!O4,'Fund YTD Contributions'!O4)"),53022.72861860281)</f>
        <v>53022.72862</v>
      </c>
      <c r="P4" s="170">
        <f>IFERROR(__xludf.DUMMYFUNCTION("IFERROR(O4 * (1 + AVERAGE(Filter('Inflation Data'!$C:$C,'Inflation Data'!$A:$A = P$1))) + 'Fund YTD Contributions'!P4,'Fund YTD Contributions'!P4)"),64441.5436341412)</f>
        <v>64441.54363</v>
      </c>
      <c r="Q4" s="170">
        <f>IFERROR(__xludf.DUMMYFUNCTION("IFERROR(P4 * (1 + AVERAGE(Filter('Inflation Data'!$C:$C,'Inflation Data'!$A:$A = Q$1))) + 'Fund YTD Contributions'!Q4,'Fund YTD Contributions'!Q4)"),76626.32923337306)</f>
        <v>76626.32923</v>
      </c>
      <c r="R4" s="170">
        <f>IFERROR(__xludf.DUMMYFUNCTION("IFERROR(Q4 * (1 + AVERAGE(Filter('Inflation Data'!$C:$C,'Inflation Data'!$A:$A = R$1))) + 'Fund YTD Contributions'!R4,'Fund YTD Contributions'!R4)"),79105.35961946673)</f>
        <v>79105.35962</v>
      </c>
      <c r="S4" s="170">
        <f>IFERROR(__xludf.DUMMYFUNCTION("IFERROR(R4 * (1 + AVERAGE(Filter('Inflation Data'!$C:$C,'Inflation Data'!$A:$A = S$1))) + 'Fund YTD Contributions'!S4,'Fund YTD Contributions'!S4)"),81361.72349360153)</f>
        <v>81361.72349</v>
      </c>
      <c r="T4" s="170">
        <f>IFERROR(__xludf.DUMMYFUNCTION("IFERROR(S4 * (1 + AVERAGE(Filter('Inflation Data'!$C:$C,'Inflation Data'!$A:$A = T$1))) + 'Fund YTD Contributions'!T4,'Fund YTD Contributions'!T4)"),84490.5967002785)</f>
        <v>84490.5967</v>
      </c>
      <c r="U4" s="170">
        <f>IFERROR(__xludf.DUMMYFUNCTION("IFERROR(T4 * (1 + AVERAGE(Filter('Inflation Data'!$C:$C,'Inflation Data'!$A:$A = U$1))) + 'Fund YTD Contributions'!U4,'Fund YTD Contributions'!U4)"),84205.18746462496)</f>
        <v>84205.18746</v>
      </c>
      <c r="V4" s="170">
        <f>IFERROR(__xludf.DUMMYFUNCTION("IFERROR(U4 * (1 + AVERAGE(Filter('Inflation Data'!$C:$C,'Inflation Data'!$A:$A = V$1))) + 'Fund YTD Contributions'!V4,'Fund YTD Contributions'!V4)"),85589.78979615154)</f>
        <v>85589.7898</v>
      </c>
      <c r="W4" s="170">
        <f>IFERROR(__xludf.DUMMYFUNCTION("IFERROR(V4 * (1 + AVERAGE(Filter('Inflation Data'!$C:$C,'Inflation Data'!$A:$A = W$1))) + 'Fund YTD Contributions'!W4,'Fund YTD Contributions'!W4)"),88290.32006345423)</f>
        <v>88290.32006</v>
      </c>
      <c r="X4" s="170">
        <f>IFERROR(__xludf.DUMMYFUNCTION("IFERROR(W4 * (1 + AVERAGE(Filter('Inflation Data'!$C:$C,'Inflation Data'!$A:$A = X$1))) + 'Fund YTD Contributions'!X4,'Fund YTD Contributions'!X4)"),90120.74855588897)</f>
        <v>90120.74856</v>
      </c>
      <c r="Y4" s="170">
        <f>IFERROR(__xludf.DUMMYFUNCTION("IFERROR(X4 * (1 + AVERAGE(Filter('Inflation Data'!$C:$C,'Inflation Data'!$A:$A = Y$1))) + 'Fund YTD Contributions'!Y4,'Fund YTD Contributions'!Y4)"),91441.95976469916)</f>
        <v>91441.95976</v>
      </c>
      <c r="Z4" s="170">
        <f>IFERROR(__xludf.DUMMYFUNCTION("IFERROR(Y4 * (1 + AVERAGE(Filter('Inflation Data'!$C:$C,'Inflation Data'!$A:$A = Z$1))) + 'Fund YTD Contributions'!Z4,'Fund YTD Contributions'!Z4)"),102925.06130695704)</f>
        <v>102925.0613</v>
      </c>
      <c r="AA4" s="170">
        <f>IFERROR(__xludf.DUMMYFUNCTION("IFERROR(Z4 * (1 + AVERAGE(Filter('Inflation Data'!$C:$C,'Inflation Data'!$A:$A = AA$1))) + 'Fund YTD Contributions'!AA4,'Fund YTD Contributions'!AA4)"),103047.43875026533)</f>
        <v>103047.4388</v>
      </c>
      <c r="AB4" s="170">
        <f>IFERROR(__xludf.DUMMYFUNCTION("IFERROR(AA4 * (1 + AVERAGE(Filter('Inflation Data'!$C:$C,'Inflation Data'!$A:$A = AB$1))) + 'Fund YTD Contributions'!AB4,'Fund YTD Contributions'!AB4)"),104347.7365101308)</f>
        <v>104347.7365</v>
      </c>
      <c r="AC4" s="170">
        <f>IFERROR(__xludf.DUMMYFUNCTION("IFERROR(AB4 * (1 + AVERAGE(Filter('Inflation Data'!$C:$C,'Inflation Data'!$A:$A = AC$1))) + 'Fund YTD Contributions'!AC4,'Fund YTD Contributions'!AC4)"),106572.02843548042)</f>
        <v>106572.0284</v>
      </c>
      <c r="AD4" s="170">
        <f>IFERROR(__xludf.DUMMYFUNCTION("IFERROR(AC4 * (1 + AVERAGE(Filter('Inflation Data'!$C:$C,'Inflation Data'!$A:$A = AD$1))) + 'Fund YTD Contributions'!AD4,'Fund YTD Contributions'!AD4)"),109175.24693533852)</f>
        <v>109175.2469</v>
      </c>
      <c r="AE4" s="170">
        <f>IFERROR(__xludf.DUMMYFUNCTION("IFERROR(AD4 * (1 + AVERAGE(Filter('Inflation Data'!$C:$C,'Inflation Data'!$A:$A = AE$1))) + 'Fund YTD Contributions'!AE4,'Fund YTD Contributions'!AE4)"),111079.38582385809)</f>
        <v>111079.3858</v>
      </c>
      <c r="AF4" s="170" t="str">
        <f>IFERROR(__xludf.DUMMYFUNCTION("IFERROR(AE4 * (1 + AVERAGE(Filter('Inflation Data'!$C:$C,'Inflation Data'!$A:$A = AF$1))) + 'Fund YTD Contributions'!AF4,'Fund YTD Contributions'!AF4)"),"")</f>
        <v/>
      </c>
    </row>
    <row r="5">
      <c r="A5" s="153" t="str">
        <f>'Endowed Funds'!B:B</f>
        <v>Board Designated Fund</v>
      </c>
      <c r="B5" s="170" t="str">
        <f>IFERROR(__xludf.DUMMYFUNCTION("IFERROR(A5 * (1 + AVERAGE(Filter('Inflation Data'!$C:$C,'Inflation Data'!$A:$A = B$1))) + 'Fund YTD Contributions'!B5,'Fund YTD Contributions'!B5)"),"  ")</f>
        <v/>
      </c>
      <c r="C5" s="170">
        <f>IFERROR(__xludf.DUMMYFUNCTION("IFERROR(B5 * (1 + AVERAGE(Filter('Inflation Data'!$C:$C,'Inflation Data'!$A:$A = C$1))) + 'Fund YTD Contributions'!C5,'Fund YTD Contributions'!C5)"),0.0)</f>
        <v>0</v>
      </c>
      <c r="D5" s="170">
        <f>IFERROR(__xludf.DUMMYFUNCTION("IFERROR(C5 * (1 + AVERAGE(Filter('Inflation Data'!$C:$C,'Inflation Data'!$A:$A = D$1))) + 'Fund YTD Contributions'!D5,'Fund YTD Contributions'!D5)"),0.0)</f>
        <v>0</v>
      </c>
      <c r="E5" s="170">
        <f>IFERROR(__xludf.DUMMYFUNCTION("IFERROR(D5 * (1 + AVERAGE(Filter('Inflation Data'!$C:$C,'Inflation Data'!$A:$A = E$1))) + 'Fund YTD Contributions'!E5,'Fund YTD Contributions'!E5)"),0.0)</f>
        <v>0</v>
      </c>
      <c r="F5" s="170">
        <f>IFERROR(__xludf.DUMMYFUNCTION("IFERROR(E5 * (1 + AVERAGE(Filter('Inflation Data'!$C:$C,'Inflation Data'!$A:$A = F$1))) + 'Fund YTD Contributions'!F5,'Fund YTD Contributions'!F5)"),0.0)</f>
        <v>0</v>
      </c>
      <c r="G5" s="170">
        <f>IFERROR(__xludf.DUMMYFUNCTION("IFERROR(F5 * (1 + AVERAGE(Filter('Inflation Data'!$C:$C,'Inflation Data'!$A:$A = G$1))) + 'Fund YTD Contributions'!G5,'Fund YTD Contributions'!G5)"),0.0)</f>
        <v>0</v>
      </c>
      <c r="H5" s="170">
        <f>IFERROR(__xludf.DUMMYFUNCTION("IFERROR(G5 * (1 + AVERAGE(Filter('Inflation Data'!$C:$C,'Inflation Data'!$A:$A = H$1))) + 'Fund YTD Contributions'!H5,'Fund YTD Contributions'!H5)"),0.0)</f>
        <v>0</v>
      </c>
      <c r="I5" s="170">
        <f>IFERROR(__xludf.DUMMYFUNCTION("IFERROR(H5 * (1 + AVERAGE(Filter('Inflation Data'!$C:$C,'Inflation Data'!$A:$A = I$1))) + 'Fund YTD Contributions'!I5,'Fund YTD Contributions'!I5)"),0.0)</f>
        <v>0</v>
      </c>
      <c r="J5" s="170">
        <f>IFERROR(__xludf.DUMMYFUNCTION("IFERROR(I5 * (1 + AVERAGE(Filter('Inflation Data'!$C:$C,'Inflation Data'!$A:$A = J$1))) + 'Fund YTD Contributions'!J5,'Fund YTD Contributions'!J5)"),0.0)</f>
        <v>0</v>
      </c>
      <c r="K5" s="170">
        <f>IFERROR(__xludf.DUMMYFUNCTION("IFERROR(J5 * (1 + AVERAGE(Filter('Inflation Data'!$C:$C,'Inflation Data'!$A:$A = K$1))) + 'Fund YTD Contributions'!K5,'Fund YTD Contributions'!K5)"),0.0)</f>
        <v>0</v>
      </c>
      <c r="L5" s="170">
        <f>IFERROR(__xludf.DUMMYFUNCTION("IFERROR(K5 * (1 + AVERAGE(Filter('Inflation Data'!$C:$C,'Inflation Data'!$A:$A = L$1))) + 'Fund YTD Contributions'!L5,'Fund YTD Contributions'!L5)"),0.0)</f>
        <v>0</v>
      </c>
      <c r="M5" s="170">
        <f>IFERROR(__xludf.DUMMYFUNCTION("IFERROR(L5 * (1 + AVERAGE(Filter('Inflation Data'!$C:$C,'Inflation Data'!$A:$A = M$1))) + 'Fund YTD Contributions'!M5,'Fund YTD Contributions'!M5)"),0.0)</f>
        <v>0</v>
      </c>
      <c r="N5" s="170">
        <f>IFERROR(__xludf.DUMMYFUNCTION("IFERROR(M5 * (1 + AVERAGE(Filter('Inflation Data'!$C:$C,'Inflation Data'!$A:$A = N$1))) + 'Fund YTD Contributions'!N5,'Fund YTD Contributions'!N5)"),0.0)</f>
        <v>0</v>
      </c>
      <c r="O5" s="170">
        <f>IFERROR(__xludf.DUMMYFUNCTION("IFERROR(N5 * (1 + AVERAGE(Filter('Inflation Data'!$C:$C,'Inflation Data'!$A:$A = O$1))) + 'Fund YTD Contributions'!O5,'Fund YTD Contributions'!O5)"),0.0)</f>
        <v>0</v>
      </c>
      <c r="P5" s="170">
        <f>IFERROR(__xludf.DUMMYFUNCTION("IFERROR(O5 * (1 + AVERAGE(Filter('Inflation Data'!$C:$C,'Inflation Data'!$A:$A = P$1))) + 'Fund YTD Contributions'!P5,'Fund YTD Contributions'!P5)"),0.0)</f>
        <v>0</v>
      </c>
      <c r="Q5" s="170">
        <f>IFERROR(__xludf.DUMMYFUNCTION("IFERROR(P5 * (1 + AVERAGE(Filter('Inflation Data'!$C:$C,'Inflation Data'!$A:$A = Q$1))) + 'Fund YTD Contributions'!Q5,'Fund YTD Contributions'!Q5)"),0.0)</f>
        <v>0</v>
      </c>
      <c r="R5" s="170">
        <f>IFERROR(__xludf.DUMMYFUNCTION("IFERROR(Q5 * (1 + AVERAGE(Filter('Inflation Data'!$C:$C,'Inflation Data'!$A:$A = R$1))) + 'Fund YTD Contributions'!R5,'Fund YTD Contributions'!R5)"),0.0)</f>
        <v>0</v>
      </c>
      <c r="S5" s="170">
        <f>IFERROR(__xludf.DUMMYFUNCTION("IFERROR(R5 * (1 + AVERAGE(Filter('Inflation Data'!$C:$C,'Inflation Data'!$A:$A = S$1))) + 'Fund YTD Contributions'!S5,'Fund YTD Contributions'!S5)"),0.0)</f>
        <v>0</v>
      </c>
      <c r="T5" s="170">
        <f>IFERROR(__xludf.DUMMYFUNCTION("IFERROR(S5 * (1 + AVERAGE(Filter('Inflation Data'!$C:$C,'Inflation Data'!$A:$A = T$1))) + 'Fund YTD Contributions'!T5,'Fund YTD Contributions'!T5)"),0.0)</f>
        <v>0</v>
      </c>
      <c r="U5" s="170">
        <f>IFERROR(__xludf.DUMMYFUNCTION("IFERROR(T5 * (1 + AVERAGE(Filter('Inflation Data'!$C:$C,'Inflation Data'!$A:$A = U$1))) + 'Fund YTD Contributions'!U5,'Fund YTD Contributions'!U5)"),0.0)</f>
        <v>0</v>
      </c>
      <c r="V5" s="170">
        <f>IFERROR(__xludf.DUMMYFUNCTION("IFERROR(U5 * (1 + AVERAGE(Filter('Inflation Data'!$C:$C,'Inflation Data'!$A:$A = V$1))) + 'Fund YTD Contributions'!V5,'Fund YTD Contributions'!V5)"),0.0)</f>
        <v>0</v>
      </c>
      <c r="W5" s="170">
        <f>IFERROR(__xludf.DUMMYFUNCTION("IFERROR(V5 * (1 + AVERAGE(Filter('Inflation Data'!$C:$C,'Inflation Data'!$A:$A = W$1))) + 'Fund YTD Contributions'!W5,'Fund YTD Contributions'!W5)"),0.0)</f>
        <v>0</v>
      </c>
      <c r="X5" s="170">
        <f>IFERROR(__xludf.DUMMYFUNCTION("IFERROR(W5 * (1 + AVERAGE(Filter('Inflation Data'!$C:$C,'Inflation Data'!$A:$A = X$1))) + 'Fund YTD Contributions'!X5,'Fund YTD Contributions'!X5)"),946968.0)</f>
        <v>946968</v>
      </c>
      <c r="Y5" s="170">
        <f>IFERROR(__xludf.DUMMYFUNCTION("IFERROR(X5 * (1 + AVERAGE(Filter('Inflation Data'!$C:$C,'Inflation Data'!$A:$A = Y$1))) + 'Fund YTD Contributions'!Y5,'Fund YTD Contributions'!Y5)"),960850.982066096)</f>
        <v>960850.9821</v>
      </c>
      <c r="Z5" s="170">
        <f>IFERROR(__xludf.DUMMYFUNCTION("IFERROR(Y5 * (1 + AVERAGE(Filter('Inflation Data'!$C:$C,'Inflation Data'!$A:$A = Z$1))) + 'Fund YTD Contributions'!Z5,'Fund YTD Contributions'!Z5)"),976435.070345144)</f>
        <v>976435.0703</v>
      </c>
      <c r="AA5" s="170">
        <f>IFERROR(__xludf.DUMMYFUNCTION("IFERROR(Z5 * (1 + AVERAGE(Filter('Inflation Data'!$C:$C,'Inflation Data'!$A:$A = AA$1))) + 'Fund YTD Contributions'!AA5,'Fund YTD Contributions'!AA5)"),1401796.0473311963)</f>
        <v>1401796.047</v>
      </c>
      <c r="AB5" s="170">
        <f>IFERROR(__xludf.DUMMYFUNCTION("IFERROR(AA5 * (1 + AVERAGE(Filter('Inflation Data'!$C:$C,'Inflation Data'!$A:$A = AB$1))) + 'Fund YTD Contributions'!AB5,'Fund YTD Contributions'!AB5)"),1419484.5244271718)</f>
        <v>1419484.524</v>
      </c>
      <c r="AC5" s="170">
        <f>IFERROR(__xludf.DUMMYFUNCTION("IFERROR(AB5 * (1 + AVERAGE(Filter('Inflation Data'!$C:$C,'Inflation Data'!$A:$A = AC$1))) + 'Fund YTD Contributions'!AC5,'Fund YTD Contributions'!AC5)"),1449742.4684079266)</f>
        <v>1449742.468</v>
      </c>
      <c r="AD5" s="170">
        <f>IFERROR(__xludf.DUMMYFUNCTION("IFERROR(AC5 * (1 + AVERAGE(Filter('Inflation Data'!$C:$C,'Inflation Data'!$A:$A = AD$1))) + 'Fund YTD Contributions'!AD5,'Fund YTD Contributions'!AD5)"),1485155.1040609514)</f>
        <v>1485155.104</v>
      </c>
      <c r="AE5" s="170">
        <f>IFERROR(__xludf.DUMMYFUNCTION("IFERROR(AD5 * (1 + AVERAGE(Filter('Inflation Data'!$C:$C,'Inflation Data'!$A:$A = AE$1))) + 'Fund YTD Contributions'!AE5,'Fund YTD Contributions'!AE5)"),1511057.8766079252)</f>
        <v>1511057.877</v>
      </c>
      <c r="AF5" s="170" t="str">
        <f>IFERROR(__xludf.DUMMYFUNCTION("IFERROR(AE5 * (1 + AVERAGE(Filter('Inflation Data'!$C:$C,'Inflation Data'!$A:$A = AF$1))) + 'Fund YTD Contributions'!AF5,'Fund YTD Contributions'!AF5)"),"")</f>
        <v/>
      </c>
    </row>
    <row r="6">
      <c r="A6" s="153" t="str">
        <f>'Endowed Funds'!B:B</f>
        <v>C. Paul Johnson Family Fund</v>
      </c>
      <c r="B6" s="170" t="str">
        <f>IFERROR(__xludf.DUMMYFUNCTION("IFERROR(A6 * (1 + AVERAGE(Filter('Inflation Data'!$C:$C,'Inflation Data'!$A:$A = B$1))) + 'Fund YTD Contributions'!B6,'Fund YTD Contributions'!B6)"),"  ")</f>
        <v/>
      </c>
      <c r="C6" s="170">
        <f>IFERROR(__xludf.DUMMYFUNCTION("IFERROR(B6 * (1 + AVERAGE(Filter('Inflation Data'!$C:$C,'Inflation Data'!$A:$A = C$1))) + 'Fund YTD Contributions'!C6,'Fund YTD Contributions'!C6)"),0.0)</f>
        <v>0</v>
      </c>
      <c r="D6" s="170">
        <f>IFERROR(__xludf.DUMMYFUNCTION("IFERROR(C6 * (1 + AVERAGE(Filter('Inflation Data'!$C:$C,'Inflation Data'!$A:$A = D$1))) + 'Fund YTD Contributions'!D6,'Fund YTD Contributions'!D6)"),0.0)</f>
        <v>0</v>
      </c>
      <c r="E6" s="170">
        <f>IFERROR(__xludf.DUMMYFUNCTION("IFERROR(D6 * (1 + AVERAGE(Filter('Inflation Data'!$C:$C,'Inflation Data'!$A:$A = E$1))) + 'Fund YTD Contributions'!E6,'Fund YTD Contributions'!E6)"),0.0)</f>
        <v>0</v>
      </c>
      <c r="F6" s="170">
        <f>IFERROR(__xludf.DUMMYFUNCTION("IFERROR(E6 * (1 + AVERAGE(Filter('Inflation Data'!$C:$C,'Inflation Data'!$A:$A = F$1))) + 'Fund YTD Contributions'!F6,'Fund YTD Contributions'!F6)"),0.0)</f>
        <v>0</v>
      </c>
      <c r="G6" s="170">
        <f>IFERROR(__xludf.DUMMYFUNCTION("IFERROR(F6 * (1 + AVERAGE(Filter('Inflation Data'!$C:$C,'Inflation Data'!$A:$A = G$1))) + 'Fund YTD Contributions'!G6,'Fund YTD Contributions'!G6)"),0.0)</f>
        <v>0</v>
      </c>
      <c r="H6" s="170">
        <f>IFERROR(__xludf.DUMMYFUNCTION("IFERROR(G6 * (1 + AVERAGE(Filter('Inflation Data'!$C:$C,'Inflation Data'!$A:$A = H$1))) + 'Fund YTD Contributions'!H6,'Fund YTD Contributions'!H6)"),0.0)</f>
        <v>0</v>
      </c>
      <c r="I6" s="170">
        <f>IFERROR(__xludf.DUMMYFUNCTION("IFERROR(H6 * (1 + AVERAGE(Filter('Inflation Data'!$C:$C,'Inflation Data'!$A:$A = I$1))) + 'Fund YTD Contributions'!I6,'Fund YTD Contributions'!I6)"),0.0)</f>
        <v>0</v>
      </c>
      <c r="J6" s="170">
        <f>IFERROR(__xludf.DUMMYFUNCTION("IFERROR(I6 * (1 + AVERAGE(Filter('Inflation Data'!$C:$C,'Inflation Data'!$A:$A = J$1))) + 'Fund YTD Contributions'!J6,'Fund YTD Contributions'!J6)"),0.0)</f>
        <v>0</v>
      </c>
      <c r="K6" s="170">
        <f>IFERROR(__xludf.DUMMYFUNCTION("IFERROR(J6 * (1 + AVERAGE(Filter('Inflation Data'!$C:$C,'Inflation Data'!$A:$A = K$1))) + 'Fund YTD Contributions'!K6,'Fund YTD Contributions'!K6)"),0.0)</f>
        <v>0</v>
      </c>
      <c r="L6" s="170">
        <f>IFERROR(__xludf.DUMMYFUNCTION("IFERROR(K6 * (1 + AVERAGE(Filter('Inflation Data'!$C:$C,'Inflation Data'!$A:$A = L$1))) + 'Fund YTD Contributions'!L6,'Fund YTD Contributions'!L6)"),174527.73)</f>
        <v>174527.73</v>
      </c>
      <c r="M6" s="170">
        <f>IFERROR(__xludf.DUMMYFUNCTION("IFERROR(L6 * (1 + AVERAGE(Filter('Inflation Data'!$C:$C,'Inflation Data'!$A:$A = M$1))) + 'Fund YTD Contributions'!M6,'Fund YTD Contributions'!M6)"),360789.35761868994)</f>
        <v>360789.3576</v>
      </c>
      <c r="N6" s="170">
        <f>IFERROR(__xludf.DUMMYFUNCTION("IFERROR(M6 * (1 + AVERAGE(Filter('Inflation Data'!$C:$C,'Inflation Data'!$A:$A = N$1))) + 'Fund YTD Contributions'!N6,'Fund YTD Contributions'!N6)"),666556.8463132323)</f>
        <v>666556.8463</v>
      </c>
      <c r="O6" s="170">
        <f>IFERROR(__xludf.DUMMYFUNCTION("IFERROR(N6 * (1 + AVERAGE(Filter('Inflation Data'!$C:$C,'Inflation Data'!$A:$A = O$1))) + 'Fund YTD Contributions'!O6,'Fund YTD Contributions'!O6)"),977791.8104550143)</f>
        <v>977791.8105</v>
      </c>
      <c r="P6" s="170">
        <f>IFERROR(__xludf.DUMMYFUNCTION("IFERROR(O6 * (1 + AVERAGE(Filter('Inflation Data'!$C:$C,'Inflation Data'!$A:$A = P$1))) + 'Fund YTD Contributions'!P6,'Fund YTD Contributions'!P6)"),1513314.2393797135)</f>
        <v>1513314.239</v>
      </c>
      <c r="Q6" s="170">
        <f>IFERROR(__xludf.DUMMYFUNCTION("IFERROR(P6 * (1 + AVERAGE(Filter('Inflation Data'!$C:$C,'Inflation Data'!$A:$A = Q$1))) + 'Fund YTD Contributions'!Q6,'Fund YTD Contributions'!Q6)"),1564620.6943597533)</f>
        <v>1564620.694</v>
      </c>
      <c r="R6" s="170">
        <f>IFERROR(__xludf.DUMMYFUNCTION("IFERROR(Q6 * (1 + AVERAGE(Filter('Inflation Data'!$C:$C,'Inflation Data'!$A:$A = R$1))) + 'Fund YTD Contributions'!R6,'Fund YTD Contributions'!R6)"),2359937.207161284)</f>
        <v>2359937.207</v>
      </c>
      <c r="S6" s="170">
        <f>IFERROR(__xludf.DUMMYFUNCTION("IFERROR(R6 * (1 + AVERAGE(Filter('Inflation Data'!$C:$C,'Inflation Data'!$A:$A = S$1))) + 'Fund YTD Contributions'!S6,'Fund YTD Contributions'!S6)"),2878303.460201376)</f>
        <v>2878303.46</v>
      </c>
      <c r="T6" s="170">
        <f>IFERROR(__xludf.DUMMYFUNCTION("IFERROR(S6 * (1 + AVERAGE(Filter('Inflation Data'!$C:$C,'Inflation Data'!$A:$A = T$1))) + 'Fund YTD Contributions'!T6,'Fund YTD Contributions'!T6)"),3291992.4450287186)</f>
        <v>3291992.445</v>
      </c>
      <c r="U6" s="170">
        <f>IFERROR(__xludf.DUMMYFUNCTION("IFERROR(T6 * (1 + AVERAGE(Filter('Inflation Data'!$C:$C,'Inflation Data'!$A:$A = U$1))) + 'Fund YTD Contributions'!U6,'Fund YTD Contributions'!U6)"),3280872.0945494114)</f>
        <v>3280872.095</v>
      </c>
      <c r="V6" s="170">
        <f>IFERROR(__xludf.DUMMYFUNCTION("IFERROR(U6 * (1 + AVERAGE(Filter('Inflation Data'!$C:$C,'Inflation Data'!$A:$A = V$1))) + 'Fund YTD Contributions'!V6,'Fund YTD Contributions'!V6)"),3334820.114716958)</f>
        <v>3334820.115</v>
      </c>
      <c r="W6" s="170">
        <f>IFERROR(__xludf.DUMMYFUNCTION("IFERROR(V6 * (1 + AVERAGE(Filter('Inflation Data'!$C:$C,'Inflation Data'!$A:$A = W$1))) + 'Fund YTD Contributions'!W6,'Fund YTD Contributions'!W6)"),3440040.406497694)</f>
        <v>3440040.406</v>
      </c>
      <c r="X6" s="170">
        <f>IFERROR(__xludf.DUMMYFUNCTION("IFERROR(W6 * (1 + AVERAGE(Filter('Inflation Data'!$C:$C,'Inflation Data'!$A:$A = X$1))) + 'Fund YTD Contributions'!X6,'Fund YTD Contributions'!X6)"),3511359.0739422645)</f>
        <v>3511359.074</v>
      </c>
      <c r="Y6" s="170">
        <f>IFERROR(__xludf.DUMMYFUNCTION("IFERROR(X6 * (1 + AVERAGE(Filter('Inflation Data'!$C:$C,'Inflation Data'!$A:$A = Y$1))) + 'Fund YTD Contributions'!Y6,'Fund YTD Contributions'!Y6)"),3562837.19680509)</f>
        <v>3562837.197</v>
      </c>
      <c r="Z6" s="170">
        <f>IFERROR(__xludf.DUMMYFUNCTION("IFERROR(Y6 * (1 + AVERAGE(Filter('Inflation Data'!$C:$C,'Inflation Data'!$A:$A = Z$1))) + 'Fund YTD Contributions'!Z6,'Fund YTD Contributions'!Z6)"),3620623.02461316)</f>
        <v>3620623.025</v>
      </c>
      <c r="AA6" s="170">
        <f>IFERROR(__xludf.DUMMYFUNCTION("IFERROR(Z6 * (1 + AVERAGE(Filter('Inflation Data'!$C:$C,'Inflation Data'!$A:$A = AA$1))) + 'Fund YTD Contributions'!AA6,'Fund YTD Contributions'!AA6)"),3624927.92939834)</f>
        <v>3624927.929</v>
      </c>
      <c r="AB6" s="170">
        <f>IFERROR(__xludf.DUMMYFUNCTION("IFERROR(AA6 * (1 + AVERAGE(Filter('Inflation Data'!$C:$C,'Inflation Data'!$A:$A = AB$1))) + 'Fund YTD Contributions'!AB6,'Fund YTD Contributions'!AB6)"),3670668.8592403084)</f>
        <v>3670668.859</v>
      </c>
      <c r="AC6" s="170">
        <f>IFERROR(__xludf.DUMMYFUNCTION("IFERROR(AB6 * (1 + AVERAGE(Filter('Inflation Data'!$C:$C,'Inflation Data'!$A:$A = AC$1))) + 'Fund YTD Contributions'!AC6,'Fund YTD Contributions'!AC6)"),3748913.384491202)</f>
        <v>3748913.384</v>
      </c>
      <c r="AD6" s="170">
        <f>IFERROR(__xludf.DUMMYFUNCTION("IFERROR(AC6 * (1 + AVERAGE(Filter('Inflation Data'!$C:$C,'Inflation Data'!$A:$A = AD$1))) + 'Fund YTD Contributions'!AD6,'Fund YTD Contributions'!AD6)"),3840487.5134642795)</f>
        <v>3840487.513</v>
      </c>
      <c r="AE6" s="170">
        <f>IFERROR(__xludf.DUMMYFUNCTION("IFERROR(AD6 * (1 + AVERAGE(Filter('Inflation Data'!$C:$C,'Inflation Data'!$A:$A = AE$1))) + 'Fund YTD Contributions'!AE6,'Fund YTD Contributions'!AE6)"),3907469.9277984765)</f>
        <v>3907469.928</v>
      </c>
      <c r="AF6" s="170" t="str">
        <f>IFERROR(__xludf.DUMMYFUNCTION("IFERROR(AE6 * (1 + AVERAGE(Filter('Inflation Data'!$C:$C,'Inflation Data'!$A:$A = AF$1))) + 'Fund YTD Contributions'!AF6,'Fund YTD Contributions'!AF6)"),"")</f>
        <v/>
      </c>
    </row>
    <row r="7">
      <c r="A7" s="153" t="str">
        <f>'Endowed Funds'!B:B</f>
        <v>Dorothy Warner McEachren Memorial Trust</v>
      </c>
      <c r="B7" s="170" t="str">
        <f>IFERROR(__xludf.DUMMYFUNCTION("IFERROR(A7 * (1 + AVERAGE(Filter('Inflation Data'!$C:$C,'Inflation Data'!$A:$A = B$1))) + 'Fund YTD Contributions'!B7,'Fund YTD Contributions'!B7)"),"  ")</f>
        <v/>
      </c>
      <c r="C7" s="170">
        <f>IFERROR(__xludf.DUMMYFUNCTION("IFERROR(B7 * (1 + AVERAGE(Filter('Inflation Data'!$C:$C,'Inflation Data'!$A:$A = C$1))) + 'Fund YTD Contributions'!C7,'Fund YTD Contributions'!C7)"),0.0)</f>
        <v>0</v>
      </c>
      <c r="D7" s="170">
        <f>IFERROR(__xludf.DUMMYFUNCTION("IFERROR(C7 * (1 + AVERAGE(Filter('Inflation Data'!$C:$C,'Inflation Data'!$A:$A = D$1))) + 'Fund YTD Contributions'!D7,'Fund YTD Contributions'!D7)"),0.0)</f>
        <v>0</v>
      </c>
      <c r="E7" s="170">
        <f>IFERROR(__xludf.DUMMYFUNCTION("IFERROR(D7 * (1 + AVERAGE(Filter('Inflation Data'!$C:$C,'Inflation Data'!$A:$A = E$1))) + 'Fund YTD Contributions'!E7,'Fund YTD Contributions'!E7)"),0.0)</f>
        <v>0</v>
      </c>
      <c r="F7" s="170">
        <f>IFERROR(__xludf.DUMMYFUNCTION("IFERROR(E7 * (1 + AVERAGE(Filter('Inflation Data'!$C:$C,'Inflation Data'!$A:$A = F$1))) + 'Fund YTD Contributions'!F7,'Fund YTD Contributions'!F7)"),0.0)</f>
        <v>0</v>
      </c>
      <c r="G7" s="170">
        <f>IFERROR(__xludf.DUMMYFUNCTION("IFERROR(F7 * (1 + AVERAGE(Filter('Inflation Data'!$C:$C,'Inflation Data'!$A:$A = G$1))) + 'Fund YTD Contributions'!G7,'Fund YTD Contributions'!G7)"),0.0)</f>
        <v>0</v>
      </c>
      <c r="H7" s="170">
        <f>IFERROR(__xludf.DUMMYFUNCTION("IFERROR(G7 * (1 + AVERAGE(Filter('Inflation Data'!$C:$C,'Inflation Data'!$A:$A = H$1))) + 'Fund YTD Contributions'!H7,'Fund YTD Contributions'!H7)"),0.0)</f>
        <v>0</v>
      </c>
      <c r="I7" s="170">
        <f>IFERROR(__xludf.DUMMYFUNCTION("IFERROR(H7 * (1 + AVERAGE(Filter('Inflation Data'!$C:$C,'Inflation Data'!$A:$A = I$1))) + 'Fund YTD Contributions'!I7,'Fund YTD Contributions'!I7)"),0.0)</f>
        <v>0</v>
      </c>
      <c r="J7" s="170">
        <f>IFERROR(__xludf.DUMMYFUNCTION("IFERROR(I7 * (1 + AVERAGE(Filter('Inflation Data'!$C:$C,'Inflation Data'!$A:$A = J$1))) + 'Fund YTD Contributions'!J7,'Fund YTD Contributions'!J7)"),0.0)</f>
        <v>0</v>
      </c>
      <c r="K7" s="170">
        <f>IFERROR(__xludf.DUMMYFUNCTION("IFERROR(J7 * (1 + AVERAGE(Filter('Inflation Data'!$C:$C,'Inflation Data'!$A:$A = K$1))) + 'Fund YTD Contributions'!K7,'Fund YTD Contributions'!K7)"),0.0)</f>
        <v>0</v>
      </c>
      <c r="L7" s="170">
        <f>IFERROR(__xludf.DUMMYFUNCTION("IFERROR(K7 * (1 + AVERAGE(Filter('Inflation Data'!$C:$C,'Inflation Data'!$A:$A = L$1))) + 'Fund YTD Contributions'!L7,'Fund YTD Contributions'!L7)"),0.0)</f>
        <v>0</v>
      </c>
      <c r="M7" s="170">
        <f>IFERROR(__xludf.DUMMYFUNCTION("IFERROR(L7 * (1 + AVERAGE(Filter('Inflation Data'!$C:$C,'Inflation Data'!$A:$A = M$1))) + 'Fund YTD Contributions'!M7,'Fund YTD Contributions'!M7)"),0.0)</f>
        <v>0</v>
      </c>
      <c r="N7" s="170">
        <f>IFERROR(__xludf.DUMMYFUNCTION("IFERROR(M7 * (1 + AVERAGE(Filter('Inflation Data'!$C:$C,'Inflation Data'!$A:$A = N$1))) + 'Fund YTD Contributions'!N7,'Fund YTD Contributions'!N7)"),0.0)</f>
        <v>0</v>
      </c>
      <c r="O7" s="170">
        <f>IFERROR(__xludf.DUMMYFUNCTION("IFERROR(N7 * (1 + AVERAGE(Filter('Inflation Data'!$C:$C,'Inflation Data'!$A:$A = O$1))) + 'Fund YTD Contributions'!O7,'Fund YTD Contributions'!O7)"),0.0)</f>
        <v>0</v>
      </c>
      <c r="P7" s="170">
        <f>IFERROR(__xludf.DUMMYFUNCTION("IFERROR(O7 * (1 + AVERAGE(Filter('Inflation Data'!$C:$C,'Inflation Data'!$A:$A = P$1))) + 'Fund YTD Contributions'!P7,'Fund YTD Contributions'!P7)"),0.0)</f>
        <v>0</v>
      </c>
      <c r="Q7" s="170">
        <f>IFERROR(__xludf.DUMMYFUNCTION("IFERROR(P7 * (1 + AVERAGE(Filter('Inflation Data'!$C:$C,'Inflation Data'!$A:$A = Q$1))) + 'Fund YTD Contributions'!Q7,'Fund YTD Contributions'!Q7)"),0.0)</f>
        <v>0</v>
      </c>
      <c r="R7" s="170">
        <f>IFERROR(__xludf.DUMMYFUNCTION("IFERROR(Q7 * (1 + AVERAGE(Filter('Inflation Data'!$C:$C,'Inflation Data'!$A:$A = R$1))) + 'Fund YTD Contributions'!R7,'Fund YTD Contributions'!R7)"),366400.0)</f>
        <v>366400</v>
      </c>
      <c r="S7" s="170">
        <f>IFERROR(__xludf.DUMMYFUNCTION("IFERROR(R7 * (1 + AVERAGE(Filter('Inflation Data'!$C:$C,'Inflation Data'!$A:$A = S$1))) + 'Fund YTD Contributions'!S7,'Fund YTD Contributions'!S7)"),376851.0203538666)</f>
        <v>376851.0204</v>
      </c>
      <c r="T7" s="170">
        <f>IFERROR(__xludf.DUMMYFUNCTION("IFERROR(S7 * (1 + AVERAGE(Filter('Inflation Data'!$C:$C,'Inflation Data'!$A:$A = T$1))) + 'Fund YTD Contributions'!T7,'Fund YTD Contributions'!T7)"),391343.3271765806)</f>
        <v>391343.3272</v>
      </c>
      <c r="U7" s="170">
        <f>IFERROR(__xludf.DUMMYFUNCTION("IFERROR(T7 * (1 + AVERAGE(Filter('Inflation Data'!$C:$C,'Inflation Data'!$A:$A = U$1))) + 'Fund YTD Contributions'!U7,'Fund YTD Contributions'!U7)"),390021.36941737816)</f>
        <v>390021.3694</v>
      </c>
      <c r="V7" s="170">
        <f>IFERROR(__xludf.DUMMYFUNCTION("IFERROR(U7 * (1 + AVERAGE(Filter('Inflation Data'!$C:$C,'Inflation Data'!$A:$A = V$1))) + 'Fund YTD Contributions'!V7,'Fund YTD Contributions'!V7)"),396434.56691387866)</f>
        <v>396434.5669</v>
      </c>
      <c r="W7" s="170">
        <f>IFERROR(__xludf.DUMMYFUNCTION("IFERROR(V7 * (1 + AVERAGE(Filter('Inflation Data'!$C:$C,'Inflation Data'!$A:$A = W$1))) + 'Fund YTD Contributions'!W7,'Fund YTD Contributions'!W7)"),408942.87601833796)</f>
        <v>408942.876</v>
      </c>
      <c r="X7" s="170">
        <f>IFERROR(__xludf.DUMMYFUNCTION("IFERROR(W7 * (1 + AVERAGE(Filter('Inflation Data'!$C:$C,'Inflation Data'!$A:$A = X$1))) + 'Fund YTD Contributions'!X7,'Fund YTD Contributions'!X7)"),417421.0499733559)</f>
        <v>417421.05</v>
      </c>
      <c r="Y7" s="170">
        <f>IFERROR(__xludf.DUMMYFUNCTION("IFERROR(X7 * (1 + AVERAGE(Filter('Inflation Data'!$C:$C,'Inflation Data'!$A:$A = Y$1))) + 'Fund YTD Contributions'!Y7,'Fund YTD Contributions'!Y7)"),423540.6326316834)</f>
        <v>423540.6326</v>
      </c>
      <c r="Z7" s="170">
        <f>IFERROR(__xludf.DUMMYFUNCTION("IFERROR(Y7 * (1 + AVERAGE(Filter('Inflation Data'!$C:$C,'Inflation Data'!$A:$A = Z$1))) + 'Fund YTD Contributions'!Z7,'Fund YTD Contributions'!Z7)"),430410.0585175821)</f>
        <v>430410.0585</v>
      </c>
      <c r="AA7" s="170">
        <f>IFERROR(__xludf.DUMMYFUNCTION("IFERROR(Z7 * (1 + AVERAGE(Filter('Inflation Data'!$C:$C,'Inflation Data'!$A:$A = AA$1))) + 'Fund YTD Contributions'!AA7,'Fund YTD Contributions'!AA7)"),430921.8141761817)</f>
        <v>430921.8142</v>
      </c>
      <c r="AB7" s="170">
        <f>IFERROR(__xludf.DUMMYFUNCTION("IFERROR(AA7 * (1 + AVERAGE(Filter('Inflation Data'!$C:$C,'Inflation Data'!$A:$A = AB$1))) + 'Fund YTD Contributions'!AB7,'Fund YTD Contributions'!AB7)"),436359.3745507621)</f>
        <v>436359.3746</v>
      </c>
      <c r="AC7" s="170">
        <f>IFERROR(__xludf.DUMMYFUNCTION("IFERROR(AB7 * (1 + AVERAGE(Filter('Inflation Data'!$C:$C,'Inflation Data'!$A:$A = AC$1))) + 'Fund YTD Contributions'!AC7,'Fund YTD Contributions'!AC7)"),445660.87610532285)</f>
        <v>445660.8761</v>
      </c>
      <c r="AD7" s="170">
        <f>IFERROR(__xludf.DUMMYFUNCTION("IFERROR(AC7 * (1 + AVERAGE(Filter('Inflation Data'!$C:$C,'Inflation Data'!$A:$A = AD$1))) + 'Fund YTD Contributions'!AD7,'Fund YTD Contributions'!AD7)"),456546.9655827575)</f>
        <v>456546.9656</v>
      </c>
      <c r="AE7" s="170">
        <f>IFERROR(__xludf.DUMMYFUNCTION("IFERROR(AD7 * (1 + AVERAGE(Filter('Inflation Data'!$C:$C,'Inflation Data'!$A:$A = AE$1))) + 'Fund YTD Contributions'!AE7,'Fund YTD Contributions'!AE7)"),464509.6572734537)</f>
        <v>464509.6573</v>
      </c>
      <c r="AF7" s="170" t="str">
        <f>IFERROR(__xludf.DUMMYFUNCTION("IFERROR(AE7 * (1 + AVERAGE(Filter('Inflation Data'!$C:$C,'Inflation Data'!$A:$A = AF$1))) + 'Fund YTD Contributions'!AF7,'Fund YTD Contributions'!AF7)"),"")</f>
        <v/>
      </c>
    </row>
    <row r="8">
      <c r="A8" s="153" t="str">
        <f>'Endowed Funds'!B:B</f>
        <v>Eleanor &amp; Robert A. McClevey Jr., Chair in Education</v>
      </c>
      <c r="B8" s="170" t="str">
        <f>IFERROR(__xludf.DUMMYFUNCTION("IFERROR(A8 * (1 + AVERAGE(Filter('Inflation Data'!$C:$C,'Inflation Data'!$A:$A = B$1))) + 'Fund YTD Contributions'!B8,'Fund YTD Contributions'!B8)"),"  ")</f>
        <v/>
      </c>
      <c r="C8" s="170">
        <f>IFERROR(__xludf.DUMMYFUNCTION("IFERROR(B8 * (1 + AVERAGE(Filter('Inflation Data'!$C:$C,'Inflation Data'!$A:$A = C$1))) + 'Fund YTD Contributions'!C8,'Fund YTD Contributions'!C8)"),0.0)</f>
        <v>0</v>
      </c>
      <c r="D8" s="170">
        <f>IFERROR(__xludf.DUMMYFUNCTION("IFERROR(C8 * (1 + AVERAGE(Filter('Inflation Data'!$C:$C,'Inflation Data'!$A:$A = D$1))) + 'Fund YTD Contributions'!D8,'Fund YTD Contributions'!D8)"),0.0)</f>
        <v>0</v>
      </c>
      <c r="E8" s="170">
        <f>IFERROR(__xludf.DUMMYFUNCTION("IFERROR(D8 * (1 + AVERAGE(Filter('Inflation Data'!$C:$C,'Inflation Data'!$A:$A = E$1))) + 'Fund YTD Contributions'!E8,'Fund YTD Contributions'!E8)"),0.0)</f>
        <v>0</v>
      </c>
      <c r="F8" s="170">
        <f>IFERROR(__xludf.DUMMYFUNCTION("IFERROR(E8 * (1 + AVERAGE(Filter('Inflation Data'!$C:$C,'Inflation Data'!$A:$A = F$1))) + 'Fund YTD Contributions'!F8,'Fund YTD Contributions'!F8)"),0.0)</f>
        <v>0</v>
      </c>
      <c r="G8" s="170">
        <f>IFERROR(__xludf.DUMMYFUNCTION("IFERROR(F8 * (1 + AVERAGE(Filter('Inflation Data'!$C:$C,'Inflation Data'!$A:$A = G$1))) + 'Fund YTD Contributions'!G8,'Fund YTD Contributions'!G8)"),0.0)</f>
        <v>0</v>
      </c>
      <c r="H8" s="170">
        <f>IFERROR(__xludf.DUMMYFUNCTION("IFERROR(G8 * (1 + AVERAGE(Filter('Inflation Data'!$C:$C,'Inflation Data'!$A:$A = H$1))) + 'Fund YTD Contributions'!H8,'Fund YTD Contributions'!H8)"),0.0)</f>
        <v>0</v>
      </c>
      <c r="I8" s="170">
        <f>IFERROR(__xludf.DUMMYFUNCTION("IFERROR(H8 * (1 + AVERAGE(Filter('Inflation Data'!$C:$C,'Inflation Data'!$A:$A = I$1))) + 'Fund YTD Contributions'!I8,'Fund YTD Contributions'!I8)"),0.0)</f>
        <v>0</v>
      </c>
      <c r="J8" s="170">
        <f>IFERROR(__xludf.DUMMYFUNCTION("IFERROR(I8 * (1 + AVERAGE(Filter('Inflation Data'!$C:$C,'Inflation Data'!$A:$A = J$1))) + 'Fund YTD Contributions'!J8,'Fund YTD Contributions'!J8)"),0.0)</f>
        <v>0</v>
      </c>
      <c r="K8" s="170">
        <f>IFERROR(__xludf.DUMMYFUNCTION("IFERROR(J8 * (1 + AVERAGE(Filter('Inflation Data'!$C:$C,'Inflation Data'!$A:$A = K$1))) + 'Fund YTD Contributions'!K8,'Fund YTD Contributions'!K8)"),0.0)</f>
        <v>0</v>
      </c>
      <c r="L8" s="170">
        <f>IFERROR(__xludf.DUMMYFUNCTION("IFERROR(K8 * (1 + AVERAGE(Filter('Inflation Data'!$C:$C,'Inflation Data'!$A:$A = L$1))) + 'Fund YTD Contributions'!L8,'Fund YTD Contributions'!L8)"),0.0)</f>
        <v>0</v>
      </c>
      <c r="M8" s="170">
        <f>IFERROR(__xludf.DUMMYFUNCTION("IFERROR(L8 * (1 + AVERAGE(Filter('Inflation Data'!$C:$C,'Inflation Data'!$A:$A = M$1))) + 'Fund YTD Contributions'!M8,'Fund YTD Contributions'!M8)"),0.0)</f>
        <v>0</v>
      </c>
      <c r="N8" s="170">
        <f>IFERROR(__xludf.DUMMYFUNCTION("IFERROR(M8 * (1 + AVERAGE(Filter('Inflation Data'!$C:$C,'Inflation Data'!$A:$A = N$1))) + 'Fund YTD Contributions'!N8,'Fund YTD Contributions'!N8)"),0.0)</f>
        <v>0</v>
      </c>
      <c r="O8" s="170">
        <f>IFERROR(__xludf.DUMMYFUNCTION("IFERROR(N8 * (1 + AVERAGE(Filter('Inflation Data'!$C:$C,'Inflation Data'!$A:$A = O$1))) + 'Fund YTD Contributions'!O8,'Fund YTD Contributions'!O8)"),0.0)</f>
        <v>0</v>
      </c>
      <c r="P8" s="170">
        <f>IFERROR(__xludf.DUMMYFUNCTION("IFERROR(O8 * (1 + AVERAGE(Filter('Inflation Data'!$C:$C,'Inflation Data'!$A:$A = P$1))) + 'Fund YTD Contributions'!P8,'Fund YTD Contributions'!P8)"),0.0)</f>
        <v>0</v>
      </c>
      <c r="Q8" s="170">
        <f>IFERROR(__xludf.DUMMYFUNCTION("IFERROR(P8 * (1 + AVERAGE(Filter('Inflation Data'!$C:$C,'Inflation Data'!$A:$A = Q$1))) + 'Fund YTD Contributions'!Q8,'Fund YTD Contributions'!Q8)"),0.0)</f>
        <v>0</v>
      </c>
      <c r="R8" s="170">
        <f>IFERROR(__xludf.DUMMYFUNCTION("IFERROR(Q8 * (1 + AVERAGE(Filter('Inflation Data'!$C:$C,'Inflation Data'!$A:$A = R$1))) + 'Fund YTD Contributions'!R8,'Fund YTD Contributions'!R8)"),0.0)</f>
        <v>0</v>
      </c>
      <c r="S8" s="170">
        <f>IFERROR(__xludf.DUMMYFUNCTION("IFERROR(R8 * (1 + AVERAGE(Filter('Inflation Data'!$C:$C,'Inflation Data'!$A:$A = S$1))) + 'Fund YTD Contributions'!S8,'Fund YTD Contributions'!S8)"),0.0)</f>
        <v>0</v>
      </c>
      <c r="T8" s="170">
        <f>IFERROR(__xludf.DUMMYFUNCTION("IFERROR(S8 * (1 + AVERAGE(Filter('Inflation Data'!$C:$C,'Inflation Data'!$A:$A = T$1))) + 'Fund YTD Contributions'!T8,'Fund YTD Contributions'!T8)"),0.0)</f>
        <v>0</v>
      </c>
      <c r="U8" s="170">
        <f>IFERROR(__xludf.DUMMYFUNCTION("IFERROR(T8 * (1 + AVERAGE(Filter('Inflation Data'!$C:$C,'Inflation Data'!$A:$A = U$1))) + 'Fund YTD Contributions'!U8,'Fund YTD Contributions'!U8)"),0.0)</f>
        <v>0</v>
      </c>
      <c r="V8" s="170">
        <f>IFERROR(__xludf.DUMMYFUNCTION("IFERROR(U8 * (1 + AVERAGE(Filter('Inflation Data'!$C:$C,'Inflation Data'!$A:$A = V$1))) + 'Fund YTD Contributions'!V8,'Fund YTD Contributions'!V8)"),0.0)</f>
        <v>0</v>
      </c>
      <c r="W8" s="170">
        <f>IFERROR(__xludf.DUMMYFUNCTION("IFERROR(V8 * (1 + AVERAGE(Filter('Inflation Data'!$C:$C,'Inflation Data'!$A:$A = W$1))) + 'Fund YTD Contributions'!W8,'Fund YTD Contributions'!W8)"),738137.86)</f>
        <v>738137.86</v>
      </c>
      <c r="X8" s="170">
        <f>IFERROR(__xludf.DUMMYFUNCTION("IFERROR(W8 * (1 + AVERAGE(Filter('Inflation Data'!$C:$C,'Inflation Data'!$A:$A = X$1))) + 'Fund YTD Contributions'!X8,'Fund YTD Contributions'!X8)"),753440.8804139906)</f>
        <v>753440.8804</v>
      </c>
      <c r="Y8" s="170">
        <f>IFERROR(__xludf.DUMMYFUNCTION("IFERROR(X8 * (1 + AVERAGE(Filter('Inflation Data'!$C:$C,'Inflation Data'!$A:$A = Y$1))) + 'Fund YTD Contributions'!Y8,'Fund YTD Contributions'!Y8)"),784486.6667876072)</f>
        <v>784486.6668</v>
      </c>
      <c r="Z8" s="170">
        <f>IFERROR(__xludf.DUMMYFUNCTION("IFERROR(Y8 * (1 + AVERAGE(Filter('Inflation Data'!$C:$C,'Inflation Data'!$A:$A = Z$1))) + 'Fund YTD Contributions'!Z8,'Fund YTD Contributions'!Z8)"),797210.2937569693)</f>
        <v>797210.2938</v>
      </c>
      <c r="AA8" s="170">
        <f>IFERROR(__xludf.DUMMYFUNCTION("IFERROR(Z8 * (1 + AVERAGE(Filter('Inflation Data'!$C:$C,'Inflation Data'!$A:$A = AA$1))) + 'Fund YTD Contributions'!AA8,'Fund YTD Contributions'!AA8)"),798158.1732752342)</f>
        <v>798158.1733</v>
      </c>
      <c r="AB8" s="170">
        <f>IFERROR(__xludf.DUMMYFUNCTION("IFERROR(AA8 * (1 + AVERAGE(Filter('Inflation Data'!$C:$C,'Inflation Data'!$A:$A = AB$1))) + 'Fund YTD Contributions'!AB8,'Fund YTD Contributions'!AB8)"),808229.6830314669)</f>
        <v>808229.683</v>
      </c>
      <c r="AC8" s="170">
        <f>IFERROR(__xludf.DUMMYFUNCTION("IFERROR(AB8 * (1 + AVERAGE(Filter('Inflation Data'!$C:$C,'Inflation Data'!$A:$A = AC$1))) + 'Fund YTD Contributions'!AC8,'Fund YTD Contributions'!AC8)"),825458.0275832459)</f>
        <v>825458.0276</v>
      </c>
      <c r="AD8" s="170">
        <f>IFERROR(__xludf.DUMMYFUNCTION("IFERROR(AC8 * (1 + AVERAGE(Filter('Inflation Data'!$C:$C,'Inflation Data'!$A:$A = AD$1))) + 'Fund YTD Contributions'!AD8,'Fund YTD Contributions'!AD8)"),845621.3634961211)</f>
        <v>845621.3635</v>
      </c>
      <c r="AE8" s="170">
        <f>IFERROR(__xludf.DUMMYFUNCTION("IFERROR(AD8 * (1 + AVERAGE(Filter('Inflation Data'!$C:$C,'Inflation Data'!$A:$A = AE$1))) + 'Fund YTD Contributions'!AE8,'Fund YTD Contributions'!AE8)"),860369.9495391604)</f>
        <v>860369.9495</v>
      </c>
      <c r="AF8" s="170" t="str">
        <f>IFERROR(__xludf.DUMMYFUNCTION("IFERROR(AE8 * (1 + AVERAGE(Filter('Inflation Data'!$C:$C,'Inflation Data'!$A:$A = AF$1))) + 'Fund YTD Contributions'!AF8,'Fund YTD Contributions'!AF8)"),"")</f>
        <v/>
      </c>
    </row>
    <row r="9">
      <c r="A9" s="153" t="str">
        <f>'Endowed Funds'!B:B</f>
        <v>Flora W. Minium Memorial Fund</v>
      </c>
      <c r="B9" s="170" t="str">
        <f>IFERROR(__xludf.DUMMYFUNCTION("IFERROR(A9 * (1 + AVERAGE(Filter('Inflation Data'!$C:$C,'Inflation Data'!$A:$A = B$1))) + 'Fund YTD Contributions'!B9,'Fund YTD Contributions'!B9)"),"  ")</f>
        <v/>
      </c>
      <c r="C9" s="170">
        <f>IFERROR(__xludf.DUMMYFUNCTION("IFERROR(B9 * (1 + AVERAGE(Filter('Inflation Data'!$C:$C,'Inflation Data'!$A:$A = C$1))) + 'Fund YTD Contributions'!C9,'Fund YTD Contributions'!C9)"),0.0)</f>
        <v>0</v>
      </c>
      <c r="D9" s="170">
        <f>IFERROR(__xludf.DUMMYFUNCTION("IFERROR(C9 * (1 + AVERAGE(Filter('Inflation Data'!$C:$C,'Inflation Data'!$A:$A = D$1))) + 'Fund YTD Contributions'!D9,'Fund YTD Contributions'!D9)"),0.0)</f>
        <v>0</v>
      </c>
      <c r="E9" s="170">
        <f>IFERROR(__xludf.DUMMYFUNCTION("IFERROR(D9 * (1 + AVERAGE(Filter('Inflation Data'!$C:$C,'Inflation Data'!$A:$A = E$1))) + 'Fund YTD Contributions'!E9,'Fund YTD Contributions'!E9)"),0.0)</f>
        <v>0</v>
      </c>
      <c r="F9" s="170">
        <f>IFERROR(__xludf.DUMMYFUNCTION("IFERROR(E9 * (1 + AVERAGE(Filter('Inflation Data'!$C:$C,'Inflation Data'!$A:$A = F$1))) + 'Fund YTD Contributions'!F9,'Fund YTD Contributions'!F9)"),0.0)</f>
        <v>0</v>
      </c>
      <c r="G9" s="170">
        <f>IFERROR(__xludf.DUMMYFUNCTION("IFERROR(F9 * (1 + AVERAGE(Filter('Inflation Data'!$C:$C,'Inflation Data'!$A:$A = G$1))) + 'Fund YTD Contributions'!G9,'Fund YTD Contributions'!G9)"),0.0)</f>
        <v>0</v>
      </c>
      <c r="H9" s="170">
        <f>IFERROR(__xludf.DUMMYFUNCTION("IFERROR(G9 * (1 + AVERAGE(Filter('Inflation Data'!$C:$C,'Inflation Data'!$A:$A = H$1))) + 'Fund YTD Contributions'!H9,'Fund YTD Contributions'!H9)"),0.0)</f>
        <v>0</v>
      </c>
      <c r="I9" s="170">
        <f>IFERROR(__xludf.DUMMYFUNCTION("IFERROR(H9 * (1 + AVERAGE(Filter('Inflation Data'!$C:$C,'Inflation Data'!$A:$A = I$1))) + 'Fund YTD Contributions'!I9,'Fund YTD Contributions'!I9)"),0.0)</f>
        <v>0</v>
      </c>
      <c r="J9" s="170">
        <f>IFERROR(__xludf.DUMMYFUNCTION("IFERROR(I9 * (1 + AVERAGE(Filter('Inflation Data'!$C:$C,'Inflation Data'!$A:$A = J$1))) + 'Fund YTD Contributions'!J9,'Fund YTD Contributions'!J9)"),50000.0)</f>
        <v>50000</v>
      </c>
      <c r="K9" s="170">
        <f>IFERROR(__xludf.DUMMYFUNCTION("IFERROR(J9 * (1 + AVERAGE(Filter('Inflation Data'!$C:$C,'Inflation Data'!$A:$A = K$1))) + 'Fund YTD Contributions'!K9,'Fund YTD Contributions'!K9)"),51093.18305)</f>
        <v>51093.18305</v>
      </c>
      <c r="L9" s="170">
        <f>IFERROR(__xludf.DUMMYFUNCTION("IFERROR(K9 * (1 + AVERAGE(Filter('Inflation Data'!$C:$C,'Inflation Data'!$A:$A = L$1))) + 'Fund YTD Contributions'!L9,'Fund YTD Contributions'!L9)"),52818.10881482057)</f>
        <v>52818.10881</v>
      </c>
      <c r="M9" s="170">
        <f>IFERROR(__xludf.DUMMYFUNCTION("IFERROR(L9 * (1 + AVERAGE(Filter('Inflation Data'!$C:$C,'Inflation Data'!$A:$A = M$1))) + 'Fund YTD Contributions'!M9,'Fund YTD Contributions'!M9)"),54313.76703681598)</f>
        <v>54313.76704</v>
      </c>
      <c r="N9" s="170">
        <f>IFERROR(__xludf.DUMMYFUNCTION("IFERROR(M9 * (1 + AVERAGE(Filter('Inflation Data'!$C:$C,'Inflation Data'!$A:$A = N$1))) + 'Fund YTD Contributions'!N9,'Fund YTD Contributions'!N9)"),55174.96200815774)</f>
        <v>55174.96201</v>
      </c>
      <c r="O9" s="170">
        <f>IFERROR(__xludf.DUMMYFUNCTION("IFERROR(N9 * (1 + AVERAGE(Filter('Inflation Data'!$C:$C,'Inflation Data'!$A:$A = O$1))) + 'Fund YTD Contributions'!O9,'Fund YTD Contributions'!O9)"),56428.68552884758)</f>
        <v>56428.68553</v>
      </c>
      <c r="P9" s="170">
        <f>IFERROR(__xludf.DUMMYFUNCTION("IFERROR(O9 * (1 + AVERAGE(Filter('Inflation Data'!$C:$C,'Inflation Data'!$A:$A = P$1))) + 'Fund YTD Contributions'!P9,'Fund YTD Contributions'!P9)"),57938.63924909678)</f>
        <v>57938.63925</v>
      </c>
      <c r="Q9" s="170">
        <f>IFERROR(__xludf.DUMMYFUNCTION("IFERROR(P9 * (1 + AVERAGE(Filter('Inflation Data'!$C:$C,'Inflation Data'!$A:$A = Q$1))) + 'Fund YTD Contributions'!Q9,'Fund YTD Contributions'!Q9)"),59902.9544645916)</f>
        <v>59902.95446</v>
      </c>
      <c r="R9" s="170">
        <f>IFERROR(__xludf.DUMMYFUNCTION("IFERROR(Q9 * (1 + AVERAGE(Filter('Inflation Data'!$C:$C,'Inflation Data'!$A:$A = R$1))) + 'Fund YTD Contributions'!R9,'Fund YTD Contributions'!R9)"),61840.946872948174)</f>
        <v>61840.94687</v>
      </c>
      <c r="S9" s="170">
        <f>IFERROR(__xludf.DUMMYFUNCTION("IFERROR(R9 * (1 + AVERAGE(Filter('Inflation Data'!$C:$C,'Inflation Data'!$A:$A = S$1))) + 'Fund YTD Contributions'!S9,'Fund YTD Contributions'!S9)"),63604.8688010911)</f>
        <v>63604.8688</v>
      </c>
      <c r="T9" s="170">
        <f>IFERROR(__xludf.DUMMYFUNCTION("IFERROR(S9 * (1 + AVERAGE(Filter('Inflation Data'!$C:$C,'Inflation Data'!$A:$A = T$1))) + 'Fund YTD Contributions'!T9,'Fund YTD Contributions'!T9)"),66050.8785617077)</f>
        <v>66050.87856</v>
      </c>
      <c r="U9" s="170">
        <f>IFERROR(__xludf.DUMMYFUNCTION("IFERROR(T9 * (1 + AVERAGE(Filter('Inflation Data'!$C:$C,'Inflation Data'!$A:$A = U$1))) + 'Fund YTD Contributions'!U9,'Fund YTD Contributions'!U9)"),65827.75869392624)</f>
        <v>65827.75869</v>
      </c>
      <c r="V9" s="170">
        <f>IFERROR(__xludf.DUMMYFUNCTION("IFERROR(U9 * (1 + AVERAGE(Filter('Inflation Data'!$C:$C,'Inflation Data'!$A:$A = V$1))) + 'Fund YTD Contributions'!V9,'Fund YTD Contributions'!V9)"),66910.1773775147)</f>
        <v>66910.17738</v>
      </c>
      <c r="W9" s="170">
        <f>IFERROR(__xludf.DUMMYFUNCTION("IFERROR(V9 * (1 + AVERAGE(Filter('Inflation Data'!$C:$C,'Inflation Data'!$A:$A = W$1))) + 'Fund YTD Contributions'!W9,'Fund YTD Contributions'!W9)"),69021.32824760007)</f>
        <v>69021.32825</v>
      </c>
      <c r="X9" s="170">
        <f>IFERROR(__xludf.DUMMYFUNCTION("IFERROR(W9 * (1 + AVERAGE(Filter('Inflation Data'!$C:$C,'Inflation Data'!$A:$A = X$1))) + 'Fund YTD Contributions'!X9,'Fund YTD Contributions'!X9)"),70452.27340352768)</f>
        <v>70452.2734</v>
      </c>
      <c r="Y9" s="170">
        <f>IFERROR(__xludf.DUMMYFUNCTION("IFERROR(X9 * (1 + AVERAGE(Filter('Inflation Data'!$C:$C,'Inflation Data'!$A:$A = Y$1))) + 'Fund YTD Contributions'!Y9,'Fund YTD Contributions'!Y9)"),71485.1358108919)</f>
        <v>71485.13581</v>
      </c>
      <c r="Z9" s="170">
        <f>IFERROR(__xludf.DUMMYFUNCTION("IFERROR(Y9 * (1 + AVERAGE(Filter('Inflation Data'!$C:$C,'Inflation Data'!$A:$A = Z$1))) + 'Fund YTD Contributions'!Z9,'Fund YTD Contributions'!Z9)"),72644.55666585236)</f>
        <v>72644.55667</v>
      </c>
      <c r="AA9" s="170">
        <f>IFERROR(__xludf.DUMMYFUNCTION("IFERROR(Z9 * (1 + AVERAGE(Filter('Inflation Data'!$C:$C,'Inflation Data'!$A:$A = AA$1))) + 'Fund YTD Contributions'!AA9,'Fund YTD Contributions'!AA9)"),72730.93072288127)</f>
        <v>72730.93072</v>
      </c>
      <c r="AB9" s="170">
        <f>IFERROR(__xludf.DUMMYFUNCTION("IFERROR(AA9 * (1 + AVERAGE(Filter('Inflation Data'!$C:$C,'Inflation Data'!$A:$A = AB$1))) + 'Fund YTD Contributions'!AB9,'Fund YTD Contributions'!AB9)"),73648.6814931948)</f>
        <v>73648.68149</v>
      </c>
      <c r="AC9" s="170">
        <f>IFERROR(__xludf.DUMMYFUNCTION("IFERROR(AB9 * (1 + AVERAGE(Filter('Inflation Data'!$C:$C,'Inflation Data'!$A:$A = AC$1))) + 'Fund YTD Contributions'!AC9,'Fund YTD Contributions'!AC9)"),75218.58777996946)</f>
        <v>75218.58778</v>
      </c>
      <c r="AD9" s="170">
        <f>IFERROR(__xludf.DUMMYFUNCTION("IFERROR(AC9 * (1 + AVERAGE(Filter('Inflation Data'!$C:$C,'Inflation Data'!$A:$A = AD$1))) + 'Fund YTD Contributions'!AD9,'Fund YTD Contributions'!AD9)"),77055.94062120361)</f>
        <v>77055.94062</v>
      </c>
      <c r="AE9" s="170">
        <f>IFERROR(__xludf.DUMMYFUNCTION("IFERROR(AD9 * (1 + AVERAGE(Filter('Inflation Data'!$C:$C,'Inflation Data'!$A:$A = AE$1))) + 'Fund YTD Contributions'!AE9,'Fund YTD Contributions'!AE9)"),78399.88274404753)</f>
        <v>78399.88274</v>
      </c>
      <c r="AF9" s="170" t="str">
        <f>IFERROR(__xludf.DUMMYFUNCTION("IFERROR(AE9 * (1 + AVERAGE(Filter('Inflation Data'!$C:$C,'Inflation Data'!$A:$A = AF$1))) + 'Fund YTD Contributions'!AF9,'Fund YTD Contributions'!AF9)"),"")</f>
        <v/>
      </c>
    </row>
    <row r="10">
      <c r="A10" s="153" t="str">
        <f>'Endowed Funds'!B:B</f>
        <v>Florence C. and Robert H. Lister Fellowship</v>
      </c>
      <c r="B10" s="170" t="str">
        <f>IFERROR(__xludf.DUMMYFUNCTION("IFERROR(A10 * (1 + AVERAGE(Filter('Inflation Data'!$C:$C,'Inflation Data'!$A:$A = B$1))) + 'Fund YTD Contributions'!B10,'Fund YTD Contributions'!B10)"),"  ")</f>
        <v/>
      </c>
      <c r="C10" s="170">
        <f>IFERROR(__xludf.DUMMYFUNCTION("IFERROR(B10 * (1 + AVERAGE(Filter('Inflation Data'!$C:$C,'Inflation Data'!$A:$A = C$1))) + 'Fund YTD Contributions'!C10,'Fund YTD Contributions'!C10)"),0.0)</f>
        <v>0</v>
      </c>
      <c r="D10" s="170">
        <f>IFERROR(__xludf.DUMMYFUNCTION("IFERROR(C10 * (1 + AVERAGE(Filter('Inflation Data'!$C:$C,'Inflation Data'!$A:$A = D$1))) + 'Fund YTD Contributions'!D10,'Fund YTD Contributions'!D10)"),0.0)</f>
        <v>0</v>
      </c>
      <c r="E10" s="170">
        <f>IFERROR(__xludf.DUMMYFUNCTION("IFERROR(D10 * (1 + AVERAGE(Filter('Inflation Data'!$C:$C,'Inflation Data'!$A:$A = E$1))) + 'Fund YTD Contributions'!E10,'Fund YTD Contributions'!E10)"),0.0)</f>
        <v>0</v>
      </c>
      <c r="F10" s="170">
        <f>IFERROR(__xludf.DUMMYFUNCTION("IFERROR(E10 * (1 + AVERAGE(Filter('Inflation Data'!$C:$C,'Inflation Data'!$A:$A = F$1))) + 'Fund YTD Contributions'!F10,'Fund YTD Contributions'!F10)"),0.0)</f>
        <v>0</v>
      </c>
      <c r="G10" s="170">
        <f>IFERROR(__xludf.DUMMYFUNCTION("IFERROR(F10 * (1 + AVERAGE(Filter('Inflation Data'!$C:$C,'Inflation Data'!$A:$A = G$1))) + 'Fund YTD Contributions'!G10,'Fund YTD Contributions'!G10)"),0.0)</f>
        <v>0</v>
      </c>
      <c r="H10" s="170">
        <f>IFERROR(__xludf.DUMMYFUNCTION("IFERROR(G10 * (1 + AVERAGE(Filter('Inflation Data'!$C:$C,'Inflation Data'!$A:$A = H$1))) + 'Fund YTD Contributions'!H10,'Fund YTD Contributions'!H10)"),38360.45)</f>
        <v>38360.45</v>
      </c>
      <c r="I10" s="170">
        <f>IFERROR(__xludf.DUMMYFUNCTION("IFERROR(H10 * (1 + AVERAGE(Filter('Inflation Data'!$C:$C,'Inflation Data'!$A:$A = I$1))) + 'Fund YTD Contributions'!I10,'Fund YTD Contributions'!I10)"),47613.47053202812)</f>
        <v>47613.47053</v>
      </c>
      <c r="J10" s="170">
        <f>IFERROR(__xludf.DUMMYFUNCTION("IFERROR(I10 * (1 + AVERAGE(Filter('Inflation Data'!$C:$C,'Inflation Data'!$A:$A = J$1))) + 'Fund YTD Contributions'!J10,'Fund YTD Contributions'!J10)"),48688.549295184355)</f>
        <v>48688.5493</v>
      </c>
      <c r="K10" s="170">
        <f>IFERROR(__xludf.DUMMYFUNCTION("IFERROR(J10 * (1 + AVERAGE(Filter('Inflation Data'!$C:$C,'Inflation Data'!$A:$A = K$1))) + 'Fund YTD Contributions'!K10,'Fund YTD Contributions'!K10)"),51528.05923155606)</f>
        <v>51528.05923</v>
      </c>
      <c r="L10" s="170">
        <f>IFERROR(__xludf.DUMMYFUNCTION("IFERROR(K10 * (1 + AVERAGE(Filter('Inflation Data'!$C:$C,'Inflation Data'!$A:$A = L$1))) + 'Fund YTD Contributions'!L10,'Fund YTD Contributions'!L10)"),56017.66658568647)</f>
        <v>56017.66659</v>
      </c>
      <c r="M10" s="170">
        <f>IFERROR(__xludf.DUMMYFUNCTION("IFERROR(L10 * (1 + AVERAGE(Filter('Inflation Data'!$C:$C,'Inflation Data'!$A:$A = M$1))) + 'Fund YTD Contributions'!M10,'Fund YTD Contributions'!M10)"),58903.92715968056)</f>
        <v>58903.92716</v>
      </c>
      <c r="N10" s="170">
        <f>IFERROR(__xludf.DUMMYFUNCTION("IFERROR(M10 * (1 + AVERAGE(Filter('Inflation Data'!$C:$C,'Inflation Data'!$A:$A = N$1))) + 'Fund YTD Contributions'!N10,'Fund YTD Contributions'!N10)"),62087.90336184332)</f>
        <v>62087.90336</v>
      </c>
      <c r="O10" s="170">
        <f>IFERROR(__xludf.DUMMYFUNCTION("IFERROR(N10 * (1 + AVERAGE(Filter('Inflation Data'!$C:$C,'Inflation Data'!$A:$A = O$1))) + 'Fund YTD Contributions'!O10,'Fund YTD Contributions'!O10)"),68698.70750129252)</f>
        <v>68698.7075</v>
      </c>
      <c r="P10" s="170">
        <f>IFERROR(__xludf.DUMMYFUNCTION("IFERROR(O10 * (1 + AVERAGE(Filter('Inflation Data'!$C:$C,'Inflation Data'!$A:$A = P$1))) + 'Fund YTD Contributions'!P10,'Fund YTD Contributions'!P10)"),72486.99006973651)</f>
        <v>72486.99007</v>
      </c>
      <c r="Q10" s="170">
        <f>IFERROR(__xludf.DUMMYFUNCTION("IFERROR(P10 * (1 + AVERAGE(Filter('Inflation Data'!$C:$C,'Inflation Data'!$A:$A = Q$1))) + 'Fund YTD Contributions'!Q10,'Fund YTD Contributions'!Q10)"),77753.54342902817)</f>
        <v>77753.54343</v>
      </c>
      <c r="R10" s="170">
        <f>IFERROR(__xludf.DUMMYFUNCTION("IFERROR(Q10 * (1 + AVERAGE(Filter('Inflation Data'!$C:$C,'Inflation Data'!$A:$A = R$1))) + 'Fund YTD Contributions'!R10,'Fund YTD Contributions'!R10)"),104202.04167506793)</f>
        <v>104202.0417</v>
      </c>
      <c r="S10" s="170">
        <f>IFERROR(__xludf.DUMMYFUNCTION("IFERROR(R10 * (1 + AVERAGE(Filter('Inflation Data'!$C:$C,'Inflation Data'!$A:$A = S$1))) + 'Fund YTD Contributions'!S10,'Fund YTD Contributions'!S10)"),108216.87144160885)</f>
        <v>108216.8714</v>
      </c>
      <c r="T10" s="170">
        <f>IFERROR(__xludf.DUMMYFUNCTION("IFERROR(S10 * (1 + AVERAGE(Filter('Inflation Data'!$C:$C,'Inflation Data'!$A:$A = T$1))) + 'Fund YTD Contributions'!T10,'Fund YTD Contributions'!T10)"),113563.53505311804)</f>
        <v>113563.5351</v>
      </c>
      <c r="U10" s="170">
        <f>IFERROR(__xludf.DUMMYFUNCTION("IFERROR(T10 * (1 + AVERAGE(Filter('Inflation Data'!$C:$C,'Inflation Data'!$A:$A = U$1))) + 'Fund YTD Contributions'!U10,'Fund YTD Contributions'!U10)"),114263.91743170861)</f>
        <v>114263.9174</v>
      </c>
      <c r="V10" s="170">
        <f>IFERROR(__xludf.DUMMYFUNCTION("IFERROR(U10 * (1 + AVERAGE(Filter('Inflation Data'!$C:$C,'Inflation Data'!$A:$A = V$1))) + 'Fund YTD Contributions'!V10,'Fund YTD Contributions'!V10)"),118652.78132654607)</f>
        <v>118652.7813</v>
      </c>
      <c r="W10" s="170">
        <f>IFERROR(__xludf.DUMMYFUNCTION("IFERROR(V10 * (1 + AVERAGE(Filter('Inflation Data'!$C:$C,'Inflation Data'!$A:$A = W$1))) + 'Fund YTD Contributions'!W10,'Fund YTD Contributions'!W10)"),122846.5155737634)</f>
        <v>122846.5156</v>
      </c>
      <c r="X10" s="170">
        <f>IFERROR(__xludf.DUMMYFUNCTION("IFERROR(W10 * (1 + AVERAGE(Filter('Inflation Data'!$C:$C,'Inflation Data'!$A:$A = X$1))) + 'Fund YTD Contributions'!X10,'Fund YTD Contributions'!X10)"),126393.36059755465)</f>
        <v>126393.3606</v>
      </c>
      <c r="Y10" s="170">
        <f>IFERROR(__xludf.DUMMYFUNCTION("IFERROR(X10 * (1 + AVERAGE(Filter('Inflation Data'!$C:$C,'Inflation Data'!$A:$A = Y$1))) + 'Fund YTD Contributions'!Y10,'Fund YTD Contributions'!Y10)"),128746.344815025)</f>
        <v>128746.3448</v>
      </c>
      <c r="Z10" s="170">
        <f>IFERROR(__xludf.DUMMYFUNCTION("IFERROR(Y10 * (1 + AVERAGE(Filter('Inflation Data'!$C:$C,'Inflation Data'!$A:$A = Z$1))) + 'Fund YTD Contributions'!Z10,'Fund YTD Contributions'!Z10)"),131034.4879721333)</f>
        <v>131034.488</v>
      </c>
      <c r="AA10" s="170">
        <f>IFERROR(__xludf.DUMMYFUNCTION("IFERROR(Z10 * (1 + AVERAGE(Filter('Inflation Data'!$C:$C,'Inflation Data'!$A:$A = AA$1))) + 'Fund YTD Contributions'!AA10,'Fund YTD Contributions'!AA10)"),132551.2873995965)</f>
        <v>132551.2874</v>
      </c>
      <c r="AB10" s="170">
        <f>IFERROR(__xludf.DUMMYFUNCTION("IFERROR(AA10 * (1 + AVERAGE(Filter('Inflation Data'!$C:$C,'Inflation Data'!$A:$A = AB$1))) + 'Fund YTD Contributions'!AB10,'Fund YTD Contributions'!AB10)"),147217.8776566982)</f>
        <v>147217.8777</v>
      </c>
      <c r="AC10" s="170">
        <f>IFERROR(__xludf.DUMMYFUNCTION("IFERROR(AB10 * (1 + AVERAGE(Filter('Inflation Data'!$C:$C,'Inflation Data'!$A:$A = AC$1))) + 'Fund YTD Contributions'!AC10,'Fund YTD Contributions'!AC10)"),151442.99590909661)</f>
        <v>151442.9959</v>
      </c>
      <c r="AD10" s="170">
        <f>IFERROR(__xludf.DUMMYFUNCTION("IFERROR(AC10 * (1 + AVERAGE(Filter('Inflation Data'!$C:$C,'Inflation Data'!$A:$A = AD$1))) + 'Fund YTD Contributions'!AD10,'Fund YTD Contributions'!AD10)"),155177.270610086)</f>
        <v>155177.2706</v>
      </c>
      <c r="AE10" s="170">
        <f>IFERROR(__xludf.DUMMYFUNCTION("IFERROR(AD10 * (1 + AVERAGE(Filter('Inflation Data'!$C:$C,'Inflation Data'!$A:$A = AE$1))) + 'Fund YTD Contributions'!AE10,'Fund YTD Contributions'!AE10)"),157883.73644256534)</f>
        <v>157883.7364</v>
      </c>
      <c r="AF10" s="170" t="str">
        <f>IFERROR(__xludf.DUMMYFUNCTION("IFERROR(AE10 * (1 + AVERAGE(Filter('Inflation Data'!$C:$C,'Inflation Data'!$A:$A = AF$1))) + 'Fund YTD Contributions'!AF10,'Fund YTD Contributions'!AF10)"),"")</f>
        <v/>
      </c>
    </row>
    <row r="11">
      <c r="A11" s="153" t="str">
        <f>'Endowed Funds'!B:B</f>
        <v>Four Corners Children's Education Fund</v>
      </c>
      <c r="B11" s="170" t="str">
        <f>IFERROR(__xludf.DUMMYFUNCTION("IFERROR(A11 * (1 + AVERAGE(Filter('Inflation Data'!$C:$C,'Inflation Data'!$A:$A = B$1))) + 'Fund YTD Contributions'!B11,'Fund YTD Contributions'!B11)"),"  ")</f>
        <v/>
      </c>
      <c r="C11" s="170">
        <f>IFERROR(__xludf.DUMMYFUNCTION("IFERROR(B11 * (1 + AVERAGE(Filter('Inflation Data'!$C:$C,'Inflation Data'!$A:$A = C$1))) + 'Fund YTD Contributions'!C11,'Fund YTD Contributions'!C11)"),0.0)</f>
        <v>0</v>
      </c>
      <c r="D11" s="170">
        <f>IFERROR(__xludf.DUMMYFUNCTION("IFERROR(C11 * (1 + AVERAGE(Filter('Inflation Data'!$C:$C,'Inflation Data'!$A:$A = D$1))) + 'Fund YTD Contributions'!D11,'Fund YTD Contributions'!D11)"),0.0)</f>
        <v>0</v>
      </c>
      <c r="E11" s="170">
        <f>IFERROR(__xludf.DUMMYFUNCTION("IFERROR(D11 * (1 + AVERAGE(Filter('Inflation Data'!$C:$C,'Inflation Data'!$A:$A = E$1))) + 'Fund YTD Contributions'!E11,'Fund YTD Contributions'!E11)"),0.0)</f>
        <v>0</v>
      </c>
      <c r="F11" s="170">
        <f>IFERROR(__xludf.DUMMYFUNCTION("IFERROR(E11 * (1 + AVERAGE(Filter('Inflation Data'!$C:$C,'Inflation Data'!$A:$A = F$1))) + 'Fund YTD Contributions'!F11,'Fund YTD Contributions'!F11)"),0.0)</f>
        <v>0</v>
      </c>
      <c r="G11" s="170">
        <f>IFERROR(__xludf.DUMMYFUNCTION("IFERROR(F11 * (1 + AVERAGE(Filter('Inflation Data'!$C:$C,'Inflation Data'!$A:$A = G$1))) + 'Fund YTD Contributions'!G11,'Fund YTD Contributions'!G11)"),0.0)</f>
        <v>0</v>
      </c>
      <c r="H11" s="170">
        <f>IFERROR(__xludf.DUMMYFUNCTION("IFERROR(G11 * (1 + AVERAGE(Filter('Inflation Data'!$C:$C,'Inflation Data'!$A:$A = H$1))) + 'Fund YTD Contributions'!H11,'Fund YTD Contributions'!H11)"),0.0)</f>
        <v>0</v>
      </c>
      <c r="I11" s="170">
        <f>IFERROR(__xludf.DUMMYFUNCTION("IFERROR(H11 * (1 + AVERAGE(Filter('Inflation Data'!$C:$C,'Inflation Data'!$A:$A = I$1))) + 'Fund YTD Contributions'!I11,'Fund YTD Contributions'!I11)"),0.0)</f>
        <v>0</v>
      </c>
      <c r="J11" s="170">
        <f>IFERROR(__xludf.DUMMYFUNCTION("IFERROR(I11 * (1 + AVERAGE(Filter('Inflation Data'!$C:$C,'Inflation Data'!$A:$A = J$1))) + 'Fund YTD Contributions'!J11,'Fund YTD Contributions'!J11)"),0.0)</f>
        <v>0</v>
      </c>
      <c r="K11" s="170">
        <f>IFERROR(__xludf.DUMMYFUNCTION("IFERROR(J11 * (1 + AVERAGE(Filter('Inflation Data'!$C:$C,'Inflation Data'!$A:$A = K$1))) + 'Fund YTD Contributions'!K11,'Fund YTD Contributions'!K11)"),0.0)</f>
        <v>0</v>
      </c>
      <c r="L11" s="170">
        <f>IFERROR(__xludf.DUMMYFUNCTION("IFERROR(K11 * (1 + AVERAGE(Filter('Inflation Data'!$C:$C,'Inflation Data'!$A:$A = L$1))) + 'Fund YTD Contributions'!L11,'Fund YTD Contributions'!L11)"),0.0)</f>
        <v>0</v>
      </c>
      <c r="M11" s="170">
        <f>IFERROR(__xludf.DUMMYFUNCTION("IFERROR(L11 * (1 + AVERAGE(Filter('Inflation Data'!$C:$C,'Inflation Data'!$A:$A = M$1))) + 'Fund YTD Contributions'!M11,'Fund YTD Contributions'!M11)"),0.0)</f>
        <v>0</v>
      </c>
      <c r="N11" s="170">
        <f>IFERROR(__xludf.DUMMYFUNCTION("IFERROR(M11 * (1 + AVERAGE(Filter('Inflation Data'!$C:$C,'Inflation Data'!$A:$A = N$1))) + 'Fund YTD Contributions'!N11,'Fund YTD Contributions'!N11)"),0.0)</f>
        <v>0</v>
      </c>
      <c r="O11" s="170">
        <f>IFERROR(__xludf.DUMMYFUNCTION("IFERROR(N11 * (1 + AVERAGE(Filter('Inflation Data'!$C:$C,'Inflation Data'!$A:$A = O$1))) + 'Fund YTD Contributions'!O11,'Fund YTD Contributions'!O11)"),0.0)</f>
        <v>0</v>
      </c>
      <c r="P11" s="170">
        <f>IFERROR(__xludf.DUMMYFUNCTION("IFERROR(O11 * (1 + AVERAGE(Filter('Inflation Data'!$C:$C,'Inflation Data'!$A:$A = P$1))) + 'Fund YTD Contributions'!P11,'Fund YTD Contributions'!P11)"),104901.77)</f>
        <v>104901.77</v>
      </c>
      <c r="Q11" s="170">
        <f>IFERROR(__xludf.DUMMYFUNCTION("IFERROR(P11 * (1 + AVERAGE(Filter('Inflation Data'!$C:$C,'Inflation Data'!$A:$A = Q$1))) + 'Fund YTD Contributions'!Q11,'Fund YTD Contributions'!Q11)"),227458.29368805938)</f>
        <v>227458.2937</v>
      </c>
      <c r="R11" s="170">
        <f>IFERROR(__xludf.DUMMYFUNCTION("IFERROR(Q11 * (1 + AVERAGE(Filter('Inflation Data'!$C:$C,'Inflation Data'!$A:$A = R$1))) + 'Fund YTD Contributions'!R11,'Fund YTD Contributions'!R11)"),490263.5200677079)</f>
        <v>490263.5201</v>
      </c>
      <c r="S11" s="170">
        <f>IFERROR(__xludf.DUMMYFUNCTION("IFERROR(R11 * (1 + AVERAGE(Filter('Inflation Data'!$C:$C,'Inflation Data'!$A:$A = S$1))) + 'Fund YTD Contributions'!S11,'Fund YTD Contributions'!S11)"),550090.9849011848)</f>
        <v>550090.9849</v>
      </c>
      <c r="T11" s="170">
        <f>IFERROR(__xludf.DUMMYFUNCTION("IFERROR(S11 * (1 + AVERAGE(Filter('Inflation Data'!$C:$C,'Inflation Data'!$A:$A = T$1))) + 'Fund YTD Contributions'!T11,'Fund YTD Contributions'!T11)"),581245.4647964787)</f>
        <v>581245.4648</v>
      </c>
      <c r="U11" s="170">
        <f>IFERROR(__xludf.DUMMYFUNCTION("IFERROR(T11 * (1 + AVERAGE(Filter('Inflation Data'!$C:$C,'Inflation Data'!$A:$A = U$1))) + 'Fund YTD Contributions'!U11,'Fund YTD Contributions'!U11)"),584282.0176163962)</f>
        <v>584282.0176</v>
      </c>
      <c r="V11" s="170">
        <f>IFERROR(__xludf.DUMMYFUNCTION("IFERROR(U11 * (1 + AVERAGE(Filter('Inflation Data'!$C:$C,'Inflation Data'!$A:$A = V$1))) + 'Fund YTD Contributions'!V11,'Fund YTD Contributions'!V11)"),603889.4808644364)</f>
        <v>603889.4809</v>
      </c>
      <c r="W11" s="170">
        <f>IFERROR(__xludf.DUMMYFUNCTION("IFERROR(V11 * (1 + AVERAGE(Filter('Inflation Data'!$C:$C,'Inflation Data'!$A:$A = W$1))) + 'Fund YTD Contributions'!W11,'Fund YTD Contributions'!W11)"),624943.4103700962)</f>
        <v>624943.4104</v>
      </c>
      <c r="X11" s="170">
        <f>IFERROR(__xludf.DUMMYFUNCTION("IFERROR(W11 * (1 + AVERAGE(Filter('Inflation Data'!$C:$C,'Inflation Data'!$A:$A = X$1))) + 'Fund YTD Contributions'!X11,'Fund YTD Contributions'!X11)"),642309.6916892559)</f>
        <v>642309.6917</v>
      </c>
      <c r="Y11" s="170">
        <f>IFERROR(__xludf.DUMMYFUNCTION("IFERROR(X11 * (1 + AVERAGE(Filter('Inflation Data'!$C:$C,'Inflation Data'!$A:$A = Y$1))) + 'Fund YTD Contributions'!Y11,'Fund YTD Contributions'!Y11)"),651726.2442344334)</f>
        <v>651726.2442</v>
      </c>
      <c r="Z11" s="170">
        <f>IFERROR(__xludf.DUMMYFUNCTION("IFERROR(Y11 * (1 + AVERAGE(Filter('Inflation Data'!$C:$C,'Inflation Data'!$A:$A = Z$1))) + 'Fund YTD Contributions'!Z11,'Fund YTD Contributions'!Z11)"),662296.6235268419)</f>
        <v>662296.6235</v>
      </c>
      <c r="AA11" s="170">
        <f>IFERROR(__xludf.DUMMYFUNCTION("IFERROR(Z11 * (1 + AVERAGE(Filter('Inflation Data'!$C:$C,'Inflation Data'!$A:$A = AA$1))) + 'Fund YTD Contributions'!AA11,'Fund YTD Contributions'!AA11)"),663084.0912870718)</f>
        <v>663084.0913</v>
      </c>
      <c r="AB11" s="170">
        <f>IFERROR(__xludf.DUMMYFUNCTION("IFERROR(AA11 * (1 + AVERAGE(Filter('Inflation Data'!$C:$C,'Inflation Data'!$A:$A = AB$1))) + 'Fund YTD Contributions'!AB11,'Fund YTD Contributions'!AB11)"),671451.1770580491)</f>
        <v>671451.1771</v>
      </c>
      <c r="AC11" s="170">
        <f>IFERROR(__xludf.DUMMYFUNCTION("IFERROR(AB11 * (1 + AVERAGE(Filter('Inflation Data'!$C:$C,'Inflation Data'!$A:$A = AC$1))) + 'Fund YTD Contributions'!AC11,'Fund YTD Contributions'!AC11)"),685763.9305623067)</f>
        <v>685763.9306</v>
      </c>
      <c r="AD11" s="170">
        <f>IFERROR(__xludf.DUMMYFUNCTION("IFERROR(AC11 * (1 + AVERAGE(Filter('Inflation Data'!$C:$C,'Inflation Data'!$A:$A = AD$1))) + 'Fund YTD Contributions'!AD11,'Fund YTD Contributions'!AD11)"),702514.980315066)</f>
        <v>702514.9803</v>
      </c>
      <c r="AE11" s="170">
        <f>IFERROR(__xludf.DUMMYFUNCTION("IFERROR(AD11 * (1 + AVERAGE(Filter('Inflation Data'!$C:$C,'Inflation Data'!$A:$A = AE$1))) + 'Fund YTD Contributions'!AE11,'Fund YTD Contributions'!AE11)"),714767.6303555806)</f>
        <v>714767.6304</v>
      </c>
      <c r="AF11" s="170" t="str">
        <f>IFERROR(__xludf.DUMMYFUNCTION("IFERROR(AE11 * (1 + AVERAGE(Filter('Inflation Data'!$C:$C,'Inflation Data'!$A:$A = AF$1))) + 'Fund YTD Contributions'!AF11,'Fund YTD Contributions'!AF11)"),"")</f>
        <v/>
      </c>
    </row>
    <row r="12">
      <c r="A12" s="153" t="str">
        <f>'Endowed Funds'!B:B</f>
        <v>Fred G. Myers Research Fellowship</v>
      </c>
      <c r="B12" s="170" t="str">
        <f>IFERROR(__xludf.DUMMYFUNCTION("IFERROR(A12 * (1 + AVERAGE(Filter('Inflation Data'!$C:$C,'Inflation Data'!$A:$A = B$1))) + 'Fund YTD Contributions'!B12,'Fund YTD Contributions'!B12)"),"  ")</f>
        <v/>
      </c>
      <c r="C12" s="170">
        <f>IFERROR(__xludf.DUMMYFUNCTION("IFERROR(B12 * (1 + AVERAGE(Filter('Inflation Data'!$C:$C,'Inflation Data'!$A:$A = C$1))) + 'Fund YTD Contributions'!C12,'Fund YTD Contributions'!C12)"),0.0)</f>
        <v>0</v>
      </c>
      <c r="D12" s="170">
        <f>IFERROR(__xludf.DUMMYFUNCTION("IFERROR(C12 * (1 + AVERAGE(Filter('Inflation Data'!$C:$C,'Inflation Data'!$A:$A = D$1))) + 'Fund YTD Contributions'!D12,'Fund YTD Contributions'!D12)"),0.0)</f>
        <v>0</v>
      </c>
      <c r="E12" s="170">
        <f>IFERROR(__xludf.DUMMYFUNCTION("IFERROR(D12 * (1 + AVERAGE(Filter('Inflation Data'!$C:$C,'Inflation Data'!$A:$A = E$1))) + 'Fund YTD Contributions'!E12,'Fund YTD Contributions'!E12)"),0.0)</f>
        <v>0</v>
      </c>
      <c r="F12" s="170">
        <f>IFERROR(__xludf.DUMMYFUNCTION("IFERROR(E12 * (1 + AVERAGE(Filter('Inflation Data'!$C:$C,'Inflation Data'!$A:$A = F$1))) + 'Fund YTD Contributions'!F12,'Fund YTD Contributions'!F12)"),0.0)</f>
        <v>0</v>
      </c>
      <c r="G12" s="170">
        <f>IFERROR(__xludf.DUMMYFUNCTION("IFERROR(F12 * (1 + AVERAGE(Filter('Inflation Data'!$C:$C,'Inflation Data'!$A:$A = G$1))) + 'Fund YTD Contributions'!G12,'Fund YTD Contributions'!G12)"),0.0)</f>
        <v>0</v>
      </c>
      <c r="H12" s="170">
        <f>IFERROR(__xludf.DUMMYFUNCTION("IFERROR(G12 * (1 + AVERAGE(Filter('Inflation Data'!$C:$C,'Inflation Data'!$A:$A = H$1))) + 'Fund YTD Contributions'!H12,'Fund YTD Contributions'!H12)"),11540.75)</f>
        <v>11540.75</v>
      </c>
      <c r="I12" s="170">
        <f>IFERROR(__xludf.DUMMYFUNCTION("IFERROR(H12 * (1 + AVERAGE(Filter('Inflation Data'!$C:$C,'Inflation Data'!$A:$A = I$1))) + 'Fund YTD Contributions'!I12,'Fund YTD Contributions'!I12)"),11810.919678796876)</f>
        <v>11810.91968</v>
      </c>
      <c r="J12" s="170">
        <f>IFERROR(__xludf.DUMMYFUNCTION("IFERROR(I12 * (1 + AVERAGE(Filter('Inflation Data'!$C:$C,'Inflation Data'!$A:$A = J$1))) + 'Fund YTD Contributions'!J12,'Fund YTD Contributions'!J12)"),11994.254348805249)</f>
        <v>11994.25435</v>
      </c>
      <c r="K12" s="170">
        <f>IFERROR(__xludf.DUMMYFUNCTION("IFERROR(J12 * (1 + AVERAGE(Filter('Inflation Data'!$C:$C,'Inflation Data'!$A:$A = K$1))) + 'Fund YTD Contributions'!K12,'Fund YTD Contributions'!K12)"),12256.492659835303)</f>
        <v>12256.49266</v>
      </c>
      <c r="L12" s="170">
        <f>IFERROR(__xludf.DUMMYFUNCTION("IFERROR(K12 * (1 + AVERAGE(Filter('Inflation Data'!$C:$C,'Inflation Data'!$A:$A = L$1))) + 'Fund YTD Contributions'!L12,'Fund YTD Contributions'!L12)"),12670.27662695661)</f>
        <v>12670.27663</v>
      </c>
      <c r="M12" s="170">
        <f>IFERROR(__xludf.DUMMYFUNCTION("IFERROR(L12 * (1 + AVERAGE(Filter('Inflation Data'!$C:$C,'Inflation Data'!$A:$A = M$1))) + 'Fund YTD Contributions'!M12,'Fund YTD Contributions'!M12)"),13029.062729626505)</f>
        <v>13029.06273</v>
      </c>
      <c r="N12" s="170">
        <f>IFERROR(__xludf.DUMMYFUNCTION("IFERROR(M12 * (1 + AVERAGE(Filter('Inflation Data'!$C:$C,'Inflation Data'!$A:$A = N$1))) + 'Fund YTD Contributions'!N12,'Fund YTD Contributions'!N12)"),13235.650560230206)</f>
        <v>13235.65056</v>
      </c>
      <c r="O12" s="170">
        <f>IFERROR(__xludf.DUMMYFUNCTION("IFERROR(N12 * (1 + AVERAGE(Filter('Inflation Data'!$C:$C,'Inflation Data'!$A:$A = O$1))) + 'Fund YTD Contributions'!O12,'Fund YTD Contributions'!O12)"),13536.400136034878)</f>
        <v>13536.40014</v>
      </c>
      <c r="P12" s="170">
        <f>IFERROR(__xludf.DUMMYFUNCTION("IFERROR(O12 * (1 + AVERAGE(Filter('Inflation Data'!$C:$C,'Inflation Data'!$A:$A = P$1))) + 'Fund YTD Contributions'!P12,'Fund YTD Contributions'!P12)"),13898.61551554675)</f>
        <v>13898.61552</v>
      </c>
      <c r="Q12" s="170">
        <f>IFERROR(__xludf.DUMMYFUNCTION("IFERROR(P12 * (1 + AVERAGE(Filter('Inflation Data'!$C:$C,'Inflation Data'!$A:$A = Q$1))) + 'Fund YTD Contributions'!Q12,'Fund YTD Contributions'!Q12)"),14369.825441864212)</f>
        <v>14369.82544</v>
      </c>
      <c r="R12" s="170">
        <f>IFERROR(__xludf.DUMMYFUNCTION("IFERROR(Q12 * (1 + AVERAGE(Filter('Inflation Data'!$C:$C,'Inflation Data'!$A:$A = R$1))) + 'Fund YTD Contributions'!R12,'Fund YTD Contributions'!R12)"),14834.720919301859)</f>
        <v>14834.72092</v>
      </c>
      <c r="S12" s="170">
        <f>IFERROR(__xludf.DUMMYFUNCTION("IFERROR(R12 * (1 + AVERAGE(Filter('Inflation Data'!$C:$C,'Inflation Data'!$A:$A = S$1))) + 'Fund YTD Contributions'!S12,'Fund YTD Contributions'!S12)"),15257.859484453484)</f>
        <v>15257.85948</v>
      </c>
      <c r="T12" s="170">
        <f>IFERROR(__xludf.DUMMYFUNCTION("IFERROR(S12 * (1 + AVERAGE(Filter('Inflation Data'!$C:$C,'Inflation Data'!$A:$A = T$1))) + 'Fund YTD Contributions'!T12,'Fund YTD Contributions'!T12)"),15844.620748623396)</f>
        <v>15844.62075</v>
      </c>
      <c r="U12" s="170">
        <f>IFERROR(__xludf.DUMMYFUNCTION("IFERROR(T12 * (1 + AVERAGE(Filter('Inflation Data'!$C:$C,'Inflation Data'!$A:$A = U$1))) + 'Fund YTD Contributions'!U12,'Fund YTD Contributions'!U12)"),15791.097619734546)</f>
        <v>15791.09762</v>
      </c>
      <c r="V12" s="170">
        <f>IFERROR(__xludf.DUMMYFUNCTION("IFERROR(U12 * (1 + AVERAGE(Filter('Inflation Data'!$C:$C,'Inflation Data'!$A:$A = V$1))) + 'Fund YTD Contributions'!V12,'Fund YTD Contributions'!V12)"),16050.753719791726)</f>
        <v>16050.75372</v>
      </c>
      <c r="W12" s="170">
        <f>IFERROR(__xludf.DUMMYFUNCTION("IFERROR(V12 * (1 + AVERAGE(Filter('Inflation Data'!$C:$C,'Inflation Data'!$A:$A = W$1))) + 'Fund YTD Contributions'!W12,'Fund YTD Contributions'!W12)"),16557.187329881835)</f>
        <v>16557.18733</v>
      </c>
      <c r="X12" s="170">
        <f>IFERROR(__xludf.DUMMYFUNCTION("IFERROR(W12 * (1 + AVERAGE(Filter('Inflation Data'!$C:$C,'Inflation Data'!$A:$A = X$1))) + 'Fund YTD Contributions'!X12,'Fund YTD Contributions'!X12)"),16900.449733069567)</f>
        <v>16900.44973</v>
      </c>
      <c r="Y12" s="170">
        <f>IFERROR(__xludf.DUMMYFUNCTION("IFERROR(X12 * (1 + AVERAGE(Filter('Inflation Data'!$C:$C,'Inflation Data'!$A:$A = Y$1))) + 'Fund YTD Contributions'!Y12,'Fund YTD Contributions'!Y12)"),17148.21802149448)</f>
        <v>17148.21802</v>
      </c>
      <c r="Z12" s="170">
        <f>IFERROR(__xludf.DUMMYFUNCTION("IFERROR(Y12 * (1 + AVERAGE(Filter('Inflation Data'!$C:$C,'Inflation Data'!$A:$A = Z$1))) + 'Fund YTD Contributions'!Z12,'Fund YTD Contributions'!Z12)"),17426.34579412858)</f>
        <v>17426.34579</v>
      </c>
      <c r="AA12" s="170">
        <f>IFERROR(__xludf.DUMMYFUNCTION("IFERROR(Z12 * (1 + AVERAGE(Filter('Inflation Data'!$C:$C,'Inflation Data'!$A:$A = AA$1))) + 'Fund YTD Contributions'!AA12,'Fund YTD Contributions'!AA12)"),17447.065642311438)</f>
        <v>17447.06564</v>
      </c>
      <c r="AB12" s="170">
        <f>IFERROR(__xludf.DUMMYFUNCTION("IFERROR(AA12 * (1 + AVERAGE(Filter('Inflation Data'!$C:$C,'Inflation Data'!$A:$A = AB$1))) + 'Fund YTD Contributions'!AB12,'Fund YTD Contributions'!AB12)"),17667.220365670488)</f>
        <v>17667.22037</v>
      </c>
      <c r="AC12" s="170">
        <f>IFERROR(__xludf.DUMMYFUNCTION("IFERROR(AB12 * (1 + AVERAGE(Filter('Inflation Data'!$C:$C,'Inflation Data'!$A:$A = AC$1))) + 'Fund YTD Contributions'!AC12,'Fund YTD Contributions'!AC12)"),18043.81747181776)</f>
        <v>18043.81747</v>
      </c>
      <c r="AD12" s="170">
        <f>IFERROR(__xludf.DUMMYFUNCTION("IFERROR(AC12 * (1 + AVERAGE(Filter('Inflation Data'!$C:$C,'Inflation Data'!$A:$A = AD$1))) + 'Fund YTD Contributions'!AD12,'Fund YTD Contributions'!AD12)"),18484.57101794301)</f>
        <v>18484.57102</v>
      </c>
      <c r="AE12" s="170">
        <f>IFERROR(__xludf.DUMMYFUNCTION("IFERROR(AD12 * (1 + AVERAGE(Filter('Inflation Data'!$C:$C,'Inflation Data'!$A:$A = AE$1))) + 'Fund YTD Contributions'!AE12,'Fund YTD Contributions'!AE12)"),18806.962690972276)</f>
        <v>18806.96269</v>
      </c>
      <c r="AF12" s="170" t="str">
        <f>IFERROR(__xludf.DUMMYFUNCTION("IFERROR(AE12 * (1 + AVERAGE(Filter('Inflation Data'!$C:$C,'Inflation Data'!$A:$A = AF$1))) + 'Fund YTD Contributions'!AF12,'Fund YTD Contributions'!AF12)"),"")</f>
        <v/>
      </c>
    </row>
    <row r="13">
      <c r="A13" s="153" t="str">
        <f>'Endowed Funds'!B:B</f>
        <v>General Education Fund</v>
      </c>
      <c r="B13" s="170" t="str">
        <f>IFERROR(__xludf.DUMMYFUNCTION("IFERROR(A13 * (1 + AVERAGE(Filter('Inflation Data'!$C:$C,'Inflation Data'!$A:$A = B$1))) + 'Fund YTD Contributions'!B13,'Fund YTD Contributions'!B13)"),"  ")</f>
        <v/>
      </c>
      <c r="C13" s="170">
        <f>IFERROR(__xludf.DUMMYFUNCTION("IFERROR(B13 * (1 + AVERAGE(Filter('Inflation Data'!$C:$C,'Inflation Data'!$A:$A = C$1))) + 'Fund YTD Contributions'!C13,'Fund YTD Contributions'!C13)"),0.0)</f>
        <v>0</v>
      </c>
      <c r="D13" s="170">
        <f>IFERROR(__xludf.DUMMYFUNCTION("IFERROR(C13 * (1 + AVERAGE(Filter('Inflation Data'!$C:$C,'Inflation Data'!$A:$A = D$1))) + 'Fund YTD Contributions'!D13,'Fund YTD Contributions'!D13)"),0.0)</f>
        <v>0</v>
      </c>
      <c r="E13" s="170">
        <f>IFERROR(__xludf.DUMMYFUNCTION("IFERROR(D13 * (1 + AVERAGE(Filter('Inflation Data'!$C:$C,'Inflation Data'!$A:$A = E$1))) + 'Fund YTD Contributions'!E13,'Fund YTD Contributions'!E13)"),0.0)</f>
        <v>0</v>
      </c>
      <c r="F13" s="170">
        <f>IFERROR(__xludf.DUMMYFUNCTION("IFERROR(E13 * (1 + AVERAGE(Filter('Inflation Data'!$C:$C,'Inflation Data'!$A:$A = F$1))) + 'Fund YTD Contributions'!F13,'Fund YTD Contributions'!F13)"),0.0)</f>
        <v>0</v>
      </c>
      <c r="G13" s="170">
        <f>IFERROR(__xludf.DUMMYFUNCTION("IFERROR(F13 * (1 + AVERAGE(Filter('Inflation Data'!$C:$C,'Inflation Data'!$A:$A = G$1))) + 'Fund YTD Contributions'!G13,'Fund YTD Contributions'!G13)"),0.0)</f>
        <v>0</v>
      </c>
      <c r="H13" s="170">
        <f>IFERROR(__xludf.DUMMYFUNCTION("IFERROR(G13 * (1 + AVERAGE(Filter('Inflation Data'!$C:$C,'Inflation Data'!$A:$A = H$1))) + 'Fund YTD Contributions'!H13,'Fund YTD Contributions'!H13)"),268867.24)</f>
        <v>268867.24</v>
      </c>
      <c r="I13" s="170">
        <f>IFERROR(__xludf.DUMMYFUNCTION("IFERROR(H13 * (1 + AVERAGE(Filter('Inflation Data'!$C:$C,'Inflation Data'!$A:$A = I$1))) + 'Fund YTD Contributions'!I13,'Fund YTD Contributions'!I13)"),275161.4388926025)</f>
        <v>275161.4389</v>
      </c>
      <c r="J13" s="170">
        <f>IFERROR(__xludf.DUMMYFUNCTION("IFERROR(I13 * (1 + AVERAGE(Filter('Inflation Data'!$C:$C,'Inflation Data'!$A:$A = J$1))) + 'Fund YTD Contributions'!J13,'Fund YTD Contributions'!J13)"),279432.62462329265)</f>
        <v>279432.6246</v>
      </c>
      <c r="K13" s="170">
        <f>IFERROR(__xludf.DUMMYFUNCTION("IFERROR(J13 * (1 + AVERAGE(Filter('Inflation Data'!$C:$C,'Inflation Data'!$A:$A = K$1))) + 'Fund YTD Contributions'!K13,'Fund YTD Contributions'!K13)"),285542.0448003966)</f>
        <v>285542.0448</v>
      </c>
      <c r="L13" s="170">
        <f>IFERROR(__xludf.DUMMYFUNCTION("IFERROR(K13 * (1 + AVERAGE(Filter('Inflation Data'!$C:$C,'Inflation Data'!$A:$A = L$1))) + 'Fund YTD Contributions'!L13,'Fund YTD Contributions'!L13)"),295282.05547527963)</f>
        <v>295282.0555</v>
      </c>
      <c r="M13" s="170">
        <f>IFERROR(__xludf.DUMMYFUNCTION("IFERROR(L13 * (1 + AVERAGE(Filter('Inflation Data'!$C:$C,'Inflation Data'!$A:$A = M$1))) + 'Fund YTD Contributions'!M13,'Fund YTD Contributions'!M13)"),313743.6012403447)</f>
        <v>313743.6012</v>
      </c>
      <c r="N13" s="170">
        <f>IFERROR(__xludf.DUMMYFUNCTION("IFERROR(M13 * (1 + AVERAGE(Filter('Inflation Data'!$C:$C,'Inflation Data'!$A:$A = N$1))) + 'Fund YTD Contributions'!N13,'Fund YTD Contributions'!N13)"),328718.29598938854)</f>
        <v>328718.296</v>
      </c>
      <c r="O13" s="170">
        <f>IFERROR(__xludf.DUMMYFUNCTION("IFERROR(N13 * (1 + AVERAGE(Filter('Inflation Data'!$C:$C,'Inflation Data'!$A:$A = O$1))) + 'Fund YTD Contributions'!O13,'Fund YTD Contributions'!O13)"),346187.65970733814)</f>
        <v>346187.6597</v>
      </c>
      <c r="P13" s="170">
        <f>IFERROR(__xludf.DUMMYFUNCTION("IFERROR(O13 * (1 + AVERAGE(Filter('Inflation Data'!$C:$C,'Inflation Data'!$A:$A = P$1))) + 'Fund YTD Contributions'!P13,'Fund YTD Contributions'!P13)"),375451.16354019335)</f>
        <v>375451.1635</v>
      </c>
      <c r="Q13" s="170">
        <f>IFERROR(__xludf.DUMMYFUNCTION("IFERROR(P13 * (1 + AVERAGE(Filter('Inflation Data'!$C:$C,'Inflation Data'!$A:$A = Q$1))) + 'Fund YTD Contributions'!Q13,'Fund YTD Contributions'!Q13)"),418180.22384909133)</f>
        <v>418180.2238</v>
      </c>
      <c r="R13" s="170">
        <f>IFERROR(__xludf.DUMMYFUNCTION("IFERROR(Q13 * (1 + AVERAGE(Filter('Inflation Data'!$C:$C,'Inflation Data'!$A:$A = R$1))) + 'Fund YTD Contributions'!R13,'Fund YTD Contributions'!R13)"),473709.274400737)</f>
        <v>473709.2744</v>
      </c>
      <c r="S13" s="170">
        <f>IFERROR(__xludf.DUMMYFUNCTION("IFERROR(R13 * (1 + AVERAGE(Filter('Inflation Data'!$C:$C,'Inflation Data'!$A:$A = S$1))) + 'Fund YTD Contributions'!S13,'Fund YTD Contributions'!S13)"),507221.13375820837)</f>
        <v>507221.1338</v>
      </c>
      <c r="T13" s="170">
        <f>IFERROR(__xludf.DUMMYFUNCTION("IFERROR(S13 * (1 + AVERAGE(Filter('Inflation Data'!$C:$C,'Inflation Data'!$A:$A = T$1))) + 'Fund YTD Contributions'!T13,'Fund YTD Contributions'!T13)"),544726.996553767)</f>
        <v>544726.9966</v>
      </c>
      <c r="U13" s="170">
        <f>IFERROR(__xludf.DUMMYFUNCTION("IFERROR(T13 * (1 + AVERAGE(Filter('Inflation Data'!$C:$C,'Inflation Data'!$A:$A = U$1))) + 'Fund YTD Contributions'!U13,'Fund YTD Contributions'!U13)"),542886.9087594084)</f>
        <v>542886.9088</v>
      </c>
      <c r="V13" s="170">
        <f>IFERROR(__xludf.DUMMYFUNCTION("IFERROR(U13 * (1 + AVERAGE(Filter('Inflation Data'!$C:$C,'Inflation Data'!$A:$A = V$1))) + 'Fund YTD Contributions'!V13,'Fund YTD Contributions'!V13)"),551813.7041535677)</f>
        <v>551813.7042</v>
      </c>
      <c r="W13" s="170">
        <f>IFERROR(__xludf.DUMMYFUNCTION("IFERROR(V13 * (1 + AVERAGE(Filter('Inflation Data'!$C:$C,'Inflation Data'!$A:$A = W$1))) + 'Fund YTD Contributions'!W13,'Fund YTD Contributions'!W13)"),569224.5380103664)</f>
        <v>569224.538</v>
      </c>
      <c r="X13" s="170">
        <f>IFERROR(__xludf.DUMMYFUNCTION("IFERROR(W13 * (1 + AVERAGE(Filter('Inflation Data'!$C:$C,'Inflation Data'!$A:$A = X$1))) + 'Fund YTD Contributions'!X13,'Fund YTD Contributions'!X13)"),581025.6597213121)</f>
        <v>581025.6597</v>
      </c>
      <c r="Y13" s="170">
        <f>IFERROR(__xludf.DUMMYFUNCTION("IFERROR(X13 * (1 + AVERAGE(Filter('Inflation Data'!$C:$C,'Inflation Data'!$A:$A = Y$1))) + 'Fund YTD Contributions'!Y13,'Fund YTD Contributions'!Y13)"),589543.7604531769)</f>
        <v>589543.7605</v>
      </c>
      <c r="Z13" s="170">
        <f>IFERROR(__xludf.DUMMYFUNCTION("IFERROR(Y13 * (1 + AVERAGE(Filter('Inflation Data'!$C:$C,'Inflation Data'!$A:$A = Z$1))) + 'Fund YTD Contributions'!Z13,'Fund YTD Contributions'!Z13)"),599105.5990511961)</f>
        <v>599105.5991</v>
      </c>
      <c r="AA13" s="170">
        <f>IFERROR(__xludf.DUMMYFUNCTION("IFERROR(Z13 * (1 + AVERAGE(Filter('Inflation Data'!$C:$C,'Inflation Data'!$A:$A = AA$1))) + 'Fund YTD Contributions'!AA13,'Fund YTD Contributions'!AA13)"),599817.9329624183)</f>
        <v>599817.933</v>
      </c>
      <c r="AB13" s="170">
        <f>IFERROR(__xludf.DUMMYFUNCTION("IFERROR(AA13 * (1 + AVERAGE(Filter('Inflation Data'!$C:$C,'Inflation Data'!$A:$A = AB$1))) + 'Fund YTD Contributions'!AB13,'Fund YTD Contributions'!AB13)"),607386.698610717)</f>
        <v>607386.6986</v>
      </c>
      <c r="AC13" s="170">
        <f>IFERROR(__xludf.DUMMYFUNCTION("IFERROR(AB13 * (1 + AVERAGE(Filter('Inflation Data'!$C:$C,'Inflation Data'!$A:$A = AC$1))) + 'Fund YTD Contributions'!AC13,'Fund YTD Contributions'!AC13)"),620333.8441307677)</f>
        <v>620333.8441</v>
      </c>
      <c r="AD13" s="170">
        <f>IFERROR(__xludf.DUMMYFUNCTION("IFERROR(AC13 * (1 + AVERAGE(Filter('Inflation Data'!$C:$C,'Inflation Data'!$A:$A = AD$1))) + 'Fund YTD Contributions'!AD13,'Fund YTD Contributions'!AD13)"),635486.6432548546)</f>
        <v>635486.6433</v>
      </c>
      <c r="AE13" s="170">
        <f>IFERROR(__xludf.DUMMYFUNCTION("IFERROR(AD13 * (1 + AVERAGE(Filter('Inflation Data'!$C:$C,'Inflation Data'!$A:$A = AE$1))) + 'Fund YTD Contributions'!AE13,'Fund YTD Contributions'!AE13)"),646570.2438376223)</f>
        <v>646570.2438</v>
      </c>
      <c r="AF13" s="170" t="str">
        <f>IFERROR(__xludf.DUMMYFUNCTION("IFERROR(AE13 * (1 + AVERAGE(Filter('Inflation Data'!$C:$C,'Inflation Data'!$A:$A = AF$1))) + 'Fund YTD Contributions'!AF13,'Fund YTD Contributions'!AF13)"),"")</f>
        <v/>
      </c>
    </row>
    <row r="14">
      <c r="A14" s="153" t="str">
        <f>'Endowed Funds'!B:B</f>
        <v>General Endowment</v>
      </c>
      <c r="B14" s="170" t="str">
        <f>IFERROR(__xludf.DUMMYFUNCTION("IFERROR(A14 * (1 + AVERAGE(Filter('Inflation Data'!$C:$C,'Inflation Data'!$A:$A = B$1))) + 'Fund YTD Contributions'!B14,'Fund YTD Contributions'!B14)"),"  ")</f>
        <v/>
      </c>
      <c r="C14" s="170">
        <f>IFERROR(__xludf.DUMMYFUNCTION("IFERROR(B14 * (1 + AVERAGE(Filter('Inflation Data'!$C:$C,'Inflation Data'!$A:$A = C$1))) + 'Fund YTD Contributions'!C14,'Fund YTD Contributions'!C14)"),0.0)</f>
        <v>0</v>
      </c>
      <c r="D14" s="170">
        <f>IFERROR(__xludf.DUMMYFUNCTION("IFERROR(C14 * (1 + AVERAGE(Filter('Inflation Data'!$C:$C,'Inflation Data'!$A:$A = D$1))) + 'Fund YTD Contributions'!D14,'Fund YTD Contributions'!D14)"),0.0)</f>
        <v>0</v>
      </c>
      <c r="E14" s="170">
        <f>IFERROR(__xludf.DUMMYFUNCTION("IFERROR(D14 * (1 + AVERAGE(Filter('Inflation Data'!$C:$C,'Inflation Data'!$A:$A = E$1))) + 'Fund YTD Contributions'!E14,'Fund YTD Contributions'!E14)"),0.0)</f>
        <v>0</v>
      </c>
      <c r="F14" s="170">
        <f>IFERROR(__xludf.DUMMYFUNCTION("IFERROR(E14 * (1 + AVERAGE(Filter('Inflation Data'!$C:$C,'Inflation Data'!$A:$A = F$1))) + 'Fund YTD Contributions'!F14,'Fund YTD Contributions'!F14)"),0.0)</f>
        <v>0</v>
      </c>
      <c r="G14" s="170">
        <f>IFERROR(__xludf.DUMMYFUNCTION("IFERROR(F14 * (1 + AVERAGE(Filter('Inflation Data'!$C:$C,'Inflation Data'!$A:$A = G$1))) + 'Fund YTD Contributions'!G14,'Fund YTD Contributions'!G14)"),0.0)</f>
        <v>0</v>
      </c>
      <c r="H14" s="170">
        <f>IFERROR(__xludf.DUMMYFUNCTION("IFERROR(G14 * (1 + AVERAGE(Filter('Inflation Data'!$C:$C,'Inflation Data'!$A:$A = H$1))) + 'Fund YTD Contributions'!H14,'Fund YTD Contributions'!H14)"),0.0)</f>
        <v>0</v>
      </c>
      <c r="I14" s="170">
        <f>IFERROR(__xludf.DUMMYFUNCTION("IFERROR(H14 * (1 + AVERAGE(Filter('Inflation Data'!$C:$C,'Inflation Data'!$A:$A = I$1))) + 'Fund YTD Contributions'!I14,'Fund YTD Contributions'!I14)"),0.0)</f>
        <v>0</v>
      </c>
      <c r="J14" s="170">
        <f>IFERROR(__xludf.DUMMYFUNCTION("IFERROR(I14 * (1 + AVERAGE(Filter('Inflation Data'!$C:$C,'Inflation Data'!$A:$A = J$1))) + 'Fund YTD Contributions'!J14,'Fund YTD Contributions'!J14)"),0.0)</f>
        <v>0</v>
      </c>
      <c r="K14" s="170">
        <f>IFERROR(__xludf.DUMMYFUNCTION("IFERROR(J14 * (1 + AVERAGE(Filter('Inflation Data'!$C:$C,'Inflation Data'!$A:$A = K$1))) + 'Fund YTD Contributions'!K14,'Fund YTD Contributions'!K14)"),55000.0)</f>
        <v>55000</v>
      </c>
      <c r="L14" s="170">
        <f>IFERROR(__xludf.DUMMYFUNCTION("IFERROR(K14 * (1 + AVERAGE(Filter('Inflation Data'!$C:$C,'Inflation Data'!$A:$A = L$1))) + 'Fund YTD Contributions'!L14,'Fund YTD Contributions'!L14)"),206817.46142708336)</f>
        <v>206817.4614</v>
      </c>
      <c r="M14" s="170">
        <f>IFERROR(__xludf.DUMMYFUNCTION("IFERROR(L14 * (1 + AVERAGE(Filter('Inflation Data'!$C:$C,'Inflation Data'!$A:$A = M$1))) + 'Fund YTD Contributions'!M14,'Fund YTD Contributions'!M14)"),489159.1121602375)</f>
        <v>489159.1122</v>
      </c>
      <c r="N14" s="170">
        <f>IFERROR(__xludf.DUMMYFUNCTION("IFERROR(M14 * (1 + AVERAGE(Filter('Inflation Data'!$C:$C,'Inflation Data'!$A:$A = N$1))) + 'Fund YTD Contributions'!N14,'Fund YTD Contributions'!N14)"),801236.8319480843)</f>
        <v>801236.8319</v>
      </c>
      <c r="O14" s="170">
        <f>IFERROR(__xludf.DUMMYFUNCTION("IFERROR(N14 * (1 + AVERAGE(Filter('Inflation Data'!$C:$C,'Inflation Data'!$A:$A = O$1))) + 'Fund YTD Contributions'!O14,'Fund YTD Contributions'!O14)"),1049443.0875628649)</f>
        <v>1049443.088</v>
      </c>
      <c r="P14" s="170">
        <f>IFERROR(__xludf.DUMMYFUNCTION("IFERROR(O14 * (1 + AVERAGE(Filter('Inflation Data'!$C:$C,'Inflation Data'!$A:$A = P$1))) + 'Fund YTD Contributions'!P14,'Fund YTD Contributions'!P14)"),1317524.735742411)</f>
        <v>1317524.736</v>
      </c>
      <c r="Q14" s="170">
        <f>IFERROR(__xludf.DUMMYFUNCTION("IFERROR(P14 * (1 + AVERAGE(Filter('Inflation Data'!$C:$C,'Inflation Data'!$A:$A = Q$1))) + 'Fund YTD Contributions'!Q14,'Fund YTD Contributions'!Q14)"),1398193.266428519)</f>
        <v>1398193.266</v>
      </c>
      <c r="R14" s="170">
        <f>IFERROR(__xludf.DUMMYFUNCTION("IFERROR(Q14 * (1 + AVERAGE(Filter('Inflation Data'!$C:$C,'Inflation Data'!$A:$A = R$1))) + 'Fund YTD Contributions'!R14,'Fund YTD Contributions'!R14)"),1519527.8956713125)</f>
        <v>1519527.896</v>
      </c>
      <c r="S14" s="170">
        <f>IFERROR(__xludf.DUMMYFUNCTION("IFERROR(R14 * (1 + AVERAGE(Filter('Inflation Data'!$C:$C,'Inflation Data'!$A:$A = S$1))) + 'Fund YTD Contributions'!S14,'Fund YTD Contributions'!S14)"),1641370.1908840009)</f>
        <v>1641370.191</v>
      </c>
      <c r="T14" s="170">
        <f>IFERROR(__xludf.DUMMYFUNCTION("IFERROR(S14 * (1 + AVERAGE(Filter('Inflation Data'!$C:$C,'Inflation Data'!$A:$A = T$1))) + 'Fund YTD Contributions'!T14,'Fund YTD Contributions'!T14)"),1704491.2629554288)</f>
        <v>1704491.263</v>
      </c>
      <c r="U14" s="170">
        <f>IFERROR(__xludf.DUMMYFUNCTION("IFERROR(T14 * (1 + AVERAGE(Filter('Inflation Data'!$C:$C,'Inflation Data'!$A:$A = U$1))) + 'Fund YTD Contributions'!U14,'Fund YTD Contributions'!U14)"),1698733.4914691653)</f>
        <v>1698733.491</v>
      </c>
      <c r="V14" s="170">
        <f>IFERROR(__xludf.DUMMYFUNCTION("IFERROR(U14 * (1 + AVERAGE(Filter('Inflation Data'!$C:$C,'Inflation Data'!$A:$A = V$1))) + 'Fund YTD Contributions'!V14,'Fund YTD Contributions'!V14)"),1726666.0978055457)</f>
        <v>1726666.098</v>
      </c>
      <c r="W14" s="170">
        <f>IFERROR(__xludf.DUMMYFUNCTION("IFERROR(V14 * (1 + AVERAGE(Filter('Inflation Data'!$C:$C,'Inflation Data'!$A:$A = W$1))) + 'Fund YTD Contributions'!W14,'Fund YTD Contributions'!W14)"),1781145.8911284984)</f>
        <v>1781145.891</v>
      </c>
      <c r="X14" s="170">
        <f>IFERROR(__xludf.DUMMYFUNCTION("IFERROR(W14 * (1 + AVERAGE(Filter('Inflation Data'!$C:$C,'Inflation Data'!$A:$A = X$1))) + 'Fund YTD Contributions'!X14,'Fund YTD Contributions'!X14)"),1818072.4781650107)</f>
        <v>1818072.478</v>
      </c>
      <c r="Y14" s="170">
        <f>IFERROR(__xludf.DUMMYFUNCTION("IFERROR(X14 * (1 + AVERAGE(Filter('Inflation Data'!$C:$C,'Inflation Data'!$A:$A = Y$1))) + 'Fund YTD Contributions'!Y14,'Fund YTD Contributions'!Y14)"),1844726.2485239115)</f>
        <v>1844726.249</v>
      </c>
      <c r="Z14" s="170">
        <f>IFERROR(__xludf.DUMMYFUNCTION("IFERROR(Y14 * (1 + AVERAGE(Filter('Inflation Data'!$C:$C,'Inflation Data'!$A:$A = Z$1))) + 'Fund YTD Contributions'!Z14,'Fund YTD Contributions'!Z14)"),1874645.952249308)</f>
        <v>1874645.952</v>
      </c>
      <c r="AA14" s="170">
        <f>IFERROR(__xludf.DUMMYFUNCTION("IFERROR(Z14 * (1 + AVERAGE(Filter('Inflation Data'!$C:$C,'Inflation Data'!$A:$A = AA$1))) + 'Fund YTD Contributions'!AA14,'Fund YTD Contributions'!AA14)"),1876874.898006846)</f>
        <v>1876874.898</v>
      </c>
      <c r="AB14" s="170">
        <f>IFERROR(__xludf.DUMMYFUNCTION("IFERROR(AA14 * (1 + AVERAGE(Filter('Inflation Data'!$C:$C,'Inflation Data'!$A:$A = AB$1))) + 'Fund YTD Contributions'!AB14,'Fund YTD Contributions'!AB14)"),1900558.128323133)</f>
        <v>1900558.128</v>
      </c>
      <c r="AC14" s="170">
        <f>IFERROR(__xludf.DUMMYFUNCTION("IFERROR(AB14 * (1 + AVERAGE(Filter('Inflation Data'!$C:$C,'Inflation Data'!$A:$A = AC$1))) + 'Fund YTD Contributions'!AC14,'Fund YTD Contributions'!AC14)"),1951070.7090447696)</f>
        <v>1951070.709</v>
      </c>
      <c r="AD14" s="170">
        <f>IFERROR(__xludf.DUMMYFUNCTION("IFERROR(AC14 * (1 + AVERAGE(Filter('Inflation Data'!$C:$C,'Inflation Data'!$A:$A = AD$1))) + 'Fund YTD Contributions'!AD14,'Fund YTD Contributions'!AD14)"),1998729.2123019495)</f>
        <v>1998729.212</v>
      </c>
      <c r="AE14" s="170">
        <f>IFERROR(__xludf.DUMMYFUNCTION("IFERROR(AD14 * (1 + AVERAGE(Filter('Inflation Data'!$C:$C,'Inflation Data'!$A:$A = AE$1))) + 'Fund YTD Contributions'!AE14,'Fund YTD Contributions'!AE14)"),2033589.293937655)</f>
        <v>2033589.294</v>
      </c>
      <c r="AF14" s="170" t="str">
        <f>IFERROR(__xludf.DUMMYFUNCTION("IFERROR(AE14 * (1 + AVERAGE(Filter('Inflation Data'!$C:$C,'Inflation Data'!$A:$A = AF$1))) + 'Fund YTD Contributions'!AF14,'Fund YTD Contributions'!AF14)"),"")</f>
        <v/>
      </c>
    </row>
    <row r="15">
      <c r="A15" s="153" t="str">
        <f>'Endowed Funds'!B:B</f>
        <v>Gomer W. Walters Research Fund</v>
      </c>
      <c r="B15" s="170" t="str">
        <f>IFERROR(__xludf.DUMMYFUNCTION("IFERROR(A15 * (1 + AVERAGE(Filter('Inflation Data'!$C:$C,'Inflation Data'!$A:$A = B$1))) + 'Fund YTD Contributions'!B15,'Fund YTD Contributions'!B15)"),"  ")</f>
        <v/>
      </c>
      <c r="C15" s="170">
        <f>IFERROR(__xludf.DUMMYFUNCTION("IFERROR(B15 * (1 + AVERAGE(Filter('Inflation Data'!$C:$C,'Inflation Data'!$A:$A = C$1))) + 'Fund YTD Contributions'!C15,'Fund YTD Contributions'!C15)"),0.0)</f>
        <v>0</v>
      </c>
      <c r="D15" s="170">
        <f>IFERROR(__xludf.DUMMYFUNCTION("IFERROR(C15 * (1 + AVERAGE(Filter('Inflation Data'!$C:$C,'Inflation Data'!$A:$A = D$1))) + 'Fund YTD Contributions'!D15,'Fund YTD Contributions'!D15)"),0.0)</f>
        <v>0</v>
      </c>
      <c r="E15" s="170">
        <f>IFERROR(__xludf.DUMMYFUNCTION("IFERROR(D15 * (1 + AVERAGE(Filter('Inflation Data'!$C:$C,'Inflation Data'!$A:$A = E$1))) + 'Fund YTD Contributions'!E15,'Fund YTD Contributions'!E15)"),0.0)</f>
        <v>0</v>
      </c>
      <c r="F15" s="170">
        <f>IFERROR(__xludf.DUMMYFUNCTION("IFERROR(E15 * (1 + AVERAGE(Filter('Inflation Data'!$C:$C,'Inflation Data'!$A:$A = F$1))) + 'Fund YTD Contributions'!F15,'Fund YTD Contributions'!F15)"),0.0)</f>
        <v>0</v>
      </c>
      <c r="G15" s="170">
        <f>IFERROR(__xludf.DUMMYFUNCTION("IFERROR(F15 * (1 + AVERAGE(Filter('Inflation Data'!$C:$C,'Inflation Data'!$A:$A = G$1))) + 'Fund YTD Contributions'!G15,'Fund YTD Contributions'!G15)"),0.0)</f>
        <v>0</v>
      </c>
      <c r="H15" s="170">
        <f>IFERROR(__xludf.DUMMYFUNCTION("IFERROR(G15 * (1 + AVERAGE(Filter('Inflation Data'!$C:$C,'Inflation Data'!$A:$A = H$1))) + 'Fund YTD Contributions'!H15,'Fund YTD Contributions'!H15)"),0.0)</f>
        <v>0</v>
      </c>
      <c r="I15" s="170">
        <f>IFERROR(__xludf.DUMMYFUNCTION("IFERROR(H15 * (1 + AVERAGE(Filter('Inflation Data'!$C:$C,'Inflation Data'!$A:$A = I$1))) + 'Fund YTD Contributions'!I15,'Fund YTD Contributions'!I15)"),0.0)</f>
        <v>0</v>
      </c>
      <c r="J15" s="170">
        <f>IFERROR(__xludf.DUMMYFUNCTION("IFERROR(I15 * (1 + AVERAGE(Filter('Inflation Data'!$C:$C,'Inflation Data'!$A:$A = J$1))) + 'Fund YTD Contributions'!J15,'Fund YTD Contributions'!J15)"),0.0)</f>
        <v>0</v>
      </c>
      <c r="K15" s="170">
        <f>IFERROR(__xludf.DUMMYFUNCTION("IFERROR(J15 * (1 + AVERAGE(Filter('Inflation Data'!$C:$C,'Inflation Data'!$A:$A = K$1))) + 'Fund YTD Contributions'!K15,'Fund YTD Contributions'!K15)"),0.0)</f>
        <v>0</v>
      </c>
      <c r="L15" s="170">
        <f>IFERROR(__xludf.DUMMYFUNCTION("IFERROR(K15 * (1 + AVERAGE(Filter('Inflation Data'!$C:$C,'Inflation Data'!$A:$A = L$1))) + 'Fund YTD Contributions'!L15,'Fund YTD Contributions'!L15)"),0.0)</f>
        <v>0</v>
      </c>
      <c r="M15" s="170">
        <f>IFERROR(__xludf.DUMMYFUNCTION("IFERROR(L15 * (1 + AVERAGE(Filter('Inflation Data'!$C:$C,'Inflation Data'!$A:$A = M$1))) + 'Fund YTD Contributions'!M15,'Fund YTD Contributions'!M15)"),0.0)</f>
        <v>0</v>
      </c>
      <c r="N15" s="170">
        <f>IFERROR(__xludf.DUMMYFUNCTION("IFERROR(M15 * (1 + AVERAGE(Filter('Inflation Data'!$C:$C,'Inflation Data'!$A:$A = N$1))) + 'Fund YTD Contributions'!N15,'Fund YTD Contributions'!N15)"),100000.0)</f>
        <v>100000</v>
      </c>
      <c r="O15" s="170">
        <f>IFERROR(__xludf.DUMMYFUNCTION("IFERROR(N15 * (1 + AVERAGE(Filter('Inflation Data'!$C:$C,'Inflation Data'!$A:$A = O$1))) + 'Fund YTD Contributions'!O15,'Fund YTD Contributions'!O15)"),102272.26893333334)</f>
        <v>102272.2689</v>
      </c>
      <c r="P15" s="170">
        <f>IFERROR(__xludf.DUMMYFUNCTION("IFERROR(O15 * (1 + AVERAGE(Filter('Inflation Data'!$C:$C,'Inflation Data'!$A:$A = P$1))) + 'Fund YTD Contributions'!P15,'Fund YTD Contributions'!P15)"),105808.93365459939)</f>
        <v>105808.9337</v>
      </c>
      <c r="Q15" s="170">
        <f>IFERROR(__xludf.DUMMYFUNCTION("IFERROR(P15 * (1 + AVERAGE(Filter('Inflation Data'!$C:$C,'Inflation Data'!$A:$A = Q$1))) + 'Fund YTD Contributions'!Q15,'Fund YTD Contributions'!Q15)"),109896.21324912753)</f>
        <v>109896.2132</v>
      </c>
      <c r="R15" s="170">
        <f>IFERROR(__xludf.DUMMYFUNCTION("IFERROR(Q15 * (1 + AVERAGE(Filter('Inflation Data'!$C:$C,'Inflation Data'!$A:$A = R$1))) + 'Fund YTD Contributions'!R15,'Fund YTD Contributions'!R15)"),159751.5976018281)</f>
        <v>159751.5976</v>
      </c>
      <c r="S15" s="170">
        <f>IFERROR(__xludf.DUMMYFUNCTION("IFERROR(R15 * (1 + AVERAGE(Filter('Inflation Data'!$C:$C,'Inflation Data'!$A:$A = S$1))) + 'Fund YTD Contributions'!S15,'Fund YTD Contributions'!S15)"),164808.27663594225)</f>
        <v>164808.2766</v>
      </c>
      <c r="T15" s="170">
        <f>IFERROR(__xludf.DUMMYFUNCTION("IFERROR(S15 * (1 + AVERAGE(Filter('Inflation Data'!$C:$C,'Inflation Data'!$A:$A = T$1))) + 'Fund YTD Contributions'!T15,'Fund YTD Contributions'!T15)"),171646.19794417705)</f>
        <v>171646.1979</v>
      </c>
      <c r="U15" s="170">
        <f>IFERROR(__xludf.DUMMYFUNCTION("IFERROR(T15 * (1 + AVERAGE(Filter('Inflation Data'!$C:$C,'Inflation Data'!$A:$A = U$1))) + 'Fund YTD Contributions'!U15,'Fund YTD Contributions'!U15)"),171816.37708752163)</f>
        <v>171816.3771</v>
      </c>
      <c r="V15" s="170">
        <f>IFERROR(__xludf.DUMMYFUNCTION("IFERROR(U15 * (1 + AVERAGE(Filter('Inflation Data'!$C:$C,'Inflation Data'!$A:$A = V$1))) + 'Fund YTD Contributions'!V15,'Fund YTD Contributions'!V15)"),175641.58730880133)</f>
        <v>175641.5873</v>
      </c>
      <c r="W15" s="170">
        <f>IFERROR(__xludf.DUMMYFUNCTION("IFERROR(V15 * (1 + AVERAGE(Filter('Inflation Data'!$C:$C,'Inflation Data'!$A:$A = W$1))) + 'Fund YTD Contributions'!W15,'Fund YTD Contributions'!W15)"),182183.43317446127)</f>
        <v>182183.4332</v>
      </c>
      <c r="X15" s="170">
        <f>IFERROR(__xludf.DUMMYFUNCTION("IFERROR(W15 * (1 + AVERAGE(Filter('Inflation Data'!$C:$C,'Inflation Data'!$A:$A = X$1))) + 'Fund YTD Contributions'!X15,'Fund YTD Contributions'!X15)"),187710.44685718944)</f>
        <v>187710.4469</v>
      </c>
      <c r="Y15" s="170">
        <f>IFERROR(__xludf.DUMMYFUNCTION("IFERROR(X15 * (1 + AVERAGE(Filter('Inflation Data'!$C:$C,'Inflation Data'!$A:$A = Y$1))) + 'Fund YTD Contributions'!Y15,'Fund YTD Contributions'!Y15)"),191462.36747893933)</f>
        <v>191462.3675</v>
      </c>
      <c r="Z15" s="170">
        <f>IFERROR(__xludf.DUMMYFUNCTION("IFERROR(Y15 * (1 + AVERAGE(Filter('Inflation Data'!$C:$C,'Inflation Data'!$A:$A = Z$1))) + 'Fund YTD Contributions'!Z15,'Fund YTD Contributions'!Z15)"),195567.70482322908)</f>
        <v>195567.7048</v>
      </c>
      <c r="AA15" s="170">
        <f>IFERROR(__xludf.DUMMYFUNCTION("IFERROR(Z15 * (1 + AVERAGE(Filter('Inflation Data'!$C:$C,'Inflation Data'!$A:$A = AA$1))) + 'Fund YTD Contributions'!AA15,'Fund YTD Contributions'!AA15)"),195800.23396050654)</f>
        <v>195800.234</v>
      </c>
      <c r="AB15" s="170">
        <f>IFERROR(__xludf.DUMMYFUNCTION("IFERROR(AA15 * (1 + AVERAGE(Filter('Inflation Data'!$C:$C,'Inflation Data'!$A:$A = AB$1))) + 'Fund YTD Contributions'!AB15,'Fund YTD Contributions'!AB15)"),200020.92715470612)</f>
        <v>200020.9272</v>
      </c>
      <c r="AC15" s="170">
        <f>IFERROR(__xludf.DUMMYFUNCTION("IFERROR(AB15 * (1 + AVERAGE(Filter('Inflation Data'!$C:$C,'Inflation Data'!$A:$A = AC$1))) + 'Fund YTD Contributions'!AC15,'Fund YTD Contributions'!AC15)"),205534.60309105922)</f>
        <v>205534.6031</v>
      </c>
      <c r="AD15" s="170">
        <f>IFERROR(__xludf.DUMMYFUNCTION("IFERROR(AC15 * (1 + AVERAGE(Filter('Inflation Data'!$C:$C,'Inflation Data'!$A:$A = AD$1))) + 'Fund YTD Contributions'!AD15,'Fund YTD Contributions'!AD15)"),210555.165137052)</f>
        <v>210555.1651</v>
      </c>
      <c r="AE15" s="170">
        <f>IFERROR(__xludf.DUMMYFUNCTION("IFERROR(AD15 * (1 + AVERAGE(Filter('Inflation Data'!$C:$C,'Inflation Data'!$A:$A = AE$1))) + 'Fund YTD Contributions'!AE15,'Fund YTD Contributions'!AE15)"),214227.48362838163)</f>
        <v>214227.4836</v>
      </c>
      <c r="AF15" s="170" t="str">
        <f>IFERROR(__xludf.DUMMYFUNCTION("IFERROR(AE15 * (1 + AVERAGE(Filter('Inflation Data'!$C:$C,'Inflation Data'!$A:$A = AF$1))) + 'Fund YTD Contributions'!AF15,'Fund YTD Contributions'!AF15)"),"")</f>
        <v/>
      </c>
    </row>
    <row r="16">
      <c r="A16" s="153" t="str">
        <f>'Endowed Funds'!B:B</f>
        <v>Grace M. and Thor E. Larsen Education Fund</v>
      </c>
      <c r="B16" s="170" t="str">
        <f>IFERROR(__xludf.DUMMYFUNCTION("IFERROR(A16 * (1 + AVERAGE(Filter('Inflation Data'!$C:$C,'Inflation Data'!$A:$A = B$1))) + 'Fund YTD Contributions'!B16,'Fund YTD Contributions'!B16)"),"  ")</f>
        <v/>
      </c>
      <c r="C16" s="170">
        <f>IFERROR(__xludf.DUMMYFUNCTION("IFERROR(B16 * (1 + AVERAGE(Filter('Inflation Data'!$C:$C,'Inflation Data'!$A:$A = C$1))) + 'Fund YTD Contributions'!C16,'Fund YTD Contributions'!C16)"),0.0)</f>
        <v>0</v>
      </c>
      <c r="D16" s="170">
        <f>IFERROR(__xludf.DUMMYFUNCTION("IFERROR(C16 * (1 + AVERAGE(Filter('Inflation Data'!$C:$C,'Inflation Data'!$A:$A = D$1))) + 'Fund YTD Contributions'!D16,'Fund YTD Contributions'!D16)"),0.0)</f>
        <v>0</v>
      </c>
      <c r="E16" s="170">
        <f>IFERROR(__xludf.DUMMYFUNCTION("IFERROR(D16 * (1 + AVERAGE(Filter('Inflation Data'!$C:$C,'Inflation Data'!$A:$A = E$1))) + 'Fund YTD Contributions'!E16,'Fund YTD Contributions'!E16)"),0.0)</f>
        <v>0</v>
      </c>
      <c r="F16" s="170">
        <f>IFERROR(__xludf.DUMMYFUNCTION("IFERROR(E16 * (1 + AVERAGE(Filter('Inflation Data'!$C:$C,'Inflation Data'!$A:$A = F$1))) + 'Fund YTD Contributions'!F16,'Fund YTD Contributions'!F16)"),0.0)</f>
        <v>0</v>
      </c>
      <c r="G16" s="170">
        <f>IFERROR(__xludf.DUMMYFUNCTION("IFERROR(F16 * (1 + AVERAGE(Filter('Inflation Data'!$C:$C,'Inflation Data'!$A:$A = G$1))) + 'Fund YTD Contributions'!G16,'Fund YTD Contributions'!G16)"),0.0)</f>
        <v>0</v>
      </c>
      <c r="H16" s="170">
        <f>IFERROR(__xludf.DUMMYFUNCTION("IFERROR(G16 * (1 + AVERAGE(Filter('Inflation Data'!$C:$C,'Inflation Data'!$A:$A = H$1))) + 'Fund YTD Contributions'!H16,'Fund YTD Contributions'!H16)"),0.0)</f>
        <v>0</v>
      </c>
      <c r="I16" s="170">
        <f>IFERROR(__xludf.DUMMYFUNCTION("IFERROR(H16 * (1 + AVERAGE(Filter('Inflation Data'!$C:$C,'Inflation Data'!$A:$A = I$1))) + 'Fund YTD Contributions'!I16,'Fund YTD Contributions'!I16)"),0.0)</f>
        <v>0</v>
      </c>
      <c r="J16" s="170">
        <f>IFERROR(__xludf.DUMMYFUNCTION("IFERROR(I16 * (1 + AVERAGE(Filter('Inflation Data'!$C:$C,'Inflation Data'!$A:$A = J$1))) + 'Fund YTD Contributions'!J16,'Fund YTD Contributions'!J16)"),0.0)</f>
        <v>0</v>
      </c>
      <c r="K16" s="170">
        <f>IFERROR(__xludf.DUMMYFUNCTION("IFERROR(J16 * (1 + AVERAGE(Filter('Inflation Data'!$C:$C,'Inflation Data'!$A:$A = K$1))) + 'Fund YTD Contributions'!K16,'Fund YTD Contributions'!K16)"),0.0)</f>
        <v>0</v>
      </c>
      <c r="L16" s="170">
        <f>IFERROR(__xludf.DUMMYFUNCTION("IFERROR(K16 * (1 + AVERAGE(Filter('Inflation Data'!$C:$C,'Inflation Data'!$A:$A = L$1))) + 'Fund YTD Contributions'!L16,'Fund YTD Contributions'!L16)"),0.0)</f>
        <v>0</v>
      </c>
      <c r="M16" s="170">
        <f>IFERROR(__xludf.DUMMYFUNCTION("IFERROR(L16 * (1 + AVERAGE(Filter('Inflation Data'!$C:$C,'Inflation Data'!$A:$A = M$1))) + 'Fund YTD Contributions'!M16,'Fund YTD Contributions'!M16)"),0.0)</f>
        <v>0</v>
      </c>
      <c r="N16" s="170">
        <f>IFERROR(__xludf.DUMMYFUNCTION("IFERROR(M16 * (1 + AVERAGE(Filter('Inflation Data'!$C:$C,'Inflation Data'!$A:$A = N$1))) + 'Fund YTD Contributions'!N16,'Fund YTD Contributions'!N16)"),0.0)</f>
        <v>0</v>
      </c>
      <c r="O16" s="170">
        <f>IFERROR(__xludf.DUMMYFUNCTION("IFERROR(N16 * (1 + AVERAGE(Filter('Inflation Data'!$C:$C,'Inflation Data'!$A:$A = O$1))) + 'Fund YTD Contributions'!O16,'Fund YTD Contributions'!O16)"),0.0)</f>
        <v>0</v>
      </c>
      <c r="P16" s="170">
        <f>IFERROR(__xludf.DUMMYFUNCTION("IFERROR(O16 * (1 + AVERAGE(Filter('Inflation Data'!$C:$C,'Inflation Data'!$A:$A = P$1))) + 'Fund YTD Contributions'!P16,'Fund YTD Contributions'!P16)"),0.0)</f>
        <v>0</v>
      </c>
      <c r="Q16" s="170">
        <f>IFERROR(__xludf.DUMMYFUNCTION("IFERROR(P16 * (1 + AVERAGE(Filter('Inflation Data'!$C:$C,'Inflation Data'!$A:$A = Q$1))) + 'Fund YTD Contributions'!Q16,'Fund YTD Contributions'!Q16)"),0.0)</f>
        <v>0</v>
      </c>
      <c r="R16" s="170">
        <f>IFERROR(__xludf.DUMMYFUNCTION("IFERROR(Q16 * (1 + AVERAGE(Filter('Inflation Data'!$C:$C,'Inflation Data'!$A:$A = R$1))) + 'Fund YTD Contributions'!R16,'Fund YTD Contributions'!R16)"),0.0)</f>
        <v>0</v>
      </c>
      <c r="S16" s="170">
        <f>IFERROR(__xludf.DUMMYFUNCTION("IFERROR(R16 * (1 + AVERAGE(Filter('Inflation Data'!$C:$C,'Inflation Data'!$A:$A = S$1))) + 'Fund YTD Contributions'!S16,'Fund YTD Contributions'!S16)"),0.0)</f>
        <v>0</v>
      </c>
      <c r="T16" s="170">
        <f>IFERROR(__xludf.DUMMYFUNCTION("IFERROR(S16 * (1 + AVERAGE(Filter('Inflation Data'!$C:$C,'Inflation Data'!$A:$A = T$1))) + 'Fund YTD Contributions'!T16,'Fund YTD Contributions'!T16)"),10000.0)</f>
        <v>10000</v>
      </c>
      <c r="U16" s="170">
        <f>IFERROR(__xludf.DUMMYFUNCTION("IFERROR(T16 * (1 + AVERAGE(Filter('Inflation Data'!$C:$C,'Inflation Data'!$A:$A = U$1))) + 'Fund YTD Contributions'!U16,'Fund YTD Contributions'!U16)"),19966.22)</f>
        <v>19966.22</v>
      </c>
      <c r="V16" s="170">
        <f>IFERROR(__xludf.DUMMYFUNCTION("IFERROR(U16 * (1 + AVERAGE(Filter('Inflation Data'!$C:$C,'Inflation Data'!$A:$A = V$1))) + 'Fund YTD Contributions'!V16,'Fund YTD Contributions'!V16)"),40294.528452200604)</f>
        <v>40294.52845</v>
      </c>
      <c r="W16" s="170">
        <f>IFERROR(__xludf.DUMMYFUNCTION("IFERROR(V16 * (1 + AVERAGE(Filter('Inflation Data'!$C:$C,'Inflation Data'!$A:$A = W$1))) + 'Fund YTD Contributions'!W16,'Fund YTD Contributions'!W16)"),61565.90198812147)</f>
        <v>61565.90199</v>
      </c>
      <c r="X16" s="170">
        <f>IFERROR(__xludf.DUMMYFUNCTION("IFERROR(W16 * (1 + AVERAGE(Filter('Inflation Data'!$C:$C,'Inflation Data'!$A:$A = X$1))) + 'Fund YTD Contributions'!X16,'Fund YTD Contributions'!X16)"),92842.28178921982)</f>
        <v>92842.28179</v>
      </c>
      <c r="Y16" s="170">
        <f>IFERROR(__xludf.DUMMYFUNCTION("IFERROR(X16 * (1 + AVERAGE(Filter('Inflation Data'!$C:$C,'Inflation Data'!$A:$A = Y$1))) + 'Fund YTD Contributions'!Y16,'Fund YTD Contributions'!Y16)"),104203.39191443543)</f>
        <v>104203.3919</v>
      </c>
      <c r="Z16" s="170">
        <f>IFERROR(__xludf.DUMMYFUNCTION("IFERROR(Y16 * (1 + AVERAGE(Filter('Inflation Data'!$C:$C,'Inflation Data'!$A:$A = Z$1))) + 'Fund YTD Contributions'!Z16,'Fund YTD Contributions'!Z16)"),115893.47173834208)</f>
        <v>115893.4717</v>
      </c>
      <c r="AA16" s="170">
        <f>IFERROR(__xludf.DUMMYFUNCTION("IFERROR(Z16 * (1 + AVERAGE(Filter('Inflation Data'!$C:$C,'Inflation Data'!$A:$A = AA$1))) + 'Fund YTD Contributions'!AA16,'Fund YTD Contributions'!AA16)"),131031.26856437614)</f>
        <v>131031.2686</v>
      </c>
      <c r="AB16" s="170">
        <f>IFERROR(__xludf.DUMMYFUNCTION("IFERROR(AA16 * (1 + AVERAGE(Filter('Inflation Data'!$C:$C,'Inflation Data'!$A:$A = AB$1))) + 'Fund YTD Contributions'!AB16,'Fund YTD Contributions'!AB16)"),147684.67855741343)</f>
        <v>147684.6786</v>
      </c>
      <c r="AC16" s="170">
        <f>IFERROR(__xludf.DUMMYFUNCTION("IFERROR(AB16 * (1 + AVERAGE(Filter('Inflation Data'!$C:$C,'Inflation Data'!$A:$A = AC$1))) + 'Fund YTD Contributions'!AC16,'Fund YTD Contributions'!AC16)"),165832.74720748153)</f>
        <v>165832.7472</v>
      </c>
      <c r="AD16" s="170">
        <f>IFERROR(__xludf.DUMMYFUNCTION("IFERROR(AC16 * (1 + AVERAGE(Filter('Inflation Data'!$C:$C,'Inflation Data'!$A:$A = AD$1))) + 'Fund YTD Contributions'!AD16,'Fund YTD Contributions'!AD16)"),184883.51814381743)</f>
        <v>184883.5181</v>
      </c>
      <c r="AE16" s="170">
        <f>IFERROR(__xludf.DUMMYFUNCTION("IFERROR(AD16 * (1 + AVERAGE(Filter('Inflation Data'!$C:$C,'Inflation Data'!$A:$A = AE$1))) + 'Fund YTD Contributions'!AE16,'Fund YTD Contributions'!AE16)"),188108.09428745977)</f>
        <v>188108.0943</v>
      </c>
      <c r="AF16" s="170" t="str">
        <f>IFERROR(__xludf.DUMMYFUNCTION("IFERROR(AE16 * (1 + AVERAGE(Filter('Inflation Data'!$C:$C,'Inflation Data'!$A:$A = AF$1))) + 'Fund YTD Contributions'!AF16,'Fund YTD Contributions'!AF16)"),"")</f>
        <v/>
      </c>
    </row>
    <row r="17">
      <c r="A17" s="153" t="str">
        <f>'Endowed Funds'!B:B</f>
        <v>Jan and Frank Cicero Research Fund</v>
      </c>
      <c r="B17" s="170" t="str">
        <f>IFERROR(__xludf.DUMMYFUNCTION("IFERROR(A17 * (1 + AVERAGE(Filter('Inflation Data'!$C:$C,'Inflation Data'!$A:$A = B$1))) + 'Fund YTD Contributions'!B17,'Fund YTD Contributions'!B17)"),"  ")</f>
        <v/>
      </c>
      <c r="C17" s="170">
        <f>IFERROR(__xludf.DUMMYFUNCTION("IFERROR(B17 * (1 + AVERAGE(Filter('Inflation Data'!$C:$C,'Inflation Data'!$A:$A = C$1))) + 'Fund YTD Contributions'!C17,'Fund YTD Contributions'!C17)"),0.0)</f>
        <v>0</v>
      </c>
      <c r="D17" s="170">
        <f>IFERROR(__xludf.DUMMYFUNCTION("IFERROR(C17 * (1 + AVERAGE(Filter('Inflation Data'!$C:$C,'Inflation Data'!$A:$A = D$1))) + 'Fund YTD Contributions'!D17,'Fund YTD Contributions'!D17)"),0.0)</f>
        <v>0</v>
      </c>
      <c r="E17" s="170">
        <f>IFERROR(__xludf.DUMMYFUNCTION("IFERROR(D17 * (1 + AVERAGE(Filter('Inflation Data'!$C:$C,'Inflation Data'!$A:$A = E$1))) + 'Fund YTD Contributions'!E17,'Fund YTD Contributions'!E17)"),0.0)</f>
        <v>0</v>
      </c>
      <c r="F17" s="170">
        <f>IFERROR(__xludf.DUMMYFUNCTION("IFERROR(E17 * (1 + AVERAGE(Filter('Inflation Data'!$C:$C,'Inflation Data'!$A:$A = F$1))) + 'Fund YTD Contributions'!F17,'Fund YTD Contributions'!F17)"),0.0)</f>
        <v>0</v>
      </c>
      <c r="G17" s="170">
        <f>IFERROR(__xludf.DUMMYFUNCTION("IFERROR(F17 * (1 + AVERAGE(Filter('Inflation Data'!$C:$C,'Inflation Data'!$A:$A = G$1))) + 'Fund YTD Contributions'!G17,'Fund YTD Contributions'!G17)"),0.0)</f>
        <v>0</v>
      </c>
      <c r="H17" s="170">
        <f>IFERROR(__xludf.DUMMYFUNCTION("IFERROR(G17 * (1 + AVERAGE(Filter('Inflation Data'!$C:$C,'Inflation Data'!$A:$A = H$1))) + 'Fund YTD Contributions'!H17,'Fund YTD Contributions'!H17)"),0.0)</f>
        <v>0</v>
      </c>
      <c r="I17" s="170">
        <f>IFERROR(__xludf.DUMMYFUNCTION("IFERROR(H17 * (1 + AVERAGE(Filter('Inflation Data'!$C:$C,'Inflation Data'!$A:$A = I$1))) + 'Fund YTD Contributions'!I17,'Fund YTD Contributions'!I17)"),0.0)</f>
        <v>0</v>
      </c>
      <c r="J17" s="170">
        <f>IFERROR(__xludf.DUMMYFUNCTION("IFERROR(I17 * (1 + AVERAGE(Filter('Inflation Data'!$C:$C,'Inflation Data'!$A:$A = J$1))) + 'Fund YTD Contributions'!J17,'Fund YTD Contributions'!J17)"),0.0)</f>
        <v>0</v>
      </c>
      <c r="K17" s="170">
        <f>IFERROR(__xludf.DUMMYFUNCTION("IFERROR(J17 * (1 + AVERAGE(Filter('Inflation Data'!$C:$C,'Inflation Data'!$A:$A = K$1))) + 'Fund YTD Contributions'!K17,'Fund YTD Contributions'!K17)"),0.0)</f>
        <v>0</v>
      </c>
      <c r="L17" s="170">
        <f>IFERROR(__xludf.DUMMYFUNCTION("IFERROR(K17 * (1 + AVERAGE(Filter('Inflation Data'!$C:$C,'Inflation Data'!$A:$A = L$1))) + 'Fund YTD Contributions'!L17,'Fund YTD Contributions'!L17)"),0.0)</f>
        <v>0</v>
      </c>
      <c r="M17" s="170">
        <f>IFERROR(__xludf.DUMMYFUNCTION("IFERROR(L17 * (1 + AVERAGE(Filter('Inflation Data'!$C:$C,'Inflation Data'!$A:$A = M$1))) + 'Fund YTD Contributions'!M17,'Fund YTD Contributions'!M17)"),0.0)</f>
        <v>0</v>
      </c>
      <c r="N17" s="170">
        <f>IFERROR(__xludf.DUMMYFUNCTION("IFERROR(M17 * (1 + AVERAGE(Filter('Inflation Data'!$C:$C,'Inflation Data'!$A:$A = N$1))) + 'Fund YTD Contributions'!N17,'Fund YTD Contributions'!N17)"),0.0)</f>
        <v>0</v>
      </c>
      <c r="O17" s="170">
        <f>IFERROR(__xludf.DUMMYFUNCTION("IFERROR(N17 * (1 + AVERAGE(Filter('Inflation Data'!$C:$C,'Inflation Data'!$A:$A = O$1))) + 'Fund YTD Contributions'!O17,'Fund YTD Contributions'!O17)"),0.0)</f>
        <v>0</v>
      </c>
      <c r="P17" s="170">
        <f>IFERROR(__xludf.DUMMYFUNCTION("IFERROR(O17 * (1 + AVERAGE(Filter('Inflation Data'!$C:$C,'Inflation Data'!$A:$A = P$1))) + 'Fund YTD Contributions'!P17,'Fund YTD Contributions'!P17)"),19055.26)</f>
        <v>19055.26</v>
      </c>
      <c r="Q17" s="170">
        <f>IFERROR(__xludf.DUMMYFUNCTION("IFERROR(P17 * (1 + AVERAGE(Filter('Inflation Data'!$C:$C,'Inflation Data'!$A:$A = Q$1))) + 'Fund YTD Contributions'!Q17,'Fund YTD Contributions'!Q17)"),41830.297560397026)</f>
        <v>41830.29756</v>
      </c>
      <c r="R17" s="170">
        <f>IFERROR(__xludf.DUMMYFUNCTION("IFERROR(Q17 * (1 + AVERAGE(Filter('Inflation Data'!$C:$C,'Inflation Data'!$A:$A = R$1))) + 'Fund YTD Contributions'!R17,'Fund YTD Contributions'!R17)"),77188.89974450323)</f>
        <v>77188.89974</v>
      </c>
      <c r="S17" s="170">
        <f>IFERROR(__xludf.DUMMYFUNCTION("IFERROR(R17 * (1 + AVERAGE(Filter('Inflation Data'!$C:$C,'Inflation Data'!$A:$A = S$1))) + 'Fund YTD Contributions'!S17,'Fund YTD Contributions'!S17)"),99390.59942333067)</f>
        <v>99390.59942</v>
      </c>
      <c r="T17" s="170">
        <f>IFERROR(__xludf.DUMMYFUNCTION("IFERROR(S17 * (1 + AVERAGE(Filter('Inflation Data'!$C:$C,'Inflation Data'!$A:$A = T$1))) + 'Fund YTD Contributions'!T17,'Fund YTD Contributions'!T17)"),113212.79701426148)</f>
        <v>113212.797</v>
      </c>
      <c r="U17" s="170">
        <f>IFERROR(__xludf.DUMMYFUNCTION("IFERROR(T17 * (1 + AVERAGE(Filter('Inflation Data'!$C:$C,'Inflation Data'!$A:$A = U$1))) + 'Fund YTD Contributions'!U17,'Fund YTD Contributions'!U17)"),117830.3641859473)</f>
        <v>117830.3642</v>
      </c>
      <c r="V17" s="170">
        <f>IFERROR(__xludf.DUMMYFUNCTION("IFERROR(U17 * (1 + AVERAGE(Filter('Inflation Data'!$C:$C,'Inflation Data'!$A:$A = V$1))) + 'Fund YTD Contributions'!V17,'Fund YTD Contributions'!V17)"),119767.87186081623)</f>
        <v>119767.8719</v>
      </c>
      <c r="W17" s="170">
        <f>IFERROR(__xludf.DUMMYFUNCTION("IFERROR(V17 * (1 + AVERAGE(Filter('Inflation Data'!$C:$C,'Inflation Data'!$A:$A = W$1))) + 'Fund YTD Contributions'!W17,'Fund YTD Contributions'!W17)"),123546.78946046089)</f>
        <v>123546.7895</v>
      </c>
      <c r="X17" s="170">
        <f>IFERROR(__xludf.DUMMYFUNCTION("IFERROR(W17 * (1 + AVERAGE(Filter('Inflation Data'!$C:$C,'Inflation Data'!$A:$A = X$1))) + 'Fund YTD Contributions'!X17,'Fund YTD Contributions'!X17)"),141108.15251152622)</f>
        <v>141108.1525</v>
      </c>
      <c r="Y17" s="170">
        <f>IFERROR(__xludf.DUMMYFUNCTION("IFERROR(X17 * (1 + AVERAGE(Filter('Inflation Data'!$C:$C,'Inflation Data'!$A:$A = Y$1))) + 'Fund YTD Contributions'!Y17,'Fund YTD Contributions'!Y17)"),143176.86227859065)</f>
        <v>143176.8623</v>
      </c>
      <c r="Z17" s="170">
        <f>IFERROR(__xludf.DUMMYFUNCTION("IFERROR(Y17 * (1 + AVERAGE(Filter('Inflation Data'!$C:$C,'Inflation Data'!$A:$A = Z$1))) + 'Fund YTD Contributions'!Z17,'Fund YTD Contributions'!Z17)"),165499.0546923079)</f>
        <v>165499.0547</v>
      </c>
      <c r="AA17" s="170">
        <f>IFERROR(__xludf.DUMMYFUNCTION("IFERROR(Z17 * (1 + AVERAGE(Filter('Inflation Data'!$C:$C,'Inflation Data'!$A:$A = AA$1))) + 'Fund YTD Contributions'!AA17,'Fund YTD Contributions'!AA17)"),185695.8323373829)</f>
        <v>185695.8323</v>
      </c>
      <c r="AB17" s="170">
        <f>IFERROR(__xludf.DUMMYFUNCTION("IFERROR(AA17 * (1 + AVERAGE(Filter('Inflation Data'!$C:$C,'Inflation Data'!$A:$A = AB$1))) + 'Fund YTD Contributions'!AB17,'Fund YTD Contributions'!AB17)"),208039.02376196382)</f>
        <v>208039.0238</v>
      </c>
      <c r="AC17" s="170">
        <f>IFERROR(__xludf.DUMMYFUNCTION("IFERROR(AB17 * (1 + AVERAGE(Filter('Inflation Data'!$C:$C,'Inflation Data'!$A:$A = AC$1))) + 'Fund YTD Contributions'!AC17,'Fund YTD Contributions'!AC17)"),212473.61464229814)</f>
        <v>212473.6146</v>
      </c>
      <c r="AD17" s="170">
        <f>IFERROR(__xludf.DUMMYFUNCTION("IFERROR(AC17 * (1 + AVERAGE(Filter('Inflation Data'!$C:$C,'Inflation Data'!$A:$A = AD$1))) + 'Fund YTD Contributions'!AD17,'Fund YTD Contributions'!AD17)"),217663.6748531105)</f>
        <v>217663.6749</v>
      </c>
      <c r="AE17" s="170">
        <f>IFERROR(__xludf.DUMMYFUNCTION("IFERROR(AD17 * (1 + AVERAGE(Filter('Inflation Data'!$C:$C,'Inflation Data'!$A:$A = AE$1))) + 'Fund YTD Contributions'!AE17,'Fund YTD Contributions'!AE17)"),221459.97373532288)</f>
        <v>221459.9737</v>
      </c>
      <c r="AF17" s="170" t="str">
        <f>IFERROR(__xludf.DUMMYFUNCTION("IFERROR(AE17 * (1 + AVERAGE(Filter('Inflation Data'!$C:$C,'Inflation Data'!$A:$A = AF$1))) + 'Fund YTD Contributions'!AF17,'Fund YTD Contributions'!AF17)"),"")</f>
        <v/>
      </c>
    </row>
    <row r="18">
      <c r="A18" s="153" t="str">
        <f>'Endowed Funds'!B:B</f>
        <v>Katherine Carhart Fellowship</v>
      </c>
      <c r="B18" s="170" t="str">
        <f>IFERROR(__xludf.DUMMYFUNCTION("IFERROR(A18 * (1 + AVERAGE(Filter('Inflation Data'!$C:$C,'Inflation Data'!$A:$A = B$1))) + 'Fund YTD Contributions'!B18,'Fund YTD Contributions'!B18)"),"  ")</f>
        <v/>
      </c>
      <c r="C18" s="170">
        <f>IFERROR(__xludf.DUMMYFUNCTION("IFERROR(B18 * (1 + AVERAGE(Filter('Inflation Data'!$C:$C,'Inflation Data'!$A:$A = C$1))) + 'Fund YTD Contributions'!C18,'Fund YTD Contributions'!C18)"),0.0)</f>
        <v>0</v>
      </c>
      <c r="D18" s="170">
        <f>IFERROR(__xludf.DUMMYFUNCTION("IFERROR(C18 * (1 + AVERAGE(Filter('Inflation Data'!$C:$C,'Inflation Data'!$A:$A = D$1))) + 'Fund YTD Contributions'!D18,'Fund YTD Contributions'!D18)"),0.0)</f>
        <v>0</v>
      </c>
      <c r="E18" s="170">
        <f>IFERROR(__xludf.DUMMYFUNCTION("IFERROR(D18 * (1 + AVERAGE(Filter('Inflation Data'!$C:$C,'Inflation Data'!$A:$A = E$1))) + 'Fund YTD Contributions'!E18,'Fund YTD Contributions'!E18)"),0.0)</f>
        <v>0</v>
      </c>
      <c r="F18" s="170">
        <f>IFERROR(__xludf.DUMMYFUNCTION("IFERROR(E18 * (1 + AVERAGE(Filter('Inflation Data'!$C:$C,'Inflation Data'!$A:$A = F$1))) + 'Fund YTD Contributions'!F18,'Fund YTD Contributions'!F18)"),0.0)</f>
        <v>0</v>
      </c>
      <c r="G18" s="170">
        <f>IFERROR(__xludf.DUMMYFUNCTION("IFERROR(F18 * (1 + AVERAGE(Filter('Inflation Data'!$C:$C,'Inflation Data'!$A:$A = G$1))) + 'Fund YTD Contributions'!G18,'Fund YTD Contributions'!G18)"),0.0)</f>
        <v>0</v>
      </c>
      <c r="H18" s="170">
        <f>IFERROR(__xludf.DUMMYFUNCTION("IFERROR(G18 * (1 + AVERAGE(Filter('Inflation Data'!$C:$C,'Inflation Data'!$A:$A = H$1))) + 'Fund YTD Contributions'!H18,'Fund YTD Contributions'!H18)"),48839.04)</f>
        <v>48839.04</v>
      </c>
      <c r="I18" s="170">
        <f>IFERROR(__xludf.DUMMYFUNCTION("IFERROR(H18 * (1 + AVERAGE(Filter('Inflation Data'!$C:$C,'Inflation Data'!$A:$A = I$1))) + 'Fund YTD Contributions'!I18,'Fund YTD Contributions'!I18)"),50592.36497884)</f>
        <v>50592.36498</v>
      </c>
      <c r="J18" s="170">
        <f>IFERROR(__xludf.DUMMYFUNCTION("IFERROR(I18 * (1 + AVERAGE(Filter('Inflation Data'!$C:$C,'Inflation Data'!$A:$A = J$1))) + 'Fund YTD Contributions'!J18,'Fund YTD Contributions'!J18)"),51377.683547637826)</f>
        <v>51377.68355</v>
      </c>
      <c r="K18" s="170">
        <f>IFERROR(__xludf.DUMMYFUNCTION("IFERROR(J18 * (1 + AVERAGE(Filter('Inflation Data'!$C:$C,'Inflation Data'!$A:$A = K$1))) + 'Fund YTD Contributions'!K18,'Fund YTD Contributions'!K18)"),52500.98780368866)</f>
        <v>52500.9878</v>
      </c>
      <c r="L18" s="170">
        <f>IFERROR(__xludf.DUMMYFUNCTION("IFERROR(K18 * (1 + AVERAGE(Filter('Inflation Data'!$C:$C,'Inflation Data'!$A:$A = L$1))) + 'Fund YTD Contributions'!L18,'Fund YTD Contributions'!L18)"),54273.44160545102)</f>
        <v>54273.44161</v>
      </c>
      <c r="M18" s="170">
        <f>IFERROR(__xludf.DUMMYFUNCTION("IFERROR(L18 * (1 + AVERAGE(Filter('Inflation Data'!$C:$C,'Inflation Data'!$A:$A = M$1))) + 'Fund YTD Contributions'!M18,'Fund YTD Contributions'!M18)"),55810.31070195308)</f>
        <v>55810.3107</v>
      </c>
      <c r="N18" s="170">
        <f>IFERROR(__xludf.DUMMYFUNCTION("IFERROR(M18 * (1 + AVERAGE(Filter('Inflation Data'!$C:$C,'Inflation Data'!$A:$A = N$1))) + 'Fund YTD Contributions'!N18,'Fund YTD Contributions'!N18)"),56695.23475616136)</f>
        <v>56695.23476</v>
      </c>
      <c r="O18" s="170">
        <f>IFERROR(__xludf.DUMMYFUNCTION("IFERROR(N18 * (1 + AVERAGE(Filter('Inflation Data'!$C:$C,'Inflation Data'!$A:$A = O$1))) + 'Fund YTD Contributions'!O18,'Fund YTD Contributions'!O18)"),57983.50296220602)</f>
        <v>57983.50296</v>
      </c>
      <c r="P18" s="170">
        <f>IFERROR(__xludf.DUMMYFUNCTION("IFERROR(O18 * (1 + AVERAGE(Filter('Inflation Data'!$C:$C,'Inflation Data'!$A:$A = P$1))) + 'Fund YTD Contributions'!P18,'Fund YTD Contributions'!P18)"),59535.061450416855)</f>
        <v>59535.06145</v>
      </c>
      <c r="Q18" s="170">
        <f>IFERROR(__xludf.DUMMYFUNCTION("IFERROR(P18 * (1 + AVERAGE(Filter('Inflation Data'!$C:$C,'Inflation Data'!$A:$A = Q$1))) + 'Fund YTD Contributions'!Q18,'Fund YTD Contributions'!Q18)"),61553.500761006915)</f>
        <v>61553.50076</v>
      </c>
      <c r="R18" s="170">
        <f>IFERROR(__xludf.DUMMYFUNCTION("IFERROR(Q18 * (1 + AVERAGE(Filter('Inflation Data'!$C:$C,'Inflation Data'!$A:$A = R$1))) + 'Fund YTD Contributions'!R18,'Fund YTD Contributions'!R18)"),63544.89197449228)</f>
        <v>63544.89197</v>
      </c>
      <c r="S18" s="170">
        <f>IFERROR(__xludf.DUMMYFUNCTION("IFERROR(R18 * (1 + AVERAGE(Filter('Inflation Data'!$C:$C,'Inflation Data'!$A:$A = S$1))) + 'Fund YTD Contributions'!S18,'Fund YTD Contributions'!S18)"),65357.41642702961)</f>
        <v>65357.41643</v>
      </c>
      <c r="T18" s="170">
        <f>IFERROR(__xludf.DUMMYFUNCTION("IFERROR(S18 * (1 + AVERAGE(Filter('Inflation Data'!$C:$C,'Inflation Data'!$A:$A = T$1))) + 'Fund YTD Contributions'!T18,'Fund YTD Contributions'!T18)"),67870.82273573746)</f>
        <v>67870.82274</v>
      </c>
      <c r="U18" s="170">
        <f>IFERROR(__xludf.DUMMYFUNCTION("IFERROR(T18 * (1 + AVERAGE(Filter('Inflation Data'!$C:$C,'Inflation Data'!$A:$A = U$1))) + 'Fund YTD Contributions'!U18,'Fund YTD Contributions'!U18)"),67641.55509653613)</f>
        <v>67641.5551</v>
      </c>
      <c r="V18" s="170">
        <f>IFERROR(__xludf.DUMMYFUNCTION("IFERROR(U18 * (1 + AVERAGE(Filter('Inflation Data'!$C:$C,'Inflation Data'!$A:$A = V$1))) + 'Fund YTD Contributions'!V18,'Fund YTD Contributions'!V18)"),68753.7983883653)</f>
        <v>68753.79839</v>
      </c>
      <c r="W18" s="170">
        <f>IFERROR(__xludf.DUMMYFUNCTION("IFERROR(V18 * (1 + AVERAGE(Filter('Inflation Data'!$C:$C,'Inflation Data'!$A:$A = W$1))) + 'Fund YTD Contributions'!W18,'Fund YTD Contributions'!W18)"),70923.11921485665)</f>
        <v>70923.11921</v>
      </c>
      <c r="X18" s="170">
        <f>IFERROR(__xludf.DUMMYFUNCTION("IFERROR(W18 * (1 + AVERAGE(Filter('Inflation Data'!$C:$C,'Inflation Data'!$A:$A = X$1))) + 'Fund YTD Contributions'!X18,'Fund YTD Contributions'!X18)"),72393.49216276212)</f>
        <v>72393.49216</v>
      </c>
      <c r="Y18" s="170">
        <f>IFERROR(__xludf.DUMMYFUNCTION("IFERROR(X18 * (1 + AVERAGE(Filter('Inflation Data'!$C:$C,'Inflation Data'!$A:$A = Y$1))) + 'Fund YTD Contributions'!Y18,'Fund YTD Contributions'!Y18)"),73454.81372103831)</f>
        <v>73454.81372</v>
      </c>
      <c r="Z18" s="170">
        <f>IFERROR(__xludf.DUMMYFUNCTION("IFERROR(Y18 * (1 + AVERAGE(Filter('Inflation Data'!$C:$C,'Inflation Data'!$A:$A = Z$1))) + 'Fund YTD Contributions'!Z18,'Fund YTD Contributions'!Z18)"),74646.18087673212)</f>
        <v>74646.18088</v>
      </c>
      <c r="AA18" s="170">
        <f>IFERROR(__xludf.DUMMYFUNCTION("IFERROR(Z18 * (1 + AVERAGE(Filter('Inflation Data'!$C:$C,'Inflation Data'!$A:$A = AA$1))) + 'Fund YTD Contributions'!AA18,'Fund YTD Contributions'!AA18)"),74734.93485610725)</f>
        <v>74734.93486</v>
      </c>
      <c r="AB18" s="170">
        <f>IFERROR(__xludf.DUMMYFUNCTION("IFERROR(AA18 * (1 + AVERAGE(Filter('Inflation Data'!$C:$C,'Inflation Data'!$A:$A = AB$1))) + 'Fund YTD Contributions'!AB18,'Fund YTD Contributions'!AB18)"),75677.97302916265)</f>
        <v>75677.97303</v>
      </c>
      <c r="AC18" s="170">
        <f>IFERROR(__xludf.DUMMYFUNCTION("IFERROR(AB18 * (1 + AVERAGE(Filter('Inflation Data'!$C:$C,'Inflation Data'!$A:$A = AC$1))) + 'Fund YTD Contributions'!AC18,'Fund YTD Contributions'!AC18)"),77291.13599718976)</f>
        <v>77291.136</v>
      </c>
      <c r="AD18" s="170">
        <f>IFERROR(__xludf.DUMMYFUNCTION("IFERROR(AC18 * (1 + AVERAGE(Filter('Inflation Data'!$C:$C,'Inflation Data'!$A:$A = AD$1))) + 'Fund YTD Contributions'!AD18,'Fund YTD Contributions'!AD18)"),79179.1146540354)</f>
        <v>79179.11465</v>
      </c>
      <c r="AE18" s="170">
        <f>IFERROR(__xludf.DUMMYFUNCTION("IFERROR(AD18 * (1 + AVERAGE(Filter('Inflation Data'!$C:$C,'Inflation Data'!$A:$A = AE$1))) + 'Fund YTD Contributions'!AE18,'Fund YTD Contributions'!AE18)"),80560.0873159117)</f>
        <v>80560.08732</v>
      </c>
      <c r="AF18" s="170" t="str">
        <f>IFERROR(__xludf.DUMMYFUNCTION("IFERROR(AE18 * (1 + AVERAGE(Filter('Inflation Data'!$C:$C,'Inflation Data'!$A:$A = AF$1))) + 'Fund YTD Contributions'!AF18,'Fund YTD Contributions'!AF18)"),"")</f>
        <v/>
      </c>
    </row>
    <row r="19">
      <c r="A19" s="153" t="str">
        <f>'Endowed Funds'!B:B</f>
        <v>Lewis Matis Education Fund</v>
      </c>
      <c r="B19" s="170" t="str">
        <f>IFERROR(__xludf.DUMMYFUNCTION("IFERROR(A19 * (1 + AVERAGE(Filter('Inflation Data'!$C:$C,'Inflation Data'!$A:$A = B$1))) + 'Fund YTD Contributions'!B19,'Fund YTD Contributions'!B19)"),"  ")</f>
        <v/>
      </c>
      <c r="C19" s="170">
        <f>IFERROR(__xludf.DUMMYFUNCTION("IFERROR(B19 * (1 + AVERAGE(Filter('Inflation Data'!$C:$C,'Inflation Data'!$A:$A = C$1))) + 'Fund YTD Contributions'!C19,'Fund YTD Contributions'!C19)"),0.0)</f>
        <v>0</v>
      </c>
      <c r="D19" s="170">
        <f>IFERROR(__xludf.DUMMYFUNCTION("IFERROR(C19 * (1 + AVERAGE(Filter('Inflation Data'!$C:$C,'Inflation Data'!$A:$A = D$1))) + 'Fund YTD Contributions'!D19,'Fund YTD Contributions'!D19)"),0.0)</f>
        <v>0</v>
      </c>
      <c r="E19" s="170">
        <f>IFERROR(__xludf.DUMMYFUNCTION("IFERROR(D19 * (1 + AVERAGE(Filter('Inflation Data'!$C:$C,'Inflation Data'!$A:$A = E$1))) + 'Fund YTD Contributions'!E19,'Fund YTD Contributions'!E19)"),0.0)</f>
        <v>0</v>
      </c>
      <c r="F19" s="170">
        <f>IFERROR(__xludf.DUMMYFUNCTION("IFERROR(E19 * (1 + AVERAGE(Filter('Inflation Data'!$C:$C,'Inflation Data'!$A:$A = F$1))) + 'Fund YTD Contributions'!F19,'Fund YTD Contributions'!F19)"),0.0)</f>
        <v>0</v>
      </c>
      <c r="G19" s="170">
        <f>IFERROR(__xludf.DUMMYFUNCTION("IFERROR(F19 * (1 + AVERAGE(Filter('Inflation Data'!$C:$C,'Inflation Data'!$A:$A = G$1))) + 'Fund YTD Contributions'!G19,'Fund YTD Contributions'!G19)"),0.0)</f>
        <v>0</v>
      </c>
      <c r="H19" s="170">
        <f>IFERROR(__xludf.DUMMYFUNCTION("IFERROR(G19 * (1 + AVERAGE(Filter('Inflation Data'!$C:$C,'Inflation Data'!$A:$A = H$1))) + 'Fund YTD Contributions'!H19,'Fund YTD Contributions'!H19)"),0.0)</f>
        <v>0</v>
      </c>
      <c r="I19" s="170">
        <f>IFERROR(__xludf.DUMMYFUNCTION("IFERROR(H19 * (1 + AVERAGE(Filter('Inflation Data'!$C:$C,'Inflation Data'!$A:$A = I$1))) + 'Fund YTD Contributions'!I19,'Fund YTD Contributions'!I19)"),0.0)</f>
        <v>0</v>
      </c>
      <c r="J19" s="170">
        <f>IFERROR(__xludf.DUMMYFUNCTION("IFERROR(I19 * (1 + AVERAGE(Filter('Inflation Data'!$C:$C,'Inflation Data'!$A:$A = J$1))) + 'Fund YTD Contributions'!J19,'Fund YTD Contributions'!J19)"),0.0)</f>
        <v>0</v>
      </c>
      <c r="K19" s="170">
        <f>IFERROR(__xludf.DUMMYFUNCTION("IFERROR(J19 * (1 + AVERAGE(Filter('Inflation Data'!$C:$C,'Inflation Data'!$A:$A = K$1))) + 'Fund YTD Contributions'!K19,'Fund YTD Contributions'!K19)"),0.0)</f>
        <v>0</v>
      </c>
      <c r="L19" s="170">
        <f>IFERROR(__xludf.DUMMYFUNCTION("IFERROR(K19 * (1 + AVERAGE(Filter('Inflation Data'!$C:$C,'Inflation Data'!$A:$A = L$1))) + 'Fund YTD Contributions'!L19,'Fund YTD Contributions'!L19)"),0.0)</f>
        <v>0</v>
      </c>
      <c r="M19" s="170">
        <f>IFERROR(__xludf.DUMMYFUNCTION("IFERROR(L19 * (1 + AVERAGE(Filter('Inflation Data'!$C:$C,'Inflation Data'!$A:$A = M$1))) + 'Fund YTD Contributions'!M19,'Fund YTD Contributions'!M19)"),0.0)</f>
        <v>0</v>
      </c>
      <c r="N19" s="170">
        <f>IFERROR(__xludf.DUMMYFUNCTION("IFERROR(M19 * (1 + AVERAGE(Filter('Inflation Data'!$C:$C,'Inflation Data'!$A:$A = N$1))) + 'Fund YTD Contributions'!N19,'Fund YTD Contributions'!N19)"),0.0)</f>
        <v>0</v>
      </c>
      <c r="O19" s="170">
        <f>IFERROR(__xludf.DUMMYFUNCTION("IFERROR(N19 * (1 + AVERAGE(Filter('Inflation Data'!$C:$C,'Inflation Data'!$A:$A = O$1))) + 'Fund YTD Contributions'!O19,'Fund YTD Contributions'!O19)"),0.0)</f>
        <v>0</v>
      </c>
      <c r="P19" s="170">
        <f>IFERROR(__xludf.DUMMYFUNCTION("IFERROR(O19 * (1 + AVERAGE(Filter('Inflation Data'!$C:$C,'Inflation Data'!$A:$A = P$1))) + 'Fund YTD Contributions'!P19,'Fund YTD Contributions'!P19)"),0.0)</f>
        <v>0</v>
      </c>
      <c r="Q19" s="170">
        <f>IFERROR(__xludf.DUMMYFUNCTION("IFERROR(P19 * (1 + AVERAGE(Filter('Inflation Data'!$C:$C,'Inflation Data'!$A:$A = Q$1))) + 'Fund YTD Contributions'!Q19,'Fund YTD Contributions'!Q19)"),0.0)</f>
        <v>0</v>
      </c>
      <c r="R19" s="170">
        <f>IFERROR(__xludf.DUMMYFUNCTION("IFERROR(Q19 * (1 + AVERAGE(Filter('Inflation Data'!$C:$C,'Inflation Data'!$A:$A = R$1))) + 'Fund YTD Contributions'!R19,'Fund YTD Contributions'!R19)"),125393.74)</f>
        <v>125393.74</v>
      </c>
      <c r="S19" s="170">
        <f>IFERROR(__xludf.DUMMYFUNCTION("IFERROR(R19 * (1 + AVERAGE(Filter('Inflation Data'!$C:$C,'Inflation Data'!$A:$A = S$1))) + 'Fund YTD Contributions'!S19,'Fund YTD Contributions'!S19)"),131820.41174941993)</f>
        <v>131820.4117</v>
      </c>
      <c r="T19" s="170">
        <f>IFERROR(__xludf.DUMMYFUNCTION("IFERROR(S19 * (1 + AVERAGE(Filter('Inflation Data'!$C:$C,'Inflation Data'!$A:$A = T$1))) + 'Fund YTD Contributions'!T19,'Fund YTD Contributions'!T19)"),137289.74087257107)</f>
        <v>137289.7409</v>
      </c>
      <c r="U19" s="170">
        <f>IFERROR(__xludf.DUMMYFUNCTION("IFERROR(T19 * (1 + AVERAGE(Filter('Inflation Data'!$C:$C,'Inflation Data'!$A:$A = U$1))) + 'Fund YTD Contributions'!U19,'Fund YTD Contributions'!U19)"),137075.97612790353)</f>
        <v>137075.9761</v>
      </c>
      <c r="V19" s="170">
        <f>IFERROR(__xludf.DUMMYFUNCTION("IFERROR(U19 * (1 + AVERAGE(Filter('Inflation Data'!$C:$C,'Inflation Data'!$A:$A = V$1))) + 'Fund YTD Contributions'!V19,'Fund YTD Contributions'!V19)"),139579.94315603597)</f>
        <v>139579.9432</v>
      </c>
      <c r="W19" s="170">
        <f>IFERROR(__xludf.DUMMYFUNCTION("IFERROR(V19 * (1 + AVERAGE(Filter('Inflation Data'!$C:$C,'Inflation Data'!$A:$A = W$1))) + 'Fund YTD Contributions'!W19,'Fund YTD Contributions'!W19)"),144233.97151150941)</f>
        <v>144233.9715</v>
      </c>
      <c r="X19" s="170">
        <f>IFERROR(__xludf.DUMMYFUNCTION("IFERROR(W19 * (1 + AVERAGE(Filter('Inflation Data'!$C:$C,'Inflation Data'!$A:$A = X$1))) + 'Fund YTD Contributions'!X19,'Fund YTD Contributions'!X19)"),147534.2197158646)</f>
        <v>147534.2197</v>
      </c>
      <c r="Y19" s="170">
        <f>IFERROR(__xludf.DUMMYFUNCTION("IFERROR(X19 * (1 + AVERAGE(Filter('Inflation Data'!$C:$C,'Inflation Data'!$A:$A = Y$1))) + 'Fund YTD Contributions'!Y19,'Fund YTD Contributions'!Y19)"),149697.13855414724)</f>
        <v>149697.1386</v>
      </c>
      <c r="Z19" s="170">
        <f>IFERROR(__xludf.DUMMYFUNCTION("IFERROR(Y19 * (1 + AVERAGE(Filter('Inflation Data'!$C:$C,'Inflation Data'!$A:$A = Z$1))) + 'Fund YTD Contributions'!Z19,'Fund YTD Contributions'!Z19)"),152125.08364229437)</f>
        <v>152125.0836</v>
      </c>
      <c r="AA19" s="170">
        <f>IFERROR(__xludf.DUMMYFUNCTION("IFERROR(Z19 * (1 + AVERAGE(Filter('Inflation Data'!$C:$C,'Inflation Data'!$A:$A = AA$1))) + 'Fund YTD Contributions'!AA19,'Fund YTD Contributions'!AA19)"),152305.95969485925)</f>
        <v>152305.9597</v>
      </c>
      <c r="AB19" s="170">
        <f>IFERROR(__xludf.DUMMYFUNCTION("IFERROR(AA19 * (1 + AVERAGE(Filter('Inflation Data'!$C:$C,'Inflation Data'!$A:$A = AB$1))) + 'Fund YTD Contributions'!AB19,'Fund YTD Contributions'!AB19)"),154227.82306776015)</f>
        <v>154227.8231</v>
      </c>
      <c r="AC19" s="170">
        <f>IFERROR(__xludf.DUMMYFUNCTION("IFERROR(AB19 * (1 + AVERAGE(Filter('Inflation Data'!$C:$C,'Inflation Data'!$A:$A = AC$1))) + 'Fund YTD Contributions'!AC19,'Fund YTD Contributions'!AC19)"),157515.36636277512)</f>
        <v>157515.3664</v>
      </c>
      <c r="AD19" s="170">
        <f>IFERROR(__xludf.DUMMYFUNCTION("IFERROR(AC19 * (1 + AVERAGE(Filter('Inflation Data'!$C:$C,'Inflation Data'!$A:$A = AD$1))) + 'Fund YTD Contributions'!AD19,'Fund YTD Contributions'!AD19)"),161362.96992017337)</f>
        <v>161362.9699</v>
      </c>
      <c r="AE19" s="170">
        <f>IFERROR(__xludf.DUMMYFUNCTION("IFERROR(AD19 * (1 + AVERAGE(Filter('Inflation Data'!$C:$C,'Inflation Data'!$A:$A = AE$1))) + 'Fund YTD Contributions'!AE19,'Fund YTD Contributions'!AE19)"),164177.32129392383)</f>
        <v>164177.3213</v>
      </c>
      <c r="AF19" s="170" t="str">
        <f>IFERROR(__xludf.DUMMYFUNCTION("IFERROR(AE19 * (1 + AVERAGE(Filter('Inflation Data'!$C:$C,'Inflation Data'!$A:$A = AF$1))) + 'Fund YTD Contributions'!AF19,'Fund YTD Contributions'!AF19)"),"")</f>
        <v/>
      </c>
    </row>
    <row r="20">
      <c r="A20" s="153" t="str">
        <f>'Endowed Funds'!B:B</f>
        <v>Mark D. Varien Research Fund</v>
      </c>
      <c r="B20" s="170" t="str">
        <f>IFERROR(__xludf.DUMMYFUNCTION("IFERROR(A20 * (1 + AVERAGE(Filter('Inflation Data'!$C:$C,'Inflation Data'!$A:$A = B$1))) + 'Fund YTD Contributions'!B20,'Fund YTD Contributions'!B20)"),"  ")</f>
        <v/>
      </c>
      <c r="C20" s="170">
        <f>IFERROR(__xludf.DUMMYFUNCTION("IFERROR(B20 * (1 + AVERAGE(Filter('Inflation Data'!$C:$C,'Inflation Data'!$A:$A = C$1))) + 'Fund YTD Contributions'!C20,'Fund YTD Contributions'!C20)"),0.0)</f>
        <v>0</v>
      </c>
      <c r="D20" s="170">
        <f>IFERROR(__xludf.DUMMYFUNCTION("IFERROR(C20 * (1 + AVERAGE(Filter('Inflation Data'!$C:$C,'Inflation Data'!$A:$A = D$1))) + 'Fund YTD Contributions'!D20,'Fund YTD Contributions'!D20)"),0.0)</f>
        <v>0</v>
      </c>
      <c r="E20" s="170">
        <f>IFERROR(__xludf.DUMMYFUNCTION("IFERROR(D20 * (1 + AVERAGE(Filter('Inflation Data'!$C:$C,'Inflation Data'!$A:$A = E$1))) + 'Fund YTD Contributions'!E20,'Fund YTD Contributions'!E20)"),0.0)</f>
        <v>0</v>
      </c>
      <c r="F20" s="170">
        <f>IFERROR(__xludf.DUMMYFUNCTION("IFERROR(E20 * (1 + AVERAGE(Filter('Inflation Data'!$C:$C,'Inflation Data'!$A:$A = F$1))) + 'Fund YTD Contributions'!F20,'Fund YTD Contributions'!F20)"),0.0)</f>
        <v>0</v>
      </c>
      <c r="G20" s="170">
        <f>IFERROR(__xludf.DUMMYFUNCTION("IFERROR(F20 * (1 + AVERAGE(Filter('Inflation Data'!$C:$C,'Inflation Data'!$A:$A = G$1))) + 'Fund YTD Contributions'!G20,'Fund YTD Contributions'!G20)"),0.0)</f>
        <v>0</v>
      </c>
      <c r="H20" s="170">
        <f>IFERROR(__xludf.DUMMYFUNCTION("IFERROR(G20 * (1 + AVERAGE(Filter('Inflation Data'!$C:$C,'Inflation Data'!$A:$A = H$1))) + 'Fund YTD Contributions'!H20,'Fund YTD Contributions'!H20)"),0.0)</f>
        <v>0</v>
      </c>
      <c r="I20" s="170">
        <f>IFERROR(__xludf.DUMMYFUNCTION("IFERROR(H20 * (1 + AVERAGE(Filter('Inflation Data'!$C:$C,'Inflation Data'!$A:$A = I$1))) + 'Fund YTD Contributions'!I20,'Fund YTD Contributions'!I20)"),0.0)</f>
        <v>0</v>
      </c>
      <c r="J20" s="170">
        <f>IFERROR(__xludf.DUMMYFUNCTION("IFERROR(I20 * (1 + AVERAGE(Filter('Inflation Data'!$C:$C,'Inflation Data'!$A:$A = J$1))) + 'Fund YTD Contributions'!J20,'Fund YTD Contributions'!J20)"),0.0)</f>
        <v>0</v>
      </c>
      <c r="K20" s="170">
        <f>IFERROR(__xludf.DUMMYFUNCTION("IFERROR(J20 * (1 + AVERAGE(Filter('Inflation Data'!$C:$C,'Inflation Data'!$A:$A = K$1))) + 'Fund YTD Contributions'!K20,'Fund YTD Contributions'!K20)"),0.0)</f>
        <v>0</v>
      </c>
      <c r="L20" s="170">
        <f>IFERROR(__xludf.DUMMYFUNCTION("IFERROR(K20 * (1 + AVERAGE(Filter('Inflation Data'!$C:$C,'Inflation Data'!$A:$A = L$1))) + 'Fund YTD Contributions'!L20,'Fund YTD Contributions'!L20)"),0.0)</f>
        <v>0</v>
      </c>
      <c r="M20" s="170">
        <f>IFERROR(__xludf.DUMMYFUNCTION("IFERROR(L20 * (1 + AVERAGE(Filter('Inflation Data'!$C:$C,'Inflation Data'!$A:$A = M$1))) + 'Fund YTD Contributions'!M20,'Fund YTD Contributions'!M20)"),0.0)</f>
        <v>0</v>
      </c>
      <c r="N20" s="170">
        <f>IFERROR(__xludf.DUMMYFUNCTION("IFERROR(M20 * (1 + AVERAGE(Filter('Inflation Data'!$C:$C,'Inflation Data'!$A:$A = N$1))) + 'Fund YTD Contributions'!N20,'Fund YTD Contributions'!N20)"),0.0)</f>
        <v>0</v>
      </c>
      <c r="O20" s="170">
        <f>IFERROR(__xludf.DUMMYFUNCTION("IFERROR(N20 * (1 + AVERAGE(Filter('Inflation Data'!$C:$C,'Inflation Data'!$A:$A = O$1))) + 'Fund YTD Contributions'!O20,'Fund YTD Contributions'!O20)"),0.0)</f>
        <v>0</v>
      </c>
      <c r="P20" s="170">
        <f>IFERROR(__xludf.DUMMYFUNCTION("IFERROR(O20 * (1 + AVERAGE(Filter('Inflation Data'!$C:$C,'Inflation Data'!$A:$A = P$1))) + 'Fund YTD Contributions'!P20,'Fund YTD Contributions'!P20)"),0.0)</f>
        <v>0</v>
      </c>
      <c r="Q20" s="170">
        <f>IFERROR(__xludf.DUMMYFUNCTION("IFERROR(P20 * (1 + AVERAGE(Filter('Inflation Data'!$C:$C,'Inflation Data'!$A:$A = Q$1))) + 'Fund YTD Contributions'!Q20,'Fund YTD Contributions'!Q20)"),0.0)</f>
        <v>0</v>
      </c>
      <c r="R20" s="170">
        <f>IFERROR(__xludf.DUMMYFUNCTION("IFERROR(Q20 * (1 + AVERAGE(Filter('Inflation Data'!$C:$C,'Inflation Data'!$A:$A = R$1))) + 'Fund YTD Contributions'!R20,'Fund YTD Contributions'!R20)"),0.0)</f>
        <v>0</v>
      </c>
      <c r="S20" s="170">
        <f>IFERROR(__xludf.DUMMYFUNCTION("IFERROR(R20 * (1 + AVERAGE(Filter('Inflation Data'!$C:$C,'Inflation Data'!$A:$A = S$1))) + 'Fund YTD Contributions'!S20,'Fund YTD Contributions'!S20)"),0.0)</f>
        <v>0</v>
      </c>
      <c r="T20" s="170">
        <f>IFERROR(__xludf.DUMMYFUNCTION("IFERROR(S20 * (1 + AVERAGE(Filter('Inflation Data'!$C:$C,'Inflation Data'!$A:$A = T$1))) + 'Fund YTD Contributions'!T20,'Fund YTD Contributions'!T20)"),0.0)</f>
        <v>0</v>
      </c>
      <c r="U20" s="170">
        <f>IFERROR(__xludf.DUMMYFUNCTION("IFERROR(T20 * (1 + AVERAGE(Filter('Inflation Data'!$C:$C,'Inflation Data'!$A:$A = U$1))) + 'Fund YTD Contributions'!U20,'Fund YTD Contributions'!U20)"),0.0)</f>
        <v>0</v>
      </c>
      <c r="V20" s="170">
        <f>IFERROR(__xludf.DUMMYFUNCTION("IFERROR(U20 * (1 + AVERAGE(Filter('Inflation Data'!$C:$C,'Inflation Data'!$A:$A = V$1))) + 'Fund YTD Contributions'!V20,'Fund YTD Contributions'!V20)"),0.0)</f>
        <v>0</v>
      </c>
      <c r="W20" s="170">
        <f>IFERROR(__xludf.DUMMYFUNCTION("IFERROR(V20 * (1 + AVERAGE(Filter('Inflation Data'!$C:$C,'Inflation Data'!$A:$A = W$1))) + 'Fund YTD Contributions'!W20,'Fund YTD Contributions'!W20)"),0.0)</f>
        <v>0</v>
      </c>
      <c r="X20" s="170">
        <f>IFERROR(__xludf.DUMMYFUNCTION("IFERROR(W20 * (1 + AVERAGE(Filter('Inflation Data'!$C:$C,'Inflation Data'!$A:$A = X$1))) + 'Fund YTD Contributions'!X20,'Fund YTD Contributions'!X20)"),0.0)</f>
        <v>0</v>
      </c>
      <c r="Y20" s="170">
        <f>IFERROR(__xludf.DUMMYFUNCTION("IFERROR(X20 * (1 + AVERAGE(Filter('Inflation Data'!$C:$C,'Inflation Data'!$A:$A = Y$1))) + 'Fund YTD Contributions'!Y20,'Fund YTD Contributions'!Y20)"),405623.55)</f>
        <v>405623.55</v>
      </c>
      <c r="Z20" s="170">
        <f>IFERROR(__xludf.DUMMYFUNCTION("IFERROR(Y20 * (1 + AVERAGE(Filter('Inflation Data'!$C:$C,'Inflation Data'!$A:$A = Z$1))) + 'Fund YTD Contributions'!Z20,'Fund YTD Contributions'!Z20)"),414702.3778611823)</f>
        <v>414702.3779</v>
      </c>
      <c r="AA20" s="170">
        <f>IFERROR(__xludf.DUMMYFUNCTION("IFERROR(Z20 * (1 + AVERAGE(Filter('Inflation Data'!$C:$C,'Inflation Data'!$A:$A = AA$1))) + 'Fund YTD Contributions'!AA20,'Fund YTD Contributions'!AA20)"),417695.45715685707)</f>
        <v>417695.4572</v>
      </c>
      <c r="AB20" s="170">
        <f>IFERROR(__xludf.DUMMYFUNCTION("IFERROR(AA20 * (1 + AVERAGE(Filter('Inflation Data'!$C:$C,'Inflation Data'!$A:$A = AB$1))) + 'Fund YTD Contributions'!AB20,'Fund YTD Contributions'!AB20)"),425466.12155991234)</f>
        <v>425466.1216</v>
      </c>
      <c r="AC20" s="170">
        <f>IFERROR(__xludf.DUMMYFUNCTION("IFERROR(AB20 * (1 + AVERAGE(Filter('Inflation Data'!$C:$C,'Inflation Data'!$A:$A = AC$1))) + 'Fund YTD Contributions'!AC20,'Fund YTD Contributions'!AC20)"),437835.42090790207)</f>
        <v>437835.4209</v>
      </c>
      <c r="AD20" s="170">
        <f>IFERROR(__xludf.DUMMYFUNCTION("IFERROR(AC20 * (1 + AVERAGE(Filter('Inflation Data'!$C:$C,'Inflation Data'!$A:$A = AD$1))) + 'Fund YTD Contributions'!AD20,'Fund YTD Contributions'!AD20)"),451180.35919830576)</f>
        <v>451180.3592</v>
      </c>
      <c r="AE20" s="170">
        <f>IFERROR(__xludf.DUMMYFUNCTION("IFERROR(AD20 * (1 + AVERAGE(Filter('Inflation Data'!$C:$C,'Inflation Data'!$A:$A = AE$1))) + 'Fund YTD Contributions'!AE20,'Fund YTD Contributions'!AE20)"),459049.4512480315)</f>
        <v>459049.4512</v>
      </c>
      <c r="AF20" s="170" t="str">
        <f>IFERROR(__xludf.DUMMYFUNCTION("IFERROR(AE20 * (1 + AVERAGE(Filter('Inflation Data'!$C:$C,'Inflation Data'!$A:$A = AF$1))) + 'Fund YTD Contributions'!AF20,'Fund YTD Contributions'!AF20)"),"")</f>
        <v/>
      </c>
    </row>
    <row r="21">
      <c r="A21" s="153" t="str">
        <f>'Endowed Funds'!B:B</f>
        <v>National Endowment for the Humanities I</v>
      </c>
      <c r="B21" s="170" t="str">
        <f>IFERROR(__xludf.DUMMYFUNCTION("IFERROR(A21 * (1 + AVERAGE(Filter('Inflation Data'!$C:$C,'Inflation Data'!$A:$A = B$1))) + 'Fund YTD Contributions'!B21,'Fund YTD Contributions'!B21)"),"  ")</f>
        <v/>
      </c>
      <c r="C21" s="170">
        <f>IFERROR(__xludf.DUMMYFUNCTION("IFERROR(B21 * (1 + AVERAGE(Filter('Inflation Data'!$C:$C,'Inflation Data'!$A:$A = C$1))) + 'Fund YTD Contributions'!C21,'Fund YTD Contributions'!C21)"),0.0)</f>
        <v>0</v>
      </c>
      <c r="D21" s="170">
        <f>IFERROR(__xludf.DUMMYFUNCTION("IFERROR(C21 * (1 + AVERAGE(Filter('Inflation Data'!$C:$C,'Inflation Data'!$A:$A = D$1))) + 'Fund YTD Contributions'!D21,'Fund YTD Contributions'!D21)"),0.0)</f>
        <v>0</v>
      </c>
      <c r="E21" s="170">
        <f>IFERROR(__xludf.DUMMYFUNCTION("IFERROR(D21 * (1 + AVERAGE(Filter('Inflation Data'!$C:$C,'Inflation Data'!$A:$A = E$1))) + 'Fund YTD Contributions'!E21,'Fund YTD Contributions'!E21)"),0.0)</f>
        <v>0</v>
      </c>
      <c r="F21" s="170">
        <f>IFERROR(__xludf.DUMMYFUNCTION("IFERROR(E21 * (1 + AVERAGE(Filter('Inflation Data'!$C:$C,'Inflation Data'!$A:$A = F$1))) + 'Fund YTD Contributions'!F21,'Fund YTD Contributions'!F21)"),0.0)</f>
        <v>0</v>
      </c>
      <c r="G21" s="170">
        <f>IFERROR(__xludf.DUMMYFUNCTION("IFERROR(F21 * (1 + AVERAGE(Filter('Inflation Data'!$C:$C,'Inflation Data'!$A:$A = G$1))) + 'Fund YTD Contributions'!G21,'Fund YTD Contributions'!G21)"),0.0)</f>
        <v>0</v>
      </c>
      <c r="H21" s="170">
        <f>IFERROR(__xludf.DUMMYFUNCTION("IFERROR(G21 * (1 + AVERAGE(Filter('Inflation Data'!$C:$C,'Inflation Data'!$A:$A = H$1))) + 'Fund YTD Contributions'!H21,'Fund YTD Contributions'!H21)"),1183929.39)</f>
        <v>1183929.39</v>
      </c>
      <c r="I21" s="170">
        <f>IFERROR(__xludf.DUMMYFUNCTION("IFERROR(H21 * (1 + AVERAGE(Filter('Inflation Data'!$C:$C,'Inflation Data'!$A:$A = I$1))) + 'Fund YTD Contributions'!I21,'Fund YTD Contributions'!I21)"),1211645.2510154867)</f>
        <v>1211645.251</v>
      </c>
      <c r="J21" s="170">
        <f>IFERROR(__xludf.DUMMYFUNCTION("IFERROR(I21 * (1 + AVERAGE(Filter('Inflation Data'!$C:$C,'Inflation Data'!$A:$A = J$1))) + 'Fund YTD Contributions'!J21,'Fund YTD Contributions'!J21)"),1230452.9804983076)</f>
        <v>1230452.98</v>
      </c>
      <c r="K21" s="170">
        <f>IFERROR(__xludf.DUMMYFUNCTION("IFERROR(J21 * (1 + AVERAGE(Filter('Inflation Data'!$C:$C,'Inflation Data'!$A:$A = K$1))) + 'Fund YTD Contributions'!K21,'Fund YTD Contributions'!K21)"),1257355.1873403622)</f>
        <v>1257355.187</v>
      </c>
      <c r="L21" s="170">
        <f>IFERROR(__xludf.DUMMYFUNCTION("IFERROR(K21 * (1 + AVERAGE(Filter('Inflation Data'!$C:$C,'Inflation Data'!$A:$A = L$1))) + 'Fund YTD Contributions'!L21,'Fund YTD Contributions'!L21)"),1299803.988309598)</f>
        <v>1299803.988</v>
      </c>
      <c r="M21" s="170">
        <f>IFERROR(__xludf.DUMMYFUNCTION("IFERROR(L21 * (1 + AVERAGE(Filter('Inflation Data'!$C:$C,'Inflation Data'!$A:$A = M$1))) + 'Fund YTD Contributions'!M21,'Fund YTD Contributions'!M21)"),1336610.7306508191)</f>
        <v>1336610.731</v>
      </c>
      <c r="N21" s="170">
        <f>IFERROR(__xludf.DUMMYFUNCTION("IFERROR(M21 * (1 + AVERAGE(Filter('Inflation Data'!$C:$C,'Inflation Data'!$A:$A = N$1))) + 'Fund YTD Contributions'!N21,'Fund YTD Contributions'!N21)"),1357803.9290363714)</f>
        <v>1357803.929</v>
      </c>
      <c r="O21" s="170">
        <f>IFERROR(__xludf.DUMMYFUNCTION("IFERROR(N21 * (1 + AVERAGE(Filter('Inflation Data'!$C:$C,'Inflation Data'!$A:$A = O$1))) + 'Fund YTD Contributions'!O21,'Fund YTD Contributions'!O21)"),1388656.8858914443)</f>
        <v>1388656.886</v>
      </c>
      <c r="P21" s="170">
        <f>IFERROR(__xludf.DUMMYFUNCTION("IFERROR(O21 * (1 + AVERAGE(Filter('Inflation Data'!$C:$C,'Inflation Data'!$A:$A = P$1))) + 'Fund YTD Contributions'!P21,'Fund YTD Contributions'!P21)"),1425815.427001347)</f>
        <v>1425815.427</v>
      </c>
      <c r="Q21" s="170">
        <f>IFERROR(__xludf.DUMMYFUNCTION("IFERROR(P21 * (1 + AVERAGE(Filter('Inflation Data'!$C:$C,'Inflation Data'!$A:$A = Q$1))) + 'Fund YTD Contributions'!Q21,'Fund YTD Contributions'!Q21)"),1474155.3772322226)</f>
        <v>1474155.377</v>
      </c>
      <c r="R21" s="170">
        <f>IFERROR(__xludf.DUMMYFUNCTION("IFERROR(Q21 * (1 + AVERAGE(Filter('Inflation Data'!$C:$C,'Inflation Data'!$A:$A = R$1))) + 'Fund YTD Contributions'!R21,'Fund YTD Contributions'!R21)"),1521847.5479331312)</f>
        <v>1521847.548</v>
      </c>
      <c r="S21" s="170">
        <f>IFERROR(__xludf.DUMMYFUNCTION("IFERROR(R21 * (1 + AVERAGE(Filter('Inflation Data'!$C:$C,'Inflation Data'!$A:$A = S$1))) + 'Fund YTD Contributions'!S21,'Fund YTD Contributions'!S21)"),1565256.0078101268)</f>
        <v>1565256.008</v>
      </c>
      <c r="T21" s="170">
        <f>IFERROR(__xludf.DUMMYFUNCTION("IFERROR(S21 * (1 + AVERAGE(Filter('Inflation Data'!$C:$C,'Inflation Data'!$A:$A = T$1))) + 'Fund YTD Contributions'!T21,'Fund YTD Contributions'!T21)"),1625450.0078156996)</f>
        <v>1625450.008</v>
      </c>
      <c r="U21" s="170">
        <f>IFERROR(__xludf.DUMMYFUNCTION("IFERROR(T21 * (1 + AVERAGE(Filter('Inflation Data'!$C:$C,'Inflation Data'!$A:$A = U$1))) + 'Fund YTD Contributions'!U21,'Fund YTD Contributions'!U21)"),1619959.237689298)</f>
        <v>1619959.238</v>
      </c>
      <c r="V21" s="170">
        <f>IFERROR(__xludf.DUMMYFUNCTION("IFERROR(U21 * (1 + AVERAGE(Filter('Inflation Data'!$C:$C,'Inflation Data'!$A:$A = V$1))) + 'Fund YTD Contributions'!V21,'Fund YTD Contributions'!V21)"),1646596.5435966677)</f>
        <v>1646596.544</v>
      </c>
      <c r="W21" s="170">
        <f>IFERROR(__xludf.DUMMYFUNCTION("IFERROR(V21 * (1 + AVERAGE(Filter('Inflation Data'!$C:$C,'Inflation Data'!$A:$A = W$1))) + 'Fund YTD Contributions'!W21,'Fund YTD Contributions'!W21)"),1698549.9812042306)</f>
        <v>1698549.981</v>
      </c>
      <c r="X21" s="170">
        <f>IFERROR(__xludf.DUMMYFUNCTION("IFERROR(W21 * (1 + AVERAGE(Filter('Inflation Data'!$C:$C,'Inflation Data'!$A:$A = X$1))) + 'Fund YTD Contributions'!X21,'Fund YTD Contributions'!X21)"),1733764.1958450454)</f>
        <v>1733764.196</v>
      </c>
      <c r="Y21" s="170">
        <f>IFERROR(__xludf.DUMMYFUNCTION("IFERROR(X21 * (1 + AVERAGE(Filter('Inflation Data'!$C:$C,'Inflation Data'!$A:$A = Y$1))) + 'Fund YTD Contributions'!Y21,'Fund YTD Contributions'!Y21)"),1759181.9683967642)</f>
        <v>1759181.968</v>
      </c>
      <c r="Z21" s="170">
        <f>IFERROR(__xludf.DUMMYFUNCTION("IFERROR(Y21 * (1 + AVERAGE(Filter('Inflation Data'!$C:$C,'Inflation Data'!$A:$A = Z$1))) + 'Fund YTD Contributions'!Z21,'Fund YTD Contributions'!Z21)"),1787714.2253295244)</f>
        <v>1787714.225</v>
      </c>
      <c r="AA21" s="170">
        <f>IFERROR(__xludf.DUMMYFUNCTION("IFERROR(Z21 * (1 + AVERAGE(Filter('Inflation Data'!$C:$C,'Inflation Data'!$A:$A = AA$1))) + 'Fund YTD Contributions'!AA21,'Fund YTD Contributions'!AA21)"),1789839.8096477033)</f>
        <v>1789839.81</v>
      </c>
      <c r="AB21" s="170">
        <f>IFERROR(__xludf.DUMMYFUNCTION("IFERROR(AA21 * (1 + AVERAGE(Filter('Inflation Data'!$C:$C,'Inflation Data'!$A:$A = AB$1))) + 'Fund YTD Contributions'!AB21,'Fund YTD Contributions'!AB21)"),1812424.7930614415)</f>
        <v>1812424.793</v>
      </c>
      <c r="AC21" s="170">
        <f>IFERROR(__xludf.DUMMYFUNCTION("IFERROR(AB21 * (1 + AVERAGE(Filter('Inflation Data'!$C:$C,'Inflation Data'!$A:$A = AC$1))) + 'Fund YTD Contributions'!AC21,'Fund YTD Contributions'!AC21)"),1851058.7104547396)</f>
        <v>1851058.71</v>
      </c>
      <c r="AD21" s="170">
        <f>IFERROR(__xludf.DUMMYFUNCTION("IFERROR(AC21 * (1 + AVERAGE(Filter('Inflation Data'!$C:$C,'Inflation Data'!$A:$A = AD$1))) + 'Fund YTD Contributions'!AD21,'Fund YTD Contributions'!AD21)"),1896274.2360492116)</f>
        <v>1896274.236</v>
      </c>
      <c r="AE21" s="170">
        <f>IFERROR(__xludf.DUMMYFUNCTION("IFERROR(AD21 * (1 + AVERAGE(Filter('Inflation Data'!$C:$C,'Inflation Data'!$A:$A = AE$1))) + 'Fund YTD Contributions'!AE21,'Fund YTD Contributions'!AE21)"),1929347.387862622)</f>
        <v>1929347.388</v>
      </c>
      <c r="AF21" s="170" t="str">
        <f>IFERROR(__xludf.DUMMYFUNCTION("IFERROR(AE21 * (1 + AVERAGE(Filter('Inflation Data'!$C:$C,'Inflation Data'!$A:$A = AF$1))) + 'Fund YTD Contributions'!AF21,'Fund YTD Contributions'!AF21)"),"")</f>
        <v/>
      </c>
    </row>
    <row r="22">
      <c r="A22" s="153" t="str">
        <f>'Endowed Funds'!B:B</f>
        <v>National Endowment for the Humanities II</v>
      </c>
      <c r="B22" s="170" t="str">
        <f>IFERROR(__xludf.DUMMYFUNCTION("IFERROR(A22 * (1 + AVERAGE(Filter('Inflation Data'!$C:$C,'Inflation Data'!$A:$A = B$1))) + 'Fund YTD Contributions'!B22,'Fund YTD Contributions'!B22)"),"  ")</f>
        <v/>
      </c>
      <c r="C22" s="170">
        <f>IFERROR(__xludf.DUMMYFUNCTION("IFERROR(B22 * (1 + AVERAGE(Filter('Inflation Data'!$C:$C,'Inflation Data'!$A:$A = C$1))) + 'Fund YTD Contributions'!C22,'Fund YTD Contributions'!C22)"),0.0)</f>
        <v>0</v>
      </c>
      <c r="D22" s="170">
        <f>IFERROR(__xludf.DUMMYFUNCTION("IFERROR(C22 * (1 + AVERAGE(Filter('Inflation Data'!$C:$C,'Inflation Data'!$A:$A = D$1))) + 'Fund YTD Contributions'!D22,'Fund YTD Contributions'!D22)"),0.0)</f>
        <v>0</v>
      </c>
      <c r="E22" s="170">
        <f>IFERROR(__xludf.DUMMYFUNCTION("IFERROR(D22 * (1 + AVERAGE(Filter('Inflation Data'!$C:$C,'Inflation Data'!$A:$A = E$1))) + 'Fund YTD Contributions'!E22,'Fund YTD Contributions'!E22)"),0.0)</f>
        <v>0</v>
      </c>
      <c r="F22" s="170">
        <f>IFERROR(__xludf.DUMMYFUNCTION("IFERROR(E22 * (1 + AVERAGE(Filter('Inflation Data'!$C:$C,'Inflation Data'!$A:$A = F$1))) + 'Fund YTD Contributions'!F22,'Fund YTD Contributions'!F22)"),0.0)</f>
        <v>0</v>
      </c>
      <c r="G22" s="170">
        <f>IFERROR(__xludf.DUMMYFUNCTION("IFERROR(F22 * (1 + AVERAGE(Filter('Inflation Data'!$C:$C,'Inflation Data'!$A:$A = G$1))) + 'Fund YTD Contributions'!G22,'Fund YTD Contributions'!G22)"),0.0)</f>
        <v>0</v>
      </c>
      <c r="H22" s="170">
        <f>IFERROR(__xludf.DUMMYFUNCTION("IFERROR(G22 * (1 + AVERAGE(Filter('Inflation Data'!$C:$C,'Inflation Data'!$A:$A = H$1))) + 'Fund YTD Contributions'!H22,'Fund YTD Contributions'!H22)"),0.0)</f>
        <v>0</v>
      </c>
      <c r="I22" s="170">
        <f>IFERROR(__xludf.DUMMYFUNCTION("IFERROR(H22 * (1 + AVERAGE(Filter('Inflation Data'!$C:$C,'Inflation Data'!$A:$A = I$1))) + 'Fund YTD Contributions'!I22,'Fund YTD Contributions'!I22)"),0.0)</f>
        <v>0</v>
      </c>
      <c r="J22" s="170">
        <f>IFERROR(__xludf.DUMMYFUNCTION("IFERROR(I22 * (1 + AVERAGE(Filter('Inflation Data'!$C:$C,'Inflation Data'!$A:$A = J$1))) + 'Fund YTD Contributions'!J22,'Fund YTD Contributions'!J22)"),0.0)</f>
        <v>0</v>
      </c>
      <c r="K22" s="170">
        <f>IFERROR(__xludf.DUMMYFUNCTION("IFERROR(J22 * (1 + AVERAGE(Filter('Inflation Data'!$C:$C,'Inflation Data'!$A:$A = K$1))) + 'Fund YTD Contributions'!K22,'Fund YTD Contributions'!K22)"),0.0)</f>
        <v>0</v>
      </c>
      <c r="L22" s="170">
        <f>IFERROR(__xludf.DUMMYFUNCTION("IFERROR(K22 * (1 + AVERAGE(Filter('Inflation Data'!$C:$C,'Inflation Data'!$A:$A = L$1))) + 'Fund YTD Contributions'!L22,'Fund YTD Contributions'!L22)"),0.0)</f>
        <v>0</v>
      </c>
      <c r="M22" s="170">
        <f>IFERROR(__xludf.DUMMYFUNCTION("IFERROR(L22 * (1 + AVERAGE(Filter('Inflation Data'!$C:$C,'Inflation Data'!$A:$A = M$1))) + 'Fund YTD Contributions'!M22,'Fund YTD Contributions'!M22)"),350000.0)</f>
        <v>350000</v>
      </c>
      <c r="N22" s="170">
        <f>IFERROR(__xludf.DUMMYFUNCTION("IFERROR(M22 * (1 + AVERAGE(Filter('Inflation Data'!$C:$C,'Inflation Data'!$A:$A = N$1))) + 'Fund YTD Contributions'!N22,'Fund YTD Contributions'!N22)"),355549.5734583333)</f>
        <v>355549.5735</v>
      </c>
      <c r="O22" s="170">
        <f>IFERROR(__xludf.DUMMYFUNCTION("IFERROR(N22 * (1 + AVERAGE(Filter('Inflation Data'!$C:$C,'Inflation Data'!$A:$A = O$1))) + 'Fund YTD Contributions'!O22,'Fund YTD Contributions'!O22)"),513628.61595862627)</f>
        <v>513628.616</v>
      </c>
      <c r="P22" s="170">
        <f>IFERROR(__xludf.DUMMYFUNCTION("IFERROR(O22 * (1 + AVERAGE(Filter('Inflation Data'!$C:$C,'Inflation Data'!$A:$A = P$1))) + 'Fund YTD Contributions'!P22,'Fund YTD Contributions'!P22)"),527372.6086145724)</f>
        <v>527372.6086</v>
      </c>
      <c r="Q22" s="170">
        <f>IFERROR(__xludf.DUMMYFUNCTION("IFERROR(P22 * (1 + AVERAGE(Filter('Inflation Data'!$C:$C,'Inflation Data'!$A:$A = Q$1))) + 'Fund YTD Contributions'!Q22,'Fund YTD Contributions'!Q22)"),545252.3181273041)</f>
        <v>545252.3181</v>
      </c>
      <c r="R22" s="170">
        <f>IFERROR(__xludf.DUMMYFUNCTION("IFERROR(Q22 * (1 + AVERAGE(Filter('Inflation Data'!$C:$C,'Inflation Data'!$A:$A = R$1))) + 'Fund YTD Contributions'!R22,'Fund YTD Contributions'!R22)"),562892.4305827614)</f>
        <v>562892.4306</v>
      </c>
      <c r="S22" s="170">
        <f>IFERROR(__xludf.DUMMYFUNCTION("IFERROR(R22 * (1 + AVERAGE(Filter('Inflation Data'!$C:$C,'Inflation Data'!$A:$A = S$1))) + 'Fund YTD Contributions'!S22,'Fund YTD Contributions'!S22)"),578948.1081183999)</f>
        <v>578948.1081</v>
      </c>
      <c r="T22" s="170">
        <f>IFERROR(__xludf.DUMMYFUNCTION("IFERROR(S22 * (1 + AVERAGE(Filter('Inflation Data'!$C:$C,'Inflation Data'!$A:$A = T$1))) + 'Fund YTD Contributions'!T22,'Fund YTD Contributions'!T22)"),601212.3270381286)</f>
        <v>601212.327</v>
      </c>
      <c r="U22" s="170">
        <f>IFERROR(__xludf.DUMMYFUNCTION("IFERROR(T22 * (1 + AVERAGE(Filter('Inflation Data'!$C:$C,'Inflation Data'!$A:$A = U$1))) + 'Fund YTD Contributions'!U22,'Fund YTD Contributions'!U22)"),599181.4317973938)</f>
        <v>599181.4318</v>
      </c>
      <c r="V22" s="170">
        <f>IFERROR(__xludf.DUMMYFUNCTION("IFERROR(U22 * (1 + AVERAGE(Filter('Inflation Data'!$C:$C,'Inflation Data'!$A:$A = V$1))) + 'Fund YTD Contributions'!V22,'Fund YTD Contributions'!V22)"),609033.8890206811)</f>
        <v>609033.889</v>
      </c>
      <c r="W22" s="170">
        <f>IFERROR(__xludf.DUMMYFUNCTION("IFERROR(V22 * (1 + AVERAGE(Filter('Inflation Data'!$C:$C,'Inflation Data'!$A:$A = W$1))) + 'Fund YTD Contributions'!W22,'Fund YTD Contributions'!W22)"),628250.1349657946)</f>
        <v>628250.135</v>
      </c>
      <c r="X22" s="170">
        <f>IFERROR(__xludf.DUMMYFUNCTION("IFERROR(W22 * (1 + AVERAGE(Filter('Inflation Data'!$C:$C,'Inflation Data'!$A:$A = X$1))) + 'Fund YTD Contributions'!X22,'Fund YTD Contributions'!X22)"),641274.9710587081)</f>
        <v>641274.9711</v>
      </c>
      <c r="Y22" s="170">
        <f>IFERROR(__xludf.DUMMYFUNCTION("IFERROR(X22 * (1 + AVERAGE(Filter('Inflation Data'!$C:$C,'Inflation Data'!$A:$A = Y$1))) + 'Fund YTD Contributions'!Y22,'Fund YTD Contributions'!Y22)"),650676.354128299)</f>
        <v>650676.3541</v>
      </c>
      <c r="Z22" s="170">
        <f>IFERROR(__xludf.DUMMYFUNCTION("IFERROR(Y22 * (1 + AVERAGE(Filter('Inflation Data'!$C:$C,'Inflation Data'!$A:$A = Z$1))) + 'Fund YTD Contributions'!Z22,'Fund YTD Contributions'!Z22)"),661229.7052025939)</f>
        <v>661229.7052</v>
      </c>
      <c r="AA22" s="170">
        <f>IFERROR(__xludf.DUMMYFUNCTION("IFERROR(Z22 * (1 + AVERAGE(Filter('Inflation Data'!$C:$C,'Inflation Data'!$A:$A = AA$1))) + 'Fund YTD Contributions'!AA22,'Fund YTD Contributions'!AA22)"),662015.9044016486)</f>
        <v>662015.9044</v>
      </c>
      <c r="AB22" s="170">
        <f>IFERROR(__xludf.DUMMYFUNCTION("IFERROR(AA22 * (1 + AVERAGE(Filter('Inflation Data'!$C:$C,'Inflation Data'!$A:$A = AB$1))) + 'Fund YTD Contributions'!AB22,'Fund YTD Contributions'!AB22)"),670369.5113221947)</f>
        <v>670369.5113</v>
      </c>
      <c r="AC22" s="170">
        <f>IFERROR(__xludf.DUMMYFUNCTION("IFERROR(AB22 * (1 + AVERAGE(Filter('Inflation Data'!$C:$C,'Inflation Data'!$A:$A = AC$1))) + 'Fund YTD Contributions'!AC22,'Fund YTD Contributions'!AC22)"),684659.2078781882)</f>
        <v>684659.2079</v>
      </c>
      <c r="AD22" s="170">
        <f>IFERROR(__xludf.DUMMYFUNCTION("IFERROR(AC22 * (1 + AVERAGE(Filter('Inflation Data'!$C:$C,'Inflation Data'!$A:$A = AD$1))) + 'Fund YTD Contributions'!AD22,'Fund YTD Contributions'!AD22)"),701383.272740346)</f>
        <v>701383.2727</v>
      </c>
      <c r="AE22" s="170">
        <f>IFERROR(__xludf.DUMMYFUNCTION("IFERROR(AD22 * (1 + AVERAGE(Filter('Inflation Data'!$C:$C,'Inflation Data'!$A:$A = AE$1))) + 'Fund YTD Contributions'!AE22,'Fund YTD Contributions'!AE22)"),713616.1845300763)</f>
        <v>713616.1845</v>
      </c>
      <c r="AF22" s="170" t="str">
        <f>IFERROR(__xludf.DUMMYFUNCTION("IFERROR(AE22 * (1 + AVERAGE(Filter('Inflation Data'!$C:$C,'Inflation Data'!$A:$A = AF$1))) + 'Fund YTD Contributions'!AF22,'Fund YTD Contributions'!AF22)"),"")</f>
        <v/>
      </c>
    </row>
    <row r="23">
      <c r="A23" s="153" t="str">
        <f>'Endowed Funds'!B:B</f>
        <v>National Youth Education Scholarship</v>
      </c>
      <c r="B23" s="170" t="str">
        <f>IFERROR(__xludf.DUMMYFUNCTION("IFERROR(A23 * (1 + AVERAGE(Filter('Inflation Data'!$C:$C,'Inflation Data'!$A:$A = B$1))) + 'Fund YTD Contributions'!B23,'Fund YTD Contributions'!B23)"),"  ")</f>
        <v/>
      </c>
      <c r="C23" s="170">
        <f>IFERROR(__xludf.DUMMYFUNCTION("IFERROR(B23 * (1 + AVERAGE(Filter('Inflation Data'!$C:$C,'Inflation Data'!$A:$A = C$1))) + 'Fund YTD Contributions'!C23,'Fund YTD Contributions'!C23)"),0.0)</f>
        <v>0</v>
      </c>
      <c r="D23" s="170">
        <f>IFERROR(__xludf.DUMMYFUNCTION("IFERROR(C23 * (1 + AVERAGE(Filter('Inflation Data'!$C:$C,'Inflation Data'!$A:$A = D$1))) + 'Fund YTD Contributions'!D23,'Fund YTD Contributions'!D23)"),0.0)</f>
        <v>0</v>
      </c>
      <c r="E23" s="170">
        <f>IFERROR(__xludf.DUMMYFUNCTION("IFERROR(D23 * (1 + AVERAGE(Filter('Inflation Data'!$C:$C,'Inflation Data'!$A:$A = E$1))) + 'Fund YTD Contributions'!E23,'Fund YTD Contributions'!E23)"),0.0)</f>
        <v>0</v>
      </c>
      <c r="F23" s="170">
        <f>IFERROR(__xludf.DUMMYFUNCTION("IFERROR(E23 * (1 + AVERAGE(Filter('Inflation Data'!$C:$C,'Inflation Data'!$A:$A = F$1))) + 'Fund YTD Contributions'!F23,'Fund YTD Contributions'!F23)"),0.0)</f>
        <v>0</v>
      </c>
      <c r="G23" s="170">
        <f>IFERROR(__xludf.DUMMYFUNCTION("IFERROR(F23 * (1 + AVERAGE(Filter('Inflation Data'!$C:$C,'Inflation Data'!$A:$A = G$1))) + 'Fund YTD Contributions'!G23,'Fund YTD Contributions'!G23)"),0.0)</f>
        <v>0</v>
      </c>
      <c r="H23" s="170">
        <f>IFERROR(__xludf.DUMMYFUNCTION("IFERROR(G23 * (1 + AVERAGE(Filter('Inflation Data'!$C:$C,'Inflation Data'!$A:$A = H$1))) + 'Fund YTD Contributions'!H23,'Fund YTD Contributions'!H23)"),0.0)</f>
        <v>0</v>
      </c>
      <c r="I23" s="170">
        <f>IFERROR(__xludf.DUMMYFUNCTION("IFERROR(H23 * (1 + AVERAGE(Filter('Inflation Data'!$C:$C,'Inflation Data'!$A:$A = I$1))) + 'Fund YTD Contributions'!I23,'Fund YTD Contributions'!I23)"),0.0)</f>
        <v>0</v>
      </c>
      <c r="J23" s="170">
        <f>IFERROR(__xludf.DUMMYFUNCTION("IFERROR(I23 * (1 + AVERAGE(Filter('Inflation Data'!$C:$C,'Inflation Data'!$A:$A = J$1))) + 'Fund YTD Contributions'!J23,'Fund YTD Contributions'!J23)"),0.0)</f>
        <v>0</v>
      </c>
      <c r="K23" s="170">
        <f>IFERROR(__xludf.DUMMYFUNCTION("IFERROR(J23 * (1 + AVERAGE(Filter('Inflation Data'!$C:$C,'Inflation Data'!$A:$A = K$1))) + 'Fund YTD Contributions'!K23,'Fund YTD Contributions'!K23)"),35279.57)</f>
        <v>35279.57</v>
      </c>
      <c r="L23" s="170">
        <f>IFERROR(__xludf.DUMMYFUNCTION("IFERROR(K23 * (1 + AVERAGE(Filter('Inflation Data'!$C:$C,'Inflation Data'!$A:$A = L$1))) + 'Fund YTD Contributions'!L23,'Fund YTD Contributions'!L23)"),99282.44202753248)</f>
        <v>99282.44203</v>
      </c>
      <c r="M23" s="170">
        <f>IFERROR(__xludf.DUMMYFUNCTION("IFERROR(L23 * (1 + AVERAGE(Filter('Inflation Data'!$C:$C,'Inflation Data'!$A:$A = M$1))) + 'Fund YTD Contributions'!M23,'Fund YTD Contributions'!M23)"),133879.6576653217)</f>
        <v>133879.6577</v>
      </c>
      <c r="N23" s="170">
        <f>IFERROR(__xludf.DUMMYFUNCTION("IFERROR(M23 * (1 + AVERAGE(Filter('Inflation Data'!$C:$C,'Inflation Data'!$A:$A = N$1))) + 'Fund YTD Contributions'!N23,'Fund YTD Contributions'!N23)"),180840.16336472234)</f>
        <v>180840.1634</v>
      </c>
      <c r="O23" s="170">
        <f>IFERROR(__xludf.DUMMYFUNCTION("IFERROR(N23 * (1 + AVERAGE(Filter('Inflation Data'!$C:$C,'Inflation Data'!$A:$A = O$1))) + 'Fund YTD Contributions'!O23,'Fund YTD Contributions'!O23)"),204949.3382158482)</f>
        <v>204949.3382</v>
      </c>
      <c r="P23" s="170">
        <f>IFERROR(__xludf.DUMMYFUNCTION("IFERROR(O23 * (1 + AVERAGE(Filter('Inflation Data'!$C:$C,'Inflation Data'!$A:$A = P$1))) + 'Fund YTD Contributions'!P23,'Fund YTD Contributions'!P23)"),260275.42955686376)</f>
        <v>260275.4296</v>
      </c>
      <c r="Q23" s="170">
        <f>IFERROR(__xludf.DUMMYFUNCTION("IFERROR(P23 * (1 + AVERAGE(Filter('Inflation Data'!$C:$C,'Inflation Data'!$A:$A = Q$1))) + 'Fund YTD Contributions'!Q23,'Fund YTD Contributions'!Q23)"),428112.6441591418)</f>
        <v>428112.6442</v>
      </c>
      <c r="R23" s="170">
        <f>IFERROR(__xludf.DUMMYFUNCTION("IFERROR(Q23 * (1 + AVERAGE(Filter('Inflation Data'!$C:$C,'Inflation Data'!$A:$A = R$1))) + 'Fund YTD Contributions'!R23,'Fund YTD Contributions'!R23)"),462149.03036659164)</f>
        <v>462149.0304</v>
      </c>
      <c r="S23" s="170">
        <f>IFERROR(__xludf.DUMMYFUNCTION("IFERROR(R23 * (1 + AVERAGE(Filter('Inflation Data'!$C:$C,'Inflation Data'!$A:$A = S$1))) + 'Fund YTD Contributions'!S23,'Fund YTD Contributions'!S23)"),485331.1507893018)</f>
        <v>485331.1508</v>
      </c>
      <c r="T23" s="170">
        <f>IFERROR(__xludf.DUMMYFUNCTION("IFERROR(S23 * (1 + AVERAGE(Filter('Inflation Data'!$C:$C,'Inflation Data'!$A:$A = T$1))) + 'Fund YTD Contributions'!T23,'Fund YTD Contributions'!T23)"),503995.20519800374)</f>
        <v>503995.2052</v>
      </c>
      <c r="U23" s="170">
        <f>IFERROR(__xludf.DUMMYFUNCTION("IFERROR(T23 * (1 + AVERAGE(Filter('Inflation Data'!$C:$C,'Inflation Data'!$A:$A = U$1))) + 'Fund YTD Contributions'!U23,'Fund YTD Contributions'!U23)"),502292.7093948449)</f>
        <v>502292.7094</v>
      </c>
      <c r="V23" s="170">
        <f>IFERROR(__xludf.DUMMYFUNCTION("IFERROR(U23 * (1 + AVERAGE(Filter('Inflation Data'!$C:$C,'Inflation Data'!$A:$A = V$1))) + 'Fund YTD Contributions'!V23,'Fund YTD Contributions'!V23)"),510552.00644621806)</f>
        <v>510552.0064</v>
      </c>
      <c r="W23" s="170">
        <f>IFERROR(__xludf.DUMMYFUNCTION("IFERROR(V23 * (1 + AVERAGE(Filter('Inflation Data'!$C:$C,'Inflation Data'!$A:$A = W$1))) + 'Fund YTD Contributions'!W23,'Fund YTD Contributions'!W23)"),526660.9506289753)</f>
        <v>526660.9506</v>
      </c>
      <c r="X23" s="170">
        <f>IFERROR(__xludf.DUMMYFUNCTION("IFERROR(W23 * (1 + AVERAGE(Filter('Inflation Data'!$C:$C,'Inflation Data'!$A:$A = X$1))) + 'Fund YTD Contributions'!X23,'Fund YTD Contributions'!X23)"),537579.647142831)</f>
        <v>537579.6471</v>
      </c>
      <c r="Y23" s="170">
        <f>IFERROR(__xludf.DUMMYFUNCTION("IFERROR(X23 * (1 + AVERAGE(Filter('Inflation Data'!$C:$C,'Inflation Data'!$A:$A = Y$1))) + 'Fund YTD Contributions'!Y23,'Fund YTD Contributions'!Y23)"),545460.8095478776)</f>
        <v>545460.8095</v>
      </c>
      <c r="Z23" s="170">
        <f>IFERROR(__xludf.DUMMYFUNCTION("IFERROR(Y23 * (1 + AVERAGE(Filter('Inflation Data'!$C:$C,'Inflation Data'!$A:$A = Z$1))) + 'Fund YTD Contributions'!Z23,'Fund YTD Contributions'!Z23)"),554307.6646455085)</f>
        <v>554307.6646</v>
      </c>
      <c r="AA23" s="170">
        <f>IFERROR(__xludf.DUMMYFUNCTION("IFERROR(Z23 * (1 + AVERAGE(Filter('Inflation Data'!$C:$C,'Inflation Data'!$A:$A = AA$1))) + 'Fund YTD Contributions'!AA23,'Fund YTD Contributions'!AA23)"),554966.7340105798)</f>
        <v>554966.734</v>
      </c>
      <c r="AB23" s="170">
        <f>IFERROR(__xludf.DUMMYFUNCTION("IFERROR(AA23 * (1 + AVERAGE(Filter('Inflation Data'!$C:$C,'Inflation Data'!$A:$A = AB$1))) + 'Fund YTD Contributions'!AB23,'Fund YTD Contributions'!AB23)"),561969.547566991)</f>
        <v>561969.5476</v>
      </c>
      <c r="AC23" s="170">
        <f>IFERROR(__xludf.DUMMYFUNCTION("IFERROR(AB23 * (1 + AVERAGE(Filter('Inflation Data'!$C:$C,'Inflation Data'!$A:$A = AC$1))) + 'Fund YTD Contributions'!AC23,'Fund YTD Contributions'!AC23)"),573948.5743168839)</f>
        <v>573948.5743</v>
      </c>
      <c r="AD23" s="170">
        <f>IFERROR(__xludf.DUMMYFUNCTION("IFERROR(AC23 * (1 + AVERAGE(Filter('Inflation Data'!$C:$C,'Inflation Data'!$A:$A = AD$1))) + 'Fund YTD Contributions'!AD23,'Fund YTD Contributions'!AD23)"),587968.3276101549)</f>
        <v>587968.3276</v>
      </c>
      <c r="AE23" s="170">
        <f>IFERROR(__xludf.DUMMYFUNCTION("IFERROR(AD23 * (1 + AVERAGE(Filter('Inflation Data'!$C:$C,'Inflation Data'!$A:$A = AE$1))) + 'Fund YTD Contributions'!AE23,'Fund YTD Contributions'!AE23)"),598223.1554145142)</f>
        <v>598223.1554</v>
      </c>
      <c r="AF23" s="170" t="str">
        <f>IFERROR(__xludf.DUMMYFUNCTION("IFERROR(AE23 * (1 + AVERAGE(Filter('Inflation Data'!$C:$C,'Inflation Data'!$A:$A = AF$1))) + 'Fund YTD Contributions'!AF23,'Fund YTD Contributions'!AF23)"),"")</f>
        <v/>
      </c>
    </row>
    <row r="24">
      <c r="A24" s="153" t="str">
        <f>'Endowed Funds'!B:B</f>
        <v>Navajo Education Fund</v>
      </c>
      <c r="B24" s="170" t="str">
        <f>IFERROR(__xludf.DUMMYFUNCTION("IFERROR(A24 * (1 + AVERAGE(Filter('Inflation Data'!$C:$C,'Inflation Data'!$A:$A = B$1))) + 'Fund YTD Contributions'!B24,'Fund YTD Contributions'!B24)"),"  ")</f>
        <v/>
      </c>
      <c r="C24" s="170">
        <f>IFERROR(__xludf.DUMMYFUNCTION("IFERROR(B24 * (1 + AVERAGE(Filter('Inflation Data'!$C:$C,'Inflation Data'!$A:$A = C$1))) + 'Fund YTD Contributions'!C24,'Fund YTD Contributions'!C24)"),0.0)</f>
        <v>0</v>
      </c>
      <c r="D24" s="170">
        <f>IFERROR(__xludf.DUMMYFUNCTION("IFERROR(C24 * (1 + AVERAGE(Filter('Inflation Data'!$C:$C,'Inflation Data'!$A:$A = D$1))) + 'Fund YTD Contributions'!D24,'Fund YTD Contributions'!D24)"),0.0)</f>
        <v>0</v>
      </c>
      <c r="E24" s="170">
        <f>IFERROR(__xludf.DUMMYFUNCTION("IFERROR(D24 * (1 + AVERAGE(Filter('Inflation Data'!$C:$C,'Inflation Data'!$A:$A = E$1))) + 'Fund YTD Contributions'!E24,'Fund YTD Contributions'!E24)"),0.0)</f>
        <v>0</v>
      </c>
      <c r="F24" s="170">
        <f>IFERROR(__xludf.DUMMYFUNCTION("IFERROR(E24 * (1 + AVERAGE(Filter('Inflation Data'!$C:$C,'Inflation Data'!$A:$A = F$1))) + 'Fund YTD Contributions'!F24,'Fund YTD Contributions'!F24)"),0.0)</f>
        <v>0</v>
      </c>
      <c r="G24" s="170">
        <f>IFERROR(__xludf.DUMMYFUNCTION("IFERROR(F24 * (1 + AVERAGE(Filter('Inflation Data'!$C:$C,'Inflation Data'!$A:$A = G$1))) + 'Fund YTD Contributions'!G24,'Fund YTD Contributions'!G24)"),0.0)</f>
        <v>0</v>
      </c>
      <c r="H24" s="170">
        <f>IFERROR(__xludf.DUMMYFUNCTION("IFERROR(G24 * (1 + AVERAGE(Filter('Inflation Data'!$C:$C,'Inflation Data'!$A:$A = H$1))) + 'Fund YTD Contributions'!H24,'Fund YTD Contributions'!H24)"),0.0)</f>
        <v>0</v>
      </c>
      <c r="I24" s="170">
        <f>IFERROR(__xludf.DUMMYFUNCTION("IFERROR(H24 * (1 + AVERAGE(Filter('Inflation Data'!$C:$C,'Inflation Data'!$A:$A = I$1))) + 'Fund YTD Contributions'!I24,'Fund YTD Contributions'!I24)"),0.0)</f>
        <v>0</v>
      </c>
      <c r="J24" s="170">
        <f>IFERROR(__xludf.DUMMYFUNCTION("IFERROR(I24 * (1 + AVERAGE(Filter('Inflation Data'!$C:$C,'Inflation Data'!$A:$A = J$1))) + 'Fund YTD Contributions'!J24,'Fund YTD Contributions'!J24)"),0.0)</f>
        <v>0</v>
      </c>
      <c r="K24" s="170">
        <f>IFERROR(__xludf.DUMMYFUNCTION("IFERROR(J24 * (1 + AVERAGE(Filter('Inflation Data'!$C:$C,'Inflation Data'!$A:$A = K$1))) + 'Fund YTD Contributions'!K24,'Fund YTD Contributions'!K24)"),0.0)</f>
        <v>0</v>
      </c>
      <c r="L24" s="170">
        <f>IFERROR(__xludf.DUMMYFUNCTION("IFERROR(K24 * (1 + AVERAGE(Filter('Inflation Data'!$C:$C,'Inflation Data'!$A:$A = L$1))) + 'Fund YTD Contributions'!L24,'Fund YTD Contributions'!L24)"),0.0)</f>
        <v>0</v>
      </c>
      <c r="M24" s="170">
        <f>IFERROR(__xludf.DUMMYFUNCTION("IFERROR(L24 * (1 + AVERAGE(Filter('Inflation Data'!$C:$C,'Inflation Data'!$A:$A = M$1))) + 'Fund YTD Contributions'!M24,'Fund YTD Contributions'!M24)"),0.0)</f>
        <v>0</v>
      </c>
      <c r="N24" s="170">
        <f>IFERROR(__xludf.DUMMYFUNCTION("IFERROR(M24 * (1 + AVERAGE(Filter('Inflation Data'!$C:$C,'Inflation Data'!$A:$A = N$1))) + 'Fund YTD Contributions'!N24,'Fund YTD Contributions'!N24)"),0.0)</f>
        <v>0</v>
      </c>
      <c r="O24" s="170">
        <f>IFERROR(__xludf.DUMMYFUNCTION("IFERROR(N24 * (1 + AVERAGE(Filter('Inflation Data'!$C:$C,'Inflation Data'!$A:$A = O$1))) + 'Fund YTD Contributions'!O24,'Fund YTD Contributions'!O24)"),0.0)</f>
        <v>0</v>
      </c>
      <c r="P24" s="170">
        <f>IFERROR(__xludf.DUMMYFUNCTION("IFERROR(O24 * (1 + AVERAGE(Filter('Inflation Data'!$C:$C,'Inflation Data'!$A:$A = P$1))) + 'Fund YTD Contributions'!P24,'Fund YTD Contributions'!P24)"),0.0)</f>
        <v>0</v>
      </c>
      <c r="Q24" s="170">
        <f>IFERROR(__xludf.DUMMYFUNCTION("IFERROR(P24 * (1 + AVERAGE(Filter('Inflation Data'!$C:$C,'Inflation Data'!$A:$A = Q$1))) + 'Fund YTD Contributions'!Q24,'Fund YTD Contributions'!Q24)"),0.0)</f>
        <v>0</v>
      </c>
      <c r="R24" s="170">
        <f>IFERROR(__xludf.DUMMYFUNCTION("IFERROR(Q24 * (1 + AVERAGE(Filter('Inflation Data'!$C:$C,'Inflation Data'!$A:$A = R$1))) + 'Fund YTD Contributions'!R24,'Fund YTD Contributions'!R24)"),176475.0)</f>
        <v>176475</v>
      </c>
      <c r="S24" s="170">
        <f>IFERROR(__xludf.DUMMYFUNCTION("IFERROR(R24 * (1 + AVERAGE(Filter('Inflation Data'!$C:$C,'Inflation Data'!$A:$A = S$1))) + 'Fund YTD Contributions'!S24,'Fund YTD Contributions'!S24)"),189502.68945673748)</f>
        <v>189502.6895</v>
      </c>
      <c r="T24" s="170">
        <f>IFERROR(__xludf.DUMMYFUNCTION("IFERROR(S24 * (1 + AVERAGE(Filter('Inflation Data'!$C:$C,'Inflation Data'!$A:$A = T$1))) + 'Fund YTD Contributions'!T24,'Fund YTD Contributions'!T24)"),196790.2672288706)</f>
        <v>196790.2672</v>
      </c>
      <c r="U24" s="170">
        <f>IFERROR(__xludf.DUMMYFUNCTION("IFERROR(T24 * (1 + AVERAGE(Filter('Inflation Data'!$C:$C,'Inflation Data'!$A:$A = U$1))) + 'Fund YTD Contributions'!U24,'Fund YTD Contributions'!U24)"),196125.50970617146)</f>
        <v>196125.5097</v>
      </c>
      <c r="V24" s="170">
        <f>IFERROR(__xludf.DUMMYFUNCTION("IFERROR(U24 * (1 + AVERAGE(Filter('Inflation Data'!$C:$C,'Inflation Data'!$A:$A = V$1))) + 'Fund YTD Contributions'!V24,'Fund YTD Contributions'!V24)"),199350.439739432)</f>
        <v>199350.4397</v>
      </c>
      <c r="W24" s="170">
        <f>IFERROR(__xludf.DUMMYFUNCTION("IFERROR(V24 * (1 + AVERAGE(Filter('Inflation Data'!$C:$C,'Inflation Data'!$A:$A = W$1))) + 'Fund YTD Contributions'!W24,'Fund YTD Contributions'!W24)"),205640.34765483436)</f>
        <v>205640.3477</v>
      </c>
      <c r="X24" s="170">
        <f>IFERROR(__xludf.DUMMYFUNCTION("IFERROR(W24 * (1 + AVERAGE(Filter('Inflation Data'!$C:$C,'Inflation Data'!$A:$A = X$1))) + 'Fund YTD Contributions'!X24,'Fund YTD Contributions'!X24)"),209903.66838207908)</f>
        <v>209903.6684</v>
      </c>
      <c r="Y24" s="170">
        <f>IFERROR(__xludf.DUMMYFUNCTION("IFERROR(X24 * (1 + AVERAGE(Filter('Inflation Data'!$C:$C,'Inflation Data'!$A:$A = Y$1))) + 'Fund YTD Contributions'!Y24,'Fund YTD Contributions'!Y24)"),212980.95173669737)</f>
        <v>212980.9517</v>
      </c>
      <c r="Z24" s="170">
        <f>IFERROR(__xludf.DUMMYFUNCTION("IFERROR(Y24 * (1 + AVERAGE(Filter('Inflation Data'!$C:$C,'Inflation Data'!$A:$A = Z$1))) + 'Fund YTD Contributions'!Z24,'Fund YTD Contributions'!Z24)"),226435.30003374896)</f>
        <v>226435.3</v>
      </c>
      <c r="AA24" s="170">
        <f>IFERROR(__xludf.DUMMYFUNCTION("IFERROR(Z24 * (1 + AVERAGE(Filter('Inflation Data'!$C:$C,'Inflation Data'!$A:$A = AA$1))) + 'Fund YTD Contributions'!AA24,'Fund YTD Contributions'!AA24)"),226704.53060539984)</f>
        <v>226704.5306</v>
      </c>
      <c r="AB24" s="170">
        <f>IFERROR(__xludf.DUMMYFUNCTION("IFERROR(AA24 * (1 + AVERAGE(Filter('Inflation Data'!$C:$C,'Inflation Data'!$A:$A = AB$1))) + 'Fund YTD Contributions'!AB24,'Fund YTD Contributions'!AB24)"),229565.18776362343)</f>
        <v>229565.1878</v>
      </c>
      <c r="AC24" s="170">
        <f>IFERROR(__xludf.DUMMYFUNCTION("IFERROR(AB24 * (1 + AVERAGE(Filter('Inflation Data'!$C:$C,'Inflation Data'!$A:$A = AC$1))) + 'Fund YTD Contributions'!AC24,'Fund YTD Contributions'!AC24)"),234458.6335685971)</f>
        <v>234458.6336</v>
      </c>
      <c r="AD24" s="170">
        <f>IFERROR(__xludf.DUMMYFUNCTION("IFERROR(AC24 * (1 + AVERAGE(Filter('Inflation Data'!$C:$C,'Inflation Data'!$A:$A = AD$1))) + 'Fund YTD Contributions'!AD24,'Fund YTD Contributions'!AD24)"),240185.71844553304)</f>
        <v>240185.7184</v>
      </c>
      <c r="AE24" s="170">
        <f>IFERROR(__xludf.DUMMYFUNCTION("IFERROR(AD24 * (1 + AVERAGE(Filter('Inflation Data'!$C:$C,'Inflation Data'!$A:$A = AE$1))) + 'Fund YTD Contributions'!AE24,'Fund YTD Contributions'!AE24)"),244374.8270557478)</f>
        <v>244374.8271</v>
      </c>
      <c r="AF24" s="170" t="str">
        <f>IFERROR(__xludf.DUMMYFUNCTION("IFERROR(AE24 * (1 + AVERAGE(Filter('Inflation Data'!$C:$C,'Inflation Data'!$A:$A = AF$1))) + 'Fund YTD Contributions'!AF24,'Fund YTD Contributions'!AF24)"),"")</f>
        <v/>
      </c>
    </row>
    <row r="25">
      <c r="A25" s="153" t="str">
        <f>'Endowed Funds'!B:B</f>
        <v>Pamela &amp; Michael Reese Education Fund</v>
      </c>
      <c r="B25" s="170" t="str">
        <f>IFERROR(__xludf.DUMMYFUNCTION("IFERROR(A25 * (1 + AVERAGE(Filter('Inflation Data'!$C:$C,'Inflation Data'!$A:$A = B$1))) + 'Fund YTD Contributions'!B25,'Fund YTD Contributions'!B25)"),"  ")</f>
        <v/>
      </c>
      <c r="C25" s="170">
        <f>IFERROR(__xludf.DUMMYFUNCTION("IFERROR(B25 * (1 + AVERAGE(Filter('Inflation Data'!$C:$C,'Inflation Data'!$A:$A = C$1))) + 'Fund YTD Contributions'!C25,'Fund YTD Contributions'!C25)"),0.0)</f>
        <v>0</v>
      </c>
      <c r="D25" s="170">
        <f>IFERROR(__xludf.DUMMYFUNCTION("IFERROR(C25 * (1 + AVERAGE(Filter('Inflation Data'!$C:$C,'Inflation Data'!$A:$A = D$1))) + 'Fund YTD Contributions'!D25,'Fund YTD Contributions'!D25)"),0.0)</f>
        <v>0</v>
      </c>
      <c r="E25" s="170">
        <f>IFERROR(__xludf.DUMMYFUNCTION("IFERROR(D25 * (1 + AVERAGE(Filter('Inflation Data'!$C:$C,'Inflation Data'!$A:$A = E$1))) + 'Fund YTD Contributions'!E25,'Fund YTD Contributions'!E25)"),0.0)</f>
        <v>0</v>
      </c>
      <c r="F25" s="170">
        <f>IFERROR(__xludf.DUMMYFUNCTION("IFERROR(E25 * (1 + AVERAGE(Filter('Inflation Data'!$C:$C,'Inflation Data'!$A:$A = F$1))) + 'Fund YTD Contributions'!F25,'Fund YTD Contributions'!F25)"),0.0)</f>
        <v>0</v>
      </c>
      <c r="G25" s="170">
        <f>IFERROR(__xludf.DUMMYFUNCTION("IFERROR(F25 * (1 + AVERAGE(Filter('Inflation Data'!$C:$C,'Inflation Data'!$A:$A = G$1))) + 'Fund YTD Contributions'!G25,'Fund YTD Contributions'!G25)"),0.0)</f>
        <v>0</v>
      </c>
      <c r="H25" s="170">
        <f>IFERROR(__xludf.DUMMYFUNCTION("IFERROR(G25 * (1 + AVERAGE(Filter('Inflation Data'!$C:$C,'Inflation Data'!$A:$A = H$1))) + 'Fund YTD Contributions'!H25,'Fund YTD Contributions'!H25)"),0.0)</f>
        <v>0</v>
      </c>
      <c r="I25" s="170">
        <f>IFERROR(__xludf.DUMMYFUNCTION("IFERROR(H25 * (1 + AVERAGE(Filter('Inflation Data'!$C:$C,'Inflation Data'!$A:$A = I$1))) + 'Fund YTD Contributions'!I25,'Fund YTD Contributions'!I25)"),0.0)</f>
        <v>0</v>
      </c>
      <c r="J25" s="170">
        <f>IFERROR(__xludf.DUMMYFUNCTION("IFERROR(I25 * (1 + AVERAGE(Filter('Inflation Data'!$C:$C,'Inflation Data'!$A:$A = J$1))) + 'Fund YTD Contributions'!J25,'Fund YTD Contributions'!J25)"),0.0)</f>
        <v>0</v>
      </c>
      <c r="K25" s="170">
        <f>IFERROR(__xludf.DUMMYFUNCTION("IFERROR(J25 * (1 + AVERAGE(Filter('Inflation Data'!$C:$C,'Inflation Data'!$A:$A = K$1))) + 'Fund YTD Contributions'!K25,'Fund YTD Contributions'!K25)"),0.0)</f>
        <v>0</v>
      </c>
      <c r="L25" s="170">
        <f>IFERROR(__xludf.DUMMYFUNCTION("IFERROR(K25 * (1 + AVERAGE(Filter('Inflation Data'!$C:$C,'Inflation Data'!$A:$A = L$1))) + 'Fund YTD Contributions'!L25,'Fund YTD Contributions'!L25)"),0.0)</f>
        <v>0</v>
      </c>
      <c r="M25" s="170">
        <f>IFERROR(__xludf.DUMMYFUNCTION("IFERROR(L25 * (1 + AVERAGE(Filter('Inflation Data'!$C:$C,'Inflation Data'!$A:$A = M$1))) + 'Fund YTD Contributions'!M25,'Fund YTD Contributions'!M25)"),0.0)</f>
        <v>0</v>
      </c>
      <c r="N25" s="170">
        <f>IFERROR(__xludf.DUMMYFUNCTION("IFERROR(M25 * (1 + AVERAGE(Filter('Inflation Data'!$C:$C,'Inflation Data'!$A:$A = N$1))) + 'Fund YTD Contributions'!N25,'Fund YTD Contributions'!N25)"),0.0)</f>
        <v>0</v>
      </c>
      <c r="O25" s="170">
        <f>IFERROR(__xludf.DUMMYFUNCTION("IFERROR(N25 * (1 + AVERAGE(Filter('Inflation Data'!$C:$C,'Inflation Data'!$A:$A = O$1))) + 'Fund YTD Contributions'!O25,'Fund YTD Contributions'!O25)"),25000.0)</f>
        <v>25000</v>
      </c>
      <c r="P25" s="170">
        <f>IFERROR(__xludf.DUMMYFUNCTION("IFERROR(O25 * (1 + AVERAGE(Filter('Inflation Data'!$C:$C,'Inflation Data'!$A:$A = P$1))) + 'Fund YTD Contributions'!P25,'Fund YTD Contributions'!P25)"),50668.965485416666)</f>
        <v>50668.96549</v>
      </c>
      <c r="Q25" s="170">
        <f>IFERROR(__xludf.DUMMYFUNCTION("IFERROR(P25 * (1 + AVERAGE(Filter('Inflation Data'!$C:$C,'Inflation Data'!$A:$A = Q$1))) + 'Fund YTD Contributions'!Q25,'Fund YTD Contributions'!Q25)"),77386.81425001184)</f>
        <v>77386.81425</v>
      </c>
      <c r="R25" s="170">
        <f>IFERROR(__xludf.DUMMYFUNCTION("IFERROR(Q25 * (1 + AVERAGE(Filter('Inflation Data'!$C:$C,'Inflation Data'!$A:$A = R$1))) + 'Fund YTD Contributions'!R25,'Fund YTD Contributions'!R25)"),104890.44800003117)</f>
        <v>104890.448</v>
      </c>
      <c r="S25" s="170">
        <f>IFERROR(__xludf.DUMMYFUNCTION("IFERROR(R25 * (1 + AVERAGE(Filter('Inflation Data'!$C:$C,'Inflation Data'!$A:$A = S$1))) + 'Fund YTD Contributions'!S25,'Fund YTD Contributions'!S25)"),107882.2935430839)</f>
        <v>107882.2935</v>
      </c>
      <c r="T25" s="170">
        <f>IFERROR(__xludf.DUMMYFUNCTION("IFERROR(S25 * (1 + AVERAGE(Filter('Inflation Data'!$C:$C,'Inflation Data'!$A:$A = T$1))) + 'Fund YTD Contributions'!T25,'Fund YTD Contributions'!T25)"),112031.0505168513)</f>
        <v>112031.0505</v>
      </c>
      <c r="U25" s="170">
        <f>IFERROR(__xludf.DUMMYFUNCTION("IFERROR(T25 * (1 + AVERAGE(Filter('Inflation Data'!$C:$C,'Inflation Data'!$A:$A = U$1))) + 'Fund YTD Contributions'!U25,'Fund YTD Contributions'!U25)"),111652.60962820538)</f>
        <v>111652.6096</v>
      </c>
      <c r="V25" s="170">
        <f>IFERROR(__xludf.DUMMYFUNCTION("IFERROR(U25 * (1 + AVERAGE(Filter('Inflation Data'!$C:$C,'Inflation Data'!$A:$A = V$1))) + 'Fund YTD Contributions'!V25,'Fund YTD Contributions'!V25)"),113488.5352791896)</f>
        <v>113488.5353</v>
      </c>
      <c r="W25" s="170">
        <f>IFERROR(__xludf.DUMMYFUNCTION("IFERROR(V25 * (1 + AVERAGE(Filter('Inflation Data'!$C:$C,'Inflation Data'!$A:$A = W$1))) + 'Fund YTD Contributions'!W25,'Fund YTD Contributions'!W25)"),117069.32716153022)</f>
        <v>117069.3272</v>
      </c>
      <c r="X25" s="170">
        <f>IFERROR(__xludf.DUMMYFUNCTION("IFERROR(W25 * (1 + AVERAGE(Filter('Inflation Data'!$C:$C,'Inflation Data'!$A:$A = X$1))) + 'Fund YTD Contributions'!X25,'Fund YTD Contributions'!X25)"),119496.3999354495)</f>
        <v>119496.3999</v>
      </c>
      <c r="Y25" s="170">
        <f>IFERROR(__xludf.DUMMYFUNCTION("IFERROR(X25 * (1 + AVERAGE(Filter('Inflation Data'!$C:$C,'Inflation Data'!$A:$A = Y$1))) + 'Fund YTD Contributions'!Y25,'Fund YTD Contributions'!Y25)"),121248.2715691973)</f>
        <v>121248.2716</v>
      </c>
      <c r="Z25" s="170">
        <f>IFERROR(__xludf.DUMMYFUNCTION("IFERROR(Y25 * (1 + AVERAGE(Filter('Inflation Data'!$C:$C,'Inflation Data'!$A:$A = Z$1))) + 'Fund YTD Contributions'!Z25,'Fund YTD Contributions'!Z25)"),123214.80311579916)</f>
        <v>123214.8031</v>
      </c>
      <c r="AA25" s="170">
        <f>IFERROR(__xludf.DUMMYFUNCTION("IFERROR(Z25 * (1 + AVERAGE(Filter('Inflation Data'!$C:$C,'Inflation Data'!$A:$A = AA$1))) + 'Fund YTD Contributions'!AA25,'Fund YTD Contributions'!AA25)"),123361.30497250512)</f>
        <v>123361.305</v>
      </c>
      <c r="AB25" s="170">
        <f>IFERROR(__xludf.DUMMYFUNCTION("IFERROR(AA25 * (1 + AVERAGE(Filter('Inflation Data'!$C:$C,'Inflation Data'!$A:$A = AB$1))) + 'Fund YTD Contributions'!AB25,'Fund YTD Contributions'!AB25)"),124917.93200230032)</f>
        <v>124917.932</v>
      </c>
      <c r="AC25" s="170">
        <f>IFERROR(__xludf.DUMMYFUNCTION("IFERROR(AB25 * (1 + AVERAGE(Filter('Inflation Data'!$C:$C,'Inflation Data'!$A:$A = AC$1))) + 'Fund YTD Contributions'!AC25,'Fund YTD Contributions'!AC25)"),127580.7012848627)</f>
        <v>127580.7013</v>
      </c>
      <c r="AD25" s="170">
        <f>IFERROR(__xludf.DUMMYFUNCTION("IFERROR(AC25 * (1 + AVERAGE(Filter('Inflation Data'!$C:$C,'Inflation Data'!$A:$A = AD$1))) + 'Fund YTD Contributions'!AD25,'Fund YTD Contributions'!AD25)"),130697.09539582489)</f>
        <v>130697.0954</v>
      </c>
      <c r="AE25" s="170">
        <f>IFERROR(__xludf.DUMMYFUNCTION("IFERROR(AD25 * (1 + AVERAGE(Filter('Inflation Data'!$C:$C,'Inflation Data'!$A:$A = AE$1))) + 'Fund YTD Contributions'!AE25,'Fund YTD Contributions'!AE25)"),132976.59948622677)</f>
        <v>132976.5995</v>
      </c>
      <c r="AF25" s="170" t="str">
        <f>IFERROR(__xludf.DUMMYFUNCTION("IFERROR(AE25 * (1 + AVERAGE(Filter('Inflation Data'!$C:$C,'Inflation Data'!$A:$A = AF$1))) + 'Fund YTD Contributions'!AF25,'Fund YTD Contributions'!AF25)"),"")</f>
        <v/>
      </c>
    </row>
    <row r="26">
      <c r="A26" s="153" t="str">
        <f>'Endowed Funds'!B:B</f>
        <v>Research Institute</v>
      </c>
      <c r="B26" s="170" t="str">
        <f>IFERROR(__xludf.DUMMYFUNCTION("IFERROR(A26 * (1 + AVERAGE(Filter('Inflation Data'!$C:$C,'Inflation Data'!$A:$A = B$1))) + 'Fund YTD Contributions'!B26,'Fund YTD Contributions'!B26)"),"  ")</f>
        <v/>
      </c>
      <c r="C26" s="170">
        <f>IFERROR(__xludf.DUMMYFUNCTION("IFERROR(B26 * (1 + AVERAGE(Filter('Inflation Data'!$C:$C,'Inflation Data'!$A:$A = C$1))) + 'Fund YTD Contributions'!C26,'Fund YTD Contributions'!C26)"),0.0)</f>
        <v>0</v>
      </c>
      <c r="D26" s="170">
        <f>IFERROR(__xludf.DUMMYFUNCTION("IFERROR(C26 * (1 + AVERAGE(Filter('Inflation Data'!$C:$C,'Inflation Data'!$A:$A = D$1))) + 'Fund YTD Contributions'!D26,'Fund YTD Contributions'!D26)"),0.0)</f>
        <v>0</v>
      </c>
      <c r="E26" s="170">
        <f>IFERROR(__xludf.DUMMYFUNCTION("IFERROR(D26 * (1 + AVERAGE(Filter('Inflation Data'!$C:$C,'Inflation Data'!$A:$A = E$1))) + 'Fund YTD Contributions'!E26,'Fund YTD Contributions'!E26)"),0.0)</f>
        <v>0</v>
      </c>
      <c r="F26" s="170">
        <f>IFERROR(__xludf.DUMMYFUNCTION("IFERROR(E26 * (1 + AVERAGE(Filter('Inflation Data'!$C:$C,'Inflation Data'!$A:$A = F$1))) + 'Fund YTD Contributions'!F26,'Fund YTD Contributions'!F26)"),0.0)</f>
        <v>0</v>
      </c>
      <c r="G26" s="170">
        <f>IFERROR(__xludf.DUMMYFUNCTION("IFERROR(F26 * (1 + AVERAGE(Filter('Inflation Data'!$C:$C,'Inflation Data'!$A:$A = G$1))) + 'Fund YTD Contributions'!G26,'Fund YTD Contributions'!G26)"),0.0)</f>
        <v>0</v>
      </c>
      <c r="H26" s="170">
        <f>IFERROR(__xludf.DUMMYFUNCTION("IFERROR(G26 * (1 + AVERAGE(Filter('Inflation Data'!$C:$C,'Inflation Data'!$A:$A = H$1))) + 'Fund YTD Contributions'!H26,'Fund YTD Contributions'!H26)"),0.0)</f>
        <v>0</v>
      </c>
      <c r="I26" s="170">
        <f>IFERROR(__xludf.DUMMYFUNCTION("IFERROR(H26 * (1 + AVERAGE(Filter('Inflation Data'!$C:$C,'Inflation Data'!$A:$A = I$1))) + 'Fund YTD Contributions'!I26,'Fund YTD Contributions'!I26)"),0.0)</f>
        <v>0</v>
      </c>
      <c r="J26" s="170">
        <f>IFERROR(__xludf.DUMMYFUNCTION("IFERROR(I26 * (1 + AVERAGE(Filter('Inflation Data'!$C:$C,'Inflation Data'!$A:$A = J$1))) + 'Fund YTD Contributions'!J26,'Fund YTD Contributions'!J26)"),0.0)</f>
        <v>0</v>
      </c>
      <c r="K26" s="170">
        <f>IFERROR(__xludf.DUMMYFUNCTION("IFERROR(J26 * (1 + AVERAGE(Filter('Inflation Data'!$C:$C,'Inflation Data'!$A:$A = K$1))) + 'Fund YTD Contributions'!K26,'Fund YTD Contributions'!K26)"),0.0)</f>
        <v>0</v>
      </c>
      <c r="L26" s="170">
        <f>IFERROR(__xludf.DUMMYFUNCTION("IFERROR(K26 * (1 + AVERAGE(Filter('Inflation Data'!$C:$C,'Inflation Data'!$A:$A = L$1))) + 'Fund YTD Contributions'!L26,'Fund YTD Contributions'!L26)"),0.0)</f>
        <v>0</v>
      </c>
      <c r="M26" s="170">
        <f>IFERROR(__xludf.DUMMYFUNCTION("IFERROR(L26 * (1 + AVERAGE(Filter('Inflation Data'!$C:$C,'Inflation Data'!$A:$A = M$1))) + 'Fund YTD Contributions'!M26,'Fund YTD Contributions'!M26)"),0.0)</f>
        <v>0</v>
      </c>
      <c r="N26" s="170">
        <f>IFERROR(__xludf.DUMMYFUNCTION("IFERROR(M26 * (1 + AVERAGE(Filter('Inflation Data'!$C:$C,'Inflation Data'!$A:$A = N$1))) + 'Fund YTD Contributions'!N26,'Fund YTD Contributions'!N26)"),0.0)</f>
        <v>0</v>
      </c>
      <c r="O26" s="170">
        <f>IFERROR(__xludf.DUMMYFUNCTION("IFERROR(N26 * (1 + AVERAGE(Filter('Inflation Data'!$C:$C,'Inflation Data'!$A:$A = O$1))) + 'Fund YTD Contributions'!O26,'Fund YTD Contributions'!O26)"),0.0)</f>
        <v>0</v>
      </c>
      <c r="P26" s="170">
        <f>IFERROR(__xludf.DUMMYFUNCTION("IFERROR(O26 * (1 + AVERAGE(Filter('Inflation Data'!$C:$C,'Inflation Data'!$A:$A = P$1))) + 'Fund YTD Contributions'!P26,'Fund YTD Contributions'!P26)"),0.0)</f>
        <v>0</v>
      </c>
      <c r="Q26" s="170">
        <f>IFERROR(__xludf.DUMMYFUNCTION("IFERROR(P26 * (1 + AVERAGE(Filter('Inflation Data'!$C:$C,'Inflation Data'!$A:$A = Q$1))) + 'Fund YTD Contributions'!Q26,'Fund YTD Contributions'!Q26)"),0.0)</f>
        <v>0</v>
      </c>
      <c r="R26" s="170">
        <f>IFERROR(__xludf.DUMMYFUNCTION("IFERROR(Q26 * (1 + AVERAGE(Filter('Inflation Data'!$C:$C,'Inflation Data'!$A:$A = R$1))) + 'Fund YTD Contributions'!R26,'Fund YTD Contributions'!R26)"),0.0)</f>
        <v>0</v>
      </c>
      <c r="S26" s="170">
        <f>IFERROR(__xludf.DUMMYFUNCTION("IFERROR(R26 * (1 + AVERAGE(Filter('Inflation Data'!$C:$C,'Inflation Data'!$A:$A = S$1))) + 'Fund YTD Contributions'!S26,'Fund YTD Contributions'!S26)"),0.0)</f>
        <v>0</v>
      </c>
      <c r="T26" s="170">
        <f>IFERROR(__xludf.DUMMYFUNCTION("IFERROR(S26 * (1 + AVERAGE(Filter('Inflation Data'!$C:$C,'Inflation Data'!$A:$A = T$1))) + 'Fund YTD Contributions'!T26,'Fund YTD Contributions'!T26)"),0.0)</f>
        <v>0</v>
      </c>
      <c r="U26" s="170">
        <f>IFERROR(__xludf.DUMMYFUNCTION("IFERROR(T26 * (1 + AVERAGE(Filter('Inflation Data'!$C:$C,'Inflation Data'!$A:$A = U$1))) + 'Fund YTD Contributions'!U26,'Fund YTD Contributions'!U26)"),0.0)</f>
        <v>0</v>
      </c>
      <c r="V26" s="170">
        <f>IFERROR(__xludf.DUMMYFUNCTION("IFERROR(U26 * (1 + AVERAGE(Filter('Inflation Data'!$C:$C,'Inflation Data'!$A:$A = V$1))) + 'Fund YTD Contributions'!V26,'Fund YTD Contributions'!V26)"),0.0)</f>
        <v>0</v>
      </c>
      <c r="W26" s="170">
        <f>IFERROR(__xludf.DUMMYFUNCTION("IFERROR(V26 * (1 + AVERAGE(Filter('Inflation Data'!$C:$C,'Inflation Data'!$A:$A = W$1))) + 'Fund YTD Contributions'!W26,'Fund YTD Contributions'!W26)"),0.0)</f>
        <v>0</v>
      </c>
      <c r="X26" s="170">
        <f>IFERROR(__xludf.DUMMYFUNCTION("IFERROR(W26 * (1 + AVERAGE(Filter('Inflation Data'!$C:$C,'Inflation Data'!$A:$A = X$1))) + 'Fund YTD Contributions'!X26,'Fund YTD Contributions'!X26)"),0.0)</f>
        <v>0</v>
      </c>
      <c r="Y26" s="170">
        <f>IFERROR(__xludf.DUMMYFUNCTION("IFERROR(X26 * (1 + AVERAGE(Filter('Inflation Data'!$C:$C,'Inflation Data'!$A:$A = Y$1))) + 'Fund YTD Contributions'!Y26,'Fund YTD Contributions'!Y26)"),498636.0)</f>
        <v>498636</v>
      </c>
      <c r="Z26" s="170">
        <f>IFERROR(__xludf.DUMMYFUNCTION("IFERROR(Y26 * (1 + AVERAGE(Filter('Inflation Data'!$C:$C,'Inflation Data'!$A:$A = Z$1))) + 'Fund YTD Contributions'!Z26,'Fund YTD Contributions'!Z26)"),507723.401260081)</f>
        <v>507723.4013</v>
      </c>
      <c r="AA26" s="170">
        <f>IFERROR(__xludf.DUMMYFUNCTION("IFERROR(Z26 * (1 + AVERAGE(Filter('Inflation Data'!$C:$C,'Inflation Data'!$A:$A = AA$1))) + 'Fund YTD Contributions'!AA26,'Fund YTD Contributions'!AA26)"),1009327.0821417342)</f>
        <v>1009327.082</v>
      </c>
      <c r="AB26" s="170">
        <f>IFERROR(__xludf.DUMMYFUNCTION("IFERROR(AA26 * (1 + AVERAGE(Filter('Inflation Data'!$C:$C,'Inflation Data'!$A:$A = AB$1))) + 'Fund YTD Contributions'!AB26,'Fund YTD Contributions'!AB26)"),1023063.2137700137)</f>
        <v>1023063.214</v>
      </c>
      <c r="AC26" s="170">
        <f>IFERROR(__xludf.DUMMYFUNCTION("IFERROR(AB26 * (1 + AVERAGE(Filter('Inflation Data'!$C:$C,'Inflation Data'!$A:$A = AC$1))) + 'Fund YTD Contributions'!AC26,'Fund YTD Contributions'!AC26)"),1048370.9819269199)</f>
        <v>1048370.982</v>
      </c>
      <c r="AD26" s="170">
        <f>IFERROR(__xludf.DUMMYFUNCTION("IFERROR(AC26 * (1 + AVERAGE(Filter('Inflation Data'!$C:$C,'Inflation Data'!$A:$A = AD$1))) + 'Fund YTD Contributions'!AD26,'Fund YTD Contributions'!AD26)"),1148979.378191225)</f>
        <v>1148979.378</v>
      </c>
      <c r="AE26" s="170">
        <f>IFERROR(__xludf.DUMMYFUNCTION("IFERROR(AD26 * (1 + AVERAGE(Filter('Inflation Data'!$C:$C,'Inflation Data'!$A:$A = AE$1))) + 'Fund YTD Contributions'!AE26,'Fund YTD Contributions'!AE26)"),1169018.8686209258)</f>
        <v>1169018.869</v>
      </c>
      <c r="AF26" s="170" t="str">
        <f>IFERROR(__xludf.DUMMYFUNCTION("IFERROR(AE26 * (1 + AVERAGE(Filter('Inflation Data'!$C:$C,'Inflation Data'!$A:$A = AF$1))) + 'Fund YTD Contributions'!AF26,'Fund YTD Contributions'!AF26)"),"")</f>
        <v/>
      </c>
    </row>
    <row r="27">
      <c r="A27" s="153" t="str">
        <f>'Endowed Funds'!B:B</f>
        <v>Richard G. and Mary Lyn Ballantine Fund</v>
      </c>
      <c r="B27" s="170" t="str">
        <f>IFERROR(__xludf.DUMMYFUNCTION("IFERROR(A27 * (1 + AVERAGE(Filter('Inflation Data'!$C:$C,'Inflation Data'!$A:$A = B$1))) + 'Fund YTD Contributions'!B27,'Fund YTD Contributions'!B27)"),"  ")</f>
        <v/>
      </c>
      <c r="C27" s="170">
        <f>IFERROR(__xludf.DUMMYFUNCTION("IFERROR(B27 * (1 + AVERAGE(Filter('Inflation Data'!$C:$C,'Inflation Data'!$A:$A = C$1))) + 'Fund YTD Contributions'!C27,'Fund YTD Contributions'!C27)"),0.0)</f>
        <v>0</v>
      </c>
      <c r="D27" s="170">
        <f>IFERROR(__xludf.DUMMYFUNCTION("IFERROR(C27 * (1 + AVERAGE(Filter('Inflation Data'!$C:$C,'Inflation Data'!$A:$A = D$1))) + 'Fund YTD Contributions'!D27,'Fund YTD Contributions'!D27)"),0.0)</f>
        <v>0</v>
      </c>
      <c r="E27" s="170">
        <f>IFERROR(__xludf.DUMMYFUNCTION("IFERROR(D27 * (1 + AVERAGE(Filter('Inflation Data'!$C:$C,'Inflation Data'!$A:$A = E$1))) + 'Fund YTD Contributions'!E27,'Fund YTD Contributions'!E27)"),0.0)</f>
        <v>0</v>
      </c>
      <c r="F27" s="170">
        <f>IFERROR(__xludf.DUMMYFUNCTION("IFERROR(E27 * (1 + AVERAGE(Filter('Inflation Data'!$C:$C,'Inflation Data'!$A:$A = F$1))) + 'Fund YTD Contributions'!F27,'Fund YTD Contributions'!F27)"),0.0)</f>
        <v>0</v>
      </c>
      <c r="G27" s="170">
        <f>IFERROR(__xludf.DUMMYFUNCTION("IFERROR(F27 * (1 + AVERAGE(Filter('Inflation Data'!$C:$C,'Inflation Data'!$A:$A = G$1))) + 'Fund YTD Contributions'!G27,'Fund YTD Contributions'!G27)"),0.0)</f>
        <v>0</v>
      </c>
      <c r="H27" s="170">
        <f>IFERROR(__xludf.DUMMYFUNCTION("IFERROR(G27 * (1 + AVERAGE(Filter('Inflation Data'!$C:$C,'Inflation Data'!$A:$A = H$1))) + 'Fund YTD Contributions'!H27,'Fund YTD Contributions'!H27)"),0.0)</f>
        <v>0</v>
      </c>
      <c r="I27" s="170">
        <f>IFERROR(__xludf.DUMMYFUNCTION("IFERROR(H27 * (1 + AVERAGE(Filter('Inflation Data'!$C:$C,'Inflation Data'!$A:$A = I$1))) + 'Fund YTD Contributions'!I27,'Fund YTD Contributions'!I27)"),0.0)</f>
        <v>0</v>
      </c>
      <c r="J27" s="170">
        <f>IFERROR(__xludf.DUMMYFUNCTION("IFERROR(I27 * (1 + AVERAGE(Filter('Inflation Data'!$C:$C,'Inflation Data'!$A:$A = J$1))) + 'Fund YTD Contributions'!J27,'Fund YTD Contributions'!J27)"),0.0)</f>
        <v>0</v>
      </c>
      <c r="K27" s="170">
        <f>IFERROR(__xludf.DUMMYFUNCTION("IFERROR(J27 * (1 + AVERAGE(Filter('Inflation Data'!$C:$C,'Inflation Data'!$A:$A = K$1))) + 'Fund YTD Contributions'!K27,'Fund YTD Contributions'!K27)"),0.0)</f>
        <v>0</v>
      </c>
      <c r="L27" s="170">
        <f>IFERROR(__xludf.DUMMYFUNCTION("IFERROR(K27 * (1 + AVERAGE(Filter('Inflation Data'!$C:$C,'Inflation Data'!$A:$A = L$1))) + 'Fund YTD Contributions'!L27,'Fund YTD Contributions'!L27)"),95409.84)</f>
        <v>95409.84</v>
      </c>
      <c r="M27" s="170">
        <f>IFERROR(__xludf.DUMMYFUNCTION("IFERROR(L27 * (1 + AVERAGE(Filter('Inflation Data'!$C:$C,'Inflation Data'!$A:$A = M$1))) + 'Fund YTD Contributions'!M27,'Fund YTD Contributions'!M27)"),289832.2845917396)</f>
        <v>289832.2846</v>
      </c>
      <c r="N27" s="170">
        <f>IFERROR(__xludf.DUMMYFUNCTION("IFERROR(M27 * (1 + AVERAGE(Filter('Inflation Data'!$C:$C,'Inflation Data'!$A:$A = N$1))) + 'Fund YTD Contributions'!N27,'Fund YTD Contributions'!N27)"),414495.603317278)</f>
        <v>414495.6033</v>
      </c>
      <c r="O27" s="170">
        <f>IFERROR(__xludf.DUMMYFUNCTION("IFERROR(N27 * (1 + AVERAGE(Filter('Inflation Data'!$C:$C,'Inflation Data'!$A:$A = O$1))) + 'Fund YTD Contributions'!O27,'Fund YTD Contributions'!O27)"),543940.7581414891)</f>
        <v>543940.7581</v>
      </c>
      <c r="P27" s="170">
        <f>IFERROR(__xludf.DUMMYFUNCTION("IFERROR(O27 * (1 + AVERAGE(Filter('Inflation Data'!$C:$C,'Inflation Data'!$A:$A = P$1))) + 'Fund YTD Contributions'!P27,'Fund YTD Contributions'!P27)"),742559.3118738104)</f>
        <v>742559.3119</v>
      </c>
      <c r="Q27" s="170">
        <f>IFERROR(__xludf.DUMMYFUNCTION("IFERROR(P27 * (1 + AVERAGE(Filter('Inflation Data'!$C:$C,'Inflation Data'!$A:$A = Q$1))) + 'Fund YTD Contributions'!Q27,'Fund YTD Contributions'!Q27)"),906617.7561469325)</f>
        <v>906617.7561</v>
      </c>
      <c r="R27" s="170">
        <f>IFERROR(__xludf.DUMMYFUNCTION("IFERROR(Q27 * (1 + AVERAGE(Filter('Inflation Data'!$C:$C,'Inflation Data'!$A:$A = R$1))) + 'Fund YTD Contributions'!R27,'Fund YTD Contributions'!R27)"),411648.83579731255)</f>
        <v>411648.8358</v>
      </c>
      <c r="S27" s="170">
        <f>IFERROR(__xludf.DUMMYFUNCTION("IFERROR(R27 * (1 + AVERAGE(Filter('Inflation Data'!$C:$C,'Inflation Data'!$A:$A = S$1))) + 'Fund YTD Contributions'!S27,'Fund YTD Contributions'!S27)"),423390.5125483039)</f>
        <v>423390.5125</v>
      </c>
      <c r="T27" s="170">
        <f>IFERROR(__xludf.DUMMYFUNCTION("IFERROR(S27 * (1 + AVERAGE(Filter('Inflation Data'!$C:$C,'Inflation Data'!$A:$A = T$1))) + 'Fund YTD Contributions'!T27,'Fund YTD Contributions'!T27)"),439672.55739434005)</f>
        <v>439672.5574</v>
      </c>
      <c r="U27" s="170">
        <f>IFERROR(__xludf.DUMMYFUNCTION("IFERROR(T27 * (1 + AVERAGE(Filter('Inflation Data'!$C:$C,'Inflation Data'!$A:$A = U$1))) + 'Fund YTD Contributions'!U27,'Fund YTD Contributions'!U27)"),438187.343495462)</f>
        <v>438187.3435</v>
      </c>
      <c r="V27" s="170">
        <f>IFERROR(__xludf.DUMMYFUNCTION("IFERROR(U27 * (1 + AVERAGE(Filter('Inflation Data'!$C:$C,'Inflation Data'!$A:$A = V$1))) + 'Fund YTD Contributions'!V27,'Fund YTD Contributions'!V27)"),445392.543504121)</f>
        <v>445392.5435</v>
      </c>
      <c r="W27" s="170">
        <f>IFERROR(__xludf.DUMMYFUNCTION("IFERROR(V27 * (1 + AVERAGE(Filter('Inflation Data'!$C:$C,'Inflation Data'!$A:$A = W$1))) + 'Fund YTD Contributions'!W27,'Fund YTD Contributions'!W27)"),459445.57538360683)</f>
        <v>459445.5754</v>
      </c>
      <c r="X27" s="170">
        <f>IFERROR(__xludf.DUMMYFUNCTION("IFERROR(W27 * (1 + AVERAGE(Filter('Inflation Data'!$C:$C,'Inflation Data'!$A:$A = X$1))) + 'Fund YTD Contributions'!X27,'Fund YTD Contributions'!X27)"),468970.7676277941)</f>
        <v>468970.7676</v>
      </c>
      <c r="Y27" s="170">
        <f>IFERROR(__xludf.DUMMYFUNCTION("IFERROR(X27 * (1 + AVERAGE(Filter('Inflation Data'!$C:$C,'Inflation Data'!$A:$A = Y$1))) + 'Fund YTD Contributions'!Y27,'Fund YTD Contributions'!Y27)"),475846.09261924046)</f>
        <v>475846.0926</v>
      </c>
      <c r="Z27" s="170">
        <f>IFERROR(__xludf.DUMMYFUNCTION("IFERROR(Y27 * (1 + AVERAGE(Filter('Inflation Data'!$C:$C,'Inflation Data'!$A:$A = Z$1))) + 'Fund YTD Contributions'!Z27,'Fund YTD Contributions'!Z27)"),483563.8632756982)</f>
        <v>483563.8633</v>
      </c>
      <c r="AA27" s="170">
        <f>IFERROR(__xludf.DUMMYFUNCTION("IFERROR(Z27 * (1 + AVERAGE(Filter('Inflation Data'!$C:$C,'Inflation Data'!$A:$A = AA$1))) + 'Fund YTD Contributions'!AA27,'Fund YTD Contributions'!AA27)"),484138.8185733926)</f>
        <v>484138.8186</v>
      </c>
      <c r="AB27" s="170">
        <f>IFERROR(__xludf.DUMMYFUNCTION("IFERROR(AA27 * (1 + AVERAGE(Filter('Inflation Data'!$C:$C,'Inflation Data'!$A:$A = AB$1))) + 'Fund YTD Contributions'!AB27,'Fund YTD Contributions'!AB27)"),490247.89444067876)</f>
        <v>490247.8944</v>
      </c>
      <c r="AC27" s="170">
        <f>IFERROR(__xludf.DUMMYFUNCTION("IFERROR(AB27 * (1 + AVERAGE(Filter('Inflation Data'!$C:$C,'Inflation Data'!$A:$A = AC$1))) + 'Fund YTD Contributions'!AC27,'Fund YTD Contributions'!AC27)"),500698.09172807453)</f>
        <v>500698.0917</v>
      </c>
      <c r="AD27" s="170">
        <f>IFERROR(__xludf.DUMMYFUNCTION("IFERROR(AC27 * (1 + AVERAGE(Filter('Inflation Data'!$C:$C,'Inflation Data'!$A:$A = AD$1))) + 'Fund YTD Contributions'!AD27,'Fund YTD Contributions'!AD27)"),512928.56678203563)</f>
        <v>512928.5668</v>
      </c>
      <c r="AE27" s="170">
        <f>IFERROR(__xludf.DUMMYFUNCTION("IFERROR(AD27 * (1 + AVERAGE(Filter('Inflation Data'!$C:$C,'Inflation Data'!$A:$A = AE$1))) + 'Fund YTD Contributions'!AE27,'Fund YTD Contributions'!AE27)"),521874.6169029091)</f>
        <v>521874.6169</v>
      </c>
      <c r="AF27" s="170" t="str">
        <f>IFERROR(__xludf.DUMMYFUNCTION("IFERROR(AE27 * (1 + AVERAGE(Filter('Inflation Data'!$C:$C,'Inflation Data'!$A:$A = AF$1))) + 'Fund YTD Contributions'!AF27,'Fund YTD Contributions'!AF27)"),"")</f>
        <v/>
      </c>
    </row>
    <row r="28">
      <c r="A28" s="153" t="str">
        <f>'Endowed Funds'!B:B</f>
        <v>Ricky R. Lightfoot Chair for Research</v>
      </c>
      <c r="B28" s="170" t="str">
        <f>IFERROR(__xludf.DUMMYFUNCTION("IFERROR(A28 * (1 + AVERAGE(Filter('Inflation Data'!$C:$C,'Inflation Data'!$A:$A = B$1))) + 'Fund YTD Contributions'!B28,'Fund YTD Contributions'!B28)"),"  ")</f>
        <v/>
      </c>
      <c r="C28" s="170">
        <f>IFERROR(__xludf.DUMMYFUNCTION("IFERROR(B28 * (1 + AVERAGE(Filter('Inflation Data'!$C:$C,'Inflation Data'!$A:$A = C$1))) + 'Fund YTD Contributions'!C28,'Fund YTD Contributions'!C28)"),0.0)</f>
        <v>0</v>
      </c>
      <c r="D28" s="170">
        <f>IFERROR(__xludf.DUMMYFUNCTION("IFERROR(C28 * (1 + AVERAGE(Filter('Inflation Data'!$C:$C,'Inflation Data'!$A:$A = D$1))) + 'Fund YTD Contributions'!D28,'Fund YTD Contributions'!D28)"),0.0)</f>
        <v>0</v>
      </c>
      <c r="E28" s="170">
        <f>IFERROR(__xludf.DUMMYFUNCTION("IFERROR(D28 * (1 + AVERAGE(Filter('Inflation Data'!$C:$C,'Inflation Data'!$A:$A = E$1))) + 'Fund YTD Contributions'!E28,'Fund YTD Contributions'!E28)"),0.0)</f>
        <v>0</v>
      </c>
      <c r="F28" s="170">
        <f>IFERROR(__xludf.DUMMYFUNCTION("IFERROR(E28 * (1 + AVERAGE(Filter('Inflation Data'!$C:$C,'Inflation Data'!$A:$A = F$1))) + 'Fund YTD Contributions'!F28,'Fund YTD Contributions'!F28)"),0.0)</f>
        <v>0</v>
      </c>
      <c r="G28" s="170">
        <f>IFERROR(__xludf.DUMMYFUNCTION("IFERROR(F28 * (1 + AVERAGE(Filter('Inflation Data'!$C:$C,'Inflation Data'!$A:$A = G$1))) + 'Fund YTD Contributions'!G28,'Fund YTD Contributions'!G28)"),0.0)</f>
        <v>0</v>
      </c>
      <c r="H28" s="170">
        <f>IFERROR(__xludf.DUMMYFUNCTION("IFERROR(G28 * (1 + AVERAGE(Filter('Inflation Data'!$C:$C,'Inflation Data'!$A:$A = H$1))) + 'Fund YTD Contributions'!H28,'Fund YTD Contributions'!H28)"),0.0)</f>
        <v>0</v>
      </c>
      <c r="I28" s="170">
        <f>IFERROR(__xludf.DUMMYFUNCTION("IFERROR(H28 * (1 + AVERAGE(Filter('Inflation Data'!$C:$C,'Inflation Data'!$A:$A = I$1))) + 'Fund YTD Contributions'!I28,'Fund YTD Contributions'!I28)"),0.0)</f>
        <v>0</v>
      </c>
      <c r="J28" s="170">
        <f>IFERROR(__xludf.DUMMYFUNCTION("IFERROR(I28 * (1 + AVERAGE(Filter('Inflation Data'!$C:$C,'Inflation Data'!$A:$A = J$1))) + 'Fund YTD Contributions'!J28,'Fund YTD Contributions'!J28)"),0.0)</f>
        <v>0</v>
      </c>
      <c r="K28" s="170">
        <f>IFERROR(__xludf.DUMMYFUNCTION("IFERROR(J28 * (1 + AVERAGE(Filter('Inflation Data'!$C:$C,'Inflation Data'!$A:$A = K$1))) + 'Fund YTD Contributions'!K28,'Fund YTD Contributions'!K28)"),0.0)</f>
        <v>0</v>
      </c>
      <c r="L28" s="170">
        <f>IFERROR(__xludf.DUMMYFUNCTION("IFERROR(K28 * (1 + AVERAGE(Filter('Inflation Data'!$C:$C,'Inflation Data'!$A:$A = L$1))) + 'Fund YTD Contributions'!L28,'Fund YTD Contributions'!L28)"),0.0)</f>
        <v>0</v>
      </c>
      <c r="M28" s="170">
        <f>IFERROR(__xludf.DUMMYFUNCTION("IFERROR(L28 * (1 + AVERAGE(Filter('Inflation Data'!$C:$C,'Inflation Data'!$A:$A = M$1))) + 'Fund YTD Contributions'!M28,'Fund YTD Contributions'!M28)"),0.0)</f>
        <v>0</v>
      </c>
      <c r="N28" s="170">
        <f>IFERROR(__xludf.DUMMYFUNCTION("IFERROR(M28 * (1 + AVERAGE(Filter('Inflation Data'!$C:$C,'Inflation Data'!$A:$A = N$1))) + 'Fund YTD Contributions'!N28,'Fund YTD Contributions'!N28)"),0.0)</f>
        <v>0</v>
      </c>
      <c r="O28" s="170">
        <f>IFERROR(__xludf.DUMMYFUNCTION("IFERROR(N28 * (1 + AVERAGE(Filter('Inflation Data'!$C:$C,'Inflation Data'!$A:$A = O$1))) + 'Fund YTD Contributions'!O28,'Fund YTD Contributions'!O28)"),0.0)</f>
        <v>0</v>
      </c>
      <c r="P28" s="170">
        <f>IFERROR(__xludf.DUMMYFUNCTION("IFERROR(O28 * (1 + AVERAGE(Filter('Inflation Data'!$C:$C,'Inflation Data'!$A:$A = P$1))) + 'Fund YTD Contributions'!P28,'Fund YTD Contributions'!P28)"),0.0)</f>
        <v>0</v>
      </c>
      <c r="Q28" s="170">
        <f>IFERROR(__xludf.DUMMYFUNCTION("IFERROR(P28 * (1 + AVERAGE(Filter('Inflation Data'!$C:$C,'Inflation Data'!$A:$A = Q$1))) + 'Fund YTD Contributions'!Q28,'Fund YTD Contributions'!Q28)"),0.0)</f>
        <v>0</v>
      </c>
      <c r="R28" s="170">
        <f>IFERROR(__xludf.DUMMYFUNCTION("IFERROR(Q28 * (1 + AVERAGE(Filter('Inflation Data'!$C:$C,'Inflation Data'!$A:$A = R$1))) + 'Fund YTD Contributions'!R28,'Fund YTD Contributions'!R28)"),0.0)</f>
        <v>0</v>
      </c>
      <c r="S28" s="170">
        <f>IFERROR(__xludf.DUMMYFUNCTION("IFERROR(R28 * (1 + AVERAGE(Filter('Inflation Data'!$C:$C,'Inflation Data'!$A:$A = S$1))) + 'Fund YTD Contributions'!S28,'Fund YTD Contributions'!S28)"),0.0)</f>
        <v>0</v>
      </c>
      <c r="T28" s="170">
        <f>IFERROR(__xludf.DUMMYFUNCTION("IFERROR(S28 * (1 + AVERAGE(Filter('Inflation Data'!$C:$C,'Inflation Data'!$A:$A = T$1))) + 'Fund YTD Contributions'!T28,'Fund YTD Contributions'!T28)"),0.0)</f>
        <v>0</v>
      </c>
      <c r="U28" s="170">
        <f>IFERROR(__xludf.DUMMYFUNCTION("IFERROR(T28 * (1 + AVERAGE(Filter('Inflation Data'!$C:$C,'Inflation Data'!$A:$A = U$1))) + 'Fund YTD Contributions'!U28,'Fund YTD Contributions'!U28)"),300000.0)</f>
        <v>300000</v>
      </c>
      <c r="V28" s="170">
        <f>IFERROR(__xludf.DUMMYFUNCTION("IFERROR(U28 * (1 + AVERAGE(Filter('Inflation Data'!$C:$C,'Inflation Data'!$A:$A = V$1))) + 'Fund YTD Contributions'!V28,'Fund YTD Contributions'!V28)"),510432.95855)</f>
        <v>510432.9586</v>
      </c>
      <c r="W28" s="170">
        <f>IFERROR(__xludf.DUMMYFUNCTION("IFERROR(V28 * (1 + AVERAGE(Filter('Inflation Data'!$C:$C,'Inflation Data'!$A:$A = W$1))) + 'Fund YTD Contributions'!W28,'Fund YTD Contributions'!W28)"),1026538.1465318393)</f>
        <v>1026538.147</v>
      </c>
      <c r="X28" s="170">
        <f>IFERROR(__xludf.DUMMYFUNCTION("IFERROR(W28 * (1 + AVERAGE(Filter('Inflation Data'!$C:$C,'Inflation Data'!$A:$A = X$1))) + 'Fund YTD Contributions'!X28,'Fund YTD Contributions'!X28)"),1097820.260705087)</f>
        <v>1097820.261</v>
      </c>
      <c r="Y28" s="170">
        <f>IFERROR(__xludf.DUMMYFUNCTION("IFERROR(X28 * (1 + AVERAGE(Filter('Inflation Data'!$C:$C,'Inflation Data'!$A:$A = Y$1))) + 'Fund YTD Contributions'!Y28,'Fund YTD Contributions'!Y28)"),2063914.8056011824)</f>
        <v>2063914.806</v>
      </c>
      <c r="Z28" s="170">
        <f>IFERROR(__xludf.DUMMYFUNCTION("IFERROR(Y28 * (1 + AVERAGE(Filter('Inflation Data'!$C:$C,'Inflation Data'!$A:$A = Z$1))) + 'Fund YTD Contributions'!Z28,'Fund YTD Contributions'!Z28)"),2097389.5390731315)</f>
        <v>2097389.539</v>
      </c>
      <c r="AA28" s="170">
        <f>IFERROR(__xludf.DUMMYFUNCTION("IFERROR(Z28 * (1 + AVERAGE(Filter('Inflation Data'!$C:$C,'Inflation Data'!$A:$A = AA$1))) + 'Fund YTD Contributions'!AA28,'Fund YTD Contributions'!AA28)"),2099883.3259716188)</f>
        <v>2099883.326</v>
      </c>
      <c r="AB28" s="170">
        <f>IFERROR(__xludf.DUMMYFUNCTION("IFERROR(AA28 * (1 + AVERAGE(Filter('Inflation Data'!$C:$C,'Inflation Data'!$A:$A = AB$1))) + 'Fund YTD Contributions'!AB28,'Fund YTD Contributions'!AB28)"),2126380.5744025772)</f>
        <v>2126380.574</v>
      </c>
      <c r="AC28" s="170">
        <f>IFERROR(__xludf.DUMMYFUNCTION("IFERROR(AB28 * (1 + AVERAGE(Filter('Inflation Data'!$C:$C,'Inflation Data'!$A:$A = AC$1))) + 'Fund YTD Contributions'!AC28,'Fund YTD Contributions'!AC28)"),2171706.8200888433)</f>
        <v>2171706.82</v>
      </c>
      <c r="AD28" s="170">
        <f>IFERROR(__xludf.DUMMYFUNCTION("IFERROR(AC28 * (1 + AVERAGE(Filter('Inflation Data'!$C:$C,'Inflation Data'!$A:$A = AD$1))) + 'Fund YTD Contributions'!AD28,'Fund YTD Contributions'!AD28)"),2224754.767597377)</f>
        <v>2224754.768</v>
      </c>
      <c r="AE28" s="170">
        <f>IFERROR(__xludf.DUMMYFUNCTION("IFERROR(AD28 * (1 + AVERAGE(Filter('Inflation Data'!$C:$C,'Inflation Data'!$A:$A = AE$1))) + 'Fund YTD Contributions'!AE28,'Fund YTD Contributions'!AE28)"),2263556.988698928)</f>
        <v>2263556.989</v>
      </c>
      <c r="AF28" s="170" t="str">
        <f>IFERROR(__xludf.DUMMYFUNCTION("IFERROR(AE28 * (1 + AVERAGE(Filter('Inflation Data'!$C:$C,'Inflation Data'!$A:$A = AF$1))) + 'Fund YTD Contributions'!AF28,'Fund YTD Contributions'!AF28)"),"")</f>
        <v/>
      </c>
    </row>
    <row r="29">
      <c r="A29" s="153" t="str">
        <f>'Endowed Funds'!B:B</f>
        <v>Robert &amp; Doris Haugen Research Fund</v>
      </c>
      <c r="B29" s="170" t="str">
        <f>IFERROR(__xludf.DUMMYFUNCTION("IFERROR(A29 * (1 + AVERAGE(Filter('Inflation Data'!$C:$C,'Inflation Data'!$A:$A = B$1))) + 'Fund YTD Contributions'!B29,'Fund YTD Contributions'!B29)"),"  ")</f>
        <v/>
      </c>
      <c r="C29" s="170">
        <f>IFERROR(__xludf.DUMMYFUNCTION("IFERROR(B29 * (1 + AVERAGE(Filter('Inflation Data'!$C:$C,'Inflation Data'!$A:$A = C$1))) + 'Fund YTD Contributions'!C29,'Fund YTD Contributions'!C29)"),0.0)</f>
        <v>0</v>
      </c>
      <c r="D29" s="170">
        <f>IFERROR(__xludf.DUMMYFUNCTION("IFERROR(C29 * (1 + AVERAGE(Filter('Inflation Data'!$C:$C,'Inflation Data'!$A:$A = D$1))) + 'Fund YTD Contributions'!D29,'Fund YTD Contributions'!D29)"),0.0)</f>
        <v>0</v>
      </c>
      <c r="E29" s="170">
        <f>IFERROR(__xludf.DUMMYFUNCTION("IFERROR(D29 * (1 + AVERAGE(Filter('Inflation Data'!$C:$C,'Inflation Data'!$A:$A = E$1))) + 'Fund YTD Contributions'!E29,'Fund YTD Contributions'!E29)"),0.0)</f>
        <v>0</v>
      </c>
      <c r="F29" s="170">
        <f>IFERROR(__xludf.DUMMYFUNCTION("IFERROR(E29 * (1 + AVERAGE(Filter('Inflation Data'!$C:$C,'Inflation Data'!$A:$A = F$1))) + 'Fund YTD Contributions'!F29,'Fund YTD Contributions'!F29)"),0.0)</f>
        <v>0</v>
      </c>
      <c r="G29" s="170">
        <f>IFERROR(__xludf.DUMMYFUNCTION("IFERROR(F29 * (1 + AVERAGE(Filter('Inflation Data'!$C:$C,'Inflation Data'!$A:$A = G$1))) + 'Fund YTD Contributions'!G29,'Fund YTD Contributions'!G29)"),0.0)</f>
        <v>0</v>
      </c>
      <c r="H29" s="170">
        <f>IFERROR(__xludf.DUMMYFUNCTION("IFERROR(G29 * (1 + AVERAGE(Filter('Inflation Data'!$C:$C,'Inflation Data'!$A:$A = H$1))) + 'Fund YTD Contributions'!H29,'Fund YTD Contributions'!H29)"),0.0)</f>
        <v>0</v>
      </c>
      <c r="I29" s="170">
        <f>IFERROR(__xludf.DUMMYFUNCTION("IFERROR(H29 * (1 + AVERAGE(Filter('Inflation Data'!$C:$C,'Inflation Data'!$A:$A = I$1))) + 'Fund YTD Contributions'!I29,'Fund YTD Contributions'!I29)"),0.0)</f>
        <v>0</v>
      </c>
      <c r="J29" s="170">
        <f>IFERROR(__xludf.DUMMYFUNCTION("IFERROR(I29 * (1 + AVERAGE(Filter('Inflation Data'!$C:$C,'Inflation Data'!$A:$A = J$1))) + 'Fund YTD Contributions'!J29,'Fund YTD Contributions'!J29)"),0.0)</f>
        <v>0</v>
      </c>
      <c r="K29" s="170">
        <f>IFERROR(__xludf.DUMMYFUNCTION("IFERROR(J29 * (1 + AVERAGE(Filter('Inflation Data'!$C:$C,'Inflation Data'!$A:$A = K$1))) + 'Fund YTD Contributions'!K29,'Fund YTD Contributions'!K29)"),0.0)</f>
        <v>0</v>
      </c>
      <c r="L29" s="170">
        <f>IFERROR(__xludf.DUMMYFUNCTION("IFERROR(K29 * (1 + AVERAGE(Filter('Inflation Data'!$C:$C,'Inflation Data'!$A:$A = L$1))) + 'Fund YTD Contributions'!L29,'Fund YTD Contributions'!L29)"),0.0)</f>
        <v>0</v>
      </c>
      <c r="M29" s="170">
        <f>IFERROR(__xludf.DUMMYFUNCTION("IFERROR(L29 * (1 + AVERAGE(Filter('Inflation Data'!$C:$C,'Inflation Data'!$A:$A = M$1))) + 'Fund YTD Contributions'!M29,'Fund YTD Contributions'!M29)"),0.0)</f>
        <v>0</v>
      </c>
      <c r="N29" s="170">
        <f>IFERROR(__xludf.DUMMYFUNCTION("IFERROR(M29 * (1 + AVERAGE(Filter('Inflation Data'!$C:$C,'Inflation Data'!$A:$A = N$1))) + 'Fund YTD Contributions'!N29,'Fund YTD Contributions'!N29)"),0.0)</f>
        <v>0</v>
      </c>
      <c r="O29" s="170">
        <f>IFERROR(__xludf.DUMMYFUNCTION("IFERROR(N29 * (1 + AVERAGE(Filter('Inflation Data'!$C:$C,'Inflation Data'!$A:$A = O$1))) + 'Fund YTD Contributions'!O29,'Fund YTD Contributions'!O29)"),0.0)</f>
        <v>0</v>
      </c>
      <c r="P29" s="170">
        <f>IFERROR(__xludf.DUMMYFUNCTION("IFERROR(O29 * (1 + AVERAGE(Filter('Inflation Data'!$C:$C,'Inflation Data'!$A:$A = P$1))) + 'Fund YTD Contributions'!P29,'Fund YTD Contributions'!P29)"),0.0)</f>
        <v>0</v>
      </c>
      <c r="Q29" s="170">
        <f>IFERROR(__xludf.DUMMYFUNCTION("IFERROR(P29 * (1 + AVERAGE(Filter('Inflation Data'!$C:$C,'Inflation Data'!$A:$A = Q$1))) + 'Fund YTD Contributions'!Q29,'Fund YTD Contributions'!Q29)"),0.0)</f>
        <v>0</v>
      </c>
      <c r="R29" s="170">
        <f>IFERROR(__xludf.DUMMYFUNCTION("IFERROR(Q29 * (1 + AVERAGE(Filter('Inflation Data'!$C:$C,'Inflation Data'!$A:$A = R$1))) + 'Fund YTD Contributions'!R29,'Fund YTD Contributions'!R29)"),0.0)</f>
        <v>0</v>
      </c>
      <c r="S29" s="170">
        <f>IFERROR(__xludf.DUMMYFUNCTION("IFERROR(R29 * (1 + AVERAGE(Filter('Inflation Data'!$C:$C,'Inflation Data'!$A:$A = S$1))) + 'Fund YTD Contributions'!S29,'Fund YTD Contributions'!S29)"),0.0)</f>
        <v>0</v>
      </c>
      <c r="T29" s="170">
        <f>IFERROR(__xludf.DUMMYFUNCTION("IFERROR(S29 * (1 + AVERAGE(Filter('Inflation Data'!$C:$C,'Inflation Data'!$A:$A = T$1))) + 'Fund YTD Contributions'!T29,'Fund YTD Contributions'!T29)"),0.0)</f>
        <v>0</v>
      </c>
      <c r="U29" s="170">
        <f>IFERROR(__xludf.DUMMYFUNCTION("IFERROR(T29 * (1 + AVERAGE(Filter('Inflation Data'!$C:$C,'Inflation Data'!$A:$A = U$1))) + 'Fund YTD Contributions'!U29,'Fund YTD Contributions'!U29)"),0.0)</f>
        <v>0</v>
      </c>
      <c r="V29" s="170">
        <f>IFERROR(__xludf.DUMMYFUNCTION("IFERROR(U29 * (1 + AVERAGE(Filter('Inflation Data'!$C:$C,'Inflation Data'!$A:$A = V$1))) + 'Fund YTD Contributions'!V29,'Fund YTD Contributions'!V29)"),0.0)</f>
        <v>0</v>
      </c>
      <c r="W29" s="170">
        <f>IFERROR(__xludf.DUMMYFUNCTION("IFERROR(V29 * (1 + AVERAGE(Filter('Inflation Data'!$C:$C,'Inflation Data'!$A:$A = W$1))) + 'Fund YTD Contributions'!W29,'Fund YTD Contributions'!W29)"),0.0)</f>
        <v>0</v>
      </c>
      <c r="X29" s="170">
        <f>IFERROR(__xludf.DUMMYFUNCTION("IFERROR(W29 * (1 + AVERAGE(Filter('Inflation Data'!$C:$C,'Inflation Data'!$A:$A = X$1))) + 'Fund YTD Contributions'!X29,'Fund YTD Contributions'!X29)"),100000.0)</f>
        <v>100000</v>
      </c>
      <c r="Y29" s="170">
        <f>IFERROR(__xludf.DUMMYFUNCTION("IFERROR(X29 * (1 + AVERAGE(Filter('Inflation Data'!$C:$C,'Inflation Data'!$A:$A = Y$1))) + 'Fund YTD Contributions'!Y29,'Fund YTD Contributions'!Y29)"),101466.04553333334)</f>
        <v>101466.0455</v>
      </c>
      <c r="Z29" s="170">
        <f>IFERROR(__xludf.DUMMYFUNCTION("IFERROR(Y29 * (1 + AVERAGE(Filter('Inflation Data'!$C:$C,'Inflation Data'!$A:$A = Z$1))) + 'Fund YTD Contributions'!Z29,'Fund YTD Contributions'!Z29)"),108111.72820466416)</f>
        <v>108111.7282</v>
      </c>
      <c r="AA29" s="170">
        <f>IFERROR(__xludf.DUMMYFUNCTION("IFERROR(Z29 * (1 + AVERAGE(Filter('Inflation Data'!$C:$C,'Inflation Data'!$A:$A = AA$1))) + 'Fund YTD Contributions'!AA29,'Fund YTD Contributions'!AA29)"),113240.27257200604)</f>
        <v>113240.2726</v>
      </c>
      <c r="AB29" s="170">
        <f>IFERROR(__xludf.DUMMYFUNCTION("IFERROR(AA29 * (1 + AVERAGE(Filter('Inflation Data'!$C:$C,'Inflation Data'!$A:$A = AB$1))) + 'Fund YTD Contributions'!AB29,'Fund YTD Contributions'!AB29)"),119669.18797774246)</f>
        <v>119669.188</v>
      </c>
      <c r="AC29" s="170">
        <f>IFERROR(__xludf.DUMMYFUNCTION("IFERROR(AB29 * (1 + AVERAGE(Filter('Inflation Data'!$C:$C,'Inflation Data'!$A:$A = AC$1))) + 'Fund YTD Contributions'!AC29,'Fund YTD Contributions'!AC29)"),127220.07424930233)</f>
        <v>127220.0742</v>
      </c>
      <c r="AD29" s="170">
        <f>IFERROR(__xludf.DUMMYFUNCTION("IFERROR(AC29 * (1 + AVERAGE(Filter('Inflation Data'!$C:$C,'Inflation Data'!$A:$A = AD$1))) + 'Fund YTD Contributions'!AD29,'Fund YTD Contributions'!AD29)"),135327.6593792936)</f>
        <v>135327.6594</v>
      </c>
      <c r="AE29" s="170">
        <f>IFERROR(__xludf.DUMMYFUNCTION("IFERROR(AD29 * (1 + AVERAGE(Filter('Inflation Data'!$C:$C,'Inflation Data'!$A:$A = AE$1))) + 'Fund YTD Contributions'!AE29,'Fund YTD Contributions'!AE29)"),137687.9257047644)</f>
        <v>137687.9257</v>
      </c>
      <c r="AF29" s="170" t="str">
        <f>IFERROR(__xludf.DUMMYFUNCTION("IFERROR(AE29 * (1 + AVERAGE(Filter('Inflation Data'!$C:$C,'Inflation Data'!$A:$A = AF$1))) + 'Fund YTD Contributions'!AF29,'Fund YTD Contributions'!AF29)"),"")</f>
        <v/>
      </c>
    </row>
    <row r="30">
      <c r="A30" s="153" t="str">
        <f>'Endowed Funds'!B:B</f>
        <v>Segal Family Foundation</v>
      </c>
      <c r="B30" s="170" t="str">
        <f>IFERROR(__xludf.DUMMYFUNCTION("IFERROR(A30 * (1 + AVERAGE(Filter('Inflation Data'!$C:$C,'Inflation Data'!$A:$A = B$1))) + 'Fund YTD Contributions'!B30,'Fund YTD Contributions'!B30)"),"  ")</f>
        <v/>
      </c>
      <c r="C30" s="170">
        <f>IFERROR(__xludf.DUMMYFUNCTION("IFERROR(B30 * (1 + AVERAGE(Filter('Inflation Data'!$C:$C,'Inflation Data'!$A:$A = C$1))) + 'Fund YTD Contributions'!C30,'Fund YTD Contributions'!C30)"),0.0)</f>
        <v>0</v>
      </c>
      <c r="D30" s="170">
        <f>IFERROR(__xludf.DUMMYFUNCTION("IFERROR(C30 * (1 + AVERAGE(Filter('Inflation Data'!$C:$C,'Inflation Data'!$A:$A = D$1))) + 'Fund YTD Contributions'!D30,'Fund YTD Contributions'!D30)"),0.0)</f>
        <v>0</v>
      </c>
      <c r="E30" s="170">
        <f>IFERROR(__xludf.DUMMYFUNCTION("IFERROR(D30 * (1 + AVERAGE(Filter('Inflation Data'!$C:$C,'Inflation Data'!$A:$A = E$1))) + 'Fund YTD Contributions'!E30,'Fund YTD Contributions'!E30)"),0.0)</f>
        <v>0</v>
      </c>
      <c r="F30" s="170">
        <f>IFERROR(__xludf.DUMMYFUNCTION("IFERROR(E30 * (1 + AVERAGE(Filter('Inflation Data'!$C:$C,'Inflation Data'!$A:$A = F$1))) + 'Fund YTD Contributions'!F30,'Fund YTD Contributions'!F30)"),0.0)</f>
        <v>0</v>
      </c>
      <c r="G30" s="170">
        <f>IFERROR(__xludf.DUMMYFUNCTION("IFERROR(F30 * (1 + AVERAGE(Filter('Inflation Data'!$C:$C,'Inflation Data'!$A:$A = G$1))) + 'Fund YTD Contributions'!G30,'Fund YTD Contributions'!G30)"),0.0)</f>
        <v>0</v>
      </c>
      <c r="H30" s="170">
        <f>IFERROR(__xludf.DUMMYFUNCTION("IFERROR(G30 * (1 + AVERAGE(Filter('Inflation Data'!$C:$C,'Inflation Data'!$A:$A = H$1))) + 'Fund YTD Contributions'!H30,'Fund YTD Contributions'!H30)"),0.0)</f>
        <v>0</v>
      </c>
      <c r="I30" s="170">
        <f>IFERROR(__xludf.DUMMYFUNCTION("IFERROR(H30 * (1 + AVERAGE(Filter('Inflation Data'!$C:$C,'Inflation Data'!$A:$A = I$1))) + 'Fund YTD Contributions'!I30,'Fund YTD Contributions'!I30)"),0.0)</f>
        <v>0</v>
      </c>
      <c r="J30" s="170">
        <f>IFERROR(__xludf.DUMMYFUNCTION("IFERROR(I30 * (1 + AVERAGE(Filter('Inflation Data'!$C:$C,'Inflation Data'!$A:$A = J$1))) + 'Fund YTD Contributions'!J30,'Fund YTD Contributions'!J30)"),0.0)</f>
        <v>0</v>
      </c>
      <c r="K30" s="170">
        <f>IFERROR(__xludf.DUMMYFUNCTION("IFERROR(J30 * (1 + AVERAGE(Filter('Inflation Data'!$C:$C,'Inflation Data'!$A:$A = K$1))) + 'Fund YTD Contributions'!K30,'Fund YTD Contributions'!K30)"),0.0)</f>
        <v>0</v>
      </c>
      <c r="L30" s="170">
        <f>IFERROR(__xludf.DUMMYFUNCTION("IFERROR(K30 * (1 + AVERAGE(Filter('Inflation Data'!$C:$C,'Inflation Data'!$A:$A = L$1))) + 'Fund YTD Contributions'!L30,'Fund YTD Contributions'!L30)"),0.0)</f>
        <v>0</v>
      </c>
      <c r="M30" s="170">
        <f>IFERROR(__xludf.DUMMYFUNCTION("IFERROR(L30 * (1 + AVERAGE(Filter('Inflation Data'!$C:$C,'Inflation Data'!$A:$A = M$1))) + 'Fund YTD Contributions'!M30,'Fund YTD Contributions'!M30)"),0.0)</f>
        <v>0</v>
      </c>
      <c r="N30" s="170">
        <f>IFERROR(__xludf.DUMMYFUNCTION("IFERROR(M30 * (1 + AVERAGE(Filter('Inflation Data'!$C:$C,'Inflation Data'!$A:$A = N$1))) + 'Fund YTD Contributions'!N30,'Fund YTD Contributions'!N30)"),0.0)</f>
        <v>0</v>
      </c>
      <c r="O30" s="170">
        <f>IFERROR(__xludf.DUMMYFUNCTION("IFERROR(N30 * (1 + AVERAGE(Filter('Inflation Data'!$C:$C,'Inflation Data'!$A:$A = O$1))) + 'Fund YTD Contributions'!O30,'Fund YTD Contributions'!O30)"),0.0)</f>
        <v>0</v>
      </c>
      <c r="P30" s="170">
        <f>IFERROR(__xludf.DUMMYFUNCTION("IFERROR(O30 * (1 + AVERAGE(Filter('Inflation Data'!$C:$C,'Inflation Data'!$A:$A = P$1))) + 'Fund YTD Contributions'!P30,'Fund YTD Contributions'!P30)"),0.0)</f>
        <v>0</v>
      </c>
      <c r="Q30" s="170">
        <f>IFERROR(__xludf.DUMMYFUNCTION("IFERROR(P30 * (1 + AVERAGE(Filter('Inflation Data'!$C:$C,'Inflation Data'!$A:$A = Q$1))) + 'Fund YTD Contributions'!Q30,'Fund YTD Contributions'!Q30)"),0.0)</f>
        <v>0</v>
      </c>
      <c r="R30" s="170">
        <f>IFERROR(__xludf.DUMMYFUNCTION("IFERROR(Q30 * (1 + AVERAGE(Filter('Inflation Data'!$C:$C,'Inflation Data'!$A:$A = R$1))) + 'Fund YTD Contributions'!R30,'Fund YTD Contributions'!R30)"),0.0)</f>
        <v>0</v>
      </c>
      <c r="S30" s="170">
        <f>IFERROR(__xludf.DUMMYFUNCTION("IFERROR(R30 * (1 + AVERAGE(Filter('Inflation Data'!$C:$C,'Inflation Data'!$A:$A = S$1))) + 'Fund YTD Contributions'!S30,'Fund YTD Contributions'!S30)"),0.0)</f>
        <v>0</v>
      </c>
      <c r="T30" s="170">
        <f>IFERROR(__xludf.DUMMYFUNCTION("IFERROR(S30 * (1 + AVERAGE(Filter('Inflation Data'!$C:$C,'Inflation Data'!$A:$A = T$1))) + 'Fund YTD Contributions'!T30,'Fund YTD Contributions'!T30)"),0.0)</f>
        <v>0</v>
      </c>
      <c r="U30" s="170">
        <f>IFERROR(__xludf.DUMMYFUNCTION("IFERROR(T30 * (1 + AVERAGE(Filter('Inflation Data'!$C:$C,'Inflation Data'!$A:$A = U$1))) + 'Fund YTD Contributions'!U30,'Fund YTD Contributions'!U30)"),0.0)</f>
        <v>0</v>
      </c>
      <c r="V30" s="170">
        <f>IFERROR(__xludf.DUMMYFUNCTION("IFERROR(U30 * (1 + AVERAGE(Filter('Inflation Data'!$C:$C,'Inflation Data'!$A:$A = V$1))) + 'Fund YTD Contributions'!V30,'Fund YTD Contributions'!V30)"),0.0)</f>
        <v>0</v>
      </c>
      <c r="W30" s="170">
        <f>IFERROR(__xludf.DUMMYFUNCTION("IFERROR(V30 * (1 + AVERAGE(Filter('Inflation Data'!$C:$C,'Inflation Data'!$A:$A = W$1))) + 'Fund YTD Contributions'!W30,'Fund YTD Contributions'!W30)"),0.0)</f>
        <v>0</v>
      </c>
      <c r="X30" s="170">
        <f>IFERROR(__xludf.DUMMYFUNCTION("IFERROR(W30 * (1 + AVERAGE(Filter('Inflation Data'!$C:$C,'Inflation Data'!$A:$A = X$1))) + 'Fund YTD Contributions'!X30,'Fund YTD Contributions'!X30)"),0.0)</f>
        <v>0</v>
      </c>
      <c r="Y30" s="170">
        <f>IFERROR(__xludf.DUMMYFUNCTION("IFERROR(X30 * (1 + AVERAGE(Filter('Inflation Data'!$C:$C,'Inflation Data'!$A:$A = Y$1))) + 'Fund YTD Contributions'!Y30,'Fund YTD Contributions'!Y30)"),0.0)</f>
        <v>0</v>
      </c>
      <c r="Z30" s="170">
        <f>IFERROR(__xludf.DUMMYFUNCTION("IFERROR(Y30 * (1 + AVERAGE(Filter('Inflation Data'!$C:$C,'Inflation Data'!$A:$A = Z$1))) + 'Fund YTD Contributions'!Z30,'Fund YTD Contributions'!Z30)"),0.0)</f>
        <v>0</v>
      </c>
      <c r="AA30" s="170">
        <f>IFERROR(__xludf.DUMMYFUNCTION("IFERROR(Z30 * (1 + AVERAGE(Filter('Inflation Data'!$C:$C,'Inflation Data'!$A:$A = AA$1))) + 'Fund YTD Contributions'!AA30,'Fund YTD Contributions'!AA30)"),70000.0)</f>
        <v>70000</v>
      </c>
      <c r="AB30" s="170">
        <f>IFERROR(__xludf.DUMMYFUNCTION("IFERROR(AA30 * (1 + AVERAGE(Filter('Inflation Data'!$C:$C,'Inflation Data'!$A:$A = AB$1))) + 'Fund YTD Contributions'!AB30,'Fund YTD Contributions'!AB30)"),140883.2906891667)</f>
        <v>140883.2907</v>
      </c>
      <c r="AC30" s="170">
        <f>IFERROR(__xludf.DUMMYFUNCTION("IFERROR(AB30 * (1 + AVERAGE(Filter('Inflation Data'!$C:$C,'Inflation Data'!$A:$A = AC$1))) + 'Fund YTD Contributions'!AC30,'Fund YTD Contributions'!AC30)"),213886.3799403281)</f>
        <v>213886.3799</v>
      </c>
      <c r="AD30" s="170">
        <f>IFERROR(__xludf.DUMMYFUNCTION("IFERROR(AC30 * (1 + AVERAGE(Filter('Inflation Data'!$C:$C,'Inflation Data'!$A:$A = AD$1))) + 'Fund YTD Contributions'!AD30,'Fund YTD Contributions'!AD30)"),289110.9495511564)</f>
        <v>289110.9496</v>
      </c>
      <c r="AE30" s="170">
        <f>IFERROR(__xludf.DUMMYFUNCTION("IFERROR(AD30 * (1 + AVERAGE(Filter('Inflation Data'!$C:$C,'Inflation Data'!$A:$A = AE$1))) + 'Fund YTD Contributions'!AE30,'Fund YTD Contributions'!AE30)"),294153.3691251027)</f>
        <v>294153.3691</v>
      </c>
      <c r="AF30" s="170" t="str">
        <f>IFERROR(__xludf.DUMMYFUNCTION("IFERROR(AE30 * (1 + AVERAGE(Filter('Inflation Data'!$C:$C,'Inflation Data'!$A:$A = AF$1))) + 'Fund YTD Contributions'!AF30,'Fund YTD Contributions'!AF30)"),"")</f>
        <v/>
      </c>
    </row>
    <row r="31">
      <c r="A31" s="153" t="str">
        <f>'Endowed Funds'!B:B</f>
        <v>Shirley &amp; Reinhardt Jahn Education Fund</v>
      </c>
      <c r="B31" s="170" t="str">
        <f>IFERROR(__xludf.DUMMYFUNCTION("IFERROR(A31 * (1 + AVERAGE(Filter('Inflation Data'!$C:$C,'Inflation Data'!$A:$A = B$1))) + 'Fund YTD Contributions'!B31,'Fund YTD Contributions'!B31)"),"  ")</f>
        <v/>
      </c>
      <c r="C31" s="170">
        <f>IFERROR(__xludf.DUMMYFUNCTION("IFERROR(B31 * (1 + AVERAGE(Filter('Inflation Data'!$C:$C,'Inflation Data'!$A:$A = C$1))) + 'Fund YTD Contributions'!C31,'Fund YTD Contributions'!C31)"),0.0)</f>
        <v>0</v>
      </c>
      <c r="D31" s="170">
        <f>IFERROR(__xludf.DUMMYFUNCTION("IFERROR(C31 * (1 + AVERAGE(Filter('Inflation Data'!$C:$C,'Inflation Data'!$A:$A = D$1))) + 'Fund YTD Contributions'!D31,'Fund YTD Contributions'!D31)"),0.0)</f>
        <v>0</v>
      </c>
      <c r="E31" s="170">
        <f>IFERROR(__xludf.DUMMYFUNCTION("IFERROR(D31 * (1 + AVERAGE(Filter('Inflation Data'!$C:$C,'Inflation Data'!$A:$A = E$1))) + 'Fund YTD Contributions'!E31,'Fund YTD Contributions'!E31)"),0.0)</f>
        <v>0</v>
      </c>
      <c r="F31" s="170">
        <f>IFERROR(__xludf.DUMMYFUNCTION("IFERROR(E31 * (1 + AVERAGE(Filter('Inflation Data'!$C:$C,'Inflation Data'!$A:$A = F$1))) + 'Fund YTD Contributions'!F31,'Fund YTD Contributions'!F31)"),0.0)</f>
        <v>0</v>
      </c>
      <c r="G31" s="170">
        <f>IFERROR(__xludf.DUMMYFUNCTION("IFERROR(F31 * (1 + AVERAGE(Filter('Inflation Data'!$C:$C,'Inflation Data'!$A:$A = G$1))) + 'Fund YTD Contributions'!G31,'Fund YTD Contributions'!G31)"),0.0)</f>
        <v>0</v>
      </c>
      <c r="H31" s="170">
        <f>IFERROR(__xludf.DUMMYFUNCTION("IFERROR(G31 * (1 + AVERAGE(Filter('Inflation Data'!$C:$C,'Inflation Data'!$A:$A = H$1))) + 'Fund YTD Contributions'!H31,'Fund YTD Contributions'!H31)"),0.0)</f>
        <v>0</v>
      </c>
      <c r="I31" s="170">
        <f>IFERROR(__xludf.DUMMYFUNCTION("IFERROR(H31 * (1 + AVERAGE(Filter('Inflation Data'!$C:$C,'Inflation Data'!$A:$A = I$1))) + 'Fund YTD Contributions'!I31,'Fund YTD Contributions'!I31)"),0.0)</f>
        <v>0</v>
      </c>
      <c r="J31" s="170">
        <f>IFERROR(__xludf.DUMMYFUNCTION("IFERROR(I31 * (1 + AVERAGE(Filter('Inflation Data'!$C:$C,'Inflation Data'!$A:$A = J$1))) + 'Fund YTD Contributions'!J31,'Fund YTD Contributions'!J31)"),0.0)</f>
        <v>0</v>
      </c>
      <c r="K31" s="170">
        <f>IFERROR(__xludf.DUMMYFUNCTION("IFERROR(J31 * (1 + AVERAGE(Filter('Inflation Data'!$C:$C,'Inflation Data'!$A:$A = K$1))) + 'Fund YTD Contributions'!K31,'Fund YTD Contributions'!K31)"),0.0)</f>
        <v>0</v>
      </c>
      <c r="L31" s="170">
        <f>IFERROR(__xludf.DUMMYFUNCTION("IFERROR(K31 * (1 + AVERAGE(Filter('Inflation Data'!$C:$C,'Inflation Data'!$A:$A = L$1))) + 'Fund YTD Contributions'!L31,'Fund YTD Contributions'!L31)"),0.0)</f>
        <v>0</v>
      </c>
      <c r="M31" s="170">
        <f>IFERROR(__xludf.DUMMYFUNCTION("IFERROR(L31 * (1 + AVERAGE(Filter('Inflation Data'!$C:$C,'Inflation Data'!$A:$A = M$1))) + 'Fund YTD Contributions'!M31,'Fund YTD Contributions'!M31)"),0.0)</f>
        <v>0</v>
      </c>
      <c r="N31" s="170">
        <f>IFERROR(__xludf.DUMMYFUNCTION("IFERROR(M31 * (1 + AVERAGE(Filter('Inflation Data'!$C:$C,'Inflation Data'!$A:$A = N$1))) + 'Fund YTD Contributions'!N31,'Fund YTD Contributions'!N31)"),0.0)</f>
        <v>0</v>
      </c>
      <c r="O31" s="170">
        <f>IFERROR(__xludf.DUMMYFUNCTION("IFERROR(N31 * (1 + AVERAGE(Filter('Inflation Data'!$C:$C,'Inflation Data'!$A:$A = O$1))) + 'Fund YTD Contributions'!O31,'Fund YTD Contributions'!O31)"),0.0)</f>
        <v>0</v>
      </c>
      <c r="P31" s="170">
        <f>IFERROR(__xludf.DUMMYFUNCTION("IFERROR(O31 * (1 + AVERAGE(Filter('Inflation Data'!$C:$C,'Inflation Data'!$A:$A = P$1))) + 'Fund YTD Contributions'!P31,'Fund YTD Contributions'!P31)"),0.0)</f>
        <v>0</v>
      </c>
      <c r="Q31" s="170">
        <f>IFERROR(__xludf.DUMMYFUNCTION("IFERROR(P31 * (1 + AVERAGE(Filter('Inflation Data'!$C:$C,'Inflation Data'!$A:$A = Q$1))) + 'Fund YTD Contributions'!Q31,'Fund YTD Contributions'!Q31)"),250000.0)</f>
        <v>250000</v>
      </c>
      <c r="R31" s="170">
        <f>IFERROR(__xludf.DUMMYFUNCTION("IFERROR(Q31 * (1 + AVERAGE(Filter('Inflation Data'!$C:$C,'Inflation Data'!$A:$A = R$1))) + 'Fund YTD Contributions'!R31,'Fund YTD Contributions'!R31)"),258088.05018749996)</f>
        <v>258088.0502</v>
      </c>
      <c r="S31" s="170">
        <f>IFERROR(__xludf.DUMMYFUNCTION("IFERROR(R31 * (1 + AVERAGE(Filter('Inflation Data'!$C:$C,'Inflation Data'!$A:$A = S$1))) + 'Fund YTD Contributions'!S31,'Fund YTD Contributions'!S31)"),265449.63169841515)</f>
        <v>265449.6317</v>
      </c>
      <c r="T31" s="170">
        <f>IFERROR(__xludf.DUMMYFUNCTION("IFERROR(S31 * (1 + AVERAGE(Filter('Inflation Data'!$C:$C,'Inflation Data'!$A:$A = T$1))) + 'Fund YTD Contributions'!T31,'Fund YTD Contributions'!T31)"),275657.8500679382)</f>
        <v>275657.8501</v>
      </c>
      <c r="U31" s="170">
        <f>IFERROR(__xludf.DUMMYFUNCTION("IFERROR(T31 * (1 + AVERAGE(Filter('Inflation Data'!$C:$C,'Inflation Data'!$A:$A = U$1))) + 'Fund YTD Contributions'!U31,'Fund YTD Contributions'!U31)"),274726.6778504087)</f>
        <v>274726.6779</v>
      </c>
      <c r="V31" s="170">
        <f>IFERROR(__xludf.DUMMYFUNCTION("IFERROR(U31 * (1 + AVERAGE(Filter('Inflation Data'!$C:$C,'Inflation Data'!$A:$A = V$1))) + 'Fund YTD Contributions'!V31,'Fund YTD Contributions'!V31)"),279244.0622317929)</f>
        <v>279244.0622</v>
      </c>
      <c r="W31" s="170">
        <f>IFERROR(__xludf.DUMMYFUNCTION("IFERROR(V31 * (1 + AVERAGE(Filter('Inflation Data'!$C:$C,'Inflation Data'!$A:$A = W$1))) + 'Fund YTD Contributions'!W31,'Fund YTD Contributions'!W31)"),288054.77486255835)</f>
        <v>288054.7749</v>
      </c>
      <c r="X31" s="170">
        <f>IFERROR(__xludf.DUMMYFUNCTION("IFERROR(W31 * (1 + AVERAGE(Filter('Inflation Data'!$C:$C,'Inflation Data'!$A:$A = X$1))) + 'Fund YTD Contributions'!X31,'Fund YTD Contributions'!X31)"),294026.705499024)</f>
        <v>294026.7055</v>
      </c>
      <c r="Y31" s="170">
        <f>IFERROR(__xludf.DUMMYFUNCTION("IFERROR(X31 * (1 + AVERAGE(Filter('Inflation Data'!$C:$C,'Inflation Data'!$A:$A = Y$1))) + 'Fund YTD Contributions'!Y31,'Fund YTD Contributions'!Y31)"),298337.27088179963)</f>
        <v>298337.2709</v>
      </c>
      <c r="Z31" s="170">
        <f>IFERROR(__xludf.DUMMYFUNCTION("IFERROR(Y31 * (1 + AVERAGE(Filter('Inflation Data'!$C:$C,'Inflation Data'!$A:$A = Z$1))) + 'Fund YTD Contributions'!Z31,'Fund YTD Contributions'!Z31)"),303176.01742328197)</f>
        <v>303176.0174</v>
      </c>
      <c r="AA31" s="170">
        <f>IFERROR(__xludf.DUMMYFUNCTION("IFERROR(Z31 * (1 + AVERAGE(Filter('Inflation Data'!$C:$C,'Inflation Data'!$A:$A = AA$1))) + 'Fund YTD Contributions'!AA31,'Fund YTD Contributions'!AA31)"),303536.4923689708)</f>
        <v>303536.4924</v>
      </c>
      <c r="AB31" s="170">
        <f>IFERROR(__xludf.DUMMYFUNCTION("IFERROR(AA31 * (1 + AVERAGE(Filter('Inflation Data'!$C:$C,'Inflation Data'!$A:$A = AB$1))) + 'Fund YTD Contributions'!AB31,'Fund YTD Contributions'!AB31)"),307366.6489051397)</f>
        <v>307366.6489</v>
      </c>
      <c r="AC31" s="170">
        <f>IFERROR(__xludf.DUMMYFUNCTION("IFERROR(AB31 * (1 + AVERAGE(Filter('Inflation Data'!$C:$C,'Inflation Data'!$A:$A = AC$1))) + 'Fund YTD Contributions'!AC31,'Fund YTD Contributions'!AC31)"),313918.52226767404)</f>
        <v>313918.5223</v>
      </c>
      <c r="AD31" s="170">
        <f>IFERROR(__xludf.DUMMYFUNCTION("IFERROR(AC31 * (1 + AVERAGE(Filter('Inflation Data'!$C:$C,'Inflation Data'!$A:$A = AD$1))) + 'Fund YTD Contributions'!AD31,'Fund YTD Contributions'!AD31)"),321586.5615891745)</f>
        <v>321586.5616</v>
      </c>
      <c r="AE31" s="170">
        <f>IFERROR(__xludf.DUMMYFUNCTION("IFERROR(AD31 * (1 + AVERAGE(Filter('Inflation Data'!$C:$C,'Inflation Data'!$A:$A = AE$1))) + 'Fund YTD Contributions'!AE31,'Fund YTD Contributions'!AE31)"),327195.39230068104)</f>
        <v>327195.3923</v>
      </c>
      <c r="AF31" s="170" t="str">
        <f>IFERROR(__xludf.DUMMYFUNCTION("IFERROR(AE31 * (1 + AVERAGE(Filter('Inflation Data'!$C:$C,'Inflation Data'!$A:$A = AF$1))) + 'Fund YTD Contributions'!AF31,'Fund YTD Contributions'!AF31)"),"")</f>
        <v/>
      </c>
    </row>
    <row r="32">
      <c r="A32" s="153" t="str">
        <f>'Endowed Funds'!B:B</f>
        <v>Sidney &amp; Iris Taylor Education Fund</v>
      </c>
      <c r="B32" s="170" t="str">
        <f>IFERROR(__xludf.DUMMYFUNCTION("IFERROR(A32 * (1 + AVERAGE(Filter('Inflation Data'!$C:$C,'Inflation Data'!$A:$A = B$1))) + 'Fund YTD Contributions'!B32,'Fund YTD Contributions'!B32)"),"  ")</f>
        <v/>
      </c>
      <c r="C32" s="170">
        <f>IFERROR(__xludf.DUMMYFUNCTION("IFERROR(B32 * (1 + AVERAGE(Filter('Inflation Data'!$C:$C,'Inflation Data'!$A:$A = C$1))) + 'Fund YTD Contributions'!C32,'Fund YTD Contributions'!C32)"),0.0)</f>
        <v>0</v>
      </c>
      <c r="D32" s="170">
        <f>IFERROR(__xludf.DUMMYFUNCTION("IFERROR(C32 * (1 + AVERAGE(Filter('Inflation Data'!$C:$C,'Inflation Data'!$A:$A = D$1))) + 'Fund YTD Contributions'!D32,'Fund YTD Contributions'!D32)"),0.0)</f>
        <v>0</v>
      </c>
      <c r="E32" s="170">
        <f>IFERROR(__xludf.DUMMYFUNCTION("IFERROR(D32 * (1 + AVERAGE(Filter('Inflation Data'!$C:$C,'Inflation Data'!$A:$A = E$1))) + 'Fund YTD Contributions'!E32,'Fund YTD Contributions'!E32)"),0.0)</f>
        <v>0</v>
      </c>
      <c r="F32" s="170">
        <f>IFERROR(__xludf.DUMMYFUNCTION("IFERROR(E32 * (1 + AVERAGE(Filter('Inflation Data'!$C:$C,'Inflation Data'!$A:$A = F$1))) + 'Fund YTD Contributions'!F32,'Fund YTD Contributions'!F32)"),0.0)</f>
        <v>0</v>
      </c>
      <c r="G32" s="170">
        <f>IFERROR(__xludf.DUMMYFUNCTION("IFERROR(F32 * (1 + AVERAGE(Filter('Inflation Data'!$C:$C,'Inflation Data'!$A:$A = G$1))) + 'Fund YTD Contributions'!G32,'Fund YTD Contributions'!G32)"),0.0)</f>
        <v>0</v>
      </c>
      <c r="H32" s="170">
        <f>IFERROR(__xludf.DUMMYFUNCTION("IFERROR(G32 * (1 + AVERAGE(Filter('Inflation Data'!$C:$C,'Inflation Data'!$A:$A = H$1))) + 'Fund YTD Contributions'!H32,'Fund YTD Contributions'!H32)"),0.0)</f>
        <v>0</v>
      </c>
      <c r="I32" s="170">
        <f>IFERROR(__xludf.DUMMYFUNCTION("IFERROR(H32 * (1 + AVERAGE(Filter('Inflation Data'!$C:$C,'Inflation Data'!$A:$A = I$1))) + 'Fund YTD Contributions'!I32,'Fund YTD Contributions'!I32)"),0.0)</f>
        <v>0</v>
      </c>
      <c r="J32" s="170">
        <f>IFERROR(__xludf.DUMMYFUNCTION("IFERROR(I32 * (1 + AVERAGE(Filter('Inflation Data'!$C:$C,'Inflation Data'!$A:$A = J$1))) + 'Fund YTD Contributions'!J32,'Fund YTD Contributions'!J32)"),0.0)</f>
        <v>0</v>
      </c>
      <c r="K32" s="170">
        <f>IFERROR(__xludf.DUMMYFUNCTION("IFERROR(J32 * (1 + AVERAGE(Filter('Inflation Data'!$C:$C,'Inflation Data'!$A:$A = K$1))) + 'Fund YTD Contributions'!K32,'Fund YTD Contributions'!K32)"),0.0)</f>
        <v>0</v>
      </c>
      <c r="L32" s="170">
        <f>IFERROR(__xludf.DUMMYFUNCTION("IFERROR(K32 * (1 + AVERAGE(Filter('Inflation Data'!$C:$C,'Inflation Data'!$A:$A = L$1))) + 'Fund YTD Contributions'!L32,'Fund YTD Contributions'!L32)"),0.0)</f>
        <v>0</v>
      </c>
      <c r="M32" s="170">
        <f>IFERROR(__xludf.DUMMYFUNCTION("IFERROR(L32 * (1 + AVERAGE(Filter('Inflation Data'!$C:$C,'Inflation Data'!$A:$A = M$1))) + 'Fund YTD Contributions'!M32,'Fund YTD Contributions'!M32)"),0.0)</f>
        <v>0</v>
      </c>
      <c r="N32" s="170">
        <f>IFERROR(__xludf.DUMMYFUNCTION("IFERROR(M32 * (1 + AVERAGE(Filter('Inflation Data'!$C:$C,'Inflation Data'!$A:$A = N$1))) + 'Fund YTD Contributions'!N32,'Fund YTD Contributions'!N32)"),0.0)</f>
        <v>0</v>
      </c>
      <c r="O32" s="170">
        <f>IFERROR(__xludf.DUMMYFUNCTION("IFERROR(N32 * (1 + AVERAGE(Filter('Inflation Data'!$C:$C,'Inflation Data'!$A:$A = O$1))) + 'Fund YTD Contributions'!O32,'Fund YTD Contributions'!O32)"),0.0)</f>
        <v>0</v>
      </c>
      <c r="P32" s="170">
        <f>IFERROR(__xludf.DUMMYFUNCTION("IFERROR(O32 * (1 + AVERAGE(Filter('Inflation Data'!$C:$C,'Inflation Data'!$A:$A = P$1))) + 'Fund YTD Contributions'!P32,'Fund YTD Contributions'!P32)"),0.0)</f>
        <v>0</v>
      </c>
      <c r="Q32" s="170">
        <f>IFERROR(__xludf.DUMMYFUNCTION("IFERROR(P32 * (1 + AVERAGE(Filter('Inflation Data'!$C:$C,'Inflation Data'!$A:$A = Q$1))) + 'Fund YTD Contributions'!Q32,'Fund YTD Contributions'!Q32)"),20000.0)</f>
        <v>20000</v>
      </c>
      <c r="R32" s="170">
        <f>IFERROR(__xludf.DUMMYFUNCTION("IFERROR(Q32 * (1 + AVERAGE(Filter('Inflation Data'!$C:$C,'Inflation Data'!$A:$A = R$1))) + 'Fund YTD Contributions'!R32,'Fund YTD Contributions'!R32)"),40647.044015)</f>
        <v>40647.04402</v>
      </c>
      <c r="S32" s="170">
        <f>IFERROR(__xludf.DUMMYFUNCTION("IFERROR(R32 * (1 + AVERAGE(Filter('Inflation Data'!$C:$C,'Inflation Data'!$A:$A = S$1))) + 'Fund YTD Contributions'!S32,'Fund YTD Contributions'!S32)"),61806.44107920655)</f>
        <v>61806.44108</v>
      </c>
      <c r="T32" s="170">
        <f>IFERROR(__xludf.DUMMYFUNCTION("IFERROR(S32 * (1 + AVERAGE(Filter('Inflation Data'!$C:$C,'Inflation Data'!$A:$A = T$1))) + 'Fund YTD Contributions'!T32,'Fund YTD Contributions'!T32)"),84183.28991166763)</f>
        <v>84183.28991</v>
      </c>
      <c r="U32" s="170">
        <f>IFERROR(__xludf.DUMMYFUNCTION("IFERROR(T32 * (1 + AVERAGE(Filter('Inflation Data'!$C:$C,'Inflation Data'!$A:$A = U$1))) + 'Fund YTD Contributions'!U32,'Fund YTD Contributions'!U32)"),83898.91875834602)</f>
        <v>83898.91876</v>
      </c>
      <c r="V32" s="170">
        <f>IFERROR(__xludf.DUMMYFUNCTION("IFERROR(U32 * (1 + AVERAGE(Filter('Inflation Data'!$C:$C,'Inflation Data'!$A:$A = V$1))) + 'Fund YTD Contributions'!V32,'Fund YTD Contributions'!V32)"),105278.4850537618)</f>
        <v>105278.4851</v>
      </c>
      <c r="W32" s="170">
        <f>IFERROR(__xludf.DUMMYFUNCTION("IFERROR(V32 * (1 + AVERAGE(Filter('Inflation Data'!$C:$C,'Inflation Data'!$A:$A = W$1))) + 'Fund YTD Contributions'!W32,'Fund YTD Contributions'!W32)"),108600.23331439652)</f>
        <v>108600.2333</v>
      </c>
      <c r="X32" s="170">
        <f>IFERROR(__xludf.DUMMYFUNCTION("IFERROR(W32 * (1 + AVERAGE(Filter('Inflation Data'!$C:$C,'Inflation Data'!$A:$A = X$1))) + 'Fund YTD Contributions'!X32,'Fund YTD Contributions'!X32)"),110851.72545080361)</f>
        <v>110851.7255</v>
      </c>
      <c r="Y32" s="170">
        <f>IFERROR(__xludf.DUMMYFUNCTION("IFERROR(X32 * (1 + AVERAGE(Filter('Inflation Data'!$C:$C,'Inflation Data'!$A:$A = Y$1))) + 'Fund YTD Contributions'!Y32,'Fund YTD Contributions'!Y32)"),112476.86222039805)</f>
        <v>112476.8622</v>
      </c>
      <c r="Z32" s="170">
        <f>IFERROR(__xludf.DUMMYFUNCTION("IFERROR(Y32 * (1 + AVERAGE(Filter('Inflation Data'!$C:$C,'Inflation Data'!$A:$A = Z$1))) + 'Fund YTD Contributions'!Z32,'Fund YTD Contributions'!Z32)"),114301.12985701313)</f>
        <v>114301.1299</v>
      </c>
      <c r="AA32" s="170">
        <f>IFERROR(__xludf.DUMMYFUNCTION("IFERROR(Z32 * (1 + AVERAGE(Filter('Inflation Data'!$C:$C,'Inflation Data'!$A:$A = AA$1))) + 'Fund YTD Contributions'!AA32,'Fund YTD Contributions'!AA32)"),114437.03339558313)</f>
        <v>114437.0334</v>
      </c>
      <c r="AB32" s="170">
        <f>IFERROR(__xludf.DUMMYFUNCTION("IFERROR(AA32 * (1 + AVERAGE(Filter('Inflation Data'!$C:$C,'Inflation Data'!$A:$A = AB$1))) + 'Fund YTD Contributions'!AB32,'Fund YTD Contributions'!AB32)"),115881.05005407134)</f>
        <v>115881.0501</v>
      </c>
      <c r="AC32" s="170">
        <f>IFERROR(__xludf.DUMMYFUNCTION("IFERROR(AB32 * (1 + AVERAGE(Filter('Inflation Data'!$C:$C,'Inflation Data'!$A:$A = AC$1))) + 'Fund YTD Contributions'!AC32,'Fund YTD Contributions'!AC32)"),118351.18781227065)</f>
        <v>118351.1878</v>
      </c>
      <c r="AD32" s="170">
        <f>IFERROR(__xludf.DUMMYFUNCTION("IFERROR(AC32 * (1 + AVERAGE(Filter('Inflation Data'!$C:$C,'Inflation Data'!$A:$A = AD$1))) + 'Fund YTD Contributions'!AD32,'Fund YTD Contributions'!AD32)"),121242.13402129029)</f>
        <v>121242.134</v>
      </c>
      <c r="AE32" s="170">
        <f>IFERROR(__xludf.DUMMYFUNCTION("IFERROR(AD32 * (1 + AVERAGE(Filter('Inflation Data'!$C:$C,'Inflation Data'!$A:$A = AE$1))) + 'Fund YTD Contributions'!AE32,'Fund YTD Contributions'!AE32)"),123356.73296928966)</f>
        <v>123356.733</v>
      </c>
      <c r="AF32" s="170" t="str">
        <f>IFERROR(__xludf.DUMMYFUNCTION("IFERROR(AE32 * (1 + AVERAGE(Filter('Inflation Data'!$C:$C,'Inflation Data'!$A:$A = AF$1))) + 'Fund YTD Contributions'!AF32,'Fund YTD Contributions'!AF32)"),"")</f>
        <v/>
      </c>
    </row>
    <row r="33">
      <c r="A33" s="153" t="str">
        <f>'Endowed Funds'!B:B</f>
        <v>Stuart Struever Chair in Research</v>
      </c>
      <c r="B33" s="170" t="str">
        <f>IFERROR(__xludf.DUMMYFUNCTION("IFERROR(A33 * (1 + AVERAGE(Filter('Inflation Data'!$C:$C,'Inflation Data'!$A:$A = B$1))) + 'Fund YTD Contributions'!B33,'Fund YTD Contributions'!B33)"),"  ")</f>
        <v/>
      </c>
      <c r="C33" s="170">
        <f>IFERROR(__xludf.DUMMYFUNCTION("IFERROR(B33 * (1 + AVERAGE(Filter('Inflation Data'!$C:$C,'Inflation Data'!$A:$A = C$1))) + 'Fund YTD Contributions'!C33,'Fund YTD Contributions'!C33)"),0.0)</f>
        <v>0</v>
      </c>
      <c r="D33" s="170">
        <f>IFERROR(__xludf.DUMMYFUNCTION("IFERROR(C33 * (1 + AVERAGE(Filter('Inflation Data'!$C:$C,'Inflation Data'!$A:$A = D$1))) + 'Fund YTD Contributions'!D33,'Fund YTD Contributions'!D33)"),250000.0)</f>
        <v>250000</v>
      </c>
      <c r="E33" s="170">
        <f>IFERROR(__xludf.DUMMYFUNCTION("IFERROR(D33 * (1 + AVERAGE(Filter('Inflation Data'!$C:$C,'Inflation Data'!$A:$A = E$1))) + 'Fund YTD Contributions'!E33,'Fund YTD Contributions'!E33)"),257383.89533333335)</f>
        <v>257383.8953</v>
      </c>
      <c r="F33" s="170">
        <f>IFERROR(__xludf.DUMMYFUNCTION("IFERROR(E33 * (1 + AVERAGE(Filter('Inflation Data'!$C:$C,'Inflation Data'!$A:$A = F$1))) + 'Fund YTD Contributions'!F33,'Fund YTD Contributions'!F33)"),264093.4446715059)</f>
        <v>264093.4447</v>
      </c>
      <c r="G33" s="170">
        <f>IFERROR(__xludf.DUMMYFUNCTION("IFERROR(F33 * (1 + AVERAGE(Filter('Inflation Data'!$C:$C,'Inflation Data'!$A:$A = G$1))) + 'Fund YTD Contributions'!G33,'Fund YTD Contributions'!G33)"),271505.0660992104)</f>
        <v>271505.0661</v>
      </c>
      <c r="H33" s="170">
        <f>IFERROR(__xludf.DUMMYFUNCTION("IFERROR(G33 * (1 + AVERAGE(Filter('Inflation Data'!$C:$C,'Inflation Data'!$A:$A = H$1))) + 'Fund YTD Contributions'!H33,'Fund YTD Contributions'!H33)"),279460.6459370249)</f>
        <v>279460.6459</v>
      </c>
      <c r="I33" s="170">
        <f>IFERROR(__xludf.DUMMYFUNCTION("IFERROR(H33 * (1 + AVERAGE(Filter('Inflation Data'!$C:$C,'Inflation Data'!$A:$A = I$1))) + 'Fund YTD Contributions'!I33,'Fund YTD Contributions'!I33)"),286002.837124701)</f>
        <v>286002.8371</v>
      </c>
      <c r="J33" s="170">
        <f>IFERROR(__xludf.DUMMYFUNCTION("IFERROR(I33 * (1 + AVERAGE(Filter('Inflation Data'!$C:$C,'Inflation Data'!$A:$A = J$1))) + 'Fund YTD Contributions'!J33,'Fund YTD Contributions'!J33)"),290442.30815588974)</f>
        <v>290442.3082</v>
      </c>
      <c r="K33" s="170">
        <f>IFERROR(__xludf.DUMMYFUNCTION("IFERROR(J33 * (1 + AVERAGE(Filter('Inflation Data'!$C:$C,'Inflation Data'!$A:$A = K$1))) + 'Fund YTD Contributions'!K33,'Fund YTD Contributions'!K33)"),300167.44032146764)</f>
        <v>300167.4403</v>
      </c>
      <c r="L33" s="170">
        <f>IFERROR(__xludf.DUMMYFUNCTION("IFERROR(K33 * (1 + AVERAGE(Filter('Inflation Data'!$C:$C,'Inflation Data'!$A:$A = L$1))) + 'Fund YTD Contributions'!L33,'Fund YTD Contributions'!L33)"),310301.21004695236)</f>
        <v>310301.21</v>
      </c>
      <c r="M33" s="170">
        <f>IFERROR(__xludf.DUMMYFUNCTION("IFERROR(L33 * (1 + AVERAGE(Filter('Inflation Data'!$C:$C,'Inflation Data'!$A:$A = M$1))) + 'Fund YTD Contributions'!M33,'Fund YTD Contributions'!M33)"),469088.05543986475)</f>
        <v>469088.0554</v>
      </c>
      <c r="N33" s="170">
        <f>IFERROR(__xludf.DUMMYFUNCTION("IFERROR(M33 * (1 + AVERAGE(Filter('Inflation Data'!$C:$C,'Inflation Data'!$A:$A = N$1))) + 'Fund YTD Contributions'!N33,'Fund YTD Contributions'!N33)"),578525.8800744084)</f>
        <v>578525.8801</v>
      </c>
      <c r="O33" s="170">
        <f>IFERROR(__xludf.DUMMYFUNCTION("IFERROR(N33 * (1 + AVERAGE(Filter('Inflation Data'!$C:$C,'Inflation Data'!$A:$A = O$1))) + 'Fund YTD Contributions'!O33,'Fund YTD Contributions'!O33)"),723671.5439186324)</f>
        <v>723671.5439</v>
      </c>
      <c r="P33" s="170">
        <f>IFERROR(__xludf.DUMMYFUNCTION("IFERROR(O33 * (1 + AVERAGE(Filter('Inflation Data'!$C:$C,'Inflation Data'!$A:$A = P$1))) + 'Fund YTD Contributions'!P33,'Fund YTD Contributions'!P33)"),1160035.9953450228)</f>
        <v>1160035.995</v>
      </c>
      <c r="Q33" s="170">
        <f>IFERROR(__xludf.DUMMYFUNCTION("IFERROR(P33 * (1 + AVERAGE(Filter('Inflation Data'!$C:$C,'Inflation Data'!$A:$A = Q$1))) + 'Fund YTD Contributions'!Q33,'Fund YTD Contributions'!Q33)"),1203865.1267452468)</f>
        <v>1203865.127</v>
      </c>
      <c r="R33" s="170">
        <f>IFERROR(__xludf.DUMMYFUNCTION("IFERROR(Q33 * (1 + AVERAGE(Filter('Inflation Data'!$C:$C,'Inflation Data'!$A:$A = R$1))) + 'Fund YTD Contributions'!R33,'Fund YTD Contributions'!R33)"),1246562.8130016332)</f>
        <v>1246562.813</v>
      </c>
      <c r="S33" s="170">
        <f>IFERROR(__xludf.DUMMYFUNCTION("IFERROR(R33 * (1 + AVERAGE(Filter('Inflation Data'!$C:$C,'Inflation Data'!$A:$A = S$1))) + 'Fund YTD Contributions'!S33,'Fund YTD Contributions'!S33)"),1285619.1812632417)</f>
        <v>1285619.181</v>
      </c>
      <c r="T33" s="170">
        <f>IFERROR(__xludf.DUMMYFUNCTION("IFERROR(S33 * (1 + AVERAGE(Filter('Inflation Data'!$C:$C,'Inflation Data'!$A:$A = T$1))) + 'Fund YTD Contributions'!T33,'Fund YTD Contributions'!T33)"),1335059.3754666115)</f>
        <v>1335059.375</v>
      </c>
      <c r="U33" s="170">
        <f>IFERROR(__xludf.DUMMYFUNCTION("IFERROR(T33 * (1 + AVERAGE(Filter('Inflation Data'!$C:$C,'Inflation Data'!$A:$A = U$1))) + 'Fund YTD Contributions'!U33,'Fund YTD Contributions'!U33)"),1330549.5448962853)</f>
        <v>1330549.545</v>
      </c>
      <c r="V33" s="170">
        <f>IFERROR(__xludf.DUMMYFUNCTION("IFERROR(U33 * (1 + AVERAGE(Filter('Inflation Data'!$C:$C,'Inflation Data'!$A:$A = V$1))) + 'Fund YTD Contributions'!V33,'Fund YTD Contributions'!V33)"),1352428.0307419342)</f>
        <v>1352428.031</v>
      </c>
      <c r="W33" s="170">
        <f>IFERROR(__xludf.DUMMYFUNCTION("IFERROR(V33 * (1 + AVERAGE(Filter('Inflation Data'!$C:$C,'Inflation Data'!$A:$A = W$1))) + 'Fund YTD Contributions'!W33,'Fund YTD Contributions'!W33)"),1395099.8592400032)</f>
        <v>1395099.859</v>
      </c>
      <c r="X33" s="170">
        <f>IFERROR(__xludf.DUMMYFUNCTION("IFERROR(W33 * (1 + AVERAGE(Filter('Inflation Data'!$C:$C,'Inflation Data'!$A:$A = X$1))) + 'Fund YTD Contributions'!X33,'Fund YTD Contributions'!X33)"),1424022.968028252)</f>
        <v>1424022.968</v>
      </c>
      <c r="Y33" s="170">
        <f>IFERROR(__xludf.DUMMYFUNCTION("IFERROR(X33 * (1 + AVERAGE(Filter('Inflation Data'!$C:$C,'Inflation Data'!$A:$A = Y$1))) + 'Fund YTD Contributions'!Y33,'Fund YTD Contributions'!Y33)"),1445399.793144671)</f>
        <v>1445399.793</v>
      </c>
      <c r="Z33" s="170">
        <f>IFERROR(__xludf.DUMMYFUNCTION("IFERROR(Y33 * (1 + AVERAGE(Filter('Inflation Data'!$C:$C,'Inflation Data'!$A:$A = Z$1))) + 'Fund YTD Contributions'!Z33,'Fund YTD Contributions'!Z33)"),1483842.8018893243)</f>
        <v>1483842.802</v>
      </c>
      <c r="AA33" s="170">
        <f>IFERROR(__xludf.DUMMYFUNCTION("IFERROR(Z33 * (1 + AVERAGE(Filter('Inflation Data'!$C:$C,'Inflation Data'!$A:$A = AA$1))) + 'Fund YTD Contributions'!AA33,'Fund YTD Contributions'!AA33)"),1490607.0844271316)</f>
        <v>1490607.084</v>
      </c>
      <c r="AB33" s="170">
        <f>IFERROR(__xludf.DUMMYFUNCTION("IFERROR(AA33 * (1 + AVERAGE(Filter('Inflation Data'!$C:$C,'Inflation Data'!$A:$A = AB$1))) + 'Fund YTD Contributions'!AB33,'Fund YTD Contributions'!AB33)"),1509416.2181254225)</f>
        <v>1509416.218</v>
      </c>
      <c r="AC33" s="170">
        <f>IFERROR(__xludf.DUMMYFUNCTION("IFERROR(AB33 * (1 + AVERAGE(Filter('Inflation Data'!$C:$C,'Inflation Data'!$A:$A = AC$1))) + 'Fund YTD Contributions'!AC33,'Fund YTD Contributions'!AC33)"),1541591.1595113545)</f>
        <v>1541591.16</v>
      </c>
      <c r="AD33" s="170">
        <f>IFERROR(__xludf.DUMMYFUNCTION("IFERROR(AC33 * (1 + AVERAGE(Filter('Inflation Data'!$C:$C,'Inflation Data'!$A:$A = AD$1))) + 'Fund YTD Contributions'!AD33,'Fund YTD Contributions'!AD33)"),1579247.3689743022)</f>
        <v>1579247.369</v>
      </c>
      <c r="AE33" s="170">
        <f>IFERROR(__xludf.DUMMYFUNCTION("IFERROR(AD33 * (1 + AVERAGE(Filter('Inflation Data'!$C:$C,'Inflation Data'!$A:$A = AE$1))) + 'Fund YTD Contributions'!AE33,'Fund YTD Contributions'!AE33)"),1606791.21626816)</f>
        <v>1606791.216</v>
      </c>
      <c r="AF33" s="170" t="str">
        <f>IFERROR(__xludf.DUMMYFUNCTION("IFERROR(AE33 * (1 + AVERAGE(Filter('Inflation Data'!$C:$C,'Inflation Data'!$A:$A = AF$1))) + 'Fund YTD Contributions'!AF33,'Fund YTD Contributions'!AF33)"),"")</f>
        <v/>
      </c>
    </row>
    <row r="34">
      <c r="A34" s="153" t="str">
        <f>'Endowed Funds'!B:B</f>
        <v>Sue Anschutz-Rodgers Research Fund</v>
      </c>
      <c r="B34" s="170" t="str">
        <f>IFERROR(__xludf.DUMMYFUNCTION("IFERROR(A34 * (1 + AVERAGE(Filter('Inflation Data'!$C:$C,'Inflation Data'!$A:$A = B$1))) + 'Fund YTD Contributions'!B34,'Fund YTD Contributions'!B34)"),"  ")</f>
        <v/>
      </c>
      <c r="C34" s="170">
        <f>IFERROR(__xludf.DUMMYFUNCTION("IFERROR(B34 * (1 + AVERAGE(Filter('Inflation Data'!$C:$C,'Inflation Data'!$A:$A = C$1))) + 'Fund YTD Contributions'!C34,'Fund YTD Contributions'!C34)"),0.0)</f>
        <v>0</v>
      </c>
      <c r="D34" s="170">
        <f>IFERROR(__xludf.DUMMYFUNCTION("IFERROR(C34 * (1 + AVERAGE(Filter('Inflation Data'!$C:$C,'Inflation Data'!$A:$A = D$1))) + 'Fund YTD Contributions'!D34,'Fund YTD Contributions'!D34)"),0.0)</f>
        <v>0</v>
      </c>
      <c r="E34" s="170">
        <f>IFERROR(__xludf.DUMMYFUNCTION("IFERROR(D34 * (1 + AVERAGE(Filter('Inflation Data'!$C:$C,'Inflation Data'!$A:$A = E$1))) + 'Fund YTD Contributions'!E34,'Fund YTD Contributions'!E34)"),0.0)</f>
        <v>0</v>
      </c>
      <c r="F34" s="170">
        <f>IFERROR(__xludf.DUMMYFUNCTION("IFERROR(E34 * (1 + AVERAGE(Filter('Inflation Data'!$C:$C,'Inflation Data'!$A:$A = F$1))) + 'Fund YTD Contributions'!F34,'Fund YTD Contributions'!F34)"),0.0)</f>
        <v>0</v>
      </c>
      <c r="G34" s="170">
        <f>IFERROR(__xludf.DUMMYFUNCTION("IFERROR(F34 * (1 + AVERAGE(Filter('Inflation Data'!$C:$C,'Inflation Data'!$A:$A = G$1))) + 'Fund YTD Contributions'!G34,'Fund YTD Contributions'!G34)"),0.0)</f>
        <v>0</v>
      </c>
      <c r="H34" s="170">
        <f>IFERROR(__xludf.DUMMYFUNCTION("IFERROR(G34 * (1 + AVERAGE(Filter('Inflation Data'!$C:$C,'Inflation Data'!$A:$A = H$1))) + 'Fund YTD Contributions'!H34,'Fund YTD Contributions'!H34)"),0.0)</f>
        <v>0</v>
      </c>
      <c r="I34" s="170">
        <f>IFERROR(__xludf.DUMMYFUNCTION("IFERROR(H34 * (1 + AVERAGE(Filter('Inflation Data'!$C:$C,'Inflation Data'!$A:$A = I$1))) + 'Fund YTD Contributions'!I34,'Fund YTD Contributions'!I34)"),0.0)</f>
        <v>0</v>
      </c>
      <c r="J34" s="170">
        <f>IFERROR(__xludf.DUMMYFUNCTION("IFERROR(I34 * (1 + AVERAGE(Filter('Inflation Data'!$C:$C,'Inflation Data'!$A:$A = J$1))) + 'Fund YTD Contributions'!J34,'Fund YTD Contributions'!J34)"),0.0)</f>
        <v>0</v>
      </c>
      <c r="K34" s="170">
        <f>IFERROR(__xludf.DUMMYFUNCTION("IFERROR(J34 * (1 + AVERAGE(Filter('Inflation Data'!$C:$C,'Inflation Data'!$A:$A = K$1))) + 'Fund YTD Contributions'!K34,'Fund YTD Contributions'!K34)"),0.0)</f>
        <v>0</v>
      </c>
      <c r="L34" s="170">
        <f>IFERROR(__xludf.DUMMYFUNCTION("IFERROR(K34 * (1 + AVERAGE(Filter('Inflation Data'!$C:$C,'Inflation Data'!$A:$A = L$1))) + 'Fund YTD Contributions'!L34,'Fund YTD Contributions'!L34)"),0.0)</f>
        <v>0</v>
      </c>
      <c r="M34" s="170">
        <f>IFERROR(__xludf.DUMMYFUNCTION("IFERROR(L34 * (1 + AVERAGE(Filter('Inflation Data'!$C:$C,'Inflation Data'!$A:$A = M$1))) + 'Fund YTD Contributions'!M34,'Fund YTD Contributions'!M34)"),0.0)</f>
        <v>0</v>
      </c>
      <c r="N34" s="170">
        <f>IFERROR(__xludf.DUMMYFUNCTION("IFERROR(M34 * (1 + AVERAGE(Filter('Inflation Data'!$C:$C,'Inflation Data'!$A:$A = N$1))) + 'Fund YTD Contributions'!N34,'Fund YTD Contributions'!N34)"),0.0)</f>
        <v>0</v>
      </c>
      <c r="O34" s="170">
        <f>IFERROR(__xludf.DUMMYFUNCTION("IFERROR(N34 * (1 + AVERAGE(Filter('Inflation Data'!$C:$C,'Inflation Data'!$A:$A = O$1))) + 'Fund YTD Contributions'!O34,'Fund YTD Contributions'!O34)"),0.0)</f>
        <v>0</v>
      </c>
      <c r="P34" s="170">
        <f>IFERROR(__xludf.DUMMYFUNCTION("IFERROR(O34 * (1 + AVERAGE(Filter('Inflation Data'!$C:$C,'Inflation Data'!$A:$A = P$1))) + 'Fund YTD Contributions'!P34,'Fund YTD Contributions'!P34)"),0.0)</f>
        <v>0</v>
      </c>
      <c r="Q34" s="170">
        <f>IFERROR(__xludf.DUMMYFUNCTION("IFERROR(P34 * (1 + AVERAGE(Filter('Inflation Data'!$C:$C,'Inflation Data'!$A:$A = Q$1))) + 'Fund YTD Contributions'!Q34,'Fund YTD Contributions'!Q34)"),0.0)</f>
        <v>0</v>
      </c>
      <c r="R34" s="170">
        <f>IFERROR(__xludf.DUMMYFUNCTION("IFERROR(Q34 * (1 + AVERAGE(Filter('Inflation Data'!$C:$C,'Inflation Data'!$A:$A = R$1))) + 'Fund YTD Contributions'!R34,'Fund YTD Contributions'!R34)"),0.0)</f>
        <v>0</v>
      </c>
      <c r="S34" s="170">
        <f>IFERROR(__xludf.DUMMYFUNCTION("IFERROR(R34 * (1 + AVERAGE(Filter('Inflation Data'!$C:$C,'Inflation Data'!$A:$A = S$1))) + 'Fund YTD Contributions'!S34,'Fund YTD Contributions'!S34)"),0.0)</f>
        <v>0</v>
      </c>
      <c r="T34" s="170">
        <f>IFERROR(__xludf.DUMMYFUNCTION("IFERROR(S34 * (1 + AVERAGE(Filter('Inflation Data'!$C:$C,'Inflation Data'!$A:$A = T$1))) + 'Fund YTD Contributions'!T34,'Fund YTD Contributions'!T34)"),0.0)</f>
        <v>0</v>
      </c>
      <c r="U34" s="170">
        <f>IFERROR(__xludf.DUMMYFUNCTION("IFERROR(T34 * (1 + AVERAGE(Filter('Inflation Data'!$C:$C,'Inflation Data'!$A:$A = U$1))) + 'Fund YTD Contributions'!U34,'Fund YTD Contributions'!U34)"),0.0)</f>
        <v>0</v>
      </c>
      <c r="V34" s="170">
        <f>IFERROR(__xludf.DUMMYFUNCTION("IFERROR(U34 * (1 + AVERAGE(Filter('Inflation Data'!$C:$C,'Inflation Data'!$A:$A = V$1))) + 'Fund YTD Contributions'!V34,'Fund YTD Contributions'!V34)"),0.0)</f>
        <v>0</v>
      </c>
      <c r="W34" s="170">
        <f>IFERROR(__xludf.DUMMYFUNCTION("IFERROR(V34 * (1 + AVERAGE(Filter('Inflation Data'!$C:$C,'Inflation Data'!$A:$A = W$1))) + 'Fund YTD Contributions'!W34,'Fund YTD Contributions'!W34)"),0.0)</f>
        <v>0</v>
      </c>
      <c r="X34" s="170">
        <f>IFERROR(__xludf.DUMMYFUNCTION("IFERROR(W34 * (1 + AVERAGE(Filter('Inflation Data'!$C:$C,'Inflation Data'!$A:$A = X$1))) + 'Fund YTD Contributions'!X34,'Fund YTD Contributions'!X34)"),0.0)</f>
        <v>0</v>
      </c>
      <c r="Y34" s="170">
        <f>IFERROR(__xludf.DUMMYFUNCTION("IFERROR(X34 * (1 + AVERAGE(Filter('Inflation Data'!$C:$C,'Inflation Data'!$A:$A = Y$1))) + 'Fund YTD Contributions'!Y34,'Fund YTD Contributions'!Y34)"),0.0)</f>
        <v>0</v>
      </c>
      <c r="Z34" s="170">
        <f>IFERROR(__xludf.DUMMYFUNCTION("IFERROR(Y34 * (1 + AVERAGE(Filter('Inflation Data'!$C:$C,'Inflation Data'!$A:$A = Z$1))) + 'Fund YTD Contributions'!Z34,'Fund YTD Contributions'!Z34)"),1000000.0)</f>
        <v>1000000</v>
      </c>
      <c r="AA34" s="170">
        <f>IFERROR(__xludf.DUMMYFUNCTION("IFERROR(Z34 * (1 + AVERAGE(Filter('Inflation Data'!$C:$C,'Inflation Data'!$A:$A = AA$1))) + 'Fund YTD Contributions'!AA34,'Fund YTD Contributions'!AA34)"),1001188.9955833333)</f>
        <v>1001188.996</v>
      </c>
      <c r="AB34" s="170">
        <f>IFERROR(__xludf.DUMMYFUNCTION("IFERROR(AA34 * (1 + AVERAGE(Filter('Inflation Data'!$C:$C,'Inflation Data'!$A:$A = AB$1))) + 'Fund YTD Contributions'!AB34,'Fund YTD Contributions'!AB34)"),1013822.4372675461)</f>
        <v>1013822.437</v>
      </c>
      <c r="AC34" s="170">
        <f>IFERROR(__xludf.DUMMYFUNCTION("IFERROR(AB34 * (1 + AVERAGE(Filter('Inflation Data'!$C:$C,'Inflation Data'!$A:$A = AC$1))) + 'Fund YTD Contributions'!AC34,'Fund YTD Contributions'!AC34)"),1035433.2276533399)</f>
        <v>1035433.228</v>
      </c>
      <c r="AD34" s="170">
        <f>IFERROR(__xludf.DUMMYFUNCTION("IFERROR(AC34 * (1 + AVERAGE(Filter('Inflation Data'!$C:$C,'Inflation Data'!$A:$A = AD$1))) + 'Fund YTD Contributions'!AD34,'Fund YTD Contributions'!AD34)"),1060725.5953896528)</f>
        <v>1060725.595</v>
      </c>
      <c r="AE34" s="170">
        <f>IFERROR(__xludf.DUMMYFUNCTION("IFERROR(AD34 * (1 + AVERAGE(Filter('Inflation Data'!$C:$C,'Inflation Data'!$A:$A = AE$1))) + 'Fund YTD Contributions'!AE34,'Fund YTD Contributions'!AE34)"),1079225.8407559467)</f>
        <v>1079225.841</v>
      </c>
      <c r="AF34" s="170" t="str">
        <f>IFERROR(__xludf.DUMMYFUNCTION("IFERROR(AE34 * (1 + AVERAGE(Filter('Inflation Data'!$C:$C,'Inflation Data'!$A:$A = AF$1))) + 'Fund YTD Contributions'!AF34,'Fund YTD Contributions'!AF34)"),"")</f>
        <v/>
      </c>
    </row>
    <row r="35">
      <c r="A35" s="153" t="str">
        <f>'Endowed Funds'!B:B</f>
        <v>William D. Lipe Advances in Research</v>
      </c>
      <c r="B35" s="170" t="str">
        <f>IFERROR(__xludf.DUMMYFUNCTION("IFERROR(A35 * (1 + AVERAGE(Filter('Inflation Data'!$C:$C,'Inflation Data'!$A:$A = B$1))) + 'Fund YTD Contributions'!B35,'Fund YTD Contributions'!B35)"),"  ")</f>
        <v/>
      </c>
      <c r="C35" s="170">
        <f>IFERROR(__xludf.DUMMYFUNCTION("IFERROR(B35 * (1 + AVERAGE(Filter('Inflation Data'!$C:$C,'Inflation Data'!$A:$A = C$1))) + 'Fund YTD Contributions'!C35,'Fund YTD Contributions'!C35)"),0.0)</f>
        <v>0</v>
      </c>
      <c r="D35" s="170">
        <f>IFERROR(__xludf.DUMMYFUNCTION("IFERROR(C35 * (1 + AVERAGE(Filter('Inflation Data'!$C:$C,'Inflation Data'!$A:$A = D$1))) + 'Fund YTD Contributions'!D35,'Fund YTD Contributions'!D35)"),0.0)</f>
        <v>0</v>
      </c>
      <c r="E35" s="170">
        <f>IFERROR(__xludf.DUMMYFUNCTION("IFERROR(D35 * (1 + AVERAGE(Filter('Inflation Data'!$C:$C,'Inflation Data'!$A:$A = E$1))) + 'Fund YTD Contributions'!E35,'Fund YTD Contributions'!E35)"),0.0)</f>
        <v>0</v>
      </c>
      <c r="F35" s="170">
        <f>IFERROR(__xludf.DUMMYFUNCTION("IFERROR(E35 * (1 + AVERAGE(Filter('Inflation Data'!$C:$C,'Inflation Data'!$A:$A = F$1))) + 'Fund YTD Contributions'!F35,'Fund YTD Contributions'!F35)"),0.0)</f>
        <v>0</v>
      </c>
      <c r="G35" s="170">
        <f>IFERROR(__xludf.DUMMYFUNCTION("IFERROR(F35 * (1 + AVERAGE(Filter('Inflation Data'!$C:$C,'Inflation Data'!$A:$A = G$1))) + 'Fund YTD Contributions'!G35,'Fund YTD Contributions'!G35)"),0.0)</f>
        <v>0</v>
      </c>
      <c r="H35" s="170">
        <f>IFERROR(__xludf.DUMMYFUNCTION("IFERROR(G35 * (1 + AVERAGE(Filter('Inflation Data'!$C:$C,'Inflation Data'!$A:$A = H$1))) + 'Fund YTD Contributions'!H35,'Fund YTD Contributions'!H35)"),0.0)</f>
        <v>0</v>
      </c>
      <c r="I35" s="170">
        <f>IFERROR(__xludf.DUMMYFUNCTION("IFERROR(H35 * (1 + AVERAGE(Filter('Inflation Data'!$C:$C,'Inflation Data'!$A:$A = I$1))) + 'Fund YTD Contributions'!I35,'Fund YTD Contributions'!I35)"),0.0)</f>
        <v>0</v>
      </c>
      <c r="J35" s="170">
        <f>IFERROR(__xludf.DUMMYFUNCTION("IFERROR(I35 * (1 + AVERAGE(Filter('Inflation Data'!$C:$C,'Inflation Data'!$A:$A = J$1))) + 'Fund YTD Contributions'!J35,'Fund YTD Contributions'!J35)"),0.0)</f>
        <v>0</v>
      </c>
      <c r="K35" s="170">
        <f>IFERROR(__xludf.DUMMYFUNCTION("IFERROR(J35 * (1 + AVERAGE(Filter('Inflation Data'!$C:$C,'Inflation Data'!$A:$A = K$1))) + 'Fund YTD Contributions'!K35,'Fund YTD Contributions'!K35)"),0.0)</f>
        <v>0</v>
      </c>
      <c r="L35" s="170">
        <f>IFERROR(__xludf.DUMMYFUNCTION("IFERROR(K35 * (1 + AVERAGE(Filter('Inflation Data'!$C:$C,'Inflation Data'!$A:$A = L$1))) + 'Fund YTD Contributions'!L35,'Fund YTD Contributions'!L35)"),0.0)</f>
        <v>0</v>
      </c>
      <c r="M35" s="170">
        <f>IFERROR(__xludf.DUMMYFUNCTION("IFERROR(L35 * (1 + AVERAGE(Filter('Inflation Data'!$C:$C,'Inflation Data'!$A:$A = M$1))) + 'Fund YTD Contributions'!M35,'Fund YTD Contributions'!M35)"),0.0)</f>
        <v>0</v>
      </c>
      <c r="N35" s="170">
        <f>IFERROR(__xludf.DUMMYFUNCTION("IFERROR(M35 * (1 + AVERAGE(Filter('Inflation Data'!$C:$C,'Inflation Data'!$A:$A = N$1))) + 'Fund YTD Contributions'!N35,'Fund YTD Contributions'!N35)"),0.0)</f>
        <v>0</v>
      </c>
      <c r="O35" s="170">
        <f>IFERROR(__xludf.DUMMYFUNCTION("IFERROR(N35 * (1 + AVERAGE(Filter('Inflation Data'!$C:$C,'Inflation Data'!$A:$A = O$1))) + 'Fund YTD Contributions'!O35,'Fund YTD Contributions'!O35)"),0.0)</f>
        <v>0</v>
      </c>
      <c r="P35" s="170">
        <f>IFERROR(__xludf.DUMMYFUNCTION("IFERROR(O35 * (1 + AVERAGE(Filter('Inflation Data'!$C:$C,'Inflation Data'!$A:$A = P$1))) + 'Fund YTD Contributions'!P35,'Fund YTD Contributions'!P35)"),0.0)</f>
        <v>0</v>
      </c>
      <c r="Q35" s="170">
        <f>IFERROR(__xludf.DUMMYFUNCTION("IFERROR(P35 * (1 + AVERAGE(Filter('Inflation Data'!$C:$C,'Inflation Data'!$A:$A = Q$1))) + 'Fund YTD Contributions'!Q35,'Fund YTD Contributions'!Q35)"),0.0)</f>
        <v>0</v>
      </c>
      <c r="R35" s="170">
        <f>IFERROR(__xludf.DUMMYFUNCTION("IFERROR(Q35 * (1 + AVERAGE(Filter('Inflation Data'!$C:$C,'Inflation Data'!$A:$A = R$1))) + 'Fund YTD Contributions'!R35,'Fund YTD Contributions'!R35)"),0.0)</f>
        <v>0</v>
      </c>
      <c r="S35" s="170">
        <f>IFERROR(__xludf.DUMMYFUNCTION("IFERROR(R35 * (1 + AVERAGE(Filter('Inflation Data'!$C:$C,'Inflation Data'!$A:$A = S$1))) + 'Fund YTD Contributions'!S35,'Fund YTD Contributions'!S35)"),0.0)</f>
        <v>0</v>
      </c>
      <c r="T35" s="170">
        <f>IFERROR(__xludf.DUMMYFUNCTION("IFERROR(S35 * (1 + AVERAGE(Filter('Inflation Data'!$C:$C,'Inflation Data'!$A:$A = T$1))) + 'Fund YTD Contributions'!T35,'Fund YTD Contributions'!T35)"),0.0)</f>
        <v>0</v>
      </c>
      <c r="U35" s="170">
        <f>IFERROR(__xludf.DUMMYFUNCTION("IFERROR(T35 * (1 + AVERAGE(Filter('Inflation Data'!$C:$C,'Inflation Data'!$A:$A = U$1))) + 'Fund YTD Contributions'!U35,'Fund YTD Contributions'!U35)"),0.0)</f>
        <v>0</v>
      </c>
      <c r="V35" s="170">
        <f>IFERROR(__xludf.DUMMYFUNCTION("IFERROR(U35 * (1 + AVERAGE(Filter('Inflation Data'!$C:$C,'Inflation Data'!$A:$A = V$1))) + 'Fund YTD Contributions'!V35,'Fund YTD Contributions'!V35)"),0.0)</f>
        <v>0</v>
      </c>
      <c r="W35" s="170">
        <f>IFERROR(__xludf.DUMMYFUNCTION("IFERROR(V35 * (1 + AVERAGE(Filter('Inflation Data'!$C:$C,'Inflation Data'!$A:$A = W$1))) + 'Fund YTD Contributions'!W35,'Fund YTD Contributions'!W35)"),0.0)</f>
        <v>0</v>
      </c>
      <c r="X35" s="170">
        <f>IFERROR(__xludf.DUMMYFUNCTION("IFERROR(W35 * (1 + AVERAGE(Filter('Inflation Data'!$C:$C,'Inflation Data'!$A:$A = X$1))) + 'Fund YTD Contributions'!X35,'Fund YTD Contributions'!X35)"),0.0)</f>
        <v>0</v>
      </c>
      <c r="Y35" s="170">
        <f>IFERROR(__xludf.DUMMYFUNCTION("IFERROR(X35 * (1 + AVERAGE(Filter('Inflation Data'!$C:$C,'Inflation Data'!$A:$A = Y$1))) + 'Fund YTD Contributions'!Y35,'Fund YTD Contributions'!Y35)"),0.0)</f>
        <v>0</v>
      </c>
      <c r="Z35" s="170">
        <f>IFERROR(__xludf.DUMMYFUNCTION("IFERROR(Y35 * (1 + AVERAGE(Filter('Inflation Data'!$C:$C,'Inflation Data'!$A:$A = Z$1))) + 'Fund YTD Contributions'!Z35,'Fund YTD Contributions'!Z35)"),0.0)</f>
        <v>0</v>
      </c>
      <c r="AA35" s="170">
        <f>IFERROR(__xludf.DUMMYFUNCTION("IFERROR(Z35 * (1 + AVERAGE(Filter('Inflation Data'!$C:$C,'Inflation Data'!$A:$A = AA$1))) + 'Fund YTD Contributions'!AA35,'Fund YTD Contributions'!AA35)"),0.0)</f>
        <v>0</v>
      </c>
      <c r="AB35" s="170">
        <f>IFERROR(__xludf.DUMMYFUNCTION("IFERROR(AA35 * (1 + AVERAGE(Filter('Inflation Data'!$C:$C,'Inflation Data'!$A:$A = AB$1))) + 'Fund YTD Contributions'!AB35,'Fund YTD Contributions'!AB35)"),0.0)</f>
        <v>0</v>
      </c>
      <c r="AC35" s="170">
        <f>IFERROR(__xludf.DUMMYFUNCTION("IFERROR(AB35 * (1 + AVERAGE(Filter('Inflation Data'!$C:$C,'Inflation Data'!$A:$A = AC$1))) + 'Fund YTD Contributions'!AC35,'Fund YTD Contributions'!AC35)"),2000000.0)</f>
        <v>2000000</v>
      </c>
      <c r="AD35" s="170">
        <f>IFERROR(__xludf.DUMMYFUNCTION("IFERROR(AC35 * (1 + AVERAGE(Filter('Inflation Data'!$C:$C,'Inflation Data'!$A:$A = AD$1))) + 'Fund YTD Contributions'!AD35,'Fund YTD Contributions'!AD35)"),2048853.6915000002)</f>
        <v>2048853.692</v>
      </c>
      <c r="AE35" s="170">
        <f>IFERROR(__xludf.DUMMYFUNCTION("IFERROR(AD35 * (1 + AVERAGE(Filter('Inflation Data'!$C:$C,'Inflation Data'!$A:$A = AE$1))) + 'Fund YTD Contributions'!AE35,'Fund YTD Contributions'!AE35)"),2084588.000332685)</f>
        <v>2084588</v>
      </c>
      <c r="AF35" s="170" t="str">
        <f>IFERROR(__xludf.DUMMYFUNCTION("IFERROR(AE35 * (1 + AVERAGE(Filter('Inflation Data'!$C:$C,'Inflation Data'!$A:$A = AF$1))) + 'Fund YTD Contributions'!AF35,'Fund YTD Contributions'!AF35)"),"")</f>
        <v/>
      </c>
    </row>
    <row r="36">
      <c r="A36" s="153" t="str">
        <f>'Endowed Funds'!B:B</f>
        <v>William D. Lipe Chair in Research</v>
      </c>
      <c r="B36" s="170" t="str">
        <f>IFERROR(__xludf.DUMMYFUNCTION("IFERROR(A36 * (1 + AVERAGE(Filter('Inflation Data'!$C:$C,'Inflation Data'!$A:$A = B$1))) + 'Fund YTD Contributions'!B36,'Fund YTD Contributions'!B36)"),"  ")</f>
        <v/>
      </c>
      <c r="C36" s="170">
        <f>IFERROR(__xludf.DUMMYFUNCTION("IFERROR(B36 * (1 + AVERAGE(Filter('Inflation Data'!$C:$C,'Inflation Data'!$A:$A = C$1))) + 'Fund YTD Contributions'!C36,'Fund YTD Contributions'!C36)"),0.0)</f>
        <v>0</v>
      </c>
      <c r="D36" s="170">
        <f>IFERROR(__xludf.DUMMYFUNCTION("IFERROR(C36 * (1 + AVERAGE(Filter('Inflation Data'!$C:$C,'Inflation Data'!$A:$A = D$1))) + 'Fund YTD Contributions'!D36,'Fund YTD Contributions'!D36)"),0.0)</f>
        <v>0</v>
      </c>
      <c r="E36" s="170">
        <f>IFERROR(__xludf.DUMMYFUNCTION("IFERROR(D36 * (1 + AVERAGE(Filter('Inflation Data'!$C:$C,'Inflation Data'!$A:$A = E$1))) + 'Fund YTD Contributions'!E36,'Fund YTD Contributions'!E36)"),0.0)</f>
        <v>0</v>
      </c>
      <c r="F36" s="170">
        <f>IFERROR(__xludf.DUMMYFUNCTION("IFERROR(E36 * (1 + AVERAGE(Filter('Inflation Data'!$C:$C,'Inflation Data'!$A:$A = F$1))) + 'Fund YTD Contributions'!F36,'Fund YTD Contributions'!F36)"),0.0)</f>
        <v>0</v>
      </c>
      <c r="G36" s="170">
        <f>IFERROR(__xludf.DUMMYFUNCTION("IFERROR(F36 * (1 + AVERAGE(Filter('Inflation Data'!$C:$C,'Inflation Data'!$A:$A = G$1))) + 'Fund YTD Contributions'!G36,'Fund YTD Contributions'!G36)"),0.0)</f>
        <v>0</v>
      </c>
      <c r="H36" s="170">
        <f>IFERROR(__xludf.DUMMYFUNCTION("IFERROR(G36 * (1 + AVERAGE(Filter('Inflation Data'!$C:$C,'Inflation Data'!$A:$A = H$1))) + 'Fund YTD Contributions'!H36,'Fund YTD Contributions'!H36)"),0.0)</f>
        <v>0</v>
      </c>
      <c r="I36" s="170">
        <f>IFERROR(__xludf.DUMMYFUNCTION("IFERROR(H36 * (1 + AVERAGE(Filter('Inflation Data'!$C:$C,'Inflation Data'!$A:$A = I$1))) + 'Fund YTD Contributions'!I36,'Fund YTD Contributions'!I36)"),0.0)</f>
        <v>0</v>
      </c>
      <c r="J36" s="170">
        <f>IFERROR(__xludf.DUMMYFUNCTION("IFERROR(I36 * (1 + AVERAGE(Filter('Inflation Data'!$C:$C,'Inflation Data'!$A:$A = J$1))) + 'Fund YTD Contributions'!J36,'Fund YTD Contributions'!J36)"),0.0)</f>
        <v>0</v>
      </c>
      <c r="K36" s="170">
        <f>IFERROR(__xludf.DUMMYFUNCTION("IFERROR(J36 * (1 + AVERAGE(Filter('Inflation Data'!$C:$C,'Inflation Data'!$A:$A = K$1))) + 'Fund YTD Contributions'!K36,'Fund YTD Contributions'!K36)"),0.0)</f>
        <v>0</v>
      </c>
      <c r="L36" s="170">
        <f>IFERROR(__xludf.DUMMYFUNCTION("IFERROR(K36 * (1 + AVERAGE(Filter('Inflation Data'!$C:$C,'Inflation Data'!$A:$A = L$1))) + 'Fund YTD Contributions'!L36,'Fund YTD Contributions'!L36)"),0.0)</f>
        <v>0</v>
      </c>
      <c r="M36" s="170">
        <f>IFERROR(__xludf.DUMMYFUNCTION("IFERROR(L36 * (1 + AVERAGE(Filter('Inflation Data'!$C:$C,'Inflation Data'!$A:$A = M$1))) + 'Fund YTD Contributions'!M36,'Fund YTD Contributions'!M36)"),0.0)</f>
        <v>0</v>
      </c>
      <c r="N36" s="170">
        <f>IFERROR(__xludf.DUMMYFUNCTION("IFERROR(M36 * (1 + AVERAGE(Filter('Inflation Data'!$C:$C,'Inflation Data'!$A:$A = N$1))) + 'Fund YTD Contributions'!N36,'Fund YTD Contributions'!N36)"),0.0)</f>
        <v>0</v>
      </c>
      <c r="O36" s="170">
        <f>IFERROR(__xludf.DUMMYFUNCTION("IFERROR(N36 * (1 + AVERAGE(Filter('Inflation Data'!$C:$C,'Inflation Data'!$A:$A = O$1))) + 'Fund YTD Contributions'!O36,'Fund YTD Contributions'!O36)"),0.0)</f>
        <v>0</v>
      </c>
      <c r="P36" s="170">
        <f>IFERROR(__xludf.DUMMYFUNCTION("IFERROR(O36 * (1 + AVERAGE(Filter('Inflation Data'!$C:$C,'Inflation Data'!$A:$A = P$1))) + 'Fund YTD Contributions'!P36,'Fund YTD Contributions'!P36)"),0.0)</f>
        <v>0</v>
      </c>
      <c r="Q36" s="170">
        <f>IFERROR(__xludf.DUMMYFUNCTION("IFERROR(P36 * (1 + AVERAGE(Filter('Inflation Data'!$C:$C,'Inflation Data'!$A:$A = Q$1))) + 'Fund YTD Contributions'!Q36,'Fund YTD Contributions'!Q36)"),0.0)</f>
        <v>0</v>
      </c>
      <c r="R36" s="170">
        <f>IFERROR(__xludf.DUMMYFUNCTION("IFERROR(Q36 * (1 + AVERAGE(Filter('Inflation Data'!$C:$C,'Inflation Data'!$A:$A = R$1))) + 'Fund YTD Contributions'!R36,'Fund YTD Contributions'!R36)"),0.0)</f>
        <v>0</v>
      </c>
      <c r="S36" s="170">
        <f>IFERROR(__xludf.DUMMYFUNCTION("IFERROR(R36 * (1 + AVERAGE(Filter('Inflation Data'!$C:$C,'Inflation Data'!$A:$A = S$1))) + 'Fund YTD Contributions'!S36,'Fund YTD Contributions'!S36)"),0.0)</f>
        <v>0</v>
      </c>
      <c r="T36" s="170">
        <f>IFERROR(__xludf.DUMMYFUNCTION("IFERROR(S36 * (1 + AVERAGE(Filter('Inflation Data'!$C:$C,'Inflation Data'!$A:$A = T$1))) + 'Fund YTD Contributions'!T36,'Fund YTD Contributions'!T36)"),0.0)</f>
        <v>0</v>
      </c>
      <c r="U36" s="170">
        <f>IFERROR(__xludf.DUMMYFUNCTION("IFERROR(T36 * (1 + AVERAGE(Filter('Inflation Data'!$C:$C,'Inflation Data'!$A:$A = U$1))) + 'Fund YTD Contributions'!U36,'Fund YTD Contributions'!U36)"),0.0)</f>
        <v>0</v>
      </c>
      <c r="V36" s="170">
        <f>IFERROR(__xludf.DUMMYFUNCTION("IFERROR(U36 * (1 + AVERAGE(Filter('Inflation Data'!$C:$C,'Inflation Data'!$A:$A = V$1))) + 'Fund YTD Contributions'!V36,'Fund YTD Contributions'!V36)"),0.0)</f>
        <v>0</v>
      </c>
      <c r="W36" s="170">
        <f>IFERROR(__xludf.DUMMYFUNCTION("IFERROR(V36 * (1 + AVERAGE(Filter('Inflation Data'!$C:$C,'Inflation Data'!$A:$A = W$1))) + 'Fund YTD Contributions'!W36,'Fund YTD Contributions'!W36)"),0.0)</f>
        <v>0</v>
      </c>
      <c r="X36" s="170">
        <f>IFERROR(__xludf.DUMMYFUNCTION("IFERROR(W36 * (1 + AVERAGE(Filter('Inflation Data'!$C:$C,'Inflation Data'!$A:$A = X$1))) + 'Fund YTD Contributions'!X36,'Fund YTD Contributions'!X36)"),0.0)</f>
        <v>0</v>
      </c>
      <c r="Y36" s="170">
        <f>IFERROR(__xludf.DUMMYFUNCTION("IFERROR(X36 * (1 + AVERAGE(Filter('Inflation Data'!$C:$C,'Inflation Data'!$A:$A = Y$1))) + 'Fund YTD Contributions'!Y36,'Fund YTD Contributions'!Y36)"),0.0)</f>
        <v>0</v>
      </c>
      <c r="Z36" s="170">
        <f>IFERROR(__xludf.DUMMYFUNCTION("IFERROR(Y36 * (1 + AVERAGE(Filter('Inflation Data'!$C:$C,'Inflation Data'!$A:$A = Z$1))) + 'Fund YTD Contributions'!Z36,'Fund YTD Contributions'!Z36)"),0.0)</f>
        <v>0</v>
      </c>
      <c r="AA36" s="170">
        <f>IFERROR(__xludf.DUMMYFUNCTION("IFERROR(Z36 * (1 + AVERAGE(Filter('Inflation Data'!$C:$C,'Inflation Data'!$A:$A = AA$1))) + 'Fund YTD Contributions'!AA36,'Fund YTD Contributions'!AA36)"),0.0)</f>
        <v>0</v>
      </c>
      <c r="AB36" s="170">
        <f>IFERROR(__xludf.DUMMYFUNCTION("IFERROR(AA36 * (1 + AVERAGE(Filter('Inflation Data'!$C:$C,'Inflation Data'!$A:$A = AB$1))) + 'Fund YTD Contributions'!AB36,'Fund YTD Contributions'!AB36)"),0.0)</f>
        <v>0</v>
      </c>
      <c r="AC36" s="170">
        <f>IFERROR(__xludf.DUMMYFUNCTION("IFERROR(AB36 * (1 + AVERAGE(Filter('Inflation Data'!$C:$C,'Inflation Data'!$A:$A = AC$1))) + 'Fund YTD Contributions'!AC36,'Fund YTD Contributions'!AC36)"),2000000.0)</f>
        <v>2000000</v>
      </c>
      <c r="AD36" s="170">
        <f>IFERROR(__xludf.DUMMYFUNCTION("IFERROR(AC36 * (1 + AVERAGE(Filter('Inflation Data'!$C:$C,'Inflation Data'!$A:$A = AD$1))) + 'Fund YTD Contributions'!AD36,'Fund YTD Contributions'!AD36)"),2048853.6915000002)</f>
        <v>2048853.692</v>
      </c>
      <c r="AE36" s="170">
        <f>IFERROR(__xludf.DUMMYFUNCTION("IFERROR(AD36 * (1 + AVERAGE(Filter('Inflation Data'!$C:$C,'Inflation Data'!$A:$A = AE$1))) + 'Fund YTD Contributions'!AE36,'Fund YTD Contributions'!AE36)"),2084588.000332685)</f>
        <v>2084588</v>
      </c>
      <c r="AF36" s="170" t="str">
        <f>IFERROR(__xludf.DUMMYFUNCTION("IFERROR(AE36 * (1 + AVERAGE(Filter('Inflation Data'!$C:$C,'Inflation Data'!$A:$A = AF$1))) + 'Fund YTD Contributions'!AF36,'Fund YTD Contributions'!AF36)"),"")</f>
        <v/>
      </c>
    </row>
    <row r="37">
      <c r="A37" s="145" t="str">
        <f>'Endowed Funds'!B:B</f>
        <v/>
      </c>
      <c r="B37" s="170">
        <f>IFERROR(__xludf.DUMMYFUNCTION("IFERROR(A37 * (1 + AVERAGE(Filter('Inflation Data'!$C:$C,'Inflation Data'!$A:$A = B$1))) + 'Fund YTD Contributions'!B37,'Fund YTD Contributions'!B37)"),0.0)</f>
        <v>0</v>
      </c>
      <c r="C37" s="170">
        <f>IFERROR(__xludf.DUMMYFUNCTION("IFERROR(B37 * (1 + AVERAGE(Filter('Inflation Data'!$C:$C,'Inflation Data'!$A:$A = C$1))) + 'Fund YTD Contributions'!C37,'Fund YTD Contributions'!C37)"),0.0)</f>
        <v>0</v>
      </c>
      <c r="D37" s="170">
        <f>IFERROR(__xludf.DUMMYFUNCTION("IFERROR(C37 * (1 + AVERAGE(Filter('Inflation Data'!$C:$C,'Inflation Data'!$A:$A = D$1))) + 'Fund YTD Contributions'!D37,'Fund YTD Contributions'!D37)"),0.0)</f>
        <v>0</v>
      </c>
      <c r="E37" s="170">
        <f>IFERROR(__xludf.DUMMYFUNCTION("IFERROR(D37 * (1 + AVERAGE(Filter('Inflation Data'!$C:$C,'Inflation Data'!$A:$A = E$1))) + 'Fund YTD Contributions'!E37,'Fund YTD Contributions'!E37)"),0.0)</f>
        <v>0</v>
      </c>
      <c r="F37" s="170">
        <f>IFERROR(__xludf.DUMMYFUNCTION("IFERROR(E37 * (1 + AVERAGE(Filter('Inflation Data'!$C:$C,'Inflation Data'!$A:$A = F$1))) + 'Fund YTD Contributions'!F37,'Fund YTD Contributions'!F37)"),0.0)</f>
        <v>0</v>
      </c>
      <c r="G37" s="170">
        <f>IFERROR(__xludf.DUMMYFUNCTION("IFERROR(F37 * (1 + AVERAGE(Filter('Inflation Data'!$C:$C,'Inflation Data'!$A:$A = G$1))) + 'Fund YTD Contributions'!G37,'Fund YTD Contributions'!G37)"),0.0)</f>
        <v>0</v>
      </c>
      <c r="H37" s="170">
        <f>IFERROR(__xludf.DUMMYFUNCTION("IFERROR(G37 * (1 + AVERAGE(Filter('Inflation Data'!$C:$C,'Inflation Data'!$A:$A = H$1))) + 'Fund YTD Contributions'!H37,'Fund YTD Contributions'!H37)"),0.0)</f>
        <v>0</v>
      </c>
      <c r="I37" s="170">
        <f>IFERROR(__xludf.DUMMYFUNCTION("IFERROR(H37 * (1 + AVERAGE(Filter('Inflation Data'!$C:$C,'Inflation Data'!$A:$A = I$1))) + 'Fund YTD Contributions'!I37,'Fund YTD Contributions'!I37)"),0.0)</f>
        <v>0</v>
      </c>
      <c r="J37" s="170">
        <f>IFERROR(__xludf.DUMMYFUNCTION("IFERROR(I37 * (1 + AVERAGE(Filter('Inflation Data'!$C:$C,'Inflation Data'!$A:$A = J$1))) + 'Fund YTD Contributions'!J37,'Fund YTD Contributions'!J37)"),0.0)</f>
        <v>0</v>
      </c>
      <c r="K37" s="170">
        <f>IFERROR(__xludf.DUMMYFUNCTION("IFERROR(J37 * (1 + AVERAGE(Filter('Inflation Data'!$C:$C,'Inflation Data'!$A:$A = K$1))) + 'Fund YTD Contributions'!K37,'Fund YTD Contributions'!K37)"),0.0)</f>
        <v>0</v>
      </c>
      <c r="L37" s="170">
        <f>IFERROR(__xludf.DUMMYFUNCTION("IFERROR(K37 * (1 + AVERAGE(Filter('Inflation Data'!$C:$C,'Inflation Data'!$A:$A = L$1))) + 'Fund YTD Contributions'!L37,'Fund YTD Contributions'!L37)"),0.0)</f>
        <v>0</v>
      </c>
      <c r="M37" s="170">
        <f>IFERROR(__xludf.DUMMYFUNCTION("IFERROR(L37 * (1 + AVERAGE(Filter('Inflation Data'!$C:$C,'Inflation Data'!$A:$A = M$1))) + 'Fund YTD Contributions'!M37,'Fund YTD Contributions'!M37)"),0.0)</f>
        <v>0</v>
      </c>
      <c r="N37" s="170">
        <f>IFERROR(__xludf.DUMMYFUNCTION("IFERROR(M37 * (1 + AVERAGE(Filter('Inflation Data'!$C:$C,'Inflation Data'!$A:$A = N$1))) + 'Fund YTD Contributions'!N37,'Fund YTD Contributions'!N37)"),0.0)</f>
        <v>0</v>
      </c>
      <c r="O37" s="170">
        <f>IFERROR(__xludf.DUMMYFUNCTION("IFERROR(N37 * (1 + AVERAGE(Filter('Inflation Data'!$C:$C,'Inflation Data'!$A:$A = O$1))) + 'Fund YTD Contributions'!O37,'Fund YTD Contributions'!O37)"),0.0)</f>
        <v>0</v>
      </c>
      <c r="P37" s="170">
        <f>IFERROR(__xludf.DUMMYFUNCTION("IFERROR(O37 * (1 + AVERAGE(Filter('Inflation Data'!$C:$C,'Inflation Data'!$A:$A = P$1))) + 'Fund YTD Contributions'!P37,'Fund YTD Contributions'!P37)"),0.0)</f>
        <v>0</v>
      </c>
      <c r="Q37" s="170">
        <f>IFERROR(__xludf.DUMMYFUNCTION("IFERROR(P37 * (1 + AVERAGE(Filter('Inflation Data'!$C:$C,'Inflation Data'!$A:$A = Q$1))) + 'Fund YTD Contributions'!Q37,'Fund YTD Contributions'!Q37)"),0.0)</f>
        <v>0</v>
      </c>
      <c r="R37" s="170">
        <f>IFERROR(__xludf.DUMMYFUNCTION("IFERROR(Q37 * (1 + AVERAGE(Filter('Inflation Data'!$C:$C,'Inflation Data'!$A:$A = R$1))) + 'Fund YTD Contributions'!R37,'Fund YTD Contributions'!R37)"),0.0)</f>
        <v>0</v>
      </c>
      <c r="S37" s="170">
        <f>IFERROR(__xludf.DUMMYFUNCTION("IFERROR(R37 * (1 + AVERAGE(Filter('Inflation Data'!$C:$C,'Inflation Data'!$A:$A = S$1))) + 'Fund YTD Contributions'!S37,'Fund YTD Contributions'!S37)"),0.0)</f>
        <v>0</v>
      </c>
      <c r="T37" s="170">
        <f>IFERROR(__xludf.DUMMYFUNCTION("IFERROR(S37 * (1 + AVERAGE(Filter('Inflation Data'!$C:$C,'Inflation Data'!$A:$A = T$1))) + 'Fund YTD Contributions'!T37,'Fund YTD Contributions'!T37)"),0.0)</f>
        <v>0</v>
      </c>
      <c r="U37" s="170">
        <f>IFERROR(__xludf.DUMMYFUNCTION("IFERROR(T37 * (1 + AVERAGE(Filter('Inflation Data'!$C:$C,'Inflation Data'!$A:$A = U$1))) + 'Fund YTD Contributions'!U37,'Fund YTD Contributions'!U37)"),0.0)</f>
        <v>0</v>
      </c>
      <c r="V37" s="170">
        <f>IFERROR(__xludf.DUMMYFUNCTION("IFERROR(U37 * (1 + AVERAGE(Filter('Inflation Data'!$C:$C,'Inflation Data'!$A:$A = V$1))) + 'Fund YTD Contributions'!V37,'Fund YTD Contributions'!V37)"),0.0)</f>
        <v>0</v>
      </c>
      <c r="W37" s="170">
        <f>IFERROR(__xludf.DUMMYFUNCTION("IFERROR(V37 * (1 + AVERAGE(Filter('Inflation Data'!$C:$C,'Inflation Data'!$A:$A = W$1))) + 'Fund YTD Contributions'!W37,'Fund YTD Contributions'!W37)"),0.0)</f>
        <v>0</v>
      </c>
      <c r="X37" s="170">
        <f>IFERROR(__xludf.DUMMYFUNCTION("IFERROR(W37 * (1 + AVERAGE(Filter('Inflation Data'!$C:$C,'Inflation Data'!$A:$A = X$1))) + 'Fund YTD Contributions'!X37,'Fund YTD Contributions'!X37)"),0.0)</f>
        <v>0</v>
      </c>
      <c r="Y37" s="170">
        <f>IFERROR(__xludf.DUMMYFUNCTION("IFERROR(X37 * (1 + AVERAGE(Filter('Inflation Data'!$C:$C,'Inflation Data'!$A:$A = Y$1))) + 'Fund YTD Contributions'!Y37,'Fund YTD Contributions'!Y37)"),0.0)</f>
        <v>0</v>
      </c>
      <c r="Z37" s="170">
        <f>IFERROR(__xludf.DUMMYFUNCTION("IFERROR(Y37 * (1 + AVERAGE(Filter('Inflation Data'!$C:$C,'Inflation Data'!$A:$A = Z$1))) + 'Fund YTD Contributions'!Z37,'Fund YTD Contributions'!Z37)"),0.0)</f>
        <v>0</v>
      </c>
      <c r="AA37" s="170">
        <f>IFERROR(__xludf.DUMMYFUNCTION("IFERROR(Z37 * (1 + AVERAGE(Filter('Inflation Data'!$C:$C,'Inflation Data'!$A:$A = AA$1))) + 'Fund YTD Contributions'!AA37,'Fund YTD Contributions'!AA37)"),0.0)</f>
        <v>0</v>
      </c>
      <c r="AB37" s="170">
        <f>IFERROR(__xludf.DUMMYFUNCTION("IFERROR(AA37 * (1 + AVERAGE(Filter('Inflation Data'!$C:$C,'Inflation Data'!$A:$A = AB$1))) + 'Fund YTD Contributions'!AB37,'Fund YTD Contributions'!AB37)"),0.0)</f>
        <v>0</v>
      </c>
      <c r="AC37" s="170">
        <f>IFERROR(__xludf.DUMMYFUNCTION("IFERROR(AB37 * (1 + AVERAGE(Filter('Inflation Data'!$C:$C,'Inflation Data'!$A:$A = AC$1))) + 'Fund YTD Contributions'!AC37,'Fund YTD Contributions'!AC37)"),0.0)</f>
        <v>0</v>
      </c>
      <c r="AD37" s="170">
        <f>IFERROR(__xludf.DUMMYFUNCTION("IFERROR(AC37 * (1 + AVERAGE(Filter('Inflation Data'!$C:$C,'Inflation Data'!$A:$A = AD$1))) + 'Fund YTD Contributions'!AD37,'Fund YTD Contributions'!AD37)"),0.0)</f>
        <v>0</v>
      </c>
      <c r="AE37" s="170">
        <f>IFERROR(__xludf.DUMMYFUNCTION("IFERROR(AD37 * (1 + AVERAGE(Filter('Inflation Data'!$C:$C,'Inflation Data'!$A:$A = AE$1))) + 'Fund YTD Contributions'!AE37,'Fund YTD Contributions'!AE37)"),0.0)</f>
        <v>0</v>
      </c>
      <c r="AF37" s="170" t="str">
        <f>IFERROR(__xludf.DUMMYFUNCTION("IFERROR(AE37 * (1 + AVERAGE(Filter('Inflation Data'!$C:$C,'Inflation Data'!$A:$A = AF$1))) + 'Fund YTD Contributions'!AF37,'Fund YTD Contributions'!AF37)"),"")</f>
        <v/>
      </c>
    </row>
    <row r="38">
      <c r="A38" s="145" t="str">
        <f>'Endowed Funds'!B:B</f>
        <v/>
      </c>
      <c r="B38" s="170">
        <f>IFERROR(__xludf.DUMMYFUNCTION("IFERROR(A38 * (1 + AVERAGE(Filter('Inflation Data'!$C:$C,'Inflation Data'!$A:$A = B$1))) + 'Fund YTD Contributions'!B38,'Fund YTD Contributions'!B38)"),0.0)</f>
        <v>0</v>
      </c>
      <c r="C38" s="170">
        <f>IFERROR(__xludf.DUMMYFUNCTION("IFERROR(B38 * (1 + AVERAGE(Filter('Inflation Data'!$C:$C,'Inflation Data'!$A:$A = C$1))) + 'Fund YTD Contributions'!C38,'Fund YTD Contributions'!C38)"),0.0)</f>
        <v>0</v>
      </c>
      <c r="D38" s="170">
        <f>IFERROR(__xludf.DUMMYFUNCTION("IFERROR(C38 * (1 + AVERAGE(Filter('Inflation Data'!$C:$C,'Inflation Data'!$A:$A = D$1))) + 'Fund YTD Contributions'!D38,'Fund YTD Contributions'!D38)"),0.0)</f>
        <v>0</v>
      </c>
      <c r="E38" s="170">
        <f>IFERROR(__xludf.DUMMYFUNCTION("IFERROR(D38 * (1 + AVERAGE(Filter('Inflation Data'!$C:$C,'Inflation Data'!$A:$A = E$1))) + 'Fund YTD Contributions'!E38,'Fund YTD Contributions'!E38)"),0.0)</f>
        <v>0</v>
      </c>
      <c r="F38" s="170">
        <f>IFERROR(__xludf.DUMMYFUNCTION("IFERROR(E38 * (1 + AVERAGE(Filter('Inflation Data'!$C:$C,'Inflation Data'!$A:$A = F$1))) + 'Fund YTD Contributions'!F38,'Fund YTD Contributions'!F38)"),0.0)</f>
        <v>0</v>
      </c>
      <c r="G38" s="170">
        <f>IFERROR(__xludf.DUMMYFUNCTION("IFERROR(F38 * (1 + AVERAGE(Filter('Inflation Data'!$C:$C,'Inflation Data'!$A:$A = G$1))) + 'Fund YTD Contributions'!G38,'Fund YTD Contributions'!G38)"),0.0)</f>
        <v>0</v>
      </c>
      <c r="H38" s="170">
        <f>IFERROR(__xludf.DUMMYFUNCTION("IFERROR(G38 * (1 + AVERAGE(Filter('Inflation Data'!$C:$C,'Inflation Data'!$A:$A = H$1))) + 'Fund YTD Contributions'!H38,'Fund YTD Contributions'!H38)"),0.0)</f>
        <v>0</v>
      </c>
      <c r="I38" s="170">
        <f>IFERROR(__xludf.DUMMYFUNCTION("IFERROR(H38 * (1 + AVERAGE(Filter('Inflation Data'!$C:$C,'Inflation Data'!$A:$A = I$1))) + 'Fund YTD Contributions'!I38,'Fund YTD Contributions'!I38)"),0.0)</f>
        <v>0</v>
      </c>
      <c r="J38" s="170">
        <f>IFERROR(__xludf.DUMMYFUNCTION("IFERROR(I38 * (1 + AVERAGE(Filter('Inflation Data'!$C:$C,'Inflation Data'!$A:$A = J$1))) + 'Fund YTD Contributions'!J38,'Fund YTD Contributions'!J38)"),0.0)</f>
        <v>0</v>
      </c>
      <c r="K38" s="170">
        <f>IFERROR(__xludf.DUMMYFUNCTION("IFERROR(J38 * (1 + AVERAGE(Filter('Inflation Data'!$C:$C,'Inflation Data'!$A:$A = K$1))) + 'Fund YTD Contributions'!K38,'Fund YTD Contributions'!K38)"),0.0)</f>
        <v>0</v>
      </c>
      <c r="L38" s="170">
        <f>IFERROR(__xludf.DUMMYFUNCTION("IFERROR(K38 * (1 + AVERAGE(Filter('Inflation Data'!$C:$C,'Inflation Data'!$A:$A = L$1))) + 'Fund YTD Contributions'!L38,'Fund YTD Contributions'!L38)"),0.0)</f>
        <v>0</v>
      </c>
      <c r="M38" s="170">
        <f>IFERROR(__xludf.DUMMYFUNCTION("IFERROR(L38 * (1 + AVERAGE(Filter('Inflation Data'!$C:$C,'Inflation Data'!$A:$A = M$1))) + 'Fund YTD Contributions'!M38,'Fund YTD Contributions'!M38)"),0.0)</f>
        <v>0</v>
      </c>
      <c r="N38" s="170">
        <f>IFERROR(__xludf.DUMMYFUNCTION("IFERROR(M38 * (1 + AVERAGE(Filter('Inflation Data'!$C:$C,'Inflation Data'!$A:$A = N$1))) + 'Fund YTD Contributions'!N38,'Fund YTD Contributions'!N38)"),0.0)</f>
        <v>0</v>
      </c>
      <c r="O38" s="170">
        <f>IFERROR(__xludf.DUMMYFUNCTION("IFERROR(N38 * (1 + AVERAGE(Filter('Inflation Data'!$C:$C,'Inflation Data'!$A:$A = O$1))) + 'Fund YTD Contributions'!O38,'Fund YTD Contributions'!O38)"),0.0)</f>
        <v>0</v>
      </c>
      <c r="P38" s="170">
        <f>IFERROR(__xludf.DUMMYFUNCTION("IFERROR(O38 * (1 + AVERAGE(Filter('Inflation Data'!$C:$C,'Inflation Data'!$A:$A = P$1))) + 'Fund YTD Contributions'!P38,'Fund YTD Contributions'!P38)"),0.0)</f>
        <v>0</v>
      </c>
      <c r="Q38" s="170">
        <f>IFERROR(__xludf.DUMMYFUNCTION("IFERROR(P38 * (1 + AVERAGE(Filter('Inflation Data'!$C:$C,'Inflation Data'!$A:$A = Q$1))) + 'Fund YTD Contributions'!Q38,'Fund YTD Contributions'!Q38)"),0.0)</f>
        <v>0</v>
      </c>
      <c r="R38" s="170">
        <f>IFERROR(__xludf.DUMMYFUNCTION("IFERROR(Q38 * (1 + AVERAGE(Filter('Inflation Data'!$C:$C,'Inflation Data'!$A:$A = R$1))) + 'Fund YTD Contributions'!R38,'Fund YTD Contributions'!R38)"),0.0)</f>
        <v>0</v>
      </c>
      <c r="S38" s="170">
        <f>IFERROR(__xludf.DUMMYFUNCTION("IFERROR(R38 * (1 + AVERAGE(Filter('Inflation Data'!$C:$C,'Inflation Data'!$A:$A = S$1))) + 'Fund YTD Contributions'!S38,'Fund YTD Contributions'!S38)"),0.0)</f>
        <v>0</v>
      </c>
      <c r="T38" s="170">
        <f>IFERROR(__xludf.DUMMYFUNCTION("IFERROR(S38 * (1 + AVERAGE(Filter('Inflation Data'!$C:$C,'Inflation Data'!$A:$A = T$1))) + 'Fund YTD Contributions'!T38,'Fund YTD Contributions'!T38)"),0.0)</f>
        <v>0</v>
      </c>
      <c r="U38" s="170">
        <f>IFERROR(__xludf.DUMMYFUNCTION("IFERROR(T38 * (1 + AVERAGE(Filter('Inflation Data'!$C:$C,'Inflation Data'!$A:$A = U$1))) + 'Fund YTD Contributions'!U38,'Fund YTD Contributions'!U38)"),0.0)</f>
        <v>0</v>
      </c>
      <c r="V38" s="170">
        <f>IFERROR(__xludf.DUMMYFUNCTION("IFERROR(U38 * (1 + AVERAGE(Filter('Inflation Data'!$C:$C,'Inflation Data'!$A:$A = V$1))) + 'Fund YTD Contributions'!V38,'Fund YTD Contributions'!V38)"),0.0)</f>
        <v>0</v>
      </c>
      <c r="W38" s="170">
        <f>IFERROR(__xludf.DUMMYFUNCTION("IFERROR(V38 * (1 + AVERAGE(Filter('Inflation Data'!$C:$C,'Inflation Data'!$A:$A = W$1))) + 'Fund YTD Contributions'!W38,'Fund YTD Contributions'!W38)"),0.0)</f>
        <v>0</v>
      </c>
      <c r="X38" s="170">
        <f>IFERROR(__xludf.DUMMYFUNCTION("IFERROR(W38 * (1 + AVERAGE(Filter('Inflation Data'!$C:$C,'Inflation Data'!$A:$A = X$1))) + 'Fund YTD Contributions'!X38,'Fund YTD Contributions'!X38)"),0.0)</f>
        <v>0</v>
      </c>
      <c r="Y38" s="170">
        <f>IFERROR(__xludf.DUMMYFUNCTION("IFERROR(X38 * (1 + AVERAGE(Filter('Inflation Data'!$C:$C,'Inflation Data'!$A:$A = Y$1))) + 'Fund YTD Contributions'!Y38,'Fund YTD Contributions'!Y38)"),0.0)</f>
        <v>0</v>
      </c>
      <c r="Z38" s="170">
        <f>IFERROR(__xludf.DUMMYFUNCTION("IFERROR(Y38 * (1 + AVERAGE(Filter('Inflation Data'!$C:$C,'Inflation Data'!$A:$A = Z$1))) + 'Fund YTD Contributions'!Z38,'Fund YTD Contributions'!Z38)"),0.0)</f>
        <v>0</v>
      </c>
      <c r="AA38" s="170">
        <f>IFERROR(__xludf.DUMMYFUNCTION("IFERROR(Z38 * (1 + AVERAGE(Filter('Inflation Data'!$C:$C,'Inflation Data'!$A:$A = AA$1))) + 'Fund YTD Contributions'!AA38,'Fund YTD Contributions'!AA38)"),0.0)</f>
        <v>0</v>
      </c>
      <c r="AB38" s="170">
        <f>IFERROR(__xludf.DUMMYFUNCTION("IFERROR(AA38 * (1 + AVERAGE(Filter('Inflation Data'!$C:$C,'Inflation Data'!$A:$A = AB$1))) + 'Fund YTD Contributions'!AB38,'Fund YTD Contributions'!AB38)"),0.0)</f>
        <v>0</v>
      </c>
      <c r="AC38" s="170">
        <f>IFERROR(__xludf.DUMMYFUNCTION("IFERROR(AB38 * (1 + AVERAGE(Filter('Inflation Data'!$C:$C,'Inflation Data'!$A:$A = AC$1))) + 'Fund YTD Contributions'!AC38,'Fund YTD Contributions'!AC38)"),0.0)</f>
        <v>0</v>
      </c>
      <c r="AD38" s="170">
        <f>IFERROR(__xludf.DUMMYFUNCTION("IFERROR(AC38 * (1 + AVERAGE(Filter('Inflation Data'!$C:$C,'Inflation Data'!$A:$A = AD$1))) + 'Fund YTD Contributions'!AD38,'Fund YTD Contributions'!AD38)"),0.0)</f>
        <v>0</v>
      </c>
      <c r="AE38" s="170">
        <f>IFERROR(__xludf.DUMMYFUNCTION("IFERROR(AD38 * (1 + AVERAGE(Filter('Inflation Data'!$C:$C,'Inflation Data'!$A:$A = AE$1))) + 'Fund YTD Contributions'!AE38,'Fund YTD Contributions'!AE38)"),0.0)</f>
        <v>0</v>
      </c>
      <c r="AF38" s="170" t="str">
        <f>IFERROR(__xludf.DUMMYFUNCTION("IFERROR(AE38 * (1 + AVERAGE(Filter('Inflation Data'!$C:$C,'Inflation Data'!$A:$A = AF$1))) + 'Fund YTD Contributions'!AF38,'Fund YTD Contributions'!AF38)"),"")</f>
        <v/>
      </c>
    </row>
    <row r="39">
      <c r="A39" s="145" t="str">
        <f>'Endowed Funds'!B:B</f>
        <v/>
      </c>
      <c r="B39" s="170">
        <f>IFERROR(__xludf.DUMMYFUNCTION("IFERROR(A39 * (1 + AVERAGE(Filter('Inflation Data'!$C:$C,'Inflation Data'!$A:$A = B$1))) + 'Fund YTD Contributions'!B39,'Fund YTD Contributions'!B39)"),0.0)</f>
        <v>0</v>
      </c>
      <c r="C39" s="170">
        <f>IFERROR(__xludf.DUMMYFUNCTION("IFERROR(B39 * (1 + AVERAGE(Filter('Inflation Data'!$C:$C,'Inflation Data'!$A:$A = C$1))) + 'Fund YTD Contributions'!C39,'Fund YTD Contributions'!C39)"),0.0)</f>
        <v>0</v>
      </c>
      <c r="D39" s="170">
        <f>IFERROR(__xludf.DUMMYFUNCTION("IFERROR(C39 * (1 + AVERAGE(Filter('Inflation Data'!$C:$C,'Inflation Data'!$A:$A = D$1))) + 'Fund YTD Contributions'!D39,'Fund YTD Contributions'!D39)"),0.0)</f>
        <v>0</v>
      </c>
      <c r="E39" s="170">
        <f>IFERROR(__xludf.DUMMYFUNCTION("IFERROR(D39 * (1 + AVERAGE(Filter('Inflation Data'!$C:$C,'Inflation Data'!$A:$A = E$1))) + 'Fund YTD Contributions'!E39,'Fund YTD Contributions'!E39)"),0.0)</f>
        <v>0</v>
      </c>
      <c r="F39" s="170">
        <f>IFERROR(__xludf.DUMMYFUNCTION("IFERROR(E39 * (1 + AVERAGE(Filter('Inflation Data'!$C:$C,'Inflation Data'!$A:$A = F$1))) + 'Fund YTD Contributions'!F39,'Fund YTD Contributions'!F39)"),0.0)</f>
        <v>0</v>
      </c>
      <c r="G39" s="170">
        <f>IFERROR(__xludf.DUMMYFUNCTION("IFERROR(F39 * (1 + AVERAGE(Filter('Inflation Data'!$C:$C,'Inflation Data'!$A:$A = G$1))) + 'Fund YTD Contributions'!G39,'Fund YTD Contributions'!G39)"),0.0)</f>
        <v>0</v>
      </c>
      <c r="H39" s="170">
        <f>IFERROR(__xludf.DUMMYFUNCTION("IFERROR(G39 * (1 + AVERAGE(Filter('Inflation Data'!$C:$C,'Inflation Data'!$A:$A = H$1))) + 'Fund YTD Contributions'!H39,'Fund YTD Contributions'!H39)"),0.0)</f>
        <v>0</v>
      </c>
      <c r="I39" s="170">
        <f>IFERROR(__xludf.DUMMYFUNCTION("IFERROR(H39 * (1 + AVERAGE(Filter('Inflation Data'!$C:$C,'Inflation Data'!$A:$A = I$1))) + 'Fund YTD Contributions'!I39,'Fund YTD Contributions'!I39)"),0.0)</f>
        <v>0</v>
      </c>
      <c r="J39" s="170">
        <f>IFERROR(__xludf.DUMMYFUNCTION("IFERROR(I39 * (1 + AVERAGE(Filter('Inflation Data'!$C:$C,'Inflation Data'!$A:$A = J$1))) + 'Fund YTD Contributions'!J39,'Fund YTD Contributions'!J39)"),0.0)</f>
        <v>0</v>
      </c>
      <c r="K39" s="170">
        <f>IFERROR(__xludf.DUMMYFUNCTION("IFERROR(J39 * (1 + AVERAGE(Filter('Inflation Data'!$C:$C,'Inflation Data'!$A:$A = K$1))) + 'Fund YTD Contributions'!K39,'Fund YTD Contributions'!K39)"),0.0)</f>
        <v>0</v>
      </c>
      <c r="L39" s="170">
        <f>IFERROR(__xludf.DUMMYFUNCTION("IFERROR(K39 * (1 + AVERAGE(Filter('Inflation Data'!$C:$C,'Inflation Data'!$A:$A = L$1))) + 'Fund YTD Contributions'!L39,'Fund YTD Contributions'!L39)"),0.0)</f>
        <v>0</v>
      </c>
      <c r="M39" s="170">
        <f>IFERROR(__xludf.DUMMYFUNCTION("IFERROR(L39 * (1 + AVERAGE(Filter('Inflation Data'!$C:$C,'Inflation Data'!$A:$A = M$1))) + 'Fund YTD Contributions'!M39,'Fund YTD Contributions'!M39)"),0.0)</f>
        <v>0</v>
      </c>
      <c r="N39" s="170">
        <f>IFERROR(__xludf.DUMMYFUNCTION("IFERROR(M39 * (1 + AVERAGE(Filter('Inflation Data'!$C:$C,'Inflation Data'!$A:$A = N$1))) + 'Fund YTD Contributions'!N39,'Fund YTD Contributions'!N39)"),0.0)</f>
        <v>0</v>
      </c>
      <c r="O39" s="170">
        <f>IFERROR(__xludf.DUMMYFUNCTION("IFERROR(N39 * (1 + AVERAGE(Filter('Inflation Data'!$C:$C,'Inflation Data'!$A:$A = O$1))) + 'Fund YTD Contributions'!O39,'Fund YTD Contributions'!O39)"),0.0)</f>
        <v>0</v>
      </c>
      <c r="P39" s="170">
        <f>IFERROR(__xludf.DUMMYFUNCTION("IFERROR(O39 * (1 + AVERAGE(Filter('Inflation Data'!$C:$C,'Inflation Data'!$A:$A = P$1))) + 'Fund YTD Contributions'!P39,'Fund YTD Contributions'!P39)"),0.0)</f>
        <v>0</v>
      </c>
      <c r="Q39" s="170">
        <f>IFERROR(__xludf.DUMMYFUNCTION("IFERROR(P39 * (1 + AVERAGE(Filter('Inflation Data'!$C:$C,'Inflation Data'!$A:$A = Q$1))) + 'Fund YTD Contributions'!Q39,'Fund YTD Contributions'!Q39)"),0.0)</f>
        <v>0</v>
      </c>
      <c r="R39" s="170">
        <f>IFERROR(__xludf.DUMMYFUNCTION("IFERROR(Q39 * (1 + AVERAGE(Filter('Inflation Data'!$C:$C,'Inflation Data'!$A:$A = R$1))) + 'Fund YTD Contributions'!R39,'Fund YTD Contributions'!R39)"),0.0)</f>
        <v>0</v>
      </c>
      <c r="S39" s="170">
        <f>IFERROR(__xludf.DUMMYFUNCTION("IFERROR(R39 * (1 + AVERAGE(Filter('Inflation Data'!$C:$C,'Inflation Data'!$A:$A = S$1))) + 'Fund YTD Contributions'!S39,'Fund YTD Contributions'!S39)"),0.0)</f>
        <v>0</v>
      </c>
      <c r="T39" s="170">
        <f>IFERROR(__xludf.DUMMYFUNCTION("IFERROR(S39 * (1 + AVERAGE(Filter('Inflation Data'!$C:$C,'Inflation Data'!$A:$A = T$1))) + 'Fund YTD Contributions'!T39,'Fund YTD Contributions'!T39)"),0.0)</f>
        <v>0</v>
      </c>
      <c r="U39" s="170">
        <f>IFERROR(__xludf.DUMMYFUNCTION("IFERROR(T39 * (1 + AVERAGE(Filter('Inflation Data'!$C:$C,'Inflation Data'!$A:$A = U$1))) + 'Fund YTD Contributions'!U39,'Fund YTD Contributions'!U39)"),0.0)</f>
        <v>0</v>
      </c>
      <c r="V39" s="170">
        <f>IFERROR(__xludf.DUMMYFUNCTION("IFERROR(U39 * (1 + AVERAGE(Filter('Inflation Data'!$C:$C,'Inflation Data'!$A:$A = V$1))) + 'Fund YTD Contributions'!V39,'Fund YTD Contributions'!V39)"),0.0)</f>
        <v>0</v>
      </c>
      <c r="W39" s="170">
        <f>IFERROR(__xludf.DUMMYFUNCTION("IFERROR(V39 * (1 + AVERAGE(Filter('Inflation Data'!$C:$C,'Inflation Data'!$A:$A = W$1))) + 'Fund YTD Contributions'!W39,'Fund YTD Contributions'!W39)"),0.0)</f>
        <v>0</v>
      </c>
      <c r="X39" s="170">
        <f>IFERROR(__xludf.DUMMYFUNCTION("IFERROR(W39 * (1 + AVERAGE(Filter('Inflation Data'!$C:$C,'Inflation Data'!$A:$A = X$1))) + 'Fund YTD Contributions'!X39,'Fund YTD Contributions'!X39)"),0.0)</f>
        <v>0</v>
      </c>
      <c r="Y39" s="170">
        <f>IFERROR(__xludf.DUMMYFUNCTION("IFERROR(X39 * (1 + AVERAGE(Filter('Inflation Data'!$C:$C,'Inflation Data'!$A:$A = Y$1))) + 'Fund YTD Contributions'!Y39,'Fund YTD Contributions'!Y39)"),0.0)</f>
        <v>0</v>
      </c>
      <c r="Z39" s="170">
        <f>IFERROR(__xludf.DUMMYFUNCTION("IFERROR(Y39 * (1 + AVERAGE(Filter('Inflation Data'!$C:$C,'Inflation Data'!$A:$A = Z$1))) + 'Fund YTD Contributions'!Z39,'Fund YTD Contributions'!Z39)"),0.0)</f>
        <v>0</v>
      </c>
      <c r="AA39" s="170">
        <f>IFERROR(__xludf.DUMMYFUNCTION("IFERROR(Z39 * (1 + AVERAGE(Filter('Inflation Data'!$C:$C,'Inflation Data'!$A:$A = AA$1))) + 'Fund YTD Contributions'!AA39,'Fund YTD Contributions'!AA39)"),0.0)</f>
        <v>0</v>
      </c>
      <c r="AB39" s="170">
        <f>IFERROR(__xludf.DUMMYFUNCTION("IFERROR(AA39 * (1 + AVERAGE(Filter('Inflation Data'!$C:$C,'Inflation Data'!$A:$A = AB$1))) + 'Fund YTD Contributions'!AB39,'Fund YTD Contributions'!AB39)"),0.0)</f>
        <v>0</v>
      </c>
      <c r="AC39" s="170">
        <f>IFERROR(__xludf.DUMMYFUNCTION("IFERROR(AB39 * (1 + AVERAGE(Filter('Inflation Data'!$C:$C,'Inflation Data'!$A:$A = AC$1))) + 'Fund YTD Contributions'!AC39,'Fund YTD Contributions'!AC39)"),0.0)</f>
        <v>0</v>
      </c>
      <c r="AD39" s="170">
        <f>IFERROR(__xludf.DUMMYFUNCTION("IFERROR(AC39 * (1 + AVERAGE(Filter('Inflation Data'!$C:$C,'Inflation Data'!$A:$A = AD$1))) + 'Fund YTD Contributions'!AD39,'Fund YTD Contributions'!AD39)"),0.0)</f>
        <v>0</v>
      </c>
      <c r="AE39" s="170">
        <f>IFERROR(__xludf.DUMMYFUNCTION("IFERROR(AD39 * (1 + AVERAGE(Filter('Inflation Data'!$C:$C,'Inflation Data'!$A:$A = AE$1))) + 'Fund YTD Contributions'!AE39,'Fund YTD Contributions'!AE39)"),0.0)</f>
        <v>0</v>
      </c>
      <c r="AF39" s="170" t="str">
        <f>IFERROR(__xludf.DUMMYFUNCTION("IFERROR(AE39 * (1 + AVERAGE(Filter('Inflation Data'!$C:$C,'Inflation Data'!$A:$A = AF$1))) + 'Fund YTD Contributions'!AF39,'Fund YTD Contributions'!AF39)"),"")</f>
        <v/>
      </c>
    </row>
    <row r="40">
      <c r="A40" s="145" t="str">
        <f>'Endowed Funds'!B:B</f>
        <v/>
      </c>
      <c r="B40" s="170">
        <f>IFERROR(__xludf.DUMMYFUNCTION("IFERROR(A40 * (1 + AVERAGE(Filter('Inflation Data'!$C:$C,'Inflation Data'!$A:$A = B$1))) + 'Fund YTD Contributions'!B40,'Fund YTD Contributions'!B40)"),0.0)</f>
        <v>0</v>
      </c>
      <c r="C40" s="170">
        <f>IFERROR(__xludf.DUMMYFUNCTION("IFERROR(B40 * (1 + AVERAGE(Filter('Inflation Data'!$C:$C,'Inflation Data'!$A:$A = C$1))) + 'Fund YTD Contributions'!C40,'Fund YTD Contributions'!C40)"),0.0)</f>
        <v>0</v>
      </c>
      <c r="D40" s="170">
        <f>IFERROR(__xludf.DUMMYFUNCTION("IFERROR(C40 * (1 + AVERAGE(Filter('Inflation Data'!$C:$C,'Inflation Data'!$A:$A = D$1))) + 'Fund YTD Contributions'!D40,'Fund YTD Contributions'!D40)"),0.0)</f>
        <v>0</v>
      </c>
      <c r="E40" s="170">
        <f>IFERROR(__xludf.DUMMYFUNCTION("IFERROR(D40 * (1 + AVERAGE(Filter('Inflation Data'!$C:$C,'Inflation Data'!$A:$A = E$1))) + 'Fund YTD Contributions'!E40,'Fund YTD Contributions'!E40)"),0.0)</f>
        <v>0</v>
      </c>
      <c r="F40" s="170">
        <f>IFERROR(__xludf.DUMMYFUNCTION("IFERROR(E40 * (1 + AVERAGE(Filter('Inflation Data'!$C:$C,'Inflation Data'!$A:$A = F$1))) + 'Fund YTD Contributions'!F40,'Fund YTD Contributions'!F40)"),0.0)</f>
        <v>0</v>
      </c>
      <c r="G40" s="170">
        <f>IFERROR(__xludf.DUMMYFUNCTION("IFERROR(F40 * (1 + AVERAGE(Filter('Inflation Data'!$C:$C,'Inflation Data'!$A:$A = G$1))) + 'Fund YTD Contributions'!G40,'Fund YTD Contributions'!G40)"),0.0)</f>
        <v>0</v>
      </c>
      <c r="H40" s="170">
        <f>IFERROR(__xludf.DUMMYFUNCTION("IFERROR(G40 * (1 + AVERAGE(Filter('Inflation Data'!$C:$C,'Inflation Data'!$A:$A = H$1))) + 'Fund YTD Contributions'!H40,'Fund YTD Contributions'!H40)"),0.0)</f>
        <v>0</v>
      </c>
      <c r="I40" s="170">
        <f>IFERROR(__xludf.DUMMYFUNCTION("IFERROR(H40 * (1 + AVERAGE(Filter('Inflation Data'!$C:$C,'Inflation Data'!$A:$A = I$1))) + 'Fund YTD Contributions'!I40,'Fund YTD Contributions'!I40)"),0.0)</f>
        <v>0</v>
      </c>
      <c r="J40" s="170">
        <f>IFERROR(__xludf.DUMMYFUNCTION("IFERROR(I40 * (1 + AVERAGE(Filter('Inflation Data'!$C:$C,'Inflation Data'!$A:$A = J$1))) + 'Fund YTD Contributions'!J40,'Fund YTD Contributions'!J40)"),0.0)</f>
        <v>0</v>
      </c>
      <c r="K40" s="170">
        <f>IFERROR(__xludf.DUMMYFUNCTION("IFERROR(J40 * (1 + AVERAGE(Filter('Inflation Data'!$C:$C,'Inflation Data'!$A:$A = K$1))) + 'Fund YTD Contributions'!K40,'Fund YTD Contributions'!K40)"),0.0)</f>
        <v>0</v>
      </c>
      <c r="L40" s="170">
        <f>IFERROR(__xludf.DUMMYFUNCTION("IFERROR(K40 * (1 + AVERAGE(Filter('Inflation Data'!$C:$C,'Inflation Data'!$A:$A = L$1))) + 'Fund YTD Contributions'!L40,'Fund YTD Contributions'!L40)"),0.0)</f>
        <v>0</v>
      </c>
      <c r="M40" s="170">
        <f>IFERROR(__xludf.DUMMYFUNCTION("IFERROR(L40 * (1 + AVERAGE(Filter('Inflation Data'!$C:$C,'Inflation Data'!$A:$A = M$1))) + 'Fund YTD Contributions'!M40,'Fund YTD Contributions'!M40)"),0.0)</f>
        <v>0</v>
      </c>
      <c r="N40" s="170">
        <f>IFERROR(__xludf.DUMMYFUNCTION("IFERROR(M40 * (1 + AVERAGE(Filter('Inflation Data'!$C:$C,'Inflation Data'!$A:$A = N$1))) + 'Fund YTD Contributions'!N40,'Fund YTD Contributions'!N40)"),0.0)</f>
        <v>0</v>
      </c>
      <c r="O40" s="170">
        <f>IFERROR(__xludf.DUMMYFUNCTION("IFERROR(N40 * (1 + AVERAGE(Filter('Inflation Data'!$C:$C,'Inflation Data'!$A:$A = O$1))) + 'Fund YTD Contributions'!O40,'Fund YTD Contributions'!O40)"),0.0)</f>
        <v>0</v>
      </c>
      <c r="P40" s="170">
        <f>IFERROR(__xludf.DUMMYFUNCTION("IFERROR(O40 * (1 + AVERAGE(Filter('Inflation Data'!$C:$C,'Inflation Data'!$A:$A = P$1))) + 'Fund YTD Contributions'!P40,'Fund YTD Contributions'!P40)"),0.0)</f>
        <v>0</v>
      </c>
      <c r="Q40" s="170">
        <f>IFERROR(__xludf.DUMMYFUNCTION("IFERROR(P40 * (1 + AVERAGE(Filter('Inflation Data'!$C:$C,'Inflation Data'!$A:$A = Q$1))) + 'Fund YTD Contributions'!Q40,'Fund YTD Contributions'!Q40)"),0.0)</f>
        <v>0</v>
      </c>
      <c r="R40" s="170">
        <f>IFERROR(__xludf.DUMMYFUNCTION("IFERROR(Q40 * (1 + AVERAGE(Filter('Inflation Data'!$C:$C,'Inflation Data'!$A:$A = R$1))) + 'Fund YTD Contributions'!R40,'Fund YTD Contributions'!R40)"),0.0)</f>
        <v>0</v>
      </c>
      <c r="S40" s="170">
        <f>IFERROR(__xludf.DUMMYFUNCTION("IFERROR(R40 * (1 + AVERAGE(Filter('Inflation Data'!$C:$C,'Inflation Data'!$A:$A = S$1))) + 'Fund YTD Contributions'!S40,'Fund YTD Contributions'!S40)"),0.0)</f>
        <v>0</v>
      </c>
      <c r="T40" s="170">
        <f>IFERROR(__xludf.DUMMYFUNCTION("IFERROR(S40 * (1 + AVERAGE(Filter('Inflation Data'!$C:$C,'Inflation Data'!$A:$A = T$1))) + 'Fund YTD Contributions'!T40,'Fund YTD Contributions'!T40)"),0.0)</f>
        <v>0</v>
      </c>
      <c r="U40" s="170">
        <f>IFERROR(__xludf.DUMMYFUNCTION("IFERROR(T40 * (1 + AVERAGE(Filter('Inflation Data'!$C:$C,'Inflation Data'!$A:$A = U$1))) + 'Fund YTD Contributions'!U40,'Fund YTD Contributions'!U40)"),0.0)</f>
        <v>0</v>
      </c>
      <c r="V40" s="170">
        <f>IFERROR(__xludf.DUMMYFUNCTION("IFERROR(U40 * (1 + AVERAGE(Filter('Inflation Data'!$C:$C,'Inflation Data'!$A:$A = V$1))) + 'Fund YTD Contributions'!V40,'Fund YTD Contributions'!V40)"),0.0)</f>
        <v>0</v>
      </c>
      <c r="W40" s="170">
        <f>IFERROR(__xludf.DUMMYFUNCTION("IFERROR(V40 * (1 + AVERAGE(Filter('Inflation Data'!$C:$C,'Inflation Data'!$A:$A = W$1))) + 'Fund YTD Contributions'!W40,'Fund YTD Contributions'!W40)"),0.0)</f>
        <v>0</v>
      </c>
      <c r="X40" s="170">
        <f>IFERROR(__xludf.DUMMYFUNCTION("IFERROR(W40 * (1 + AVERAGE(Filter('Inflation Data'!$C:$C,'Inflation Data'!$A:$A = X$1))) + 'Fund YTD Contributions'!X40,'Fund YTD Contributions'!X40)"),0.0)</f>
        <v>0</v>
      </c>
      <c r="Y40" s="170">
        <f>IFERROR(__xludf.DUMMYFUNCTION("IFERROR(X40 * (1 + AVERAGE(Filter('Inflation Data'!$C:$C,'Inflation Data'!$A:$A = Y$1))) + 'Fund YTD Contributions'!Y40,'Fund YTD Contributions'!Y40)"),0.0)</f>
        <v>0</v>
      </c>
      <c r="Z40" s="170">
        <f>IFERROR(__xludf.DUMMYFUNCTION("IFERROR(Y40 * (1 + AVERAGE(Filter('Inflation Data'!$C:$C,'Inflation Data'!$A:$A = Z$1))) + 'Fund YTD Contributions'!Z40,'Fund YTD Contributions'!Z40)"),0.0)</f>
        <v>0</v>
      </c>
      <c r="AA40" s="170">
        <f>IFERROR(__xludf.DUMMYFUNCTION("IFERROR(Z40 * (1 + AVERAGE(Filter('Inflation Data'!$C:$C,'Inflation Data'!$A:$A = AA$1))) + 'Fund YTD Contributions'!AA40,'Fund YTD Contributions'!AA40)"),0.0)</f>
        <v>0</v>
      </c>
      <c r="AB40" s="170">
        <f>IFERROR(__xludf.DUMMYFUNCTION("IFERROR(AA40 * (1 + AVERAGE(Filter('Inflation Data'!$C:$C,'Inflation Data'!$A:$A = AB$1))) + 'Fund YTD Contributions'!AB40,'Fund YTD Contributions'!AB40)"),0.0)</f>
        <v>0</v>
      </c>
      <c r="AC40" s="170">
        <f>IFERROR(__xludf.DUMMYFUNCTION("IFERROR(AB40 * (1 + AVERAGE(Filter('Inflation Data'!$C:$C,'Inflation Data'!$A:$A = AC$1))) + 'Fund YTD Contributions'!AC40,'Fund YTD Contributions'!AC40)"),0.0)</f>
        <v>0</v>
      </c>
      <c r="AD40" s="170">
        <f>IFERROR(__xludf.DUMMYFUNCTION("IFERROR(AC40 * (1 + AVERAGE(Filter('Inflation Data'!$C:$C,'Inflation Data'!$A:$A = AD$1))) + 'Fund YTD Contributions'!AD40,'Fund YTD Contributions'!AD40)"),0.0)</f>
        <v>0</v>
      </c>
      <c r="AE40" s="170">
        <f>IFERROR(__xludf.DUMMYFUNCTION("IFERROR(AD40 * (1 + AVERAGE(Filter('Inflation Data'!$C:$C,'Inflation Data'!$A:$A = AE$1))) + 'Fund YTD Contributions'!AE40,'Fund YTD Contributions'!AE40)"),0.0)</f>
        <v>0</v>
      </c>
      <c r="AF40" s="170" t="str">
        <f>IFERROR(__xludf.DUMMYFUNCTION("IFERROR(AE40 * (1 + AVERAGE(Filter('Inflation Data'!$C:$C,'Inflation Data'!$A:$A = AF$1))) + 'Fund YTD Contributions'!AF40,'Fund YTD Contributions'!AF40)"),"")</f>
        <v/>
      </c>
    </row>
    <row r="41">
      <c r="A41" s="145" t="str">
        <f>'Endowed Funds'!B:B</f>
        <v/>
      </c>
      <c r="B41" s="170">
        <f>IFERROR(__xludf.DUMMYFUNCTION("IFERROR(A41 * (1 + AVERAGE(Filter('Inflation Data'!$C:$C,'Inflation Data'!$A:$A = B$1))) + 'Fund YTD Contributions'!B41,'Fund YTD Contributions'!B41)"),0.0)</f>
        <v>0</v>
      </c>
      <c r="C41" s="170">
        <f>IFERROR(__xludf.DUMMYFUNCTION("IFERROR(B41 * (1 + AVERAGE(Filter('Inflation Data'!$C:$C,'Inflation Data'!$A:$A = C$1))) + 'Fund YTD Contributions'!C41,'Fund YTD Contributions'!C41)"),0.0)</f>
        <v>0</v>
      </c>
      <c r="D41" s="170">
        <f>IFERROR(__xludf.DUMMYFUNCTION("IFERROR(C41 * (1 + AVERAGE(Filter('Inflation Data'!$C:$C,'Inflation Data'!$A:$A = D$1))) + 'Fund YTD Contributions'!D41,'Fund YTD Contributions'!D41)"),0.0)</f>
        <v>0</v>
      </c>
      <c r="E41" s="170">
        <f>IFERROR(__xludf.DUMMYFUNCTION("IFERROR(D41 * (1 + AVERAGE(Filter('Inflation Data'!$C:$C,'Inflation Data'!$A:$A = E$1))) + 'Fund YTD Contributions'!E41,'Fund YTD Contributions'!E41)"),0.0)</f>
        <v>0</v>
      </c>
      <c r="F41" s="170">
        <f>IFERROR(__xludf.DUMMYFUNCTION("IFERROR(E41 * (1 + AVERAGE(Filter('Inflation Data'!$C:$C,'Inflation Data'!$A:$A = F$1))) + 'Fund YTD Contributions'!F41,'Fund YTD Contributions'!F41)"),0.0)</f>
        <v>0</v>
      </c>
      <c r="G41" s="170">
        <f>IFERROR(__xludf.DUMMYFUNCTION("IFERROR(F41 * (1 + AVERAGE(Filter('Inflation Data'!$C:$C,'Inflation Data'!$A:$A = G$1))) + 'Fund YTD Contributions'!G41,'Fund YTD Contributions'!G41)"),0.0)</f>
        <v>0</v>
      </c>
      <c r="H41" s="170">
        <f>IFERROR(__xludf.DUMMYFUNCTION("IFERROR(G41 * (1 + AVERAGE(Filter('Inflation Data'!$C:$C,'Inflation Data'!$A:$A = H$1))) + 'Fund YTD Contributions'!H41,'Fund YTD Contributions'!H41)"),0.0)</f>
        <v>0</v>
      </c>
      <c r="I41" s="170">
        <f>IFERROR(__xludf.DUMMYFUNCTION("IFERROR(H41 * (1 + AVERAGE(Filter('Inflation Data'!$C:$C,'Inflation Data'!$A:$A = I$1))) + 'Fund YTD Contributions'!I41,'Fund YTD Contributions'!I41)"),0.0)</f>
        <v>0</v>
      </c>
      <c r="J41" s="170">
        <f>IFERROR(__xludf.DUMMYFUNCTION("IFERROR(I41 * (1 + AVERAGE(Filter('Inflation Data'!$C:$C,'Inflation Data'!$A:$A = J$1))) + 'Fund YTD Contributions'!J41,'Fund YTD Contributions'!J41)"),0.0)</f>
        <v>0</v>
      </c>
      <c r="K41" s="170">
        <f>IFERROR(__xludf.DUMMYFUNCTION("IFERROR(J41 * (1 + AVERAGE(Filter('Inflation Data'!$C:$C,'Inflation Data'!$A:$A = K$1))) + 'Fund YTD Contributions'!K41,'Fund YTD Contributions'!K41)"),0.0)</f>
        <v>0</v>
      </c>
      <c r="L41" s="170">
        <f>IFERROR(__xludf.DUMMYFUNCTION("IFERROR(K41 * (1 + AVERAGE(Filter('Inflation Data'!$C:$C,'Inflation Data'!$A:$A = L$1))) + 'Fund YTD Contributions'!L41,'Fund YTD Contributions'!L41)"),0.0)</f>
        <v>0</v>
      </c>
      <c r="M41" s="170">
        <f>IFERROR(__xludf.DUMMYFUNCTION("IFERROR(L41 * (1 + AVERAGE(Filter('Inflation Data'!$C:$C,'Inflation Data'!$A:$A = M$1))) + 'Fund YTD Contributions'!M41,'Fund YTD Contributions'!M41)"),0.0)</f>
        <v>0</v>
      </c>
      <c r="N41" s="170">
        <f>IFERROR(__xludf.DUMMYFUNCTION("IFERROR(M41 * (1 + AVERAGE(Filter('Inflation Data'!$C:$C,'Inflation Data'!$A:$A = N$1))) + 'Fund YTD Contributions'!N41,'Fund YTD Contributions'!N41)"),0.0)</f>
        <v>0</v>
      </c>
      <c r="O41" s="170">
        <f>IFERROR(__xludf.DUMMYFUNCTION("IFERROR(N41 * (1 + AVERAGE(Filter('Inflation Data'!$C:$C,'Inflation Data'!$A:$A = O$1))) + 'Fund YTD Contributions'!O41,'Fund YTD Contributions'!O41)"),0.0)</f>
        <v>0</v>
      </c>
      <c r="P41" s="170">
        <f>IFERROR(__xludf.DUMMYFUNCTION("IFERROR(O41 * (1 + AVERAGE(Filter('Inflation Data'!$C:$C,'Inflation Data'!$A:$A = P$1))) + 'Fund YTD Contributions'!P41,'Fund YTD Contributions'!P41)"),0.0)</f>
        <v>0</v>
      </c>
      <c r="Q41" s="170">
        <f>IFERROR(__xludf.DUMMYFUNCTION("IFERROR(P41 * (1 + AVERAGE(Filter('Inflation Data'!$C:$C,'Inflation Data'!$A:$A = Q$1))) + 'Fund YTD Contributions'!Q41,'Fund YTD Contributions'!Q41)"),0.0)</f>
        <v>0</v>
      </c>
      <c r="R41" s="170">
        <f>IFERROR(__xludf.DUMMYFUNCTION("IFERROR(Q41 * (1 + AVERAGE(Filter('Inflation Data'!$C:$C,'Inflation Data'!$A:$A = R$1))) + 'Fund YTD Contributions'!R41,'Fund YTD Contributions'!R41)"),0.0)</f>
        <v>0</v>
      </c>
      <c r="S41" s="170">
        <f>IFERROR(__xludf.DUMMYFUNCTION("IFERROR(R41 * (1 + AVERAGE(Filter('Inflation Data'!$C:$C,'Inflation Data'!$A:$A = S$1))) + 'Fund YTD Contributions'!S41,'Fund YTD Contributions'!S41)"),0.0)</f>
        <v>0</v>
      </c>
      <c r="T41" s="170">
        <f>IFERROR(__xludf.DUMMYFUNCTION("IFERROR(S41 * (1 + AVERAGE(Filter('Inflation Data'!$C:$C,'Inflation Data'!$A:$A = T$1))) + 'Fund YTD Contributions'!T41,'Fund YTD Contributions'!T41)"),0.0)</f>
        <v>0</v>
      </c>
      <c r="U41" s="170">
        <f>IFERROR(__xludf.DUMMYFUNCTION("IFERROR(T41 * (1 + AVERAGE(Filter('Inflation Data'!$C:$C,'Inflation Data'!$A:$A = U$1))) + 'Fund YTD Contributions'!U41,'Fund YTD Contributions'!U41)"),0.0)</f>
        <v>0</v>
      </c>
      <c r="V41" s="170">
        <f>IFERROR(__xludf.DUMMYFUNCTION("IFERROR(U41 * (1 + AVERAGE(Filter('Inflation Data'!$C:$C,'Inflation Data'!$A:$A = V$1))) + 'Fund YTD Contributions'!V41,'Fund YTD Contributions'!V41)"),0.0)</f>
        <v>0</v>
      </c>
      <c r="W41" s="170">
        <f>IFERROR(__xludf.DUMMYFUNCTION("IFERROR(V41 * (1 + AVERAGE(Filter('Inflation Data'!$C:$C,'Inflation Data'!$A:$A = W$1))) + 'Fund YTD Contributions'!W41,'Fund YTD Contributions'!W41)"),0.0)</f>
        <v>0</v>
      </c>
      <c r="X41" s="170">
        <f>IFERROR(__xludf.DUMMYFUNCTION("IFERROR(W41 * (1 + AVERAGE(Filter('Inflation Data'!$C:$C,'Inflation Data'!$A:$A = X$1))) + 'Fund YTD Contributions'!X41,'Fund YTD Contributions'!X41)"),0.0)</f>
        <v>0</v>
      </c>
      <c r="Y41" s="170">
        <f>IFERROR(__xludf.DUMMYFUNCTION("IFERROR(X41 * (1 + AVERAGE(Filter('Inflation Data'!$C:$C,'Inflation Data'!$A:$A = Y$1))) + 'Fund YTD Contributions'!Y41,'Fund YTD Contributions'!Y41)"),0.0)</f>
        <v>0</v>
      </c>
      <c r="Z41" s="170">
        <f>IFERROR(__xludf.DUMMYFUNCTION("IFERROR(Y41 * (1 + AVERAGE(Filter('Inflation Data'!$C:$C,'Inflation Data'!$A:$A = Z$1))) + 'Fund YTD Contributions'!Z41,'Fund YTD Contributions'!Z41)"),0.0)</f>
        <v>0</v>
      </c>
      <c r="AA41" s="170">
        <f>IFERROR(__xludf.DUMMYFUNCTION("IFERROR(Z41 * (1 + AVERAGE(Filter('Inflation Data'!$C:$C,'Inflation Data'!$A:$A = AA$1))) + 'Fund YTD Contributions'!AA41,'Fund YTD Contributions'!AA41)"),0.0)</f>
        <v>0</v>
      </c>
      <c r="AB41" s="170">
        <f>IFERROR(__xludf.DUMMYFUNCTION("IFERROR(AA41 * (1 + AVERAGE(Filter('Inflation Data'!$C:$C,'Inflation Data'!$A:$A = AB$1))) + 'Fund YTD Contributions'!AB41,'Fund YTD Contributions'!AB41)"),0.0)</f>
        <v>0</v>
      </c>
      <c r="AC41" s="170">
        <f>IFERROR(__xludf.DUMMYFUNCTION("IFERROR(AB41 * (1 + AVERAGE(Filter('Inflation Data'!$C:$C,'Inflation Data'!$A:$A = AC$1))) + 'Fund YTD Contributions'!AC41,'Fund YTD Contributions'!AC41)"),0.0)</f>
        <v>0</v>
      </c>
      <c r="AD41" s="170">
        <f>IFERROR(__xludf.DUMMYFUNCTION("IFERROR(AC41 * (1 + AVERAGE(Filter('Inflation Data'!$C:$C,'Inflation Data'!$A:$A = AD$1))) + 'Fund YTD Contributions'!AD41,'Fund YTD Contributions'!AD41)"),0.0)</f>
        <v>0</v>
      </c>
      <c r="AE41" s="170">
        <f>IFERROR(__xludf.DUMMYFUNCTION("IFERROR(AD41 * (1 + AVERAGE(Filter('Inflation Data'!$C:$C,'Inflation Data'!$A:$A = AE$1))) + 'Fund YTD Contributions'!AE41,'Fund YTD Contributions'!AE41)"),0.0)</f>
        <v>0</v>
      </c>
      <c r="AF41" s="170" t="str">
        <f>IFERROR(__xludf.DUMMYFUNCTION("IFERROR(AE41 * (1 + AVERAGE(Filter('Inflation Data'!$C:$C,'Inflation Data'!$A:$A = AF$1))) + 'Fund YTD Contributions'!AF41,'Fund YTD Contributions'!AF41)"),"")</f>
        <v/>
      </c>
    </row>
    <row r="42">
      <c r="A42" s="145" t="str">
        <f>'Endowed Funds'!B:B</f>
        <v/>
      </c>
      <c r="B42" s="170">
        <f>IFERROR(__xludf.DUMMYFUNCTION("IFERROR(A42 * (1 + AVERAGE(Filter('Inflation Data'!$C:$C,'Inflation Data'!$A:$A = B$1))) + 'Fund YTD Contributions'!B42,'Fund YTD Contributions'!B42)"),0.0)</f>
        <v>0</v>
      </c>
      <c r="C42" s="170">
        <f>IFERROR(__xludf.DUMMYFUNCTION("IFERROR(B42 * (1 + AVERAGE(Filter('Inflation Data'!$C:$C,'Inflation Data'!$A:$A = C$1))) + 'Fund YTD Contributions'!C42,'Fund YTD Contributions'!C42)"),0.0)</f>
        <v>0</v>
      </c>
      <c r="D42" s="170">
        <f>IFERROR(__xludf.DUMMYFUNCTION("IFERROR(C42 * (1 + AVERAGE(Filter('Inflation Data'!$C:$C,'Inflation Data'!$A:$A = D$1))) + 'Fund YTD Contributions'!D42,'Fund YTD Contributions'!D42)"),0.0)</f>
        <v>0</v>
      </c>
      <c r="E42" s="170">
        <f>IFERROR(__xludf.DUMMYFUNCTION("IFERROR(D42 * (1 + AVERAGE(Filter('Inflation Data'!$C:$C,'Inflation Data'!$A:$A = E$1))) + 'Fund YTD Contributions'!E42,'Fund YTD Contributions'!E42)"),0.0)</f>
        <v>0</v>
      </c>
      <c r="F42" s="170">
        <f>IFERROR(__xludf.DUMMYFUNCTION("IFERROR(E42 * (1 + AVERAGE(Filter('Inflation Data'!$C:$C,'Inflation Data'!$A:$A = F$1))) + 'Fund YTD Contributions'!F42,'Fund YTD Contributions'!F42)"),0.0)</f>
        <v>0</v>
      </c>
      <c r="G42" s="170">
        <f>IFERROR(__xludf.DUMMYFUNCTION("IFERROR(F42 * (1 + AVERAGE(Filter('Inflation Data'!$C:$C,'Inflation Data'!$A:$A = G$1))) + 'Fund YTD Contributions'!G42,'Fund YTD Contributions'!G42)"),0.0)</f>
        <v>0</v>
      </c>
      <c r="H42" s="170">
        <f>IFERROR(__xludf.DUMMYFUNCTION("IFERROR(G42 * (1 + AVERAGE(Filter('Inflation Data'!$C:$C,'Inflation Data'!$A:$A = H$1))) + 'Fund YTD Contributions'!H42,'Fund YTD Contributions'!H42)"),0.0)</f>
        <v>0</v>
      </c>
      <c r="I42" s="170">
        <f>IFERROR(__xludf.DUMMYFUNCTION("IFERROR(H42 * (1 + AVERAGE(Filter('Inflation Data'!$C:$C,'Inflation Data'!$A:$A = I$1))) + 'Fund YTD Contributions'!I42,'Fund YTD Contributions'!I42)"),0.0)</f>
        <v>0</v>
      </c>
      <c r="J42" s="170">
        <f>IFERROR(__xludf.DUMMYFUNCTION("IFERROR(I42 * (1 + AVERAGE(Filter('Inflation Data'!$C:$C,'Inflation Data'!$A:$A = J$1))) + 'Fund YTD Contributions'!J42,'Fund YTD Contributions'!J42)"),0.0)</f>
        <v>0</v>
      </c>
      <c r="K42" s="170">
        <f>IFERROR(__xludf.DUMMYFUNCTION("IFERROR(J42 * (1 + AVERAGE(Filter('Inflation Data'!$C:$C,'Inflation Data'!$A:$A = K$1))) + 'Fund YTD Contributions'!K42,'Fund YTD Contributions'!K42)"),0.0)</f>
        <v>0</v>
      </c>
      <c r="L42" s="170">
        <f>IFERROR(__xludf.DUMMYFUNCTION("IFERROR(K42 * (1 + AVERAGE(Filter('Inflation Data'!$C:$C,'Inflation Data'!$A:$A = L$1))) + 'Fund YTD Contributions'!L42,'Fund YTD Contributions'!L42)"),0.0)</f>
        <v>0</v>
      </c>
      <c r="M42" s="170">
        <f>IFERROR(__xludf.DUMMYFUNCTION("IFERROR(L42 * (1 + AVERAGE(Filter('Inflation Data'!$C:$C,'Inflation Data'!$A:$A = M$1))) + 'Fund YTD Contributions'!M42,'Fund YTD Contributions'!M42)"),0.0)</f>
        <v>0</v>
      </c>
      <c r="N42" s="170">
        <f>IFERROR(__xludf.DUMMYFUNCTION("IFERROR(M42 * (1 + AVERAGE(Filter('Inflation Data'!$C:$C,'Inflation Data'!$A:$A = N$1))) + 'Fund YTD Contributions'!N42,'Fund YTD Contributions'!N42)"),0.0)</f>
        <v>0</v>
      </c>
      <c r="O42" s="170">
        <f>IFERROR(__xludf.DUMMYFUNCTION("IFERROR(N42 * (1 + AVERAGE(Filter('Inflation Data'!$C:$C,'Inflation Data'!$A:$A = O$1))) + 'Fund YTD Contributions'!O42,'Fund YTD Contributions'!O42)"),0.0)</f>
        <v>0</v>
      </c>
      <c r="P42" s="170">
        <f>IFERROR(__xludf.DUMMYFUNCTION("IFERROR(O42 * (1 + AVERAGE(Filter('Inflation Data'!$C:$C,'Inflation Data'!$A:$A = P$1))) + 'Fund YTD Contributions'!P42,'Fund YTD Contributions'!P42)"),0.0)</f>
        <v>0</v>
      </c>
      <c r="Q42" s="170">
        <f>IFERROR(__xludf.DUMMYFUNCTION("IFERROR(P42 * (1 + AVERAGE(Filter('Inflation Data'!$C:$C,'Inflation Data'!$A:$A = Q$1))) + 'Fund YTD Contributions'!Q42,'Fund YTD Contributions'!Q42)"),0.0)</f>
        <v>0</v>
      </c>
      <c r="R42" s="170">
        <f>IFERROR(__xludf.DUMMYFUNCTION("IFERROR(Q42 * (1 + AVERAGE(Filter('Inflation Data'!$C:$C,'Inflation Data'!$A:$A = R$1))) + 'Fund YTD Contributions'!R42,'Fund YTD Contributions'!R42)"),0.0)</f>
        <v>0</v>
      </c>
      <c r="S42" s="170">
        <f>IFERROR(__xludf.DUMMYFUNCTION("IFERROR(R42 * (1 + AVERAGE(Filter('Inflation Data'!$C:$C,'Inflation Data'!$A:$A = S$1))) + 'Fund YTD Contributions'!S42,'Fund YTD Contributions'!S42)"),0.0)</f>
        <v>0</v>
      </c>
      <c r="T42" s="170">
        <f>IFERROR(__xludf.DUMMYFUNCTION("IFERROR(S42 * (1 + AVERAGE(Filter('Inflation Data'!$C:$C,'Inflation Data'!$A:$A = T$1))) + 'Fund YTD Contributions'!T42,'Fund YTD Contributions'!T42)"),0.0)</f>
        <v>0</v>
      </c>
      <c r="U42" s="170">
        <f>IFERROR(__xludf.DUMMYFUNCTION("IFERROR(T42 * (1 + AVERAGE(Filter('Inflation Data'!$C:$C,'Inflation Data'!$A:$A = U$1))) + 'Fund YTD Contributions'!U42,'Fund YTD Contributions'!U42)"),0.0)</f>
        <v>0</v>
      </c>
      <c r="V42" s="170">
        <f>IFERROR(__xludf.DUMMYFUNCTION("IFERROR(U42 * (1 + AVERAGE(Filter('Inflation Data'!$C:$C,'Inflation Data'!$A:$A = V$1))) + 'Fund YTD Contributions'!V42,'Fund YTD Contributions'!V42)"),0.0)</f>
        <v>0</v>
      </c>
      <c r="W42" s="170">
        <f>IFERROR(__xludf.DUMMYFUNCTION("IFERROR(V42 * (1 + AVERAGE(Filter('Inflation Data'!$C:$C,'Inflation Data'!$A:$A = W$1))) + 'Fund YTD Contributions'!W42,'Fund YTD Contributions'!W42)"),0.0)</f>
        <v>0</v>
      </c>
      <c r="X42" s="170">
        <f>IFERROR(__xludf.DUMMYFUNCTION("IFERROR(W42 * (1 + AVERAGE(Filter('Inflation Data'!$C:$C,'Inflation Data'!$A:$A = X$1))) + 'Fund YTD Contributions'!X42,'Fund YTD Contributions'!X42)"),0.0)</f>
        <v>0</v>
      </c>
      <c r="Y42" s="170">
        <f>IFERROR(__xludf.DUMMYFUNCTION("IFERROR(X42 * (1 + AVERAGE(Filter('Inflation Data'!$C:$C,'Inflation Data'!$A:$A = Y$1))) + 'Fund YTD Contributions'!Y42,'Fund YTD Contributions'!Y42)"),0.0)</f>
        <v>0</v>
      </c>
      <c r="Z42" s="170">
        <f>IFERROR(__xludf.DUMMYFUNCTION("IFERROR(Y42 * (1 + AVERAGE(Filter('Inflation Data'!$C:$C,'Inflation Data'!$A:$A = Z$1))) + 'Fund YTD Contributions'!Z42,'Fund YTD Contributions'!Z42)"),0.0)</f>
        <v>0</v>
      </c>
      <c r="AA42" s="170">
        <f>IFERROR(__xludf.DUMMYFUNCTION("IFERROR(Z42 * (1 + AVERAGE(Filter('Inflation Data'!$C:$C,'Inflation Data'!$A:$A = AA$1))) + 'Fund YTD Contributions'!AA42,'Fund YTD Contributions'!AA42)"),0.0)</f>
        <v>0</v>
      </c>
      <c r="AB42" s="170">
        <f>IFERROR(__xludf.DUMMYFUNCTION("IFERROR(AA42 * (1 + AVERAGE(Filter('Inflation Data'!$C:$C,'Inflation Data'!$A:$A = AB$1))) + 'Fund YTD Contributions'!AB42,'Fund YTD Contributions'!AB42)"),0.0)</f>
        <v>0</v>
      </c>
      <c r="AC42" s="170">
        <f>IFERROR(__xludf.DUMMYFUNCTION("IFERROR(AB42 * (1 + AVERAGE(Filter('Inflation Data'!$C:$C,'Inflation Data'!$A:$A = AC$1))) + 'Fund YTD Contributions'!AC42,'Fund YTD Contributions'!AC42)"),0.0)</f>
        <v>0</v>
      </c>
      <c r="AD42" s="170">
        <f>IFERROR(__xludf.DUMMYFUNCTION("IFERROR(AC42 * (1 + AVERAGE(Filter('Inflation Data'!$C:$C,'Inflation Data'!$A:$A = AD$1))) + 'Fund YTD Contributions'!AD42,'Fund YTD Contributions'!AD42)"),0.0)</f>
        <v>0</v>
      </c>
      <c r="AE42" s="170">
        <f>IFERROR(__xludf.DUMMYFUNCTION("IFERROR(AD42 * (1 + AVERAGE(Filter('Inflation Data'!$C:$C,'Inflation Data'!$A:$A = AE$1))) + 'Fund YTD Contributions'!AE42,'Fund YTD Contributions'!AE42)"),0.0)</f>
        <v>0</v>
      </c>
      <c r="AF42" s="170" t="str">
        <f>IFERROR(__xludf.DUMMYFUNCTION("IFERROR(AE42 * (1 + AVERAGE(Filter('Inflation Data'!$C:$C,'Inflation Data'!$A:$A = AF$1))) + 'Fund YTD Contributions'!AF42,'Fund YTD Contributions'!AF42)"),"")</f>
        <v/>
      </c>
    </row>
    <row r="43">
      <c r="A43" s="145" t="str">
        <f>'Endowed Funds'!B:B</f>
        <v/>
      </c>
      <c r="B43" s="170">
        <f>IFERROR(__xludf.DUMMYFUNCTION("IFERROR(A43 * (1 + AVERAGE(Filter('Inflation Data'!$C:$C,'Inflation Data'!$A:$A = B$1))) + 'Fund YTD Contributions'!B43,'Fund YTD Contributions'!B43)"),0.0)</f>
        <v>0</v>
      </c>
      <c r="C43" s="170">
        <f>IFERROR(__xludf.DUMMYFUNCTION("IFERROR(B43 * (1 + AVERAGE(Filter('Inflation Data'!$C:$C,'Inflation Data'!$A:$A = C$1))) + 'Fund YTD Contributions'!C43,'Fund YTD Contributions'!C43)"),0.0)</f>
        <v>0</v>
      </c>
      <c r="D43" s="170">
        <f>IFERROR(__xludf.DUMMYFUNCTION("IFERROR(C43 * (1 + AVERAGE(Filter('Inflation Data'!$C:$C,'Inflation Data'!$A:$A = D$1))) + 'Fund YTD Contributions'!D43,'Fund YTD Contributions'!D43)"),0.0)</f>
        <v>0</v>
      </c>
      <c r="E43" s="170">
        <f>IFERROR(__xludf.DUMMYFUNCTION("IFERROR(D43 * (1 + AVERAGE(Filter('Inflation Data'!$C:$C,'Inflation Data'!$A:$A = E$1))) + 'Fund YTD Contributions'!E43,'Fund YTD Contributions'!E43)"),0.0)</f>
        <v>0</v>
      </c>
      <c r="F43" s="170">
        <f>IFERROR(__xludf.DUMMYFUNCTION("IFERROR(E43 * (1 + AVERAGE(Filter('Inflation Data'!$C:$C,'Inflation Data'!$A:$A = F$1))) + 'Fund YTD Contributions'!F43,'Fund YTD Contributions'!F43)"),0.0)</f>
        <v>0</v>
      </c>
      <c r="G43" s="170">
        <f>IFERROR(__xludf.DUMMYFUNCTION("IFERROR(F43 * (1 + AVERAGE(Filter('Inflation Data'!$C:$C,'Inflation Data'!$A:$A = G$1))) + 'Fund YTD Contributions'!G43,'Fund YTD Contributions'!G43)"),0.0)</f>
        <v>0</v>
      </c>
      <c r="H43" s="170">
        <f>IFERROR(__xludf.DUMMYFUNCTION("IFERROR(G43 * (1 + AVERAGE(Filter('Inflation Data'!$C:$C,'Inflation Data'!$A:$A = H$1))) + 'Fund YTD Contributions'!H43,'Fund YTD Contributions'!H43)"),0.0)</f>
        <v>0</v>
      </c>
      <c r="I43" s="170">
        <f>IFERROR(__xludf.DUMMYFUNCTION("IFERROR(H43 * (1 + AVERAGE(Filter('Inflation Data'!$C:$C,'Inflation Data'!$A:$A = I$1))) + 'Fund YTD Contributions'!I43,'Fund YTD Contributions'!I43)"),0.0)</f>
        <v>0</v>
      </c>
      <c r="J43" s="170">
        <f>IFERROR(__xludf.DUMMYFUNCTION("IFERROR(I43 * (1 + AVERAGE(Filter('Inflation Data'!$C:$C,'Inflation Data'!$A:$A = J$1))) + 'Fund YTD Contributions'!J43,'Fund YTD Contributions'!J43)"),0.0)</f>
        <v>0</v>
      </c>
      <c r="K43" s="170">
        <f>IFERROR(__xludf.DUMMYFUNCTION("IFERROR(J43 * (1 + AVERAGE(Filter('Inflation Data'!$C:$C,'Inflation Data'!$A:$A = K$1))) + 'Fund YTD Contributions'!K43,'Fund YTD Contributions'!K43)"),0.0)</f>
        <v>0</v>
      </c>
      <c r="L43" s="170">
        <f>IFERROR(__xludf.DUMMYFUNCTION("IFERROR(K43 * (1 + AVERAGE(Filter('Inflation Data'!$C:$C,'Inflation Data'!$A:$A = L$1))) + 'Fund YTD Contributions'!L43,'Fund YTD Contributions'!L43)"),0.0)</f>
        <v>0</v>
      </c>
      <c r="M43" s="170">
        <f>IFERROR(__xludf.DUMMYFUNCTION("IFERROR(L43 * (1 + AVERAGE(Filter('Inflation Data'!$C:$C,'Inflation Data'!$A:$A = M$1))) + 'Fund YTD Contributions'!M43,'Fund YTD Contributions'!M43)"),0.0)</f>
        <v>0</v>
      </c>
      <c r="N43" s="170">
        <f>IFERROR(__xludf.DUMMYFUNCTION("IFERROR(M43 * (1 + AVERAGE(Filter('Inflation Data'!$C:$C,'Inflation Data'!$A:$A = N$1))) + 'Fund YTD Contributions'!N43,'Fund YTD Contributions'!N43)"),0.0)</f>
        <v>0</v>
      </c>
      <c r="O43" s="170">
        <f>IFERROR(__xludf.DUMMYFUNCTION("IFERROR(N43 * (1 + AVERAGE(Filter('Inflation Data'!$C:$C,'Inflation Data'!$A:$A = O$1))) + 'Fund YTD Contributions'!O43,'Fund YTD Contributions'!O43)"),0.0)</f>
        <v>0</v>
      </c>
      <c r="P43" s="170">
        <f>IFERROR(__xludf.DUMMYFUNCTION("IFERROR(O43 * (1 + AVERAGE(Filter('Inflation Data'!$C:$C,'Inflation Data'!$A:$A = P$1))) + 'Fund YTD Contributions'!P43,'Fund YTD Contributions'!P43)"),0.0)</f>
        <v>0</v>
      </c>
      <c r="Q43" s="170">
        <f>IFERROR(__xludf.DUMMYFUNCTION("IFERROR(P43 * (1 + AVERAGE(Filter('Inflation Data'!$C:$C,'Inflation Data'!$A:$A = Q$1))) + 'Fund YTD Contributions'!Q43,'Fund YTD Contributions'!Q43)"),0.0)</f>
        <v>0</v>
      </c>
      <c r="R43" s="170">
        <f>IFERROR(__xludf.DUMMYFUNCTION("IFERROR(Q43 * (1 + AVERAGE(Filter('Inflation Data'!$C:$C,'Inflation Data'!$A:$A = R$1))) + 'Fund YTD Contributions'!R43,'Fund YTD Contributions'!R43)"),0.0)</f>
        <v>0</v>
      </c>
      <c r="S43" s="170">
        <f>IFERROR(__xludf.DUMMYFUNCTION("IFERROR(R43 * (1 + AVERAGE(Filter('Inflation Data'!$C:$C,'Inflation Data'!$A:$A = S$1))) + 'Fund YTD Contributions'!S43,'Fund YTD Contributions'!S43)"),0.0)</f>
        <v>0</v>
      </c>
      <c r="T43" s="170">
        <f>IFERROR(__xludf.DUMMYFUNCTION("IFERROR(S43 * (1 + AVERAGE(Filter('Inflation Data'!$C:$C,'Inflation Data'!$A:$A = T$1))) + 'Fund YTD Contributions'!T43,'Fund YTD Contributions'!T43)"),0.0)</f>
        <v>0</v>
      </c>
      <c r="U43" s="170">
        <f>IFERROR(__xludf.DUMMYFUNCTION("IFERROR(T43 * (1 + AVERAGE(Filter('Inflation Data'!$C:$C,'Inflation Data'!$A:$A = U$1))) + 'Fund YTD Contributions'!U43,'Fund YTD Contributions'!U43)"),0.0)</f>
        <v>0</v>
      </c>
      <c r="V43" s="170">
        <f>IFERROR(__xludf.DUMMYFUNCTION("IFERROR(U43 * (1 + AVERAGE(Filter('Inflation Data'!$C:$C,'Inflation Data'!$A:$A = V$1))) + 'Fund YTD Contributions'!V43,'Fund YTD Contributions'!V43)"),0.0)</f>
        <v>0</v>
      </c>
      <c r="W43" s="170">
        <f>IFERROR(__xludf.DUMMYFUNCTION("IFERROR(V43 * (1 + AVERAGE(Filter('Inflation Data'!$C:$C,'Inflation Data'!$A:$A = W$1))) + 'Fund YTD Contributions'!W43,'Fund YTD Contributions'!W43)"),0.0)</f>
        <v>0</v>
      </c>
      <c r="X43" s="170">
        <f>IFERROR(__xludf.DUMMYFUNCTION("IFERROR(W43 * (1 + AVERAGE(Filter('Inflation Data'!$C:$C,'Inflation Data'!$A:$A = X$1))) + 'Fund YTD Contributions'!X43,'Fund YTD Contributions'!X43)"),0.0)</f>
        <v>0</v>
      </c>
      <c r="Y43" s="170">
        <f>IFERROR(__xludf.DUMMYFUNCTION("IFERROR(X43 * (1 + AVERAGE(Filter('Inflation Data'!$C:$C,'Inflation Data'!$A:$A = Y$1))) + 'Fund YTD Contributions'!Y43,'Fund YTD Contributions'!Y43)"),0.0)</f>
        <v>0</v>
      </c>
      <c r="Z43" s="170">
        <f>IFERROR(__xludf.DUMMYFUNCTION("IFERROR(Y43 * (1 + AVERAGE(Filter('Inflation Data'!$C:$C,'Inflation Data'!$A:$A = Z$1))) + 'Fund YTD Contributions'!Z43,'Fund YTD Contributions'!Z43)"),0.0)</f>
        <v>0</v>
      </c>
      <c r="AA43" s="170">
        <f>IFERROR(__xludf.DUMMYFUNCTION("IFERROR(Z43 * (1 + AVERAGE(Filter('Inflation Data'!$C:$C,'Inflation Data'!$A:$A = AA$1))) + 'Fund YTD Contributions'!AA43,'Fund YTD Contributions'!AA43)"),0.0)</f>
        <v>0</v>
      </c>
      <c r="AB43" s="170">
        <f>IFERROR(__xludf.DUMMYFUNCTION("IFERROR(AA43 * (1 + AVERAGE(Filter('Inflation Data'!$C:$C,'Inflation Data'!$A:$A = AB$1))) + 'Fund YTD Contributions'!AB43,'Fund YTD Contributions'!AB43)"),0.0)</f>
        <v>0</v>
      </c>
      <c r="AC43" s="170">
        <f>IFERROR(__xludf.DUMMYFUNCTION("IFERROR(AB43 * (1 + AVERAGE(Filter('Inflation Data'!$C:$C,'Inflation Data'!$A:$A = AC$1))) + 'Fund YTD Contributions'!AC43,'Fund YTD Contributions'!AC43)"),0.0)</f>
        <v>0</v>
      </c>
      <c r="AD43" s="170">
        <f>IFERROR(__xludf.DUMMYFUNCTION("IFERROR(AC43 * (1 + AVERAGE(Filter('Inflation Data'!$C:$C,'Inflation Data'!$A:$A = AD$1))) + 'Fund YTD Contributions'!AD43,'Fund YTD Contributions'!AD43)"),0.0)</f>
        <v>0</v>
      </c>
      <c r="AE43" s="170">
        <f>IFERROR(__xludf.DUMMYFUNCTION("IFERROR(AD43 * (1 + AVERAGE(Filter('Inflation Data'!$C:$C,'Inflation Data'!$A:$A = AE$1))) + 'Fund YTD Contributions'!AE43,'Fund YTD Contributions'!AE43)"),0.0)</f>
        <v>0</v>
      </c>
      <c r="AF43" s="170" t="str">
        <f>IFERROR(__xludf.DUMMYFUNCTION("IFERROR(AE43 * (1 + AVERAGE(Filter('Inflation Data'!$C:$C,'Inflation Data'!$A:$A = AF$1))) + 'Fund YTD Contributions'!AF43,'Fund YTD Contributions'!AF43)"),"")</f>
        <v/>
      </c>
    </row>
    <row r="44">
      <c r="A44" s="145" t="str">
        <f>'Endowed Funds'!B:B</f>
        <v/>
      </c>
      <c r="B44" s="170">
        <f>IFERROR(__xludf.DUMMYFUNCTION("IFERROR(A44 * (1 + AVERAGE(Filter('Inflation Data'!$C:$C,'Inflation Data'!$A:$A = B$1))) + 'Fund YTD Contributions'!B44,'Fund YTD Contributions'!B44)"),0.0)</f>
        <v>0</v>
      </c>
      <c r="C44" s="170">
        <f>IFERROR(__xludf.DUMMYFUNCTION("IFERROR(B44 * (1 + AVERAGE(Filter('Inflation Data'!$C:$C,'Inflation Data'!$A:$A = C$1))) + 'Fund YTD Contributions'!C44,'Fund YTD Contributions'!C44)"),0.0)</f>
        <v>0</v>
      </c>
      <c r="D44" s="170">
        <f>IFERROR(__xludf.DUMMYFUNCTION("IFERROR(C44 * (1 + AVERAGE(Filter('Inflation Data'!$C:$C,'Inflation Data'!$A:$A = D$1))) + 'Fund YTD Contributions'!D44,'Fund YTD Contributions'!D44)"),0.0)</f>
        <v>0</v>
      </c>
      <c r="E44" s="170">
        <f>IFERROR(__xludf.DUMMYFUNCTION("IFERROR(D44 * (1 + AVERAGE(Filter('Inflation Data'!$C:$C,'Inflation Data'!$A:$A = E$1))) + 'Fund YTD Contributions'!E44,'Fund YTD Contributions'!E44)"),0.0)</f>
        <v>0</v>
      </c>
      <c r="F44" s="170">
        <f>IFERROR(__xludf.DUMMYFUNCTION("IFERROR(E44 * (1 + AVERAGE(Filter('Inflation Data'!$C:$C,'Inflation Data'!$A:$A = F$1))) + 'Fund YTD Contributions'!F44,'Fund YTD Contributions'!F44)"),0.0)</f>
        <v>0</v>
      </c>
      <c r="G44" s="170">
        <f>IFERROR(__xludf.DUMMYFUNCTION("IFERROR(F44 * (1 + AVERAGE(Filter('Inflation Data'!$C:$C,'Inflation Data'!$A:$A = G$1))) + 'Fund YTD Contributions'!G44,'Fund YTD Contributions'!G44)"),0.0)</f>
        <v>0</v>
      </c>
      <c r="H44" s="170">
        <f>IFERROR(__xludf.DUMMYFUNCTION("IFERROR(G44 * (1 + AVERAGE(Filter('Inflation Data'!$C:$C,'Inflation Data'!$A:$A = H$1))) + 'Fund YTD Contributions'!H44,'Fund YTD Contributions'!H44)"),0.0)</f>
        <v>0</v>
      </c>
      <c r="I44" s="170">
        <f>IFERROR(__xludf.DUMMYFUNCTION("IFERROR(H44 * (1 + AVERAGE(Filter('Inflation Data'!$C:$C,'Inflation Data'!$A:$A = I$1))) + 'Fund YTD Contributions'!I44,'Fund YTD Contributions'!I44)"),0.0)</f>
        <v>0</v>
      </c>
      <c r="J44" s="170">
        <f>IFERROR(__xludf.DUMMYFUNCTION("IFERROR(I44 * (1 + AVERAGE(Filter('Inflation Data'!$C:$C,'Inflation Data'!$A:$A = J$1))) + 'Fund YTD Contributions'!J44,'Fund YTD Contributions'!J44)"),0.0)</f>
        <v>0</v>
      </c>
      <c r="K44" s="170">
        <f>IFERROR(__xludf.DUMMYFUNCTION("IFERROR(J44 * (1 + AVERAGE(Filter('Inflation Data'!$C:$C,'Inflation Data'!$A:$A = K$1))) + 'Fund YTD Contributions'!K44,'Fund YTD Contributions'!K44)"),0.0)</f>
        <v>0</v>
      </c>
      <c r="L44" s="170">
        <f>IFERROR(__xludf.DUMMYFUNCTION("IFERROR(K44 * (1 + AVERAGE(Filter('Inflation Data'!$C:$C,'Inflation Data'!$A:$A = L$1))) + 'Fund YTD Contributions'!L44,'Fund YTD Contributions'!L44)"),0.0)</f>
        <v>0</v>
      </c>
      <c r="M44" s="170">
        <f>IFERROR(__xludf.DUMMYFUNCTION("IFERROR(L44 * (1 + AVERAGE(Filter('Inflation Data'!$C:$C,'Inflation Data'!$A:$A = M$1))) + 'Fund YTD Contributions'!M44,'Fund YTD Contributions'!M44)"),0.0)</f>
        <v>0</v>
      </c>
      <c r="N44" s="170">
        <f>IFERROR(__xludf.DUMMYFUNCTION("IFERROR(M44 * (1 + AVERAGE(Filter('Inflation Data'!$C:$C,'Inflation Data'!$A:$A = N$1))) + 'Fund YTD Contributions'!N44,'Fund YTD Contributions'!N44)"),0.0)</f>
        <v>0</v>
      </c>
      <c r="O44" s="170">
        <f>IFERROR(__xludf.DUMMYFUNCTION("IFERROR(N44 * (1 + AVERAGE(Filter('Inflation Data'!$C:$C,'Inflation Data'!$A:$A = O$1))) + 'Fund YTD Contributions'!O44,'Fund YTD Contributions'!O44)"),0.0)</f>
        <v>0</v>
      </c>
      <c r="P44" s="170">
        <f>IFERROR(__xludf.DUMMYFUNCTION("IFERROR(O44 * (1 + AVERAGE(Filter('Inflation Data'!$C:$C,'Inflation Data'!$A:$A = P$1))) + 'Fund YTD Contributions'!P44,'Fund YTD Contributions'!P44)"),0.0)</f>
        <v>0</v>
      </c>
      <c r="Q44" s="170">
        <f>IFERROR(__xludf.DUMMYFUNCTION("IFERROR(P44 * (1 + AVERAGE(Filter('Inflation Data'!$C:$C,'Inflation Data'!$A:$A = Q$1))) + 'Fund YTD Contributions'!Q44,'Fund YTD Contributions'!Q44)"),0.0)</f>
        <v>0</v>
      </c>
      <c r="R44" s="170">
        <f>IFERROR(__xludf.DUMMYFUNCTION("IFERROR(Q44 * (1 + AVERAGE(Filter('Inflation Data'!$C:$C,'Inflation Data'!$A:$A = R$1))) + 'Fund YTD Contributions'!R44,'Fund YTD Contributions'!R44)"),0.0)</f>
        <v>0</v>
      </c>
      <c r="S44" s="170">
        <f>IFERROR(__xludf.DUMMYFUNCTION("IFERROR(R44 * (1 + AVERAGE(Filter('Inflation Data'!$C:$C,'Inflation Data'!$A:$A = S$1))) + 'Fund YTD Contributions'!S44,'Fund YTD Contributions'!S44)"),0.0)</f>
        <v>0</v>
      </c>
      <c r="T44" s="170">
        <f>IFERROR(__xludf.DUMMYFUNCTION("IFERROR(S44 * (1 + AVERAGE(Filter('Inflation Data'!$C:$C,'Inflation Data'!$A:$A = T$1))) + 'Fund YTD Contributions'!T44,'Fund YTD Contributions'!T44)"),0.0)</f>
        <v>0</v>
      </c>
      <c r="U44" s="170">
        <f>IFERROR(__xludf.DUMMYFUNCTION("IFERROR(T44 * (1 + AVERAGE(Filter('Inflation Data'!$C:$C,'Inflation Data'!$A:$A = U$1))) + 'Fund YTD Contributions'!U44,'Fund YTD Contributions'!U44)"),0.0)</f>
        <v>0</v>
      </c>
      <c r="V44" s="170">
        <f>IFERROR(__xludf.DUMMYFUNCTION("IFERROR(U44 * (1 + AVERAGE(Filter('Inflation Data'!$C:$C,'Inflation Data'!$A:$A = V$1))) + 'Fund YTD Contributions'!V44,'Fund YTD Contributions'!V44)"),0.0)</f>
        <v>0</v>
      </c>
      <c r="W44" s="170">
        <f>IFERROR(__xludf.DUMMYFUNCTION("IFERROR(V44 * (1 + AVERAGE(Filter('Inflation Data'!$C:$C,'Inflation Data'!$A:$A = W$1))) + 'Fund YTD Contributions'!W44,'Fund YTD Contributions'!W44)"),0.0)</f>
        <v>0</v>
      </c>
      <c r="X44" s="170">
        <f>IFERROR(__xludf.DUMMYFUNCTION("IFERROR(W44 * (1 + AVERAGE(Filter('Inflation Data'!$C:$C,'Inflation Data'!$A:$A = X$1))) + 'Fund YTD Contributions'!X44,'Fund YTD Contributions'!X44)"),0.0)</f>
        <v>0</v>
      </c>
      <c r="Y44" s="170">
        <f>IFERROR(__xludf.DUMMYFUNCTION("IFERROR(X44 * (1 + AVERAGE(Filter('Inflation Data'!$C:$C,'Inflation Data'!$A:$A = Y$1))) + 'Fund YTD Contributions'!Y44,'Fund YTD Contributions'!Y44)"),0.0)</f>
        <v>0</v>
      </c>
      <c r="Z44" s="170">
        <f>IFERROR(__xludf.DUMMYFUNCTION("IFERROR(Y44 * (1 + AVERAGE(Filter('Inflation Data'!$C:$C,'Inflation Data'!$A:$A = Z$1))) + 'Fund YTD Contributions'!Z44,'Fund YTD Contributions'!Z44)"),0.0)</f>
        <v>0</v>
      </c>
      <c r="AA44" s="170">
        <f>IFERROR(__xludf.DUMMYFUNCTION("IFERROR(Z44 * (1 + AVERAGE(Filter('Inflation Data'!$C:$C,'Inflation Data'!$A:$A = AA$1))) + 'Fund YTD Contributions'!AA44,'Fund YTD Contributions'!AA44)"),0.0)</f>
        <v>0</v>
      </c>
      <c r="AB44" s="170">
        <f>IFERROR(__xludf.DUMMYFUNCTION("IFERROR(AA44 * (1 + AVERAGE(Filter('Inflation Data'!$C:$C,'Inflation Data'!$A:$A = AB$1))) + 'Fund YTD Contributions'!AB44,'Fund YTD Contributions'!AB44)"),0.0)</f>
        <v>0</v>
      </c>
      <c r="AC44" s="170">
        <f>IFERROR(__xludf.DUMMYFUNCTION("IFERROR(AB44 * (1 + AVERAGE(Filter('Inflation Data'!$C:$C,'Inflation Data'!$A:$A = AC$1))) + 'Fund YTD Contributions'!AC44,'Fund YTD Contributions'!AC44)"),0.0)</f>
        <v>0</v>
      </c>
      <c r="AD44" s="170">
        <f>IFERROR(__xludf.DUMMYFUNCTION("IFERROR(AC44 * (1 + AVERAGE(Filter('Inflation Data'!$C:$C,'Inflation Data'!$A:$A = AD$1))) + 'Fund YTD Contributions'!AD44,'Fund YTD Contributions'!AD44)"),0.0)</f>
        <v>0</v>
      </c>
      <c r="AE44" s="170">
        <f>IFERROR(__xludf.DUMMYFUNCTION("IFERROR(AD44 * (1 + AVERAGE(Filter('Inflation Data'!$C:$C,'Inflation Data'!$A:$A = AE$1))) + 'Fund YTD Contributions'!AE44,'Fund YTD Contributions'!AE44)"),0.0)</f>
        <v>0</v>
      </c>
      <c r="AF44" s="170" t="str">
        <f>IFERROR(__xludf.DUMMYFUNCTION("IFERROR(AE44 * (1 + AVERAGE(Filter('Inflation Data'!$C:$C,'Inflation Data'!$A:$A = AF$1))) + 'Fund YTD Contributions'!AF44,'Fund YTD Contributions'!AF44)"),"")</f>
        <v/>
      </c>
    </row>
    <row r="45">
      <c r="A45" s="145" t="str">
        <f>'Endowed Funds'!B:B</f>
        <v/>
      </c>
      <c r="B45" s="170">
        <f>IFERROR(__xludf.DUMMYFUNCTION("IFERROR(A45 * (1 + AVERAGE(Filter('Inflation Data'!$C:$C,'Inflation Data'!$A:$A = B$1))) + 'Fund YTD Contributions'!B45,'Fund YTD Contributions'!B45)"),0.0)</f>
        <v>0</v>
      </c>
      <c r="C45" s="170">
        <f>IFERROR(__xludf.DUMMYFUNCTION("IFERROR(B45 * (1 + AVERAGE(Filter('Inflation Data'!$C:$C,'Inflation Data'!$A:$A = C$1))) + 'Fund YTD Contributions'!C45,'Fund YTD Contributions'!C45)"),0.0)</f>
        <v>0</v>
      </c>
      <c r="D45" s="170">
        <f>IFERROR(__xludf.DUMMYFUNCTION("IFERROR(C45 * (1 + AVERAGE(Filter('Inflation Data'!$C:$C,'Inflation Data'!$A:$A = D$1))) + 'Fund YTD Contributions'!D45,'Fund YTD Contributions'!D45)"),0.0)</f>
        <v>0</v>
      </c>
      <c r="E45" s="170">
        <f>IFERROR(__xludf.DUMMYFUNCTION("IFERROR(D45 * (1 + AVERAGE(Filter('Inflation Data'!$C:$C,'Inflation Data'!$A:$A = E$1))) + 'Fund YTD Contributions'!E45,'Fund YTD Contributions'!E45)"),0.0)</f>
        <v>0</v>
      </c>
      <c r="F45" s="170">
        <f>IFERROR(__xludf.DUMMYFUNCTION("IFERROR(E45 * (1 + AVERAGE(Filter('Inflation Data'!$C:$C,'Inflation Data'!$A:$A = F$1))) + 'Fund YTD Contributions'!F45,'Fund YTD Contributions'!F45)"),0.0)</f>
        <v>0</v>
      </c>
      <c r="G45" s="170">
        <f>IFERROR(__xludf.DUMMYFUNCTION("IFERROR(F45 * (1 + AVERAGE(Filter('Inflation Data'!$C:$C,'Inflation Data'!$A:$A = G$1))) + 'Fund YTD Contributions'!G45,'Fund YTD Contributions'!G45)"),0.0)</f>
        <v>0</v>
      </c>
      <c r="H45" s="170">
        <f>IFERROR(__xludf.DUMMYFUNCTION("IFERROR(G45 * (1 + AVERAGE(Filter('Inflation Data'!$C:$C,'Inflation Data'!$A:$A = H$1))) + 'Fund YTD Contributions'!H45,'Fund YTD Contributions'!H45)"),0.0)</f>
        <v>0</v>
      </c>
      <c r="I45" s="170">
        <f>IFERROR(__xludf.DUMMYFUNCTION("IFERROR(H45 * (1 + AVERAGE(Filter('Inflation Data'!$C:$C,'Inflation Data'!$A:$A = I$1))) + 'Fund YTD Contributions'!I45,'Fund YTD Contributions'!I45)"),0.0)</f>
        <v>0</v>
      </c>
      <c r="J45" s="170">
        <f>IFERROR(__xludf.DUMMYFUNCTION("IFERROR(I45 * (1 + AVERAGE(Filter('Inflation Data'!$C:$C,'Inflation Data'!$A:$A = J$1))) + 'Fund YTD Contributions'!J45,'Fund YTD Contributions'!J45)"),0.0)</f>
        <v>0</v>
      </c>
      <c r="K45" s="170">
        <f>IFERROR(__xludf.DUMMYFUNCTION("IFERROR(J45 * (1 + AVERAGE(Filter('Inflation Data'!$C:$C,'Inflation Data'!$A:$A = K$1))) + 'Fund YTD Contributions'!K45,'Fund YTD Contributions'!K45)"),0.0)</f>
        <v>0</v>
      </c>
      <c r="L45" s="170">
        <f>IFERROR(__xludf.DUMMYFUNCTION("IFERROR(K45 * (1 + AVERAGE(Filter('Inflation Data'!$C:$C,'Inflation Data'!$A:$A = L$1))) + 'Fund YTD Contributions'!L45,'Fund YTD Contributions'!L45)"),0.0)</f>
        <v>0</v>
      </c>
      <c r="M45" s="170">
        <f>IFERROR(__xludf.DUMMYFUNCTION("IFERROR(L45 * (1 + AVERAGE(Filter('Inflation Data'!$C:$C,'Inflation Data'!$A:$A = M$1))) + 'Fund YTD Contributions'!M45,'Fund YTD Contributions'!M45)"),0.0)</f>
        <v>0</v>
      </c>
      <c r="N45" s="170">
        <f>IFERROR(__xludf.DUMMYFUNCTION("IFERROR(M45 * (1 + AVERAGE(Filter('Inflation Data'!$C:$C,'Inflation Data'!$A:$A = N$1))) + 'Fund YTD Contributions'!N45,'Fund YTD Contributions'!N45)"),0.0)</f>
        <v>0</v>
      </c>
      <c r="O45" s="170">
        <f>IFERROR(__xludf.DUMMYFUNCTION("IFERROR(N45 * (1 + AVERAGE(Filter('Inflation Data'!$C:$C,'Inflation Data'!$A:$A = O$1))) + 'Fund YTD Contributions'!O45,'Fund YTD Contributions'!O45)"),0.0)</f>
        <v>0</v>
      </c>
      <c r="P45" s="170">
        <f>IFERROR(__xludf.DUMMYFUNCTION("IFERROR(O45 * (1 + AVERAGE(Filter('Inflation Data'!$C:$C,'Inflation Data'!$A:$A = P$1))) + 'Fund YTD Contributions'!P45,'Fund YTD Contributions'!P45)"),0.0)</f>
        <v>0</v>
      </c>
      <c r="Q45" s="170">
        <f>IFERROR(__xludf.DUMMYFUNCTION("IFERROR(P45 * (1 + AVERAGE(Filter('Inflation Data'!$C:$C,'Inflation Data'!$A:$A = Q$1))) + 'Fund YTD Contributions'!Q45,'Fund YTD Contributions'!Q45)"),0.0)</f>
        <v>0</v>
      </c>
      <c r="R45" s="170">
        <f>IFERROR(__xludf.DUMMYFUNCTION("IFERROR(Q45 * (1 + AVERAGE(Filter('Inflation Data'!$C:$C,'Inflation Data'!$A:$A = R$1))) + 'Fund YTD Contributions'!R45,'Fund YTD Contributions'!R45)"),0.0)</f>
        <v>0</v>
      </c>
      <c r="S45" s="170">
        <f>IFERROR(__xludf.DUMMYFUNCTION("IFERROR(R45 * (1 + AVERAGE(Filter('Inflation Data'!$C:$C,'Inflation Data'!$A:$A = S$1))) + 'Fund YTD Contributions'!S45,'Fund YTD Contributions'!S45)"),0.0)</f>
        <v>0</v>
      </c>
      <c r="T45" s="170">
        <f>IFERROR(__xludf.DUMMYFUNCTION("IFERROR(S45 * (1 + AVERAGE(Filter('Inflation Data'!$C:$C,'Inflation Data'!$A:$A = T$1))) + 'Fund YTD Contributions'!T45,'Fund YTD Contributions'!T45)"),0.0)</f>
        <v>0</v>
      </c>
      <c r="U45" s="170">
        <f>IFERROR(__xludf.DUMMYFUNCTION("IFERROR(T45 * (1 + AVERAGE(Filter('Inflation Data'!$C:$C,'Inflation Data'!$A:$A = U$1))) + 'Fund YTD Contributions'!U45,'Fund YTD Contributions'!U45)"),0.0)</f>
        <v>0</v>
      </c>
      <c r="V45" s="170">
        <f>IFERROR(__xludf.DUMMYFUNCTION("IFERROR(U45 * (1 + AVERAGE(Filter('Inflation Data'!$C:$C,'Inflation Data'!$A:$A = V$1))) + 'Fund YTD Contributions'!V45,'Fund YTD Contributions'!V45)"),0.0)</f>
        <v>0</v>
      </c>
      <c r="W45" s="170">
        <f>IFERROR(__xludf.DUMMYFUNCTION("IFERROR(V45 * (1 + AVERAGE(Filter('Inflation Data'!$C:$C,'Inflation Data'!$A:$A = W$1))) + 'Fund YTD Contributions'!W45,'Fund YTD Contributions'!W45)"),0.0)</f>
        <v>0</v>
      </c>
      <c r="X45" s="170">
        <f>IFERROR(__xludf.DUMMYFUNCTION("IFERROR(W45 * (1 + AVERAGE(Filter('Inflation Data'!$C:$C,'Inflation Data'!$A:$A = X$1))) + 'Fund YTD Contributions'!X45,'Fund YTD Contributions'!X45)"),0.0)</f>
        <v>0</v>
      </c>
      <c r="Y45" s="170">
        <f>IFERROR(__xludf.DUMMYFUNCTION("IFERROR(X45 * (1 + AVERAGE(Filter('Inflation Data'!$C:$C,'Inflation Data'!$A:$A = Y$1))) + 'Fund YTD Contributions'!Y45,'Fund YTD Contributions'!Y45)"),0.0)</f>
        <v>0</v>
      </c>
      <c r="Z45" s="170">
        <f>IFERROR(__xludf.DUMMYFUNCTION("IFERROR(Y45 * (1 + AVERAGE(Filter('Inflation Data'!$C:$C,'Inflation Data'!$A:$A = Z$1))) + 'Fund YTD Contributions'!Z45,'Fund YTD Contributions'!Z45)"),0.0)</f>
        <v>0</v>
      </c>
      <c r="AA45" s="170">
        <f>IFERROR(__xludf.DUMMYFUNCTION("IFERROR(Z45 * (1 + AVERAGE(Filter('Inflation Data'!$C:$C,'Inflation Data'!$A:$A = AA$1))) + 'Fund YTD Contributions'!AA45,'Fund YTD Contributions'!AA45)"),0.0)</f>
        <v>0</v>
      </c>
      <c r="AB45" s="170">
        <f>IFERROR(__xludf.DUMMYFUNCTION("IFERROR(AA45 * (1 + AVERAGE(Filter('Inflation Data'!$C:$C,'Inflation Data'!$A:$A = AB$1))) + 'Fund YTD Contributions'!AB45,'Fund YTD Contributions'!AB45)"),0.0)</f>
        <v>0</v>
      </c>
      <c r="AC45" s="170">
        <f>IFERROR(__xludf.DUMMYFUNCTION("IFERROR(AB45 * (1 + AVERAGE(Filter('Inflation Data'!$C:$C,'Inflation Data'!$A:$A = AC$1))) + 'Fund YTD Contributions'!AC45,'Fund YTD Contributions'!AC45)"),0.0)</f>
        <v>0</v>
      </c>
      <c r="AD45" s="170">
        <f>IFERROR(__xludf.DUMMYFUNCTION("IFERROR(AC45 * (1 + AVERAGE(Filter('Inflation Data'!$C:$C,'Inflation Data'!$A:$A = AD$1))) + 'Fund YTD Contributions'!AD45,'Fund YTD Contributions'!AD45)"),0.0)</f>
        <v>0</v>
      </c>
      <c r="AE45" s="170">
        <f>IFERROR(__xludf.DUMMYFUNCTION("IFERROR(AD45 * (1 + AVERAGE(Filter('Inflation Data'!$C:$C,'Inflation Data'!$A:$A = AE$1))) + 'Fund YTD Contributions'!AE45,'Fund YTD Contributions'!AE45)"),0.0)</f>
        <v>0</v>
      </c>
      <c r="AF45" s="170" t="str">
        <f>IFERROR(__xludf.DUMMYFUNCTION("IFERROR(AE45 * (1 + AVERAGE(Filter('Inflation Data'!$C:$C,'Inflation Data'!$A:$A = AF$1))) + 'Fund YTD Contributions'!AF45,'Fund YTD Contributions'!AF45)"),"")</f>
        <v/>
      </c>
    </row>
    <row r="46">
      <c r="A46" s="145" t="str">
        <f>'Endowed Funds'!B:B</f>
        <v/>
      </c>
      <c r="B46" s="170">
        <f>IFERROR(__xludf.DUMMYFUNCTION("IFERROR(A46 * (1 + AVERAGE(Filter('Inflation Data'!$C:$C,'Inflation Data'!$A:$A = B$1))) + 'Fund YTD Contributions'!B46,'Fund YTD Contributions'!B46)"),0.0)</f>
        <v>0</v>
      </c>
      <c r="C46" s="170">
        <f>IFERROR(__xludf.DUMMYFUNCTION("IFERROR(B46 * (1 + AVERAGE(Filter('Inflation Data'!$C:$C,'Inflation Data'!$A:$A = C$1))) + 'Fund YTD Contributions'!C46,'Fund YTD Contributions'!C46)"),0.0)</f>
        <v>0</v>
      </c>
      <c r="D46" s="170">
        <f>IFERROR(__xludf.DUMMYFUNCTION("IFERROR(C46 * (1 + AVERAGE(Filter('Inflation Data'!$C:$C,'Inflation Data'!$A:$A = D$1))) + 'Fund YTD Contributions'!D46,'Fund YTD Contributions'!D46)"),0.0)</f>
        <v>0</v>
      </c>
      <c r="E46" s="170">
        <f>IFERROR(__xludf.DUMMYFUNCTION("IFERROR(D46 * (1 + AVERAGE(Filter('Inflation Data'!$C:$C,'Inflation Data'!$A:$A = E$1))) + 'Fund YTD Contributions'!E46,'Fund YTD Contributions'!E46)"),0.0)</f>
        <v>0</v>
      </c>
      <c r="F46" s="170">
        <f>IFERROR(__xludf.DUMMYFUNCTION("IFERROR(E46 * (1 + AVERAGE(Filter('Inflation Data'!$C:$C,'Inflation Data'!$A:$A = F$1))) + 'Fund YTD Contributions'!F46,'Fund YTD Contributions'!F46)"),0.0)</f>
        <v>0</v>
      </c>
      <c r="G46" s="170">
        <f>IFERROR(__xludf.DUMMYFUNCTION("IFERROR(F46 * (1 + AVERAGE(Filter('Inflation Data'!$C:$C,'Inflation Data'!$A:$A = G$1))) + 'Fund YTD Contributions'!G46,'Fund YTD Contributions'!G46)"),0.0)</f>
        <v>0</v>
      </c>
      <c r="H46" s="170">
        <f>IFERROR(__xludf.DUMMYFUNCTION("IFERROR(G46 * (1 + AVERAGE(Filter('Inflation Data'!$C:$C,'Inflation Data'!$A:$A = H$1))) + 'Fund YTD Contributions'!H46,'Fund YTD Contributions'!H46)"),0.0)</f>
        <v>0</v>
      </c>
      <c r="I46" s="170">
        <f>IFERROR(__xludf.DUMMYFUNCTION("IFERROR(H46 * (1 + AVERAGE(Filter('Inflation Data'!$C:$C,'Inflation Data'!$A:$A = I$1))) + 'Fund YTD Contributions'!I46,'Fund YTD Contributions'!I46)"),0.0)</f>
        <v>0</v>
      </c>
      <c r="J46" s="170">
        <f>IFERROR(__xludf.DUMMYFUNCTION("IFERROR(I46 * (1 + AVERAGE(Filter('Inflation Data'!$C:$C,'Inflation Data'!$A:$A = J$1))) + 'Fund YTD Contributions'!J46,'Fund YTD Contributions'!J46)"),0.0)</f>
        <v>0</v>
      </c>
      <c r="K46" s="170">
        <f>IFERROR(__xludf.DUMMYFUNCTION("IFERROR(J46 * (1 + AVERAGE(Filter('Inflation Data'!$C:$C,'Inflation Data'!$A:$A = K$1))) + 'Fund YTD Contributions'!K46,'Fund YTD Contributions'!K46)"),0.0)</f>
        <v>0</v>
      </c>
      <c r="L46" s="170">
        <f>IFERROR(__xludf.DUMMYFUNCTION("IFERROR(K46 * (1 + AVERAGE(Filter('Inflation Data'!$C:$C,'Inflation Data'!$A:$A = L$1))) + 'Fund YTD Contributions'!L46,'Fund YTD Contributions'!L46)"),0.0)</f>
        <v>0</v>
      </c>
      <c r="M46" s="170">
        <f>IFERROR(__xludf.DUMMYFUNCTION("IFERROR(L46 * (1 + AVERAGE(Filter('Inflation Data'!$C:$C,'Inflation Data'!$A:$A = M$1))) + 'Fund YTD Contributions'!M46,'Fund YTD Contributions'!M46)"),0.0)</f>
        <v>0</v>
      </c>
      <c r="N46" s="170">
        <f>IFERROR(__xludf.DUMMYFUNCTION("IFERROR(M46 * (1 + AVERAGE(Filter('Inflation Data'!$C:$C,'Inflation Data'!$A:$A = N$1))) + 'Fund YTD Contributions'!N46,'Fund YTD Contributions'!N46)"),0.0)</f>
        <v>0</v>
      </c>
      <c r="O46" s="170">
        <f>IFERROR(__xludf.DUMMYFUNCTION("IFERROR(N46 * (1 + AVERAGE(Filter('Inflation Data'!$C:$C,'Inflation Data'!$A:$A = O$1))) + 'Fund YTD Contributions'!O46,'Fund YTD Contributions'!O46)"),0.0)</f>
        <v>0</v>
      </c>
      <c r="P46" s="170">
        <f>IFERROR(__xludf.DUMMYFUNCTION("IFERROR(O46 * (1 + AVERAGE(Filter('Inflation Data'!$C:$C,'Inflation Data'!$A:$A = P$1))) + 'Fund YTD Contributions'!P46,'Fund YTD Contributions'!P46)"),0.0)</f>
        <v>0</v>
      </c>
      <c r="Q46" s="170">
        <f>IFERROR(__xludf.DUMMYFUNCTION("IFERROR(P46 * (1 + AVERAGE(Filter('Inflation Data'!$C:$C,'Inflation Data'!$A:$A = Q$1))) + 'Fund YTD Contributions'!Q46,'Fund YTD Contributions'!Q46)"),0.0)</f>
        <v>0</v>
      </c>
      <c r="R46" s="170">
        <f>IFERROR(__xludf.DUMMYFUNCTION("IFERROR(Q46 * (1 + AVERAGE(Filter('Inflation Data'!$C:$C,'Inflation Data'!$A:$A = R$1))) + 'Fund YTD Contributions'!R46,'Fund YTD Contributions'!R46)"),0.0)</f>
        <v>0</v>
      </c>
      <c r="S46" s="170">
        <f>IFERROR(__xludf.DUMMYFUNCTION("IFERROR(R46 * (1 + AVERAGE(Filter('Inflation Data'!$C:$C,'Inflation Data'!$A:$A = S$1))) + 'Fund YTD Contributions'!S46,'Fund YTD Contributions'!S46)"),0.0)</f>
        <v>0</v>
      </c>
      <c r="T46" s="170">
        <f>IFERROR(__xludf.DUMMYFUNCTION("IFERROR(S46 * (1 + AVERAGE(Filter('Inflation Data'!$C:$C,'Inflation Data'!$A:$A = T$1))) + 'Fund YTD Contributions'!T46,'Fund YTD Contributions'!T46)"),0.0)</f>
        <v>0</v>
      </c>
      <c r="U46" s="170">
        <f>IFERROR(__xludf.DUMMYFUNCTION("IFERROR(T46 * (1 + AVERAGE(Filter('Inflation Data'!$C:$C,'Inflation Data'!$A:$A = U$1))) + 'Fund YTD Contributions'!U46,'Fund YTD Contributions'!U46)"),0.0)</f>
        <v>0</v>
      </c>
      <c r="V46" s="170">
        <f>IFERROR(__xludf.DUMMYFUNCTION("IFERROR(U46 * (1 + AVERAGE(Filter('Inflation Data'!$C:$C,'Inflation Data'!$A:$A = V$1))) + 'Fund YTD Contributions'!V46,'Fund YTD Contributions'!V46)"),0.0)</f>
        <v>0</v>
      </c>
      <c r="W46" s="170">
        <f>IFERROR(__xludf.DUMMYFUNCTION("IFERROR(V46 * (1 + AVERAGE(Filter('Inflation Data'!$C:$C,'Inflation Data'!$A:$A = W$1))) + 'Fund YTD Contributions'!W46,'Fund YTD Contributions'!W46)"),0.0)</f>
        <v>0</v>
      </c>
      <c r="X46" s="170">
        <f>IFERROR(__xludf.DUMMYFUNCTION("IFERROR(W46 * (1 + AVERAGE(Filter('Inflation Data'!$C:$C,'Inflation Data'!$A:$A = X$1))) + 'Fund YTD Contributions'!X46,'Fund YTD Contributions'!X46)"),0.0)</f>
        <v>0</v>
      </c>
      <c r="Y46" s="170">
        <f>IFERROR(__xludf.DUMMYFUNCTION("IFERROR(X46 * (1 + AVERAGE(Filter('Inflation Data'!$C:$C,'Inflation Data'!$A:$A = Y$1))) + 'Fund YTD Contributions'!Y46,'Fund YTD Contributions'!Y46)"),0.0)</f>
        <v>0</v>
      </c>
      <c r="Z46" s="170">
        <f>IFERROR(__xludf.DUMMYFUNCTION("IFERROR(Y46 * (1 + AVERAGE(Filter('Inflation Data'!$C:$C,'Inflation Data'!$A:$A = Z$1))) + 'Fund YTD Contributions'!Z46,'Fund YTD Contributions'!Z46)"),0.0)</f>
        <v>0</v>
      </c>
      <c r="AA46" s="170">
        <f>IFERROR(__xludf.DUMMYFUNCTION("IFERROR(Z46 * (1 + AVERAGE(Filter('Inflation Data'!$C:$C,'Inflation Data'!$A:$A = AA$1))) + 'Fund YTD Contributions'!AA46,'Fund YTD Contributions'!AA46)"),0.0)</f>
        <v>0</v>
      </c>
      <c r="AB46" s="170">
        <f>IFERROR(__xludf.DUMMYFUNCTION("IFERROR(AA46 * (1 + AVERAGE(Filter('Inflation Data'!$C:$C,'Inflation Data'!$A:$A = AB$1))) + 'Fund YTD Contributions'!AB46,'Fund YTD Contributions'!AB46)"),0.0)</f>
        <v>0</v>
      </c>
      <c r="AC46" s="170">
        <f>IFERROR(__xludf.DUMMYFUNCTION("IFERROR(AB46 * (1 + AVERAGE(Filter('Inflation Data'!$C:$C,'Inflation Data'!$A:$A = AC$1))) + 'Fund YTD Contributions'!AC46,'Fund YTD Contributions'!AC46)"),0.0)</f>
        <v>0</v>
      </c>
      <c r="AD46" s="170">
        <f>IFERROR(__xludf.DUMMYFUNCTION("IFERROR(AC46 * (1 + AVERAGE(Filter('Inflation Data'!$C:$C,'Inflation Data'!$A:$A = AD$1))) + 'Fund YTD Contributions'!AD46,'Fund YTD Contributions'!AD46)"),0.0)</f>
        <v>0</v>
      </c>
      <c r="AE46" s="170">
        <f>IFERROR(__xludf.DUMMYFUNCTION("IFERROR(AD46 * (1 + AVERAGE(Filter('Inflation Data'!$C:$C,'Inflation Data'!$A:$A = AE$1))) + 'Fund YTD Contributions'!AE46,'Fund YTD Contributions'!AE46)"),0.0)</f>
        <v>0</v>
      </c>
      <c r="AF46" s="170" t="str">
        <f>IFERROR(__xludf.DUMMYFUNCTION("IFERROR(AE46 * (1 + AVERAGE(Filter('Inflation Data'!$C:$C,'Inflation Data'!$A:$A = AF$1))) + 'Fund YTD Contributions'!AF46,'Fund YTD Contributions'!AF46)"),"")</f>
        <v/>
      </c>
    </row>
    <row r="47">
      <c r="A47" s="145" t="str">
        <f>'Endowed Funds'!B:B</f>
        <v/>
      </c>
      <c r="B47" s="170">
        <f>IFERROR(__xludf.DUMMYFUNCTION("IFERROR(A47 * (1 + AVERAGE(Filter('Inflation Data'!$C:$C,'Inflation Data'!$A:$A = B$1))) + 'Fund YTD Contributions'!B47,'Fund YTD Contributions'!B47)"),0.0)</f>
        <v>0</v>
      </c>
      <c r="C47" s="170">
        <f>IFERROR(__xludf.DUMMYFUNCTION("IFERROR(B47 * (1 + AVERAGE(Filter('Inflation Data'!$C:$C,'Inflation Data'!$A:$A = C$1))) + 'Fund YTD Contributions'!C47,'Fund YTD Contributions'!C47)"),0.0)</f>
        <v>0</v>
      </c>
      <c r="D47" s="170">
        <f>IFERROR(__xludf.DUMMYFUNCTION("IFERROR(C47 * (1 + AVERAGE(Filter('Inflation Data'!$C:$C,'Inflation Data'!$A:$A = D$1))) + 'Fund YTD Contributions'!D47,'Fund YTD Contributions'!D47)"),0.0)</f>
        <v>0</v>
      </c>
      <c r="E47" s="170">
        <f>IFERROR(__xludf.DUMMYFUNCTION("IFERROR(D47 * (1 + AVERAGE(Filter('Inflation Data'!$C:$C,'Inflation Data'!$A:$A = E$1))) + 'Fund YTD Contributions'!E47,'Fund YTD Contributions'!E47)"),0.0)</f>
        <v>0</v>
      </c>
      <c r="F47" s="170">
        <f>IFERROR(__xludf.DUMMYFUNCTION("IFERROR(E47 * (1 + AVERAGE(Filter('Inflation Data'!$C:$C,'Inflation Data'!$A:$A = F$1))) + 'Fund YTD Contributions'!F47,'Fund YTD Contributions'!F47)"),0.0)</f>
        <v>0</v>
      </c>
      <c r="G47" s="170">
        <f>IFERROR(__xludf.DUMMYFUNCTION("IFERROR(F47 * (1 + AVERAGE(Filter('Inflation Data'!$C:$C,'Inflation Data'!$A:$A = G$1))) + 'Fund YTD Contributions'!G47,'Fund YTD Contributions'!G47)"),0.0)</f>
        <v>0</v>
      </c>
      <c r="H47" s="170">
        <f>IFERROR(__xludf.DUMMYFUNCTION("IFERROR(G47 * (1 + AVERAGE(Filter('Inflation Data'!$C:$C,'Inflation Data'!$A:$A = H$1))) + 'Fund YTD Contributions'!H47,'Fund YTD Contributions'!H47)"),0.0)</f>
        <v>0</v>
      </c>
      <c r="I47" s="170">
        <f>IFERROR(__xludf.DUMMYFUNCTION("IFERROR(H47 * (1 + AVERAGE(Filter('Inflation Data'!$C:$C,'Inflation Data'!$A:$A = I$1))) + 'Fund YTD Contributions'!I47,'Fund YTD Contributions'!I47)"),0.0)</f>
        <v>0</v>
      </c>
      <c r="J47" s="170">
        <f>IFERROR(__xludf.DUMMYFUNCTION("IFERROR(I47 * (1 + AVERAGE(Filter('Inflation Data'!$C:$C,'Inflation Data'!$A:$A = J$1))) + 'Fund YTD Contributions'!J47,'Fund YTD Contributions'!J47)"),0.0)</f>
        <v>0</v>
      </c>
      <c r="K47" s="170">
        <f>IFERROR(__xludf.DUMMYFUNCTION("IFERROR(J47 * (1 + AVERAGE(Filter('Inflation Data'!$C:$C,'Inflation Data'!$A:$A = K$1))) + 'Fund YTD Contributions'!K47,'Fund YTD Contributions'!K47)"),0.0)</f>
        <v>0</v>
      </c>
      <c r="L47" s="170">
        <f>IFERROR(__xludf.DUMMYFUNCTION("IFERROR(K47 * (1 + AVERAGE(Filter('Inflation Data'!$C:$C,'Inflation Data'!$A:$A = L$1))) + 'Fund YTD Contributions'!L47,'Fund YTD Contributions'!L47)"),0.0)</f>
        <v>0</v>
      </c>
      <c r="M47" s="170">
        <f>IFERROR(__xludf.DUMMYFUNCTION("IFERROR(L47 * (1 + AVERAGE(Filter('Inflation Data'!$C:$C,'Inflation Data'!$A:$A = M$1))) + 'Fund YTD Contributions'!M47,'Fund YTD Contributions'!M47)"),0.0)</f>
        <v>0</v>
      </c>
      <c r="N47" s="170">
        <f>IFERROR(__xludf.DUMMYFUNCTION("IFERROR(M47 * (1 + AVERAGE(Filter('Inflation Data'!$C:$C,'Inflation Data'!$A:$A = N$1))) + 'Fund YTD Contributions'!N47,'Fund YTD Contributions'!N47)"),0.0)</f>
        <v>0</v>
      </c>
      <c r="O47" s="170">
        <f>IFERROR(__xludf.DUMMYFUNCTION("IFERROR(N47 * (1 + AVERAGE(Filter('Inflation Data'!$C:$C,'Inflation Data'!$A:$A = O$1))) + 'Fund YTD Contributions'!O47,'Fund YTD Contributions'!O47)"),0.0)</f>
        <v>0</v>
      </c>
      <c r="P47" s="170">
        <f>IFERROR(__xludf.DUMMYFUNCTION("IFERROR(O47 * (1 + AVERAGE(Filter('Inflation Data'!$C:$C,'Inflation Data'!$A:$A = P$1))) + 'Fund YTD Contributions'!P47,'Fund YTD Contributions'!P47)"),0.0)</f>
        <v>0</v>
      </c>
      <c r="Q47" s="170">
        <f>IFERROR(__xludf.DUMMYFUNCTION("IFERROR(P47 * (1 + AVERAGE(Filter('Inflation Data'!$C:$C,'Inflation Data'!$A:$A = Q$1))) + 'Fund YTD Contributions'!Q47,'Fund YTD Contributions'!Q47)"),0.0)</f>
        <v>0</v>
      </c>
      <c r="R47" s="170">
        <f>IFERROR(__xludf.DUMMYFUNCTION("IFERROR(Q47 * (1 + AVERAGE(Filter('Inflation Data'!$C:$C,'Inflation Data'!$A:$A = R$1))) + 'Fund YTD Contributions'!R47,'Fund YTD Contributions'!R47)"),0.0)</f>
        <v>0</v>
      </c>
      <c r="S47" s="170">
        <f>IFERROR(__xludf.DUMMYFUNCTION("IFERROR(R47 * (1 + AVERAGE(Filter('Inflation Data'!$C:$C,'Inflation Data'!$A:$A = S$1))) + 'Fund YTD Contributions'!S47,'Fund YTD Contributions'!S47)"),0.0)</f>
        <v>0</v>
      </c>
      <c r="T47" s="170">
        <f>IFERROR(__xludf.DUMMYFUNCTION("IFERROR(S47 * (1 + AVERAGE(Filter('Inflation Data'!$C:$C,'Inflation Data'!$A:$A = T$1))) + 'Fund YTD Contributions'!T47,'Fund YTD Contributions'!T47)"),0.0)</f>
        <v>0</v>
      </c>
      <c r="U47" s="170">
        <f>IFERROR(__xludf.DUMMYFUNCTION("IFERROR(T47 * (1 + AVERAGE(Filter('Inflation Data'!$C:$C,'Inflation Data'!$A:$A = U$1))) + 'Fund YTD Contributions'!U47,'Fund YTD Contributions'!U47)"),0.0)</f>
        <v>0</v>
      </c>
      <c r="V47" s="170">
        <f>IFERROR(__xludf.DUMMYFUNCTION("IFERROR(U47 * (1 + AVERAGE(Filter('Inflation Data'!$C:$C,'Inflation Data'!$A:$A = V$1))) + 'Fund YTD Contributions'!V47,'Fund YTD Contributions'!V47)"),0.0)</f>
        <v>0</v>
      </c>
      <c r="W47" s="170">
        <f>IFERROR(__xludf.DUMMYFUNCTION("IFERROR(V47 * (1 + AVERAGE(Filter('Inflation Data'!$C:$C,'Inflation Data'!$A:$A = W$1))) + 'Fund YTD Contributions'!W47,'Fund YTD Contributions'!W47)"),0.0)</f>
        <v>0</v>
      </c>
      <c r="X47" s="170">
        <f>IFERROR(__xludf.DUMMYFUNCTION("IFERROR(W47 * (1 + AVERAGE(Filter('Inflation Data'!$C:$C,'Inflation Data'!$A:$A = X$1))) + 'Fund YTD Contributions'!X47,'Fund YTD Contributions'!X47)"),0.0)</f>
        <v>0</v>
      </c>
      <c r="Y47" s="170">
        <f>IFERROR(__xludf.DUMMYFUNCTION("IFERROR(X47 * (1 + AVERAGE(Filter('Inflation Data'!$C:$C,'Inflation Data'!$A:$A = Y$1))) + 'Fund YTD Contributions'!Y47,'Fund YTD Contributions'!Y47)"),0.0)</f>
        <v>0</v>
      </c>
      <c r="Z47" s="170">
        <f>IFERROR(__xludf.DUMMYFUNCTION("IFERROR(Y47 * (1 + AVERAGE(Filter('Inflation Data'!$C:$C,'Inflation Data'!$A:$A = Z$1))) + 'Fund YTD Contributions'!Z47,'Fund YTD Contributions'!Z47)"),0.0)</f>
        <v>0</v>
      </c>
      <c r="AA47" s="170">
        <f>IFERROR(__xludf.DUMMYFUNCTION("IFERROR(Z47 * (1 + AVERAGE(Filter('Inflation Data'!$C:$C,'Inflation Data'!$A:$A = AA$1))) + 'Fund YTD Contributions'!AA47,'Fund YTD Contributions'!AA47)"),0.0)</f>
        <v>0</v>
      </c>
      <c r="AB47" s="170">
        <f>IFERROR(__xludf.DUMMYFUNCTION("IFERROR(AA47 * (1 + AVERAGE(Filter('Inflation Data'!$C:$C,'Inflation Data'!$A:$A = AB$1))) + 'Fund YTD Contributions'!AB47,'Fund YTD Contributions'!AB47)"),0.0)</f>
        <v>0</v>
      </c>
      <c r="AC47" s="170">
        <f>IFERROR(__xludf.DUMMYFUNCTION("IFERROR(AB47 * (1 + AVERAGE(Filter('Inflation Data'!$C:$C,'Inflation Data'!$A:$A = AC$1))) + 'Fund YTD Contributions'!AC47,'Fund YTD Contributions'!AC47)"),0.0)</f>
        <v>0</v>
      </c>
      <c r="AD47" s="170">
        <f>IFERROR(__xludf.DUMMYFUNCTION("IFERROR(AC47 * (1 + AVERAGE(Filter('Inflation Data'!$C:$C,'Inflation Data'!$A:$A = AD$1))) + 'Fund YTD Contributions'!AD47,'Fund YTD Contributions'!AD47)"),0.0)</f>
        <v>0</v>
      </c>
      <c r="AE47" s="170">
        <f>IFERROR(__xludf.DUMMYFUNCTION("IFERROR(AD47 * (1 + AVERAGE(Filter('Inflation Data'!$C:$C,'Inflation Data'!$A:$A = AE$1))) + 'Fund YTD Contributions'!AE47,'Fund YTD Contributions'!AE47)"),0.0)</f>
        <v>0</v>
      </c>
      <c r="AF47" s="170" t="str">
        <f>IFERROR(__xludf.DUMMYFUNCTION("IFERROR(AE47 * (1 + AVERAGE(Filter('Inflation Data'!$C:$C,'Inflation Data'!$A:$A = AF$1))) + 'Fund YTD Contributions'!AF47,'Fund YTD Contributions'!AF47)"),"")</f>
        <v/>
      </c>
    </row>
    <row r="48">
      <c r="A48" s="145" t="str">
        <f>'Endowed Funds'!B:B</f>
        <v/>
      </c>
      <c r="B48" s="170">
        <f>IFERROR(__xludf.DUMMYFUNCTION("IFERROR(A48 * (1 + AVERAGE(Filter('Inflation Data'!$C:$C,'Inflation Data'!$A:$A = B$1))) + 'Fund YTD Contributions'!B48,'Fund YTD Contributions'!B48)"),0.0)</f>
        <v>0</v>
      </c>
      <c r="C48" s="170">
        <f>IFERROR(__xludf.DUMMYFUNCTION("IFERROR(B48 * (1 + AVERAGE(Filter('Inflation Data'!$C:$C,'Inflation Data'!$A:$A = C$1))) + 'Fund YTD Contributions'!C48,'Fund YTD Contributions'!C48)"),0.0)</f>
        <v>0</v>
      </c>
      <c r="D48" s="170">
        <f>IFERROR(__xludf.DUMMYFUNCTION("IFERROR(C48 * (1 + AVERAGE(Filter('Inflation Data'!$C:$C,'Inflation Data'!$A:$A = D$1))) + 'Fund YTD Contributions'!D48,'Fund YTD Contributions'!D48)"),0.0)</f>
        <v>0</v>
      </c>
      <c r="E48" s="170">
        <f>IFERROR(__xludf.DUMMYFUNCTION("IFERROR(D48 * (1 + AVERAGE(Filter('Inflation Data'!$C:$C,'Inflation Data'!$A:$A = E$1))) + 'Fund YTD Contributions'!E48,'Fund YTD Contributions'!E48)"),0.0)</f>
        <v>0</v>
      </c>
      <c r="F48" s="170">
        <f>IFERROR(__xludf.DUMMYFUNCTION("IFERROR(E48 * (1 + AVERAGE(Filter('Inflation Data'!$C:$C,'Inflation Data'!$A:$A = F$1))) + 'Fund YTD Contributions'!F48,'Fund YTD Contributions'!F48)"),0.0)</f>
        <v>0</v>
      </c>
      <c r="G48" s="170">
        <f>IFERROR(__xludf.DUMMYFUNCTION("IFERROR(F48 * (1 + AVERAGE(Filter('Inflation Data'!$C:$C,'Inflation Data'!$A:$A = G$1))) + 'Fund YTD Contributions'!G48,'Fund YTD Contributions'!G48)"),0.0)</f>
        <v>0</v>
      </c>
      <c r="H48" s="170">
        <f>IFERROR(__xludf.DUMMYFUNCTION("IFERROR(G48 * (1 + AVERAGE(Filter('Inflation Data'!$C:$C,'Inflation Data'!$A:$A = H$1))) + 'Fund YTD Contributions'!H48,'Fund YTD Contributions'!H48)"),0.0)</f>
        <v>0</v>
      </c>
      <c r="I48" s="170">
        <f>IFERROR(__xludf.DUMMYFUNCTION("IFERROR(H48 * (1 + AVERAGE(Filter('Inflation Data'!$C:$C,'Inflation Data'!$A:$A = I$1))) + 'Fund YTD Contributions'!I48,'Fund YTD Contributions'!I48)"),0.0)</f>
        <v>0</v>
      </c>
      <c r="J48" s="170">
        <f>IFERROR(__xludf.DUMMYFUNCTION("IFERROR(I48 * (1 + AVERAGE(Filter('Inflation Data'!$C:$C,'Inflation Data'!$A:$A = J$1))) + 'Fund YTD Contributions'!J48,'Fund YTD Contributions'!J48)"),0.0)</f>
        <v>0</v>
      </c>
      <c r="K48" s="170">
        <f>IFERROR(__xludf.DUMMYFUNCTION("IFERROR(J48 * (1 + AVERAGE(Filter('Inflation Data'!$C:$C,'Inflation Data'!$A:$A = K$1))) + 'Fund YTD Contributions'!K48,'Fund YTD Contributions'!K48)"),0.0)</f>
        <v>0</v>
      </c>
      <c r="L48" s="170">
        <f>IFERROR(__xludf.DUMMYFUNCTION("IFERROR(K48 * (1 + AVERAGE(Filter('Inflation Data'!$C:$C,'Inflation Data'!$A:$A = L$1))) + 'Fund YTD Contributions'!L48,'Fund YTD Contributions'!L48)"),0.0)</f>
        <v>0</v>
      </c>
      <c r="M48" s="170">
        <f>IFERROR(__xludf.DUMMYFUNCTION("IFERROR(L48 * (1 + AVERAGE(Filter('Inflation Data'!$C:$C,'Inflation Data'!$A:$A = M$1))) + 'Fund YTD Contributions'!M48,'Fund YTD Contributions'!M48)"),0.0)</f>
        <v>0</v>
      </c>
      <c r="N48" s="170">
        <f>IFERROR(__xludf.DUMMYFUNCTION("IFERROR(M48 * (1 + AVERAGE(Filter('Inflation Data'!$C:$C,'Inflation Data'!$A:$A = N$1))) + 'Fund YTD Contributions'!N48,'Fund YTD Contributions'!N48)"),0.0)</f>
        <v>0</v>
      </c>
      <c r="O48" s="170">
        <f>IFERROR(__xludf.DUMMYFUNCTION("IFERROR(N48 * (1 + AVERAGE(Filter('Inflation Data'!$C:$C,'Inflation Data'!$A:$A = O$1))) + 'Fund YTD Contributions'!O48,'Fund YTD Contributions'!O48)"),0.0)</f>
        <v>0</v>
      </c>
      <c r="P48" s="170">
        <f>IFERROR(__xludf.DUMMYFUNCTION("IFERROR(O48 * (1 + AVERAGE(Filter('Inflation Data'!$C:$C,'Inflation Data'!$A:$A = P$1))) + 'Fund YTD Contributions'!P48,'Fund YTD Contributions'!P48)"),0.0)</f>
        <v>0</v>
      </c>
      <c r="Q48" s="170">
        <f>IFERROR(__xludf.DUMMYFUNCTION("IFERROR(P48 * (1 + AVERAGE(Filter('Inflation Data'!$C:$C,'Inflation Data'!$A:$A = Q$1))) + 'Fund YTD Contributions'!Q48,'Fund YTD Contributions'!Q48)"),0.0)</f>
        <v>0</v>
      </c>
      <c r="R48" s="170">
        <f>IFERROR(__xludf.DUMMYFUNCTION("IFERROR(Q48 * (1 + AVERAGE(Filter('Inflation Data'!$C:$C,'Inflation Data'!$A:$A = R$1))) + 'Fund YTD Contributions'!R48,'Fund YTD Contributions'!R48)"),0.0)</f>
        <v>0</v>
      </c>
      <c r="S48" s="170">
        <f>IFERROR(__xludf.DUMMYFUNCTION("IFERROR(R48 * (1 + AVERAGE(Filter('Inflation Data'!$C:$C,'Inflation Data'!$A:$A = S$1))) + 'Fund YTD Contributions'!S48,'Fund YTD Contributions'!S48)"),0.0)</f>
        <v>0</v>
      </c>
      <c r="T48" s="170">
        <f>IFERROR(__xludf.DUMMYFUNCTION("IFERROR(S48 * (1 + AVERAGE(Filter('Inflation Data'!$C:$C,'Inflation Data'!$A:$A = T$1))) + 'Fund YTD Contributions'!T48,'Fund YTD Contributions'!T48)"),0.0)</f>
        <v>0</v>
      </c>
      <c r="U48" s="170">
        <f>IFERROR(__xludf.DUMMYFUNCTION("IFERROR(T48 * (1 + AVERAGE(Filter('Inflation Data'!$C:$C,'Inflation Data'!$A:$A = U$1))) + 'Fund YTD Contributions'!U48,'Fund YTD Contributions'!U48)"),0.0)</f>
        <v>0</v>
      </c>
      <c r="V48" s="170">
        <f>IFERROR(__xludf.DUMMYFUNCTION("IFERROR(U48 * (1 + AVERAGE(Filter('Inflation Data'!$C:$C,'Inflation Data'!$A:$A = V$1))) + 'Fund YTD Contributions'!V48,'Fund YTD Contributions'!V48)"),0.0)</f>
        <v>0</v>
      </c>
      <c r="W48" s="170">
        <f>IFERROR(__xludf.DUMMYFUNCTION("IFERROR(V48 * (1 + AVERAGE(Filter('Inflation Data'!$C:$C,'Inflation Data'!$A:$A = W$1))) + 'Fund YTD Contributions'!W48,'Fund YTD Contributions'!W48)"),0.0)</f>
        <v>0</v>
      </c>
      <c r="X48" s="170">
        <f>IFERROR(__xludf.DUMMYFUNCTION("IFERROR(W48 * (1 + AVERAGE(Filter('Inflation Data'!$C:$C,'Inflation Data'!$A:$A = X$1))) + 'Fund YTD Contributions'!X48,'Fund YTD Contributions'!X48)"),0.0)</f>
        <v>0</v>
      </c>
      <c r="Y48" s="170">
        <f>IFERROR(__xludf.DUMMYFUNCTION("IFERROR(X48 * (1 + AVERAGE(Filter('Inflation Data'!$C:$C,'Inflation Data'!$A:$A = Y$1))) + 'Fund YTD Contributions'!Y48,'Fund YTD Contributions'!Y48)"),0.0)</f>
        <v>0</v>
      </c>
      <c r="Z48" s="170">
        <f>IFERROR(__xludf.DUMMYFUNCTION("IFERROR(Y48 * (1 + AVERAGE(Filter('Inflation Data'!$C:$C,'Inflation Data'!$A:$A = Z$1))) + 'Fund YTD Contributions'!Z48,'Fund YTD Contributions'!Z48)"),0.0)</f>
        <v>0</v>
      </c>
      <c r="AA48" s="170">
        <f>IFERROR(__xludf.DUMMYFUNCTION("IFERROR(Z48 * (1 + AVERAGE(Filter('Inflation Data'!$C:$C,'Inflation Data'!$A:$A = AA$1))) + 'Fund YTD Contributions'!AA48,'Fund YTD Contributions'!AA48)"),0.0)</f>
        <v>0</v>
      </c>
      <c r="AB48" s="170">
        <f>IFERROR(__xludf.DUMMYFUNCTION("IFERROR(AA48 * (1 + AVERAGE(Filter('Inflation Data'!$C:$C,'Inflation Data'!$A:$A = AB$1))) + 'Fund YTD Contributions'!AB48,'Fund YTD Contributions'!AB48)"),0.0)</f>
        <v>0</v>
      </c>
      <c r="AC48" s="170">
        <f>IFERROR(__xludf.DUMMYFUNCTION("IFERROR(AB48 * (1 + AVERAGE(Filter('Inflation Data'!$C:$C,'Inflation Data'!$A:$A = AC$1))) + 'Fund YTD Contributions'!AC48,'Fund YTD Contributions'!AC48)"),0.0)</f>
        <v>0</v>
      </c>
      <c r="AD48" s="170">
        <f>IFERROR(__xludf.DUMMYFUNCTION("IFERROR(AC48 * (1 + AVERAGE(Filter('Inflation Data'!$C:$C,'Inflation Data'!$A:$A = AD$1))) + 'Fund YTD Contributions'!AD48,'Fund YTD Contributions'!AD48)"),0.0)</f>
        <v>0</v>
      </c>
      <c r="AE48" s="170">
        <f>IFERROR(__xludf.DUMMYFUNCTION("IFERROR(AD48 * (1 + AVERAGE(Filter('Inflation Data'!$C:$C,'Inflation Data'!$A:$A = AE$1))) + 'Fund YTD Contributions'!AE48,'Fund YTD Contributions'!AE48)"),0.0)</f>
        <v>0</v>
      </c>
      <c r="AF48" s="170" t="str">
        <f>IFERROR(__xludf.DUMMYFUNCTION("IFERROR(AE48 * (1 + AVERAGE(Filter('Inflation Data'!$C:$C,'Inflation Data'!$A:$A = AF$1))) + 'Fund YTD Contributions'!AF48,'Fund YTD Contributions'!AF48)"),"")</f>
        <v/>
      </c>
    </row>
    <row r="49">
      <c r="A49" s="145" t="str">
        <f>'Endowed Funds'!B:B</f>
        <v/>
      </c>
      <c r="B49" s="170">
        <f>IFERROR(__xludf.DUMMYFUNCTION("IFERROR(A49 * (1 + AVERAGE(Filter('Inflation Data'!$C:$C,'Inflation Data'!$A:$A = B$1))) + 'Fund YTD Contributions'!B49,'Fund YTD Contributions'!B49)"),0.0)</f>
        <v>0</v>
      </c>
      <c r="C49" s="170">
        <f>IFERROR(__xludf.DUMMYFUNCTION("IFERROR(B49 * (1 + AVERAGE(Filter('Inflation Data'!$C:$C,'Inflation Data'!$A:$A = C$1))) + 'Fund YTD Contributions'!C49,'Fund YTD Contributions'!C49)"),0.0)</f>
        <v>0</v>
      </c>
      <c r="D49" s="170">
        <f>IFERROR(__xludf.DUMMYFUNCTION("IFERROR(C49 * (1 + AVERAGE(Filter('Inflation Data'!$C:$C,'Inflation Data'!$A:$A = D$1))) + 'Fund YTD Contributions'!D49,'Fund YTD Contributions'!D49)"),0.0)</f>
        <v>0</v>
      </c>
      <c r="E49" s="170">
        <f>IFERROR(__xludf.DUMMYFUNCTION("IFERROR(D49 * (1 + AVERAGE(Filter('Inflation Data'!$C:$C,'Inflation Data'!$A:$A = E$1))) + 'Fund YTD Contributions'!E49,'Fund YTD Contributions'!E49)"),0.0)</f>
        <v>0</v>
      </c>
      <c r="F49" s="170">
        <f>IFERROR(__xludf.DUMMYFUNCTION("IFERROR(E49 * (1 + AVERAGE(Filter('Inflation Data'!$C:$C,'Inflation Data'!$A:$A = F$1))) + 'Fund YTD Contributions'!F49,'Fund YTD Contributions'!F49)"),0.0)</f>
        <v>0</v>
      </c>
      <c r="G49" s="170">
        <f>IFERROR(__xludf.DUMMYFUNCTION("IFERROR(F49 * (1 + AVERAGE(Filter('Inflation Data'!$C:$C,'Inflation Data'!$A:$A = G$1))) + 'Fund YTD Contributions'!G49,'Fund YTD Contributions'!G49)"),0.0)</f>
        <v>0</v>
      </c>
      <c r="H49" s="170">
        <f>IFERROR(__xludf.DUMMYFUNCTION("IFERROR(G49 * (1 + AVERAGE(Filter('Inflation Data'!$C:$C,'Inflation Data'!$A:$A = H$1))) + 'Fund YTD Contributions'!H49,'Fund YTD Contributions'!H49)"),0.0)</f>
        <v>0</v>
      </c>
      <c r="I49" s="170">
        <f>IFERROR(__xludf.DUMMYFUNCTION("IFERROR(H49 * (1 + AVERAGE(Filter('Inflation Data'!$C:$C,'Inflation Data'!$A:$A = I$1))) + 'Fund YTD Contributions'!I49,'Fund YTD Contributions'!I49)"),0.0)</f>
        <v>0</v>
      </c>
      <c r="J49" s="170">
        <f>IFERROR(__xludf.DUMMYFUNCTION("IFERROR(I49 * (1 + AVERAGE(Filter('Inflation Data'!$C:$C,'Inflation Data'!$A:$A = J$1))) + 'Fund YTD Contributions'!J49,'Fund YTD Contributions'!J49)"),0.0)</f>
        <v>0</v>
      </c>
      <c r="K49" s="170">
        <f>IFERROR(__xludf.DUMMYFUNCTION("IFERROR(J49 * (1 + AVERAGE(Filter('Inflation Data'!$C:$C,'Inflation Data'!$A:$A = K$1))) + 'Fund YTD Contributions'!K49,'Fund YTD Contributions'!K49)"),0.0)</f>
        <v>0</v>
      </c>
      <c r="L49" s="170">
        <f>IFERROR(__xludf.DUMMYFUNCTION("IFERROR(K49 * (1 + AVERAGE(Filter('Inflation Data'!$C:$C,'Inflation Data'!$A:$A = L$1))) + 'Fund YTD Contributions'!L49,'Fund YTD Contributions'!L49)"),0.0)</f>
        <v>0</v>
      </c>
      <c r="M49" s="170">
        <f>IFERROR(__xludf.DUMMYFUNCTION("IFERROR(L49 * (1 + AVERAGE(Filter('Inflation Data'!$C:$C,'Inflation Data'!$A:$A = M$1))) + 'Fund YTD Contributions'!M49,'Fund YTD Contributions'!M49)"),0.0)</f>
        <v>0</v>
      </c>
      <c r="N49" s="170">
        <f>IFERROR(__xludf.DUMMYFUNCTION("IFERROR(M49 * (1 + AVERAGE(Filter('Inflation Data'!$C:$C,'Inflation Data'!$A:$A = N$1))) + 'Fund YTD Contributions'!N49,'Fund YTD Contributions'!N49)"),0.0)</f>
        <v>0</v>
      </c>
      <c r="O49" s="170">
        <f>IFERROR(__xludf.DUMMYFUNCTION("IFERROR(N49 * (1 + AVERAGE(Filter('Inflation Data'!$C:$C,'Inflation Data'!$A:$A = O$1))) + 'Fund YTD Contributions'!O49,'Fund YTD Contributions'!O49)"),0.0)</f>
        <v>0</v>
      </c>
      <c r="P49" s="170">
        <f>IFERROR(__xludf.DUMMYFUNCTION("IFERROR(O49 * (1 + AVERAGE(Filter('Inflation Data'!$C:$C,'Inflation Data'!$A:$A = P$1))) + 'Fund YTD Contributions'!P49,'Fund YTD Contributions'!P49)"),0.0)</f>
        <v>0</v>
      </c>
      <c r="Q49" s="170">
        <f>IFERROR(__xludf.DUMMYFUNCTION("IFERROR(P49 * (1 + AVERAGE(Filter('Inflation Data'!$C:$C,'Inflation Data'!$A:$A = Q$1))) + 'Fund YTD Contributions'!Q49,'Fund YTD Contributions'!Q49)"),0.0)</f>
        <v>0</v>
      </c>
      <c r="R49" s="170">
        <f>IFERROR(__xludf.DUMMYFUNCTION("IFERROR(Q49 * (1 + AVERAGE(Filter('Inflation Data'!$C:$C,'Inflation Data'!$A:$A = R$1))) + 'Fund YTD Contributions'!R49,'Fund YTD Contributions'!R49)"),0.0)</f>
        <v>0</v>
      </c>
      <c r="S49" s="170">
        <f>IFERROR(__xludf.DUMMYFUNCTION("IFERROR(R49 * (1 + AVERAGE(Filter('Inflation Data'!$C:$C,'Inflation Data'!$A:$A = S$1))) + 'Fund YTD Contributions'!S49,'Fund YTD Contributions'!S49)"),0.0)</f>
        <v>0</v>
      </c>
      <c r="T49" s="170">
        <f>IFERROR(__xludf.DUMMYFUNCTION("IFERROR(S49 * (1 + AVERAGE(Filter('Inflation Data'!$C:$C,'Inflation Data'!$A:$A = T$1))) + 'Fund YTD Contributions'!T49,'Fund YTD Contributions'!T49)"),0.0)</f>
        <v>0</v>
      </c>
      <c r="U49" s="170">
        <f>IFERROR(__xludf.DUMMYFUNCTION("IFERROR(T49 * (1 + AVERAGE(Filter('Inflation Data'!$C:$C,'Inflation Data'!$A:$A = U$1))) + 'Fund YTD Contributions'!U49,'Fund YTD Contributions'!U49)"),0.0)</f>
        <v>0</v>
      </c>
      <c r="V49" s="170">
        <f>IFERROR(__xludf.DUMMYFUNCTION("IFERROR(U49 * (1 + AVERAGE(Filter('Inflation Data'!$C:$C,'Inflation Data'!$A:$A = V$1))) + 'Fund YTD Contributions'!V49,'Fund YTD Contributions'!V49)"),0.0)</f>
        <v>0</v>
      </c>
      <c r="W49" s="170">
        <f>IFERROR(__xludf.DUMMYFUNCTION("IFERROR(V49 * (1 + AVERAGE(Filter('Inflation Data'!$C:$C,'Inflation Data'!$A:$A = W$1))) + 'Fund YTD Contributions'!W49,'Fund YTD Contributions'!W49)"),0.0)</f>
        <v>0</v>
      </c>
      <c r="X49" s="170">
        <f>IFERROR(__xludf.DUMMYFUNCTION("IFERROR(W49 * (1 + AVERAGE(Filter('Inflation Data'!$C:$C,'Inflation Data'!$A:$A = X$1))) + 'Fund YTD Contributions'!X49,'Fund YTD Contributions'!X49)"),0.0)</f>
        <v>0</v>
      </c>
      <c r="Y49" s="170">
        <f>IFERROR(__xludf.DUMMYFUNCTION("IFERROR(X49 * (1 + AVERAGE(Filter('Inflation Data'!$C:$C,'Inflation Data'!$A:$A = Y$1))) + 'Fund YTD Contributions'!Y49,'Fund YTD Contributions'!Y49)"),0.0)</f>
        <v>0</v>
      </c>
      <c r="Z49" s="170">
        <f>IFERROR(__xludf.DUMMYFUNCTION("IFERROR(Y49 * (1 + AVERAGE(Filter('Inflation Data'!$C:$C,'Inflation Data'!$A:$A = Z$1))) + 'Fund YTD Contributions'!Z49,'Fund YTD Contributions'!Z49)"),0.0)</f>
        <v>0</v>
      </c>
      <c r="AA49" s="170">
        <f>IFERROR(__xludf.DUMMYFUNCTION("IFERROR(Z49 * (1 + AVERAGE(Filter('Inflation Data'!$C:$C,'Inflation Data'!$A:$A = AA$1))) + 'Fund YTD Contributions'!AA49,'Fund YTD Contributions'!AA49)"),0.0)</f>
        <v>0</v>
      </c>
      <c r="AB49" s="170">
        <f>IFERROR(__xludf.DUMMYFUNCTION("IFERROR(AA49 * (1 + AVERAGE(Filter('Inflation Data'!$C:$C,'Inflation Data'!$A:$A = AB$1))) + 'Fund YTD Contributions'!AB49,'Fund YTD Contributions'!AB49)"),0.0)</f>
        <v>0</v>
      </c>
      <c r="AC49" s="170">
        <f>IFERROR(__xludf.DUMMYFUNCTION("IFERROR(AB49 * (1 + AVERAGE(Filter('Inflation Data'!$C:$C,'Inflation Data'!$A:$A = AC$1))) + 'Fund YTD Contributions'!AC49,'Fund YTD Contributions'!AC49)"),0.0)</f>
        <v>0</v>
      </c>
      <c r="AD49" s="170">
        <f>IFERROR(__xludf.DUMMYFUNCTION("IFERROR(AC49 * (1 + AVERAGE(Filter('Inflation Data'!$C:$C,'Inflation Data'!$A:$A = AD$1))) + 'Fund YTD Contributions'!AD49,'Fund YTD Contributions'!AD49)"),0.0)</f>
        <v>0</v>
      </c>
      <c r="AE49" s="170">
        <f>IFERROR(__xludf.DUMMYFUNCTION("IFERROR(AD49 * (1 + AVERAGE(Filter('Inflation Data'!$C:$C,'Inflation Data'!$A:$A = AE$1))) + 'Fund YTD Contributions'!AE49,'Fund YTD Contributions'!AE49)"),0.0)</f>
        <v>0</v>
      </c>
      <c r="AF49" s="170" t="str">
        <f>IFERROR(__xludf.DUMMYFUNCTION("IFERROR(AE49 * (1 + AVERAGE(Filter('Inflation Data'!$C:$C,'Inflation Data'!$A:$A = AF$1))) + 'Fund YTD Contributions'!AF49,'Fund YTD Contributions'!AF49)"),"")</f>
        <v/>
      </c>
    </row>
    <row r="50">
      <c r="A50" s="145" t="str">
        <f>'Endowed Funds'!B:B</f>
        <v/>
      </c>
      <c r="B50" s="170">
        <f>IFERROR(__xludf.DUMMYFUNCTION("IFERROR(A50 * (1 + AVERAGE(Filter('Inflation Data'!$C:$C,'Inflation Data'!$A:$A = B$1))) + 'Fund YTD Contributions'!B50,'Fund YTD Contributions'!B50)"),0.0)</f>
        <v>0</v>
      </c>
      <c r="C50" s="170">
        <f>IFERROR(__xludf.DUMMYFUNCTION("IFERROR(B50 * (1 + AVERAGE(Filter('Inflation Data'!$C:$C,'Inflation Data'!$A:$A = C$1))) + 'Fund YTD Contributions'!C50,'Fund YTD Contributions'!C50)"),0.0)</f>
        <v>0</v>
      </c>
      <c r="D50" s="170">
        <f>IFERROR(__xludf.DUMMYFUNCTION("IFERROR(C50 * (1 + AVERAGE(Filter('Inflation Data'!$C:$C,'Inflation Data'!$A:$A = D$1))) + 'Fund YTD Contributions'!D50,'Fund YTD Contributions'!D50)"),0.0)</f>
        <v>0</v>
      </c>
      <c r="E50" s="170">
        <f>IFERROR(__xludf.DUMMYFUNCTION("IFERROR(D50 * (1 + AVERAGE(Filter('Inflation Data'!$C:$C,'Inflation Data'!$A:$A = E$1))) + 'Fund YTD Contributions'!E50,'Fund YTD Contributions'!E50)"),0.0)</f>
        <v>0</v>
      </c>
      <c r="F50" s="170">
        <f>IFERROR(__xludf.DUMMYFUNCTION("IFERROR(E50 * (1 + AVERAGE(Filter('Inflation Data'!$C:$C,'Inflation Data'!$A:$A = F$1))) + 'Fund YTD Contributions'!F50,'Fund YTD Contributions'!F50)"),0.0)</f>
        <v>0</v>
      </c>
      <c r="G50" s="170">
        <f>IFERROR(__xludf.DUMMYFUNCTION("IFERROR(F50 * (1 + AVERAGE(Filter('Inflation Data'!$C:$C,'Inflation Data'!$A:$A = G$1))) + 'Fund YTD Contributions'!G50,'Fund YTD Contributions'!G50)"),0.0)</f>
        <v>0</v>
      </c>
      <c r="H50" s="170">
        <f>IFERROR(__xludf.DUMMYFUNCTION("IFERROR(G50 * (1 + AVERAGE(Filter('Inflation Data'!$C:$C,'Inflation Data'!$A:$A = H$1))) + 'Fund YTD Contributions'!H50,'Fund YTD Contributions'!H50)"),0.0)</f>
        <v>0</v>
      </c>
      <c r="I50" s="170">
        <f>IFERROR(__xludf.DUMMYFUNCTION("IFERROR(H50 * (1 + AVERAGE(Filter('Inflation Data'!$C:$C,'Inflation Data'!$A:$A = I$1))) + 'Fund YTD Contributions'!I50,'Fund YTD Contributions'!I50)"),0.0)</f>
        <v>0</v>
      </c>
      <c r="J50" s="170">
        <f>IFERROR(__xludf.DUMMYFUNCTION("IFERROR(I50 * (1 + AVERAGE(Filter('Inflation Data'!$C:$C,'Inflation Data'!$A:$A = J$1))) + 'Fund YTD Contributions'!J50,'Fund YTD Contributions'!J50)"),0.0)</f>
        <v>0</v>
      </c>
      <c r="K50" s="170">
        <f>IFERROR(__xludf.DUMMYFUNCTION("IFERROR(J50 * (1 + AVERAGE(Filter('Inflation Data'!$C:$C,'Inflation Data'!$A:$A = K$1))) + 'Fund YTD Contributions'!K50,'Fund YTD Contributions'!K50)"),0.0)</f>
        <v>0</v>
      </c>
      <c r="L50" s="170">
        <f>IFERROR(__xludf.DUMMYFUNCTION("IFERROR(K50 * (1 + AVERAGE(Filter('Inflation Data'!$C:$C,'Inflation Data'!$A:$A = L$1))) + 'Fund YTD Contributions'!L50,'Fund YTD Contributions'!L50)"),0.0)</f>
        <v>0</v>
      </c>
      <c r="M50" s="170">
        <f>IFERROR(__xludf.DUMMYFUNCTION("IFERROR(L50 * (1 + AVERAGE(Filter('Inflation Data'!$C:$C,'Inflation Data'!$A:$A = M$1))) + 'Fund YTD Contributions'!M50,'Fund YTD Contributions'!M50)"),0.0)</f>
        <v>0</v>
      </c>
      <c r="N50" s="170">
        <f>IFERROR(__xludf.DUMMYFUNCTION("IFERROR(M50 * (1 + AVERAGE(Filter('Inflation Data'!$C:$C,'Inflation Data'!$A:$A = N$1))) + 'Fund YTD Contributions'!N50,'Fund YTD Contributions'!N50)"),0.0)</f>
        <v>0</v>
      </c>
      <c r="O50" s="170">
        <f>IFERROR(__xludf.DUMMYFUNCTION("IFERROR(N50 * (1 + AVERAGE(Filter('Inflation Data'!$C:$C,'Inflation Data'!$A:$A = O$1))) + 'Fund YTD Contributions'!O50,'Fund YTD Contributions'!O50)"),0.0)</f>
        <v>0</v>
      </c>
      <c r="P50" s="170">
        <f>IFERROR(__xludf.DUMMYFUNCTION("IFERROR(O50 * (1 + AVERAGE(Filter('Inflation Data'!$C:$C,'Inflation Data'!$A:$A = P$1))) + 'Fund YTD Contributions'!P50,'Fund YTD Contributions'!P50)"),0.0)</f>
        <v>0</v>
      </c>
      <c r="Q50" s="170">
        <f>IFERROR(__xludf.DUMMYFUNCTION("IFERROR(P50 * (1 + AVERAGE(Filter('Inflation Data'!$C:$C,'Inflation Data'!$A:$A = Q$1))) + 'Fund YTD Contributions'!Q50,'Fund YTD Contributions'!Q50)"),0.0)</f>
        <v>0</v>
      </c>
      <c r="R50" s="170">
        <f>IFERROR(__xludf.DUMMYFUNCTION("IFERROR(Q50 * (1 + AVERAGE(Filter('Inflation Data'!$C:$C,'Inflation Data'!$A:$A = R$1))) + 'Fund YTD Contributions'!R50,'Fund YTD Contributions'!R50)"),0.0)</f>
        <v>0</v>
      </c>
      <c r="S50" s="170">
        <f>IFERROR(__xludf.DUMMYFUNCTION("IFERROR(R50 * (1 + AVERAGE(Filter('Inflation Data'!$C:$C,'Inflation Data'!$A:$A = S$1))) + 'Fund YTD Contributions'!S50,'Fund YTD Contributions'!S50)"),0.0)</f>
        <v>0</v>
      </c>
      <c r="T50" s="170">
        <f>IFERROR(__xludf.DUMMYFUNCTION("IFERROR(S50 * (1 + AVERAGE(Filter('Inflation Data'!$C:$C,'Inflation Data'!$A:$A = T$1))) + 'Fund YTD Contributions'!T50,'Fund YTD Contributions'!T50)"),0.0)</f>
        <v>0</v>
      </c>
      <c r="U50" s="170">
        <f>IFERROR(__xludf.DUMMYFUNCTION("IFERROR(T50 * (1 + AVERAGE(Filter('Inflation Data'!$C:$C,'Inflation Data'!$A:$A = U$1))) + 'Fund YTD Contributions'!U50,'Fund YTD Contributions'!U50)"),0.0)</f>
        <v>0</v>
      </c>
      <c r="V50" s="170">
        <f>IFERROR(__xludf.DUMMYFUNCTION("IFERROR(U50 * (1 + AVERAGE(Filter('Inflation Data'!$C:$C,'Inflation Data'!$A:$A = V$1))) + 'Fund YTD Contributions'!V50,'Fund YTD Contributions'!V50)"),0.0)</f>
        <v>0</v>
      </c>
      <c r="W50" s="170">
        <f>IFERROR(__xludf.DUMMYFUNCTION("IFERROR(V50 * (1 + AVERAGE(Filter('Inflation Data'!$C:$C,'Inflation Data'!$A:$A = W$1))) + 'Fund YTD Contributions'!W50,'Fund YTD Contributions'!W50)"),0.0)</f>
        <v>0</v>
      </c>
      <c r="X50" s="170">
        <f>IFERROR(__xludf.DUMMYFUNCTION("IFERROR(W50 * (1 + AVERAGE(Filter('Inflation Data'!$C:$C,'Inflation Data'!$A:$A = X$1))) + 'Fund YTD Contributions'!X50,'Fund YTD Contributions'!X50)"),0.0)</f>
        <v>0</v>
      </c>
      <c r="Y50" s="170">
        <f>IFERROR(__xludf.DUMMYFUNCTION("IFERROR(X50 * (1 + AVERAGE(Filter('Inflation Data'!$C:$C,'Inflation Data'!$A:$A = Y$1))) + 'Fund YTD Contributions'!Y50,'Fund YTD Contributions'!Y50)"),0.0)</f>
        <v>0</v>
      </c>
      <c r="Z50" s="170">
        <f>IFERROR(__xludf.DUMMYFUNCTION("IFERROR(Y50 * (1 + AVERAGE(Filter('Inflation Data'!$C:$C,'Inflation Data'!$A:$A = Z$1))) + 'Fund YTD Contributions'!Z50,'Fund YTD Contributions'!Z50)"),0.0)</f>
        <v>0</v>
      </c>
      <c r="AA50" s="170">
        <f>IFERROR(__xludf.DUMMYFUNCTION("IFERROR(Z50 * (1 + AVERAGE(Filter('Inflation Data'!$C:$C,'Inflation Data'!$A:$A = AA$1))) + 'Fund YTD Contributions'!AA50,'Fund YTD Contributions'!AA50)"),0.0)</f>
        <v>0</v>
      </c>
      <c r="AB50" s="170">
        <f>IFERROR(__xludf.DUMMYFUNCTION("IFERROR(AA50 * (1 + AVERAGE(Filter('Inflation Data'!$C:$C,'Inflation Data'!$A:$A = AB$1))) + 'Fund YTD Contributions'!AB50,'Fund YTD Contributions'!AB50)"),0.0)</f>
        <v>0</v>
      </c>
      <c r="AC50" s="170">
        <f>IFERROR(__xludf.DUMMYFUNCTION("IFERROR(AB50 * (1 + AVERAGE(Filter('Inflation Data'!$C:$C,'Inflation Data'!$A:$A = AC$1))) + 'Fund YTD Contributions'!AC50,'Fund YTD Contributions'!AC50)"),0.0)</f>
        <v>0</v>
      </c>
      <c r="AD50" s="170">
        <f>IFERROR(__xludf.DUMMYFUNCTION("IFERROR(AC50 * (1 + AVERAGE(Filter('Inflation Data'!$C:$C,'Inflation Data'!$A:$A = AD$1))) + 'Fund YTD Contributions'!AD50,'Fund YTD Contributions'!AD50)"),0.0)</f>
        <v>0</v>
      </c>
      <c r="AE50" s="170">
        <f>IFERROR(__xludf.DUMMYFUNCTION("IFERROR(AD50 * (1 + AVERAGE(Filter('Inflation Data'!$C:$C,'Inflation Data'!$A:$A = AE$1))) + 'Fund YTD Contributions'!AE50,'Fund YTD Contributions'!AE50)"),0.0)</f>
        <v>0</v>
      </c>
      <c r="AF50" s="170" t="str">
        <f>IFERROR(__xludf.DUMMYFUNCTION("IFERROR(AE50 * (1 + AVERAGE(Filter('Inflation Data'!$C:$C,'Inflation Data'!$A:$A = AF$1))) + 'Fund YTD Contributions'!AF50,'Fund YTD Contributions'!AF50)"),"")</f>
        <v/>
      </c>
    </row>
    <row r="51">
      <c r="A51" s="145" t="str">
        <f>'Endowed Funds'!B:B</f>
        <v/>
      </c>
      <c r="B51" s="170">
        <f>IFERROR(__xludf.DUMMYFUNCTION("IFERROR(A51 * (1 + AVERAGE(Filter('Inflation Data'!$C:$C,'Inflation Data'!$A:$A = B$1))) + 'Fund YTD Contributions'!B51,'Fund YTD Contributions'!B51)"),0.0)</f>
        <v>0</v>
      </c>
      <c r="C51" s="170">
        <f>IFERROR(__xludf.DUMMYFUNCTION("IFERROR(B51 * (1 + AVERAGE(Filter('Inflation Data'!$C:$C,'Inflation Data'!$A:$A = C$1))) + 'Fund YTD Contributions'!C51,'Fund YTD Contributions'!C51)"),0.0)</f>
        <v>0</v>
      </c>
      <c r="D51" s="170">
        <f>IFERROR(__xludf.DUMMYFUNCTION("IFERROR(C51 * (1 + AVERAGE(Filter('Inflation Data'!$C:$C,'Inflation Data'!$A:$A = D$1))) + 'Fund YTD Contributions'!D51,'Fund YTD Contributions'!D51)"),0.0)</f>
        <v>0</v>
      </c>
      <c r="E51" s="170">
        <f>IFERROR(__xludf.DUMMYFUNCTION("IFERROR(D51 * (1 + AVERAGE(Filter('Inflation Data'!$C:$C,'Inflation Data'!$A:$A = E$1))) + 'Fund YTD Contributions'!E51,'Fund YTD Contributions'!E51)"),0.0)</f>
        <v>0</v>
      </c>
      <c r="F51" s="170">
        <f>IFERROR(__xludf.DUMMYFUNCTION("IFERROR(E51 * (1 + AVERAGE(Filter('Inflation Data'!$C:$C,'Inflation Data'!$A:$A = F$1))) + 'Fund YTD Contributions'!F51,'Fund YTD Contributions'!F51)"),0.0)</f>
        <v>0</v>
      </c>
      <c r="G51" s="170">
        <f>IFERROR(__xludf.DUMMYFUNCTION("IFERROR(F51 * (1 + AVERAGE(Filter('Inflation Data'!$C:$C,'Inflation Data'!$A:$A = G$1))) + 'Fund YTD Contributions'!G51,'Fund YTD Contributions'!G51)"),0.0)</f>
        <v>0</v>
      </c>
      <c r="H51" s="170">
        <f>IFERROR(__xludf.DUMMYFUNCTION("IFERROR(G51 * (1 + AVERAGE(Filter('Inflation Data'!$C:$C,'Inflation Data'!$A:$A = H$1))) + 'Fund YTD Contributions'!H51,'Fund YTD Contributions'!H51)"),0.0)</f>
        <v>0</v>
      </c>
      <c r="I51" s="170">
        <f>IFERROR(__xludf.DUMMYFUNCTION("IFERROR(H51 * (1 + AVERAGE(Filter('Inflation Data'!$C:$C,'Inflation Data'!$A:$A = I$1))) + 'Fund YTD Contributions'!I51,'Fund YTD Contributions'!I51)"),0.0)</f>
        <v>0</v>
      </c>
      <c r="J51" s="170">
        <f>IFERROR(__xludf.DUMMYFUNCTION("IFERROR(I51 * (1 + AVERAGE(Filter('Inflation Data'!$C:$C,'Inflation Data'!$A:$A = J$1))) + 'Fund YTD Contributions'!J51,'Fund YTD Contributions'!J51)"),0.0)</f>
        <v>0</v>
      </c>
      <c r="K51" s="170">
        <f>IFERROR(__xludf.DUMMYFUNCTION("IFERROR(J51 * (1 + AVERAGE(Filter('Inflation Data'!$C:$C,'Inflation Data'!$A:$A = K$1))) + 'Fund YTD Contributions'!K51,'Fund YTD Contributions'!K51)"),0.0)</f>
        <v>0</v>
      </c>
      <c r="L51" s="170">
        <f>IFERROR(__xludf.DUMMYFUNCTION("IFERROR(K51 * (1 + AVERAGE(Filter('Inflation Data'!$C:$C,'Inflation Data'!$A:$A = L$1))) + 'Fund YTD Contributions'!L51,'Fund YTD Contributions'!L51)"),0.0)</f>
        <v>0</v>
      </c>
      <c r="M51" s="170">
        <f>IFERROR(__xludf.DUMMYFUNCTION("IFERROR(L51 * (1 + AVERAGE(Filter('Inflation Data'!$C:$C,'Inflation Data'!$A:$A = M$1))) + 'Fund YTD Contributions'!M51,'Fund YTD Contributions'!M51)"),0.0)</f>
        <v>0</v>
      </c>
      <c r="N51" s="170">
        <f>IFERROR(__xludf.DUMMYFUNCTION("IFERROR(M51 * (1 + AVERAGE(Filter('Inflation Data'!$C:$C,'Inflation Data'!$A:$A = N$1))) + 'Fund YTD Contributions'!N51,'Fund YTD Contributions'!N51)"),0.0)</f>
        <v>0</v>
      </c>
      <c r="O51" s="170">
        <f>IFERROR(__xludf.DUMMYFUNCTION("IFERROR(N51 * (1 + AVERAGE(Filter('Inflation Data'!$C:$C,'Inflation Data'!$A:$A = O$1))) + 'Fund YTD Contributions'!O51,'Fund YTD Contributions'!O51)"),0.0)</f>
        <v>0</v>
      </c>
      <c r="P51" s="170">
        <f>IFERROR(__xludf.DUMMYFUNCTION("IFERROR(O51 * (1 + AVERAGE(Filter('Inflation Data'!$C:$C,'Inflation Data'!$A:$A = P$1))) + 'Fund YTD Contributions'!P51,'Fund YTD Contributions'!P51)"),0.0)</f>
        <v>0</v>
      </c>
      <c r="Q51" s="170">
        <f>IFERROR(__xludf.DUMMYFUNCTION("IFERROR(P51 * (1 + AVERAGE(Filter('Inflation Data'!$C:$C,'Inflation Data'!$A:$A = Q$1))) + 'Fund YTD Contributions'!Q51,'Fund YTD Contributions'!Q51)"),0.0)</f>
        <v>0</v>
      </c>
      <c r="R51" s="170">
        <f>IFERROR(__xludf.DUMMYFUNCTION("IFERROR(Q51 * (1 + AVERAGE(Filter('Inflation Data'!$C:$C,'Inflation Data'!$A:$A = R$1))) + 'Fund YTD Contributions'!R51,'Fund YTD Contributions'!R51)"),0.0)</f>
        <v>0</v>
      </c>
      <c r="S51" s="170">
        <f>IFERROR(__xludf.DUMMYFUNCTION("IFERROR(R51 * (1 + AVERAGE(Filter('Inflation Data'!$C:$C,'Inflation Data'!$A:$A = S$1))) + 'Fund YTD Contributions'!S51,'Fund YTD Contributions'!S51)"),0.0)</f>
        <v>0</v>
      </c>
      <c r="T51" s="170">
        <f>IFERROR(__xludf.DUMMYFUNCTION("IFERROR(S51 * (1 + AVERAGE(Filter('Inflation Data'!$C:$C,'Inflation Data'!$A:$A = T$1))) + 'Fund YTD Contributions'!T51,'Fund YTD Contributions'!T51)"),0.0)</f>
        <v>0</v>
      </c>
      <c r="U51" s="170">
        <f>IFERROR(__xludf.DUMMYFUNCTION("IFERROR(T51 * (1 + AVERAGE(Filter('Inflation Data'!$C:$C,'Inflation Data'!$A:$A = U$1))) + 'Fund YTD Contributions'!U51,'Fund YTD Contributions'!U51)"),0.0)</f>
        <v>0</v>
      </c>
      <c r="V51" s="170">
        <f>IFERROR(__xludf.DUMMYFUNCTION("IFERROR(U51 * (1 + AVERAGE(Filter('Inflation Data'!$C:$C,'Inflation Data'!$A:$A = V$1))) + 'Fund YTD Contributions'!V51,'Fund YTD Contributions'!V51)"),0.0)</f>
        <v>0</v>
      </c>
      <c r="W51" s="170">
        <f>IFERROR(__xludf.DUMMYFUNCTION("IFERROR(V51 * (1 + AVERAGE(Filter('Inflation Data'!$C:$C,'Inflation Data'!$A:$A = W$1))) + 'Fund YTD Contributions'!W51,'Fund YTD Contributions'!W51)"),0.0)</f>
        <v>0</v>
      </c>
      <c r="X51" s="170">
        <f>IFERROR(__xludf.DUMMYFUNCTION("IFERROR(W51 * (1 + AVERAGE(Filter('Inflation Data'!$C:$C,'Inflation Data'!$A:$A = X$1))) + 'Fund YTD Contributions'!X51,'Fund YTD Contributions'!X51)"),0.0)</f>
        <v>0</v>
      </c>
      <c r="Y51" s="170">
        <f>IFERROR(__xludf.DUMMYFUNCTION("IFERROR(X51 * (1 + AVERAGE(Filter('Inflation Data'!$C:$C,'Inflation Data'!$A:$A = Y$1))) + 'Fund YTD Contributions'!Y51,'Fund YTD Contributions'!Y51)"),0.0)</f>
        <v>0</v>
      </c>
      <c r="Z51" s="170">
        <f>IFERROR(__xludf.DUMMYFUNCTION("IFERROR(Y51 * (1 + AVERAGE(Filter('Inflation Data'!$C:$C,'Inflation Data'!$A:$A = Z$1))) + 'Fund YTD Contributions'!Z51,'Fund YTD Contributions'!Z51)"),0.0)</f>
        <v>0</v>
      </c>
      <c r="AA51" s="170">
        <f>IFERROR(__xludf.DUMMYFUNCTION("IFERROR(Z51 * (1 + AVERAGE(Filter('Inflation Data'!$C:$C,'Inflation Data'!$A:$A = AA$1))) + 'Fund YTD Contributions'!AA51,'Fund YTD Contributions'!AA51)"),0.0)</f>
        <v>0</v>
      </c>
      <c r="AB51" s="170">
        <f>IFERROR(__xludf.DUMMYFUNCTION("IFERROR(AA51 * (1 + AVERAGE(Filter('Inflation Data'!$C:$C,'Inflation Data'!$A:$A = AB$1))) + 'Fund YTD Contributions'!AB51,'Fund YTD Contributions'!AB51)"),0.0)</f>
        <v>0</v>
      </c>
      <c r="AC51" s="170">
        <f>IFERROR(__xludf.DUMMYFUNCTION("IFERROR(AB51 * (1 + AVERAGE(Filter('Inflation Data'!$C:$C,'Inflation Data'!$A:$A = AC$1))) + 'Fund YTD Contributions'!AC51,'Fund YTD Contributions'!AC51)"),0.0)</f>
        <v>0</v>
      </c>
      <c r="AD51" s="170">
        <f>IFERROR(__xludf.DUMMYFUNCTION("IFERROR(AC51 * (1 + AVERAGE(Filter('Inflation Data'!$C:$C,'Inflation Data'!$A:$A = AD$1))) + 'Fund YTD Contributions'!AD51,'Fund YTD Contributions'!AD51)"),0.0)</f>
        <v>0</v>
      </c>
      <c r="AE51" s="170">
        <f>IFERROR(__xludf.DUMMYFUNCTION("IFERROR(AD51 * (1 + AVERAGE(Filter('Inflation Data'!$C:$C,'Inflation Data'!$A:$A = AE$1))) + 'Fund YTD Contributions'!AE51,'Fund YTD Contributions'!AE51)"),0.0)</f>
        <v>0</v>
      </c>
      <c r="AF51" s="170" t="str">
        <f>IFERROR(__xludf.DUMMYFUNCTION("IFERROR(AE51 * (1 + AVERAGE(Filter('Inflation Data'!$C:$C,'Inflation Data'!$A:$A = AF$1))) + 'Fund YTD Contributions'!AF51,'Fund YTD Contributions'!AF51)"),"")</f>
        <v/>
      </c>
    </row>
    <row r="52">
      <c r="A52" s="145" t="str">
        <f>'Endowed Funds'!B:B</f>
        <v/>
      </c>
      <c r="B52" s="170">
        <f>IFERROR(__xludf.DUMMYFUNCTION("IFERROR(A52 * (1 + AVERAGE(Filter('Inflation Data'!$C:$C,'Inflation Data'!$A:$A = B$1))) + 'Fund YTD Contributions'!B52,'Fund YTD Contributions'!B52)"),0.0)</f>
        <v>0</v>
      </c>
      <c r="C52" s="170">
        <f>IFERROR(__xludf.DUMMYFUNCTION("IFERROR(B52 * (1 + AVERAGE(Filter('Inflation Data'!$C:$C,'Inflation Data'!$A:$A = C$1))) + 'Fund YTD Contributions'!C52,'Fund YTD Contributions'!C52)"),0.0)</f>
        <v>0</v>
      </c>
      <c r="D52" s="170">
        <f>IFERROR(__xludf.DUMMYFUNCTION("IFERROR(C52 * (1 + AVERAGE(Filter('Inflation Data'!$C:$C,'Inflation Data'!$A:$A = D$1))) + 'Fund YTD Contributions'!D52,'Fund YTD Contributions'!D52)"),0.0)</f>
        <v>0</v>
      </c>
      <c r="E52" s="170">
        <f>IFERROR(__xludf.DUMMYFUNCTION("IFERROR(D52 * (1 + AVERAGE(Filter('Inflation Data'!$C:$C,'Inflation Data'!$A:$A = E$1))) + 'Fund YTD Contributions'!E52,'Fund YTD Contributions'!E52)"),0.0)</f>
        <v>0</v>
      </c>
      <c r="F52" s="170">
        <f>IFERROR(__xludf.DUMMYFUNCTION("IFERROR(E52 * (1 + AVERAGE(Filter('Inflation Data'!$C:$C,'Inflation Data'!$A:$A = F$1))) + 'Fund YTD Contributions'!F52,'Fund YTD Contributions'!F52)"),0.0)</f>
        <v>0</v>
      </c>
      <c r="G52" s="170">
        <f>IFERROR(__xludf.DUMMYFUNCTION("IFERROR(F52 * (1 + AVERAGE(Filter('Inflation Data'!$C:$C,'Inflation Data'!$A:$A = G$1))) + 'Fund YTD Contributions'!G52,'Fund YTD Contributions'!G52)"),0.0)</f>
        <v>0</v>
      </c>
      <c r="H52" s="170">
        <f>IFERROR(__xludf.DUMMYFUNCTION("IFERROR(G52 * (1 + AVERAGE(Filter('Inflation Data'!$C:$C,'Inflation Data'!$A:$A = H$1))) + 'Fund YTD Contributions'!H52,'Fund YTD Contributions'!H52)"),0.0)</f>
        <v>0</v>
      </c>
      <c r="I52" s="170">
        <f>IFERROR(__xludf.DUMMYFUNCTION("IFERROR(H52 * (1 + AVERAGE(Filter('Inflation Data'!$C:$C,'Inflation Data'!$A:$A = I$1))) + 'Fund YTD Contributions'!I52,'Fund YTD Contributions'!I52)"),0.0)</f>
        <v>0</v>
      </c>
      <c r="J52" s="170">
        <f>IFERROR(__xludf.DUMMYFUNCTION("IFERROR(I52 * (1 + AVERAGE(Filter('Inflation Data'!$C:$C,'Inflation Data'!$A:$A = J$1))) + 'Fund YTD Contributions'!J52,'Fund YTD Contributions'!J52)"),0.0)</f>
        <v>0</v>
      </c>
      <c r="K52" s="170">
        <f>IFERROR(__xludf.DUMMYFUNCTION("IFERROR(J52 * (1 + AVERAGE(Filter('Inflation Data'!$C:$C,'Inflation Data'!$A:$A = K$1))) + 'Fund YTD Contributions'!K52,'Fund YTD Contributions'!K52)"),0.0)</f>
        <v>0</v>
      </c>
      <c r="L52" s="170">
        <f>IFERROR(__xludf.DUMMYFUNCTION("IFERROR(K52 * (1 + AVERAGE(Filter('Inflation Data'!$C:$C,'Inflation Data'!$A:$A = L$1))) + 'Fund YTD Contributions'!L52,'Fund YTD Contributions'!L52)"),0.0)</f>
        <v>0</v>
      </c>
      <c r="M52" s="170">
        <f>IFERROR(__xludf.DUMMYFUNCTION("IFERROR(L52 * (1 + AVERAGE(Filter('Inflation Data'!$C:$C,'Inflation Data'!$A:$A = M$1))) + 'Fund YTD Contributions'!M52,'Fund YTD Contributions'!M52)"),0.0)</f>
        <v>0</v>
      </c>
      <c r="N52" s="170">
        <f>IFERROR(__xludf.DUMMYFUNCTION("IFERROR(M52 * (1 + AVERAGE(Filter('Inflation Data'!$C:$C,'Inflation Data'!$A:$A = N$1))) + 'Fund YTD Contributions'!N52,'Fund YTD Contributions'!N52)"),0.0)</f>
        <v>0</v>
      </c>
      <c r="O52" s="170">
        <f>IFERROR(__xludf.DUMMYFUNCTION("IFERROR(N52 * (1 + AVERAGE(Filter('Inflation Data'!$C:$C,'Inflation Data'!$A:$A = O$1))) + 'Fund YTD Contributions'!O52,'Fund YTD Contributions'!O52)"),0.0)</f>
        <v>0</v>
      </c>
      <c r="P52" s="170">
        <f>IFERROR(__xludf.DUMMYFUNCTION("IFERROR(O52 * (1 + AVERAGE(Filter('Inflation Data'!$C:$C,'Inflation Data'!$A:$A = P$1))) + 'Fund YTD Contributions'!P52,'Fund YTD Contributions'!P52)"),0.0)</f>
        <v>0</v>
      </c>
      <c r="Q52" s="170">
        <f>IFERROR(__xludf.DUMMYFUNCTION("IFERROR(P52 * (1 + AVERAGE(Filter('Inflation Data'!$C:$C,'Inflation Data'!$A:$A = Q$1))) + 'Fund YTD Contributions'!Q52,'Fund YTD Contributions'!Q52)"),0.0)</f>
        <v>0</v>
      </c>
      <c r="R52" s="170">
        <f>IFERROR(__xludf.DUMMYFUNCTION("IFERROR(Q52 * (1 + AVERAGE(Filter('Inflation Data'!$C:$C,'Inflation Data'!$A:$A = R$1))) + 'Fund YTD Contributions'!R52,'Fund YTD Contributions'!R52)"),0.0)</f>
        <v>0</v>
      </c>
      <c r="S52" s="170">
        <f>IFERROR(__xludf.DUMMYFUNCTION("IFERROR(R52 * (1 + AVERAGE(Filter('Inflation Data'!$C:$C,'Inflation Data'!$A:$A = S$1))) + 'Fund YTD Contributions'!S52,'Fund YTD Contributions'!S52)"),0.0)</f>
        <v>0</v>
      </c>
      <c r="T52" s="170">
        <f>IFERROR(__xludf.DUMMYFUNCTION("IFERROR(S52 * (1 + AVERAGE(Filter('Inflation Data'!$C:$C,'Inflation Data'!$A:$A = T$1))) + 'Fund YTD Contributions'!T52,'Fund YTD Contributions'!T52)"),0.0)</f>
        <v>0</v>
      </c>
      <c r="U52" s="170">
        <f>IFERROR(__xludf.DUMMYFUNCTION("IFERROR(T52 * (1 + AVERAGE(Filter('Inflation Data'!$C:$C,'Inflation Data'!$A:$A = U$1))) + 'Fund YTD Contributions'!U52,'Fund YTD Contributions'!U52)"),0.0)</f>
        <v>0</v>
      </c>
      <c r="V52" s="170">
        <f>IFERROR(__xludf.DUMMYFUNCTION("IFERROR(U52 * (1 + AVERAGE(Filter('Inflation Data'!$C:$C,'Inflation Data'!$A:$A = V$1))) + 'Fund YTD Contributions'!V52,'Fund YTD Contributions'!V52)"),0.0)</f>
        <v>0</v>
      </c>
      <c r="W52" s="170">
        <f>IFERROR(__xludf.DUMMYFUNCTION("IFERROR(V52 * (1 + AVERAGE(Filter('Inflation Data'!$C:$C,'Inflation Data'!$A:$A = W$1))) + 'Fund YTD Contributions'!W52,'Fund YTD Contributions'!W52)"),0.0)</f>
        <v>0</v>
      </c>
      <c r="X52" s="170">
        <f>IFERROR(__xludf.DUMMYFUNCTION("IFERROR(W52 * (1 + AVERAGE(Filter('Inflation Data'!$C:$C,'Inflation Data'!$A:$A = X$1))) + 'Fund YTD Contributions'!X52,'Fund YTD Contributions'!X52)"),0.0)</f>
        <v>0</v>
      </c>
      <c r="Y52" s="170">
        <f>IFERROR(__xludf.DUMMYFUNCTION("IFERROR(X52 * (1 + AVERAGE(Filter('Inflation Data'!$C:$C,'Inflation Data'!$A:$A = Y$1))) + 'Fund YTD Contributions'!Y52,'Fund YTD Contributions'!Y52)"),0.0)</f>
        <v>0</v>
      </c>
      <c r="Z52" s="170">
        <f>IFERROR(__xludf.DUMMYFUNCTION("IFERROR(Y52 * (1 + AVERAGE(Filter('Inflation Data'!$C:$C,'Inflation Data'!$A:$A = Z$1))) + 'Fund YTD Contributions'!Z52,'Fund YTD Contributions'!Z52)"),0.0)</f>
        <v>0</v>
      </c>
      <c r="AA52" s="170">
        <f>IFERROR(__xludf.DUMMYFUNCTION("IFERROR(Z52 * (1 + AVERAGE(Filter('Inflation Data'!$C:$C,'Inflation Data'!$A:$A = AA$1))) + 'Fund YTD Contributions'!AA52,'Fund YTD Contributions'!AA52)"),0.0)</f>
        <v>0</v>
      </c>
      <c r="AB52" s="170">
        <f>IFERROR(__xludf.DUMMYFUNCTION("IFERROR(AA52 * (1 + AVERAGE(Filter('Inflation Data'!$C:$C,'Inflation Data'!$A:$A = AB$1))) + 'Fund YTD Contributions'!AB52,'Fund YTD Contributions'!AB52)"),0.0)</f>
        <v>0</v>
      </c>
      <c r="AC52" s="170">
        <f>IFERROR(__xludf.DUMMYFUNCTION("IFERROR(AB52 * (1 + AVERAGE(Filter('Inflation Data'!$C:$C,'Inflation Data'!$A:$A = AC$1))) + 'Fund YTD Contributions'!AC52,'Fund YTD Contributions'!AC52)"),0.0)</f>
        <v>0</v>
      </c>
      <c r="AD52" s="170">
        <f>IFERROR(__xludf.DUMMYFUNCTION("IFERROR(AC52 * (1 + AVERAGE(Filter('Inflation Data'!$C:$C,'Inflation Data'!$A:$A = AD$1))) + 'Fund YTD Contributions'!AD52,'Fund YTD Contributions'!AD52)"),0.0)</f>
        <v>0</v>
      </c>
      <c r="AE52" s="170">
        <f>IFERROR(__xludf.DUMMYFUNCTION("IFERROR(AD52 * (1 + AVERAGE(Filter('Inflation Data'!$C:$C,'Inflation Data'!$A:$A = AE$1))) + 'Fund YTD Contributions'!AE52,'Fund YTD Contributions'!AE52)"),0.0)</f>
        <v>0</v>
      </c>
      <c r="AF52" s="170" t="str">
        <f>IFERROR(__xludf.DUMMYFUNCTION("IFERROR(AE52 * (1 + AVERAGE(Filter('Inflation Data'!$C:$C,'Inflation Data'!$A:$A = AF$1))) + 'Fund YTD Contributions'!AF52,'Fund YTD Contributions'!AF52)"),"")</f>
        <v/>
      </c>
    </row>
    <row r="53">
      <c r="A53" s="145" t="str">
        <f>'Endowed Funds'!B:B</f>
        <v/>
      </c>
      <c r="B53" s="170">
        <f>IFERROR(__xludf.DUMMYFUNCTION("IFERROR(A53 * (1 + AVERAGE(Filter('Inflation Data'!$C:$C,'Inflation Data'!$A:$A = B$1))) + 'Fund YTD Contributions'!B53,'Fund YTD Contributions'!B53)"),0.0)</f>
        <v>0</v>
      </c>
      <c r="C53" s="170">
        <f>IFERROR(__xludf.DUMMYFUNCTION("IFERROR(B53 * (1 + AVERAGE(Filter('Inflation Data'!$C:$C,'Inflation Data'!$A:$A = C$1))) + 'Fund YTD Contributions'!C53,'Fund YTD Contributions'!C53)"),0.0)</f>
        <v>0</v>
      </c>
      <c r="D53" s="170">
        <f>IFERROR(__xludf.DUMMYFUNCTION("IFERROR(C53 * (1 + AVERAGE(Filter('Inflation Data'!$C:$C,'Inflation Data'!$A:$A = D$1))) + 'Fund YTD Contributions'!D53,'Fund YTD Contributions'!D53)"),0.0)</f>
        <v>0</v>
      </c>
      <c r="E53" s="170">
        <f>IFERROR(__xludf.DUMMYFUNCTION("IFERROR(D53 * (1 + AVERAGE(Filter('Inflation Data'!$C:$C,'Inflation Data'!$A:$A = E$1))) + 'Fund YTD Contributions'!E53,'Fund YTD Contributions'!E53)"),0.0)</f>
        <v>0</v>
      </c>
      <c r="F53" s="170">
        <f>IFERROR(__xludf.DUMMYFUNCTION("IFERROR(E53 * (1 + AVERAGE(Filter('Inflation Data'!$C:$C,'Inflation Data'!$A:$A = F$1))) + 'Fund YTD Contributions'!F53,'Fund YTD Contributions'!F53)"),0.0)</f>
        <v>0</v>
      </c>
      <c r="G53" s="170">
        <f>IFERROR(__xludf.DUMMYFUNCTION("IFERROR(F53 * (1 + AVERAGE(Filter('Inflation Data'!$C:$C,'Inflation Data'!$A:$A = G$1))) + 'Fund YTD Contributions'!G53,'Fund YTD Contributions'!G53)"),0.0)</f>
        <v>0</v>
      </c>
      <c r="H53" s="170">
        <f>IFERROR(__xludf.DUMMYFUNCTION("IFERROR(G53 * (1 + AVERAGE(Filter('Inflation Data'!$C:$C,'Inflation Data'!$A:$A = H$1))) + 'Fund YTD Contributions'!H53,'Fund YTD Contributions'!H53)"),0.0)</f>
        <v>0</v>
      </c>
      <c r="I53" s="170">
        <f>IFERROR(__xludf.DUMMYFUNCTION("IFERROR(H53 * (1 + AVERAGE(Filter('Inflation Data'!$C:$C,'Inflation Data'!$A:$A = I$1))) + 'Fund YTD Contributions'!I53,'Fund YTD Contributions'!I53)"),0.0)</f>
        <v>0</v>
      </c>
      <c r="J53" s="170">
        <f>IFERROR(__xludf.DUMMYFUNCTION("IFERROR(I53 * (1 + AVERAGE(Filter('Inflation Data'!$C:$C,'Inflation Data'!$A:$A = J$1))) + 'Fund YTD Contributions'!J53,'Fund YTD Contributions'!J53)"),0.0)</f>
        <v>0</v>
      </c>
      <c r="K53" s="170">
        <f>IFERROR(__xludf.DUMMYFUNCTION("IFERROR(J53 * (1 + AVERAGE(Filter('Inflation Data'!$C:$C,'Inflation Data'!$A:$A = K$1))) + 'Fund YTD Contributions'!K53,'Fund YTD Contributions'!K53)"),0.0)</f>
        <v>0</v>
      </c>
      <c r="L53" s="170">
        <f>IFERROR(__xludf.DUMMYFUNCTION("IFERROR(K53 * (1 + AVERAGE(Filter('Inflation Data'!$C:$C,'Inflation Data'!$A:$A = L$1))) + 'Fund YTD Contributions'!L53,'Fund YTD Contributions'!L53)"),0.0)</f>
        <v>0</v>
      </c>
      <c r="M53" s="170">
        <f>IFERROR(__xludf.DUMMYFUNCTION("IFERROR(L53 * (1 + AVERAGE(Filter('Inflation Data'!$C:$C,'Inflation Data'!$A:$A = M$1))) + 'Fund YTD Contributions'!M53,'Fund YTD Contributions'!M53)"),0.0)</f>
        <v>0</v>
      </c>
      <c r="N53" s="170">
        <f>IFERROR(__xludf.DUMMYFUNCTION("IFERROR(M53 * (1 + AVERAGE(Filter('Inflation Data'!$C:$C,'Inflation Data'!$A:$A = N$1))) + 'Fund YTD Contributions'!N53,'Fund YTD Contributions'!N53)"),0.0)</f>
        <v>0</v>
      </c>
      <c r="O53" s="170">
        <f>IFERROR(__xludf.DUMMYFUNCTION("IFERROR(N53 * (1 + AVERAGE(Filter('Inflation Data'!$C:$C,'Inflation Data'!$A:$A = O$1))) + 'Fund YTD Contributions'!O53,'Fund YTD Contributions'!O53)"),0.0)</f>
        <v>0</v>
      </c>
      <c r="P53" s="170">
        <f>IFERROR(__xludf.DUMMYFUNCTION("IFERROR(O53 * (1 + AVERAGE(Filter('Inflation Data'!$C:$C,'Inflation Data'!$A:$A = P$1))) + 'Fund YTD Contributions'!P53,'Fund YTD Contributions'!P53)"),0.0)</f>
        <v>0</v>
      </c>
      <c r="Q53" s="170">
        <f>IFERROR(__xludf.DUMMYFUNCTION("IFERROR(P53 * (1 + AVERAGE(Filter('Inflation Data'!$C:$C,'Inflation Data'!$A:$A = Q$1))) + 'Fund YTD Contributions'!Q53,'Fund YTD Contributions'!Q53)"),0.0)</f>
        <v>0</v>
      </c>
      <c r="R53" s="170">
        <f>IFERROR(__xludf.DUMMYFUNCTION("IFERROR(Q53 * (1 + AVERAGE(Filter('Inflation Data'!$C:$C,'Inflation Data'!$A:$A = R$1))) + 'Fund YTD Contributions'!R53,'Fund YTD Contributions'!R53)"),0.0)</f>
        <v>0</v>
      </c>
      <c r="S53" s="170">
        <f>IFERROR(__xludf.DUMMYFUNCTION("IFERROR(R53 * (1 + AVERAGE(Filter('Inflation Data'!$C:$C,'Inflation Data'!$A:$A = S$1))) + 'Fund YTD Contributions'!S53,'Fund YTD Contributions'!S53)"),0.0)</f>
        <v>0</v>
      </c>
      <c r="T53" s="170">
        <f>IFERROR(__xludf.DUMMYFUNCTION("IFERROR(S53 * (1 + AVERAGE(Filter('Inflation Data'!$C:$C,'Inflation Data'!$A:$A = T$1))) + 'Fund YTD Contributions'!T53,'Fund YTD Contributions'!T53)"),0.0)</f>
        <v>0</v>
      </c>
      <c r="U53" s="170">
        <f>IFERROR(__xludf.DUMMYFUNCTION("IFERROR(T53 * (1 + AVERAGE(Filter('Inflation Data'!$C:$C,'Inflation Data'!$A:$A = U$1))) + 'Fund YTD Contributions'!U53,'Fund YTD Contributions'!U53)"),0.0)</f>
        <v>0</v>
      </c>
      <c r="V53" s="170">
        <f>IFERROR(__xludf.DUMMYFUNCTION("IFERROR(U53 * (1 + AVERAGE(Filter('Inflation Data'!$C:$C,'Inflation Data'!$A:$A = V$1))) + 'Fund YTD Contributions'!V53,'Fund YTD Contributions'!V53)"),0.0)</f>
        <v>0</v>
      </c>
      <c r="W53" s="170">
        <f>IFERROR(__xludf.DUMMYFUNCTION("IFERROR(V53 * (1 + AVERAGE(Filter('Inflation Data'!$C:$C,'Inflation Data'!$A:$A = W$1))) + 'Fund YTD Contributions'!W53,'Fund YTD Contributions'!W53)"),0.0)</f>
        <v>0</v>
      </c>
      <c r="X53" s="170">
        <f>IFERROR(__xludf.DUMMYFUNCTION("IFERROR(W53 * (1 + AVERAGE(Filter('Inflation Data'!$C:$C,'Inflation Data'!$A:$A = X$1))) + 'Fund YTD Contributions'!X53,'Fund YTD Contributions'!X53)"),0.0)</f>
        <v>0</v>
      </c>
      <c r="Y53" s="170">
        <f>IFERROR(__xludf.DUMMYFUNCTION("IFERROR(X53 * (1 + AVERAGE(Filter('Inflation Data'!$C:$C,'Inflation Data'!$A:$A = Y$1))) + 'Fund YTD Contributions'!Y53,'Fund YTD Contributions'!Y53)"),0.0)</f>
        <v>0</v>
      </c>
      <c r="Z53" s="170">
        <f>IFERROR(__xludf.DUMMYFUNCTION("IFERROR(Y53 * (1 + AVERAGE(Filter('Inflation Data'!$C:$C,'Inflation Data'!$A:$A = Z$1))) + 'Fund YTD Contributions'!Z53,'Fund YTD Contributions'!Z53)"),0.0)</f>
        <v>0</v>
      </c>
      <c r="AA53" s="170">
        <f>IFERROR(__xludf.DUMMYFUNCTION("IFERROR(Z53 * (1 + AVERAGE(Filter('Inflation Data'!$C:$C,'Inflation Data'!$A:$A = AA$1))) + 'Fund YTD Contributions'!AA53,'Fund YTD Contributions'!AA53)"),0.0)</f>
        <v>0</v>
      </c>
      <c r="AB53" s="170">
        <f>IFERROR(__xludf.DUMMYFUNCTION("IFERROR(AA53 * (1 + AVERAGE(Filter('Inflation Data'!$C:$C,'Inflation Data'!$A:$A = AB$1))) + 'Fund YTD Contributions'!AB53,'Fund YTD Contributions'!AB53)"),0.0)</f>
        <v>0</v>
      </c>
      <c r="AC53" s="170">
        <f>IFERROR(__xludf.DUMMYFUNCTION("IFERROR(AB53 * (1 + AVERAGE(Filter('Inflation Data'!$C:$C,'Inflation Data'!$A:$A = AC$1))) + 'Fund YTD Contributions'!AC53,'Fund YTD Contributions'!AC53)"),0.0)</f>
        <v>0</v>
      </c>
      <c r="AD53" s="170">
        <f>IFERROR(__xludf.DUMMYFUNCTION("IFERROR(AC53 * (1 + AVERAGE(Filter('Inflation Data'!$C:$C,'Inflation Data'!$A:$A = AD$1))) + 'Fund YTD Contributions'!AD53,'Fund YTD Contributions'!AD53)"),0.0)</f>
        <v>0</v>
      </c>
      <c r="AE53" s="170">
        <f>IFERROR(__xludf.DUMMYFUNCTION("IFERROR(AD53 * (1 + AVERAGE(Filter('Inflation Data'!$C:$C,'Inflation Data'!$A:$A = AE$1))) + 'Fund YTD Contributions'!AE53,'Fund YTD Contributions'!AE53)"),0.0)</f>
        <v>0</v>
      </c>
      <c r="AF53" s="170" t="str">
        <f>IFERROR(__xludf.DUMMYFUNCTION("IFERROR(AE53 * (1 + AVERAGE(Filter('Inflation Data'!$C:$C,'Inflation Data'!$A:$A = AF$1))) + 'Fund YTD Contributions'!AF53,'Fund YTD Contributions'!AF53)"),"")</f>
        <v/>
      </c>
    </row>
    <row r="54">
      <c r="A54" s="145" t="str">
        <f>'Endowed Funds'!B:B</f>
        <v/>
      </c>
      <c r="B54" s="170">
        <f>IFERROR(__xludf.DUMMYFUNCTION("IFERROR(A54 * (1 + AVERAGE(Filter('Inflation Data'!$C:$C,'Inflation Data'!$A:$A = B$1))) + 'Fund YTD Contributions'!B54,'Fund YTD Contributions'!B54)"),0.0)</f>
        <v>0</v>
      </c>
      <c r="C54" s="170">
        <f>IFERROR(__xludf.DUMMYFUNCTION("IFERROR(B54 * (1 + AVERAGE(Filter('Inflation Data'!$C:$C,'Inflation Data'!$A:$A = C$1))) + 'Fund YTD Contributions'!C54,'Fund YTD Contributions'!C54)"),0.0)</f>
        <v>0</v>
      </c>
      <c r="D54" s="170">
        <f>IFERROR(__xludf.DUMMYFUNCTION("IFERROR(C54 * (1 + AVERAGE(Filter('Inflation Data'!$C:$C,'Inflation Data'!$A:$A = D$1))) + 'Fund YTD Contributions'!D54,'Fund YTD Contributions'!D54)"),0.0)</f>
        <v>0</v>
      </c>
      <c r="E54" s="170">
        <f>IFERROR(__xludf.DUMMYFUNCTION("IFERROR(D54 * (1 + AVERAGE(Filter('Inflation Data'!$C:$C,'Inflation Data'!$A:$A = E$1))) + 'Fund YTD Contributions'!E54,'Fund YTD Contributions'!E54)"),0.0)</f>
        <v>0</v>
      </c>
      <c r="F54" s="170">
        <f>IFERROR(__xludf.DUMMYFUNCTION("IFERROR(E54 * (1 + AVERAGE(Filter('Inflation Data'!$C:$C,'Inflation Data'!$A:$A = F$1))) + 'Fund YTD Contributions'!F54,'Fund YTD Contributions'!F54)"),0.0)</f>
        <v>0</v>
      </c>
      <c r="G54" s="170">
        <f>IFERROR(__xludf.DUMMYFUNCTION("IFERROR(F54 * (1 + AVERAGE(Filter('Inflation Data'!$C:$C,'Inflation Data'!$A:$A = G$1))) + 'Fund YTD Contributions'!G54,'Fund YTD Contributions'!G54)"),0.0)</f>
        <v>0</v>
      </c>
      <c r="H54" s="170">
        <f>IFERROR(__xludf.DUMMYFUNCTION("IFERROR(G54 * (1 + AVERAGE(Filter('Inflation Data'!$C:$C,'Inflation Data'!$A:$A = H$1))) + 'Fund YTD Contributions'!H54,'Fund YTD Contributions'!H54)"),0.0)</f>
        <v>0</v>
      </c>
      <c r="I54" s="170">
        <f>IFERROR(__xludf.DUMMYFUNCTION("IFERROR(H54 * (1 + AVERAGE(Filter('Inflation Data'!$C:$C,'Inflation Data'!$A:$A = I$1))) + 'Fund YTD Contributions'!I54,'Fund YTD Contributions'!I54)"),0.0)</f>
        <v>0</v>
      </c>
      <c r="J54" s="170">
        <f>IFERROR(__xludf.DUMMYFUNCTION("IFERROR(I54 * (1 + AVERAGE(Filter('Inflation Data'!$C:$C,'Inflation Data'!$A:$A = J$1))) + 'Fund YTD Contributions'!J54,'Fund YTD Contributions'!J54)"),0.0)</f>
        <v>0</v>
      </c>
      <c r="K54" s="170">
        <f>IFERROR(__xludf.DUMMYFUNCTION("IFERROR(J54 * (1 + AVERAGE(Filter('Inflation Data'!$C:$C,'Inflation Data'!$A:$A = K$1))) + 'Fund YTD Contributions'!K54,'Fund YTD Contributions'!K54)"),0.0)</f>
        <v>0</v>
      </c>
      <c r="L54" s="170">
        <f>IFERROR(__xludf.DUMMYFUNCTION("IFERROR(K54 * (1 + AVERAGE(Filter('Inflation Data'!$C:$C,'Inflation Data'!$A:$A = L$1))) + 'Fund YTD Contributions'!L54,'Fund YTD Contributions'!L54)"),0.0)</f>
        <v>0</v>
      </c>
      <c r="M54" s="170">
        <f>IFERROR(__xludf.DUMMYFUNCTION("IFERROR(L54 * (1 + AVERAGE(Filter('Inflation Data'!$C:$C,'Inflation Data'!$A:$A = M$1))) + 'Fund YTD Contributions'!M54,'Fund YTD Contributions'!M54)"),0.0)</f>
        <v>0</v>
      </c>
      <c r="N54" s="170">
        <f>IFERROR(__xludf.DUMMYFUNCTION("IFERROR(M54 * (1 + AVERAGE(Filter('Inflation Data'!$C:$C,'Inflation Data'!$A:$A = N$1))) + 'Fund YTD Contributions'!N54,'Fund YTD Contributions'!N54)"),0.0)</f>
        <v>0</v>
      </c>
      <c r="O54" s="170">
        <f>IFERROR(__xludf.DUMMYFUNCTION("IFERROR(N54 * (1 + AVERAGE(Filter('Inflation Data'!$C:$C,'Inflation Data'!$A:$A = O$1))) + 'Fund YTD Contributions'!O54,'Fund YTD Contributions'!O54)"),0.0)</f>
        <v>0</v>
      </c>
      <c r="P54" s="170">
        <f>IFERROR(__xludf.DUMMYFUNCTION("IFERROR(O54 * (1 + AVERAGE(Filter('Inflation Data'!$C:$C,'Inflation Data'!$A:$A = P$1))) + 'Fund YTD Contributions'!P54,'Fund YTD Contributions'!P54)"),0.0)</f>
        <v>0</v>
      </c>
      <c r="Q54" s="170">
        <f>IFERROR(__xludf.DUMMYFUNCTION("IFERROR(P54 * (1 + AVERAGE(Filter('Inflation Data'!$C:$C,'Inflation Data'!$A:$A = Q$1))) + 'Fund YTD Contributions'!Q54,'Fund YTD Contributions'!Q54)"),0.0)</f>
        <v>0</v>
      </c>
      <c r="R54" s="170">
        <f>IFERROR(__xludf.DUMMYFUNCTION("IFERROR(Q54 * (1 + AVERAGE(Filter('Inflation Data'!$C:$C,'Inflation Data'!$A:$A = R$1))) + 'Fund YTD Contributions'!R54,'Fund YTD Contributions'!R54)"),0.0)</f>
        <v>0</v>
      </c>
      <c r="S54" s="170">
        <f>IFERROR(__xludf.DUMMYFUNCTION("IFERROR(R54 * (1 + AVERAGE(Filter('Inflation Data'!$C:$C,'Inflation Data'!$A:$A = S$1))) + 'Fund YTD Contributions'!S54,'Fund YTD Contributions'!S54)"),0.0)</f>
        <v>0</v>
      </c>
      <c r="T54" s="170">
        <f>IFERROR(__xludf.DUMMYFUNCTION("IFERROR(S54 * (1 + AVERAGE(Filter('Inflation Data'!$C:$C,'Inflation Data'!$A:$A = T$1))) + 'Fund YTD Contributions'!T54,'Fund YTD Contributions'!T54)"),0.0)</f>
        <v>0</v>
      </c>
      <c r="U54" s="170">
        <f>IFERROR(__xludf.DUMMYFUNCTION("IFERROR(T54 * (1 + AVERAGE(Filter('Inflation Data'!$C:$C,'Inflation Data'!$A:$A = U$1))) + 'Fund YTD Contributions'!U54,'Fund YTD Contributions'!U54)"),0.0)</f>
        <v>0</v>
      </c>
      <c r="V54" s="170">
        <f>IFERROR(__xludf.DUMMYFUNCTION("IFERROR(U54 * (1 + AVERAGE(Filter('Inflation Data'!$C:$C,'Inflation Data'!$A:$A = V$1))) + 'Fund YTD Contributions'!V54,'Fund YTD Contributions'!V54)"),0.0)</f>
        <v>0</v>
      </c>
      <c r="W54" s="170">
        <f>IFERROR(__xludf.DUMMYFUNCTION("IFERROR(V54 * (1 + AVERAGE(Filter('Inflation Data'!$C:$C,'Inflation Data'!$A:$A = W$1))) + 'Fund YTD Contributions'!W54,'Fund YTD Contributions'!W54)"),0.0)</f>
        <v>0</v>
      </c>
      <c r="X54" s="170">
        <f>IFERROR(__xludf.DUMMYFUNCTION("IFERROR(W54 * (1 + AVERAGE(Filter('Inflation Data'!$C:$C,'Inflation Data'!$A:$A = X$1))) + 'Fund YTD Contributions'!X54,'Fund YTD Contributions'!X54)"),0.0)</f>
        <v>0</v>
      </c>
      <c r="Y54" s="170">
        <f>IFERROR(__xludf.DUMMYFUNCTION("IFERROR(X54 * (1 + AVERAGE(Filter('Inflation Data'!$C:$C,'Inflation Data'!$A:$A = Y$1))) + 'Fund YTD Contributions'!Y54,'Fund YTD Contributions'!Y54)"),0.0)</f>
        <v>0</v>
      </c>
      <c r="Z54" s="170">
        <f>IFERROR(__xludf.DUMMYFUNCTION("IFERROR(Y54 * (1 + AVERAGE(Filter('Inflation Data'!$C:$C,'Inflation Data'!$A:$A = Z$1))) + 'Fund YTD Contributions'!Z54,'Fund YTD Contributions'!Z54)"),0.0)</f>
        <v>0</v>
      </c>
      <c r="AA54" s="170">
        <f>IFERROR(__xludf.DUMMYFUNCTION("IFERROR(Z54 * (1 + AVERAGE(Filter('Inflation Data'!$C:$C,'Inflation Data'!$A:$A = AA$1))) + 'Fund YTD Contributions'!AA54,'Fund YTD Contributions'!AA54)"),0.0)</f>
        <v>0</v>
      </c>
      <c r="AB54" s="170">
        <f>IFERROR(__xludf.DUMMYFUNCTION("IFERROR(AA54 * (1 + AVERAGE(Filter('Inflation Data'!$C:$C,'Inflation Data'!$A:$A = AB$1))) + 'Fund YTD Contributions'!AB54,'Fund YTD Contributions'!AB54)"),0.0)</f>
        <v>0</v>
      </c>
      <c r="AC54" s="170">
        <f>IFERROR(__xludf.DUMMYFUNCTION("IFERROR(AB54 * (1 + AVERAGE(Filter('Inflation Data'!$C:$C,'Inflation Data'!$A:$A = AC$1))) + 'Fund YTD Contributions'!AC54,'Fund YTD Contributions'!AC54)"),0.0)</f>
        <v>0</v>
      </c>
      <c r="AD54" s="170">
        <f>IFERROR(__xludf.DUMMYFUNCTION("IFERROR(AC54 * (1 + AVERAGE(Filter('Inflation Data'!$C:$C,'Inflation Data'!$A:$A = AD$1))) + 'Fund YTD Contributions'!AD54,'Fund YTD Contributions'!AD54)"),0.0)</f>
        <v>0</v>
      </c>
      <c r="AE54" s="170">
        <f>IFERROR(__xludf.DUMMYFUNCTION("IFERROR(AD54 * (1 + AVERAGE(Filter('Inflation Data'!$C:$C,'Inflation Data'!$A:$A = AE$1))) + 'Fund YTD Contributions'!AE54,'Fund YTD Contributions'!AE54)"),0.0)</f>
        <v>0</v>
      </c>
      <c r="AF54" s="170" t="str">
        <f>IFERROR(__xludf.DUMMYFUNCTION("IFERROR(AE54 * (1 + AVERAGE(Filter('Inflation Data'!$C:$C,'Inflation Data'!$A:$A = AF$1))) + 'Fund YTD Contributions'!AF54,'Fund YTD Contributions'!AF54)"),"")</f>
        <v/>
      </c>
    </row>
    <row r="55">
      <c r="A55" s="145" t="str">
        <f>'Endowed Funds'!B:B</f>
        <v/>
      </c>
      <c r="B55" s="170">
        <f>IFERROR(__xludf.DUMMYFUNCTION("IFERROR(A55 * (1 + AVERAGE(Filter('Inflation Data'!$C:$C,'Inflation Data'!$A:$A = B$1))) + 'Fund YTD Contributions'!B55,'Fund YTD Contributions'!B55)"),0.0)</f>
        <v>0</v>
      </c>
      <c r="C55" s="170">
        <f>IFERROR(__xludf.DUMMYFUNCTION("IFERROR(B55 * (1 + AVERAGE(Filter('Inflation Data'!$C:$C,'Inflation Data'!$A:$A = C$1))) + 'Fund YTD Contributions'!C55,'Fund YTD Contributions'!C55)"),0.0)</f>
        <v>0</v>
      </c>
      <c r="D55" s="170">
        <f>IFERROR(__xludf.DUMMYFUNCTION("IFERROR(C55 * (1 + AVERAGE(Filter('Inflation Data'!$C:$C,'Inflation Data'!$A:$A = D$1))) + 'Fund YTD Contributions'!D55,'Fund YTD Contributions'!D55)"),0.0)</f>
        <v>0</v>
      </c>
      <c r="E55" s="170">
        <f>IFERROR(__xludf.DUMMYFUNCTION("IFERROR(D55 * (1 + AVERAGE(Filter('Inflation Data'!$C:$C,'Inflation Data'!$A:$A = E$1))) + 'Fund YTD Contributions'!E55,'Fund YTD Contributions'!E55)"),0.0)</f>
        <v>0</v>
      </c>
      <c r="F55" s="170">
        <f>IFERROR(__xludf.DUMMYFUNCTION("IFERROR(E55 * (1 + AVERAGE(Filter('Inflation Data'!$C:$C,'Inflation Data'!$A:$A = F$1))) + 'Fund YTD Contributions'!F55,'Fund YTD Contributions'!F55)"),0.0)</f>
        <v>0</v>
      </c>
      <c r="G55" s="170">
        <f>IFERROR(__xludf.DUMMYFUNCTION("IFERROR(F55 * (1 + AVERAGE(Filter('Inflation Data'!$C:$C,'Inflation Data'!$A:$A = G$1))) + 'Fund YTD Contributions'!G55,'Fund YTD Contributions'!G55)"),0.0)</f>
        <v>0</v>
      </c>
      <c r="H55" s="170">
        <f>IFERROR(__xludf.DUMMYFUNCTION("IFERROR(G55 * (1 + AVERAGE(Filter('Inflation Data'!$C:$C,'Inflation Data'!$A:$A = H$1))) + 'Fund YTD Contributions'!H55,'Fund YTD Contributions'!H55)"),0.0)</f>
        <v>0</v>
      </c>
      <c r="I55" s="170">
        <f>IFERROR(__xludf.DUMMYFUNCTION("IFERROR(H55 * (1 + AVERAGE(Filter('Inflation Data'!$C:$C,'Inflation Data'!$A:$A = I$1))) + 'Fund YTD Contributions'!I55,'Fund YTD Contributions'!I55)"),0.0)</f>
        <v>0</v>
      </c>
      <c r="J55" s="170">
        <f>IFERROR(__xludf.DUMMYFUNCTION("IFERROR(I55 * (1 + AVERAGE(Filter('Inflation Data'!$C:$C,'Inflation Data'!$A:$A = J$1))) + 'Fund YTD Contributions'!J55,'Fund YTD Contributions'!J55)"),0.0)</f>
        <v>0</v>
      </c>
      <c r="K55" s="170">
        <f>IFERROR(__xludf.DUMMYFUNCTION("IFERROR(J55 * (1 + AVERAGE(Filter('Inflation Data'!$C:$C,'Inflation Data'!$A:$A = K$1))) + 'Fund YTD Contributions'!K55,'Fund YTD Contributions'!K55)"),0.0)</f>
        <v>0</v>
      </c>
      <c r="L55" s="170">
        <f>IFERROR(__xludf.DUMMYFUNCTION("IFERROR(K55 * (1 + AVERAGE(Filter('Inflation Data'!$C:$C,'Inflation Data'!$A:$A = L$1))) + 'Fund YTD Contributions'!L55,'Fund YTD Contributions'!L55)"),0.0)</f>
        <v>0</v>
      </c>
      <c r="M55" s="170">
        <f>IFERROR(__xludf.DUMMYFUNCTION("IFERROR(L55 * (1 + AVERAGE(Filter('Inflation Data'!$C:$C,'Inflation Data'!$A:$A = M$1))) + 'Fund YTD Contributions'!M55,'Fund YTD Contributions'!M55)"),0.0)</f>
        <v>0</v>
      </c>
      <c r="N55" s="170">
        <f>IFERROR(__xludf.DUMMYFUNCTION("IFERROR(M55 * (1 + AVERAGE(Filter('Inflation Data'!$C:$C,'Inflation Data'!$A:$A = N$1))) + 'Fund YTD Contributions'!N55,'Fund YTD Contributions'!N55)"),0.0)</f>
        <v>0</v>
      </c>
      <c r="O55" s="170">
        <f>IFERROR(__xludf.DUMMYFUNCTION("IFERROR(N55 * (1 + AVERAGE(Filter('Inflation Data'!$C:$C,'Inflation Data'!$A:$A = O$1))) + 'Fund YTD Contributions'!O55,'Fund YTD Contributions'!O55)"),0.0)</f>
        <v>0</v>
      </c>
      <c r="P55" s="170">
        <f>IFERROR(__xludf.DUMMYFUNCTION("IFERROR(O55 * (1 + AVERAGE(Filter('Inflation Data'!$C:$C,'Inflation Data'!$A:$A = P$1))) + 'Fund YTD Contributions'!P55,'Fund YTD Contributions'!P55)"),0.0)</f>
        <v>0</v>
      </c>
      <c r="Q55" s="170">
        <f>IFERROR(__xludf.DUMMYFUNCTION("IFERROR(P55 * (1 + AVERAGE(Filter('Inflation Data'!$C:$C,'Inflation Data'!$A:$A = Q$1))) + 'Fund YTD Contributions'!Q55,'Fund YTD Contributions'!Q55)"),0.0)</f>
        <v>0</v>
      </c>
      <c r="R55" s="170">
        <f>IFERROR(__xludf.DUMMYFUNCTION("IFERROR(Q55 * (1 + AVERAGE(Filter('Inflation Data'!$C:$C,'Inflation Data'!$A:$A = R$1))) + 'Fund YTD Contributions'!R55,'Fund YTD Contributions'!R55)"),0.0)</f>
        <v>0</v>
      </c>
      <c r="S55" s="170">
        <f>IFERROR(__xludf.DUMMYFUNCTION("IFERROR(R55 * (1 + AVERAGE(Filter('Inflation Data'!$C:$C,'Inflation Data'!$A:$A = S$1))) + 'Fund YTD Contributions'!S55,'Fund YTD Contributions'!S55)"),0.0)</f>
        <v>0</v>
      </c>
      <c r="T55" s="170">
        <f>IFERROR(__xludf.DUMMYFUNCTION("IFERROR(S55 * (1 + AVERAGE(Filter('Inflation Data'!$C:$C,'Inflation Data'!$A:$A = T$1))) + 'Fund YTD Contributions'!T55,'Fund YTD Contributions'!T55)"),0.0)</f>
        <v>0</v>
      </c>
      <c r="U55" s="170">
        <f>IFERROR(__xludf.DUMMYFUNCTION("IFERROR(T55 * (1 + AVERAGE(Filter('Inflation Data'!$C:$C,'Inflation Data'!$A:$A = U$1))) + 'Fund YTD Contributions'!U55,'Fund YTD Contributions'!U55)"),0.0)</f>
        <v>0</v>
      </c>
      <c r="V55" s="170">
        <f>IFERROR(__xludf.DUMMYFUNCTION("IFERROR(U55 * (1 + AVERAGE(Filter('Inflation Data'!$C:$C,'Inflation Data'!$A:$A = V$1))) + 'Fund YTD Contributions'!V55,'Fund YTD Contributions'!V55)"),0.0)</f>
        <v>0</v>
      </c>
      <c r="W55" s="170">
        <f>IFERROR(__xludf.DUMMYFUNCTION("IFERROR(V55 * (1 + AVERAGE(Filter('Inflation Data'!$C:$C,'Inflation Data'!$A:$A = W$1))) + 'Fund YTD Contributions'!W55,'Fund YTD Contributions'!W55)"),0.0)</f>
        <v>0</v>
      </c>
      <c r="X55" s="170">
        <f>IFERROR(__xludf.DUMMYFUNCTION("IFERROR(W55 * (1 + AVERAGE(Filter('Inflation Data'!$C:$C,'Inflation Data'!$A:$A = X$1))) + 'Fund YTD Contributions'!X55,'Fund YTD Contributions'!X55)"),0.0)</f>
        <v>0</v>
      </c>
      <c r="Y55" s="170">
        <f>IFERROR(__xludf.DUMMYFUNCTION("IFERROR(X55 * (1 + AVERAGE(Filter('Inflation Data'!$C:$C,'Inflation Data'!$A:$A = Y$1))) + 'Fund YTD Contributions'!Y55,'Fund YTD Contributions'!Y55)"),0.0)</f>
        <v>0</v>
      </c>
      <c r="Z55" s="170">
        <f>IFERROR(__xludf.DUMMYFUNCTION("IFERROR(Y55 * (1 + AVERAGE(Filter('Inflation Data'!$C:$C,'Inflation Data'!$A:$A = Z$1))) + 'Fund YTD Contributions'!Z55,'Fund YTD Contributions'!Z55)"),0.0)</f>
        <v>0</v>
      </c>
      <c r="AA55" s="170">
        <f>IFERROR(__xludf.DUMMYFUNCTION("IFERROR(Z55 * (1 + AVERAGE(Filter('Inflation Data'!$C:$C,'Inflation Data'!$A:$A = AA$1))) + 'Fund YTD Contributions'!AA55,'Fund YTD Contributions'!AA55)"),0.0)</f>
        <v>0</v>
      </c>
      <c r="AB55" s="170">
        <f>IFERROR(__xludf.DUMMYFUNCTION("IFERROR(AA55 * (1 + AVERAGE(Filter('Inflation Data'!$C:$C,'Inflation Data'!$A:$A = AB$1))) + 'Fund YTD Contributions'!AB55,'Fund YTD Contributions'!AB55)"),0.0)</f>
        <v>0</v>
      </c>
      <c r="AC55" s="170">
        <f>IFERROR(__xludf.DUMMYFUNCTION("IFERROR(AB55 * (1 + AVERAGE(Filter('Inflation Data'!$C:$C,'Inflation Data'!$A:$A = AC$1))) + 'Fund YTD Contributions'!AC55,'Fund YTD Contributions'!AC55)"),0.0)</f>
        <v>0</v>
      </c>
      <c r="AD55" s="170">
        <f>IFERROR(__xludf.DUMMYFUNCTION("IFERROR(AC55 * (1 + AVERAGE(Filter('Inflation Data'!$C:$C,'Inflation Data'!$A:$A = AD$1))) + 'Fund YTD Contributions'!AD55,'Fund YTD Contributions'!AD55)"),0.0)</f>
        <v>0</v>
      </c>
      <c r="AE55" s="170">
        <f>IFERROR(__xludf.DUMMYFUNCTION("IFERROR(AD55 * (1 + AVERAGE(Filter('Inflation Data'!$C:$C,'Inflation Data'!$A:$A = AE$1))) + 'Fund YTD Contributions'!AE55,'Fund YTD Contributions'!AE55)"),0.0)</f>
        <v>0</v>
      </c>
      <c r="AF55" s="170" t="str">
        <f>IFERROR(__xludf.DUMMYFUNCTION("IFERROR(AE55 * (1 + AVERAGE(Filter('Inflation Data'!$C:$C,'Inflation Data'!$A:$A = AF$1))) + 'Fund YTD Contributions'!AF55,'Fund YTD Contributions'!AF55)"),"")</f>
        <v/>
      </c>
    </row>
    <row r="56">
      <c r="A56" s="145" t="str">
        <f>'Endowed Funds'!B:B</f>
        <v/>
      </c>
      <c r="B56" s="170">
        <f>IFERROR(__xludf.DUMMYFUNCTION("IFERROR(A56 * (1 + AVERAGE(Filter('Inflation Data'!$C:$C,'Inflation Data'!$A:$A = B$1))) + 'Fund YTD Contributions'!B56,'Fund YTD Contributions'!B56)"),0.0)</f>
        <v>0</v>
      </c>
      <c r="C56" s="170">
        <f>IFERROR(__xludf.DUMMYFUNCTION("IFERROR(B56 * (1 + AVERAGE(Filter('Inflation Data'!$C:$C,'Inflation Data'!$A:$A = C$1))) + 'Fund YTD Contributions'!C56,'Fund YTD Contributions'!C56)"),0.0)</f>
        <v>0</v>
      </c>
      <c r="D56" s="170">
        <f>IFERROR(__xludf.DUMMYFUNCTION("IFERROR(C56 * (1 + AVERAGE(Filter('Inflation Data'!$C:$C,'Inflation Data'!$A:$A = D$1))) + 'Fund YTD Contributions'!D56,'Fund YTD Contributions'!D56)"),0.0)</f>
        <v>0</v>
      </c>
      <c r="E56" s="170">
        <f>IFERROR(__xludf.DUMMYFUNCTION("IFERROR(D56 * (1 + AVERAGE(Filter('Inflation Data'!$C:$C,'Inflation Data'!$A:$A = E$1))) + 'Fund YTD Contributions'!E56,'Fund YTD Contributions'!E56)"),0.0)</f>
        <v>0</v>
      </c>
      <c r="F56" s="170">
        <f>IFERROR(__xludf.DUMMYFUNCTION("IFERROR(E56 * (1 + AVERAGE(Filter('Inflation Data'!$C:$C,'Inflation Data'!$A:$A = F$1))) + 'Fund YTD Contributions'!F56,'Fund YTD Contributions'!F56)"),0.0)</f>
        <v>0</v>
      </c>
      <c r="G56" s="170">
        <f>IFERROR(__xludf.DUMMYFUNCTION("IFERROR(F56 * (1 + AVERAGE(Filter('Inflation Data'!$C:$C,'Inflation Data'!$A:$A = G$1))) + 'Fund YTD Contributions'!G56,'Fund YTD Contributions'!G56)"),0.0)</f>
        <v>0</v>
      </c>
      <c r="H56" s="170">
        <f>IFERROR(__xludf.DUMMYFUNCTION("IFERROR(G56 * (1 + AVERAGE(Filter('Inflation Data'!$C:$C,'Inflation Data'!$A:$A = H$1))) + 'Fund YTD Contributions'!H56,'Fund YTD Contributions'!H56)"),0.0)</f>
        <v>0</v>
      </c>
      <c r="I56" s="170">
        <f>IFERROR(__xludf.DUMMYFUNCTION("IFERROR(H56 * (1 + AVERAGE(Filter('Inflation Data'!$C:$C,'Inflation Data'!$A:$A = I$1))) + 'Fund YTD Contributions'!I56,'Fund YTD Contributions'!I56)"),0.0)</f>
        <v>0</v>
      </c>
      <c r="J56" s="170">
        <f>IFERROR(__xludf.DUMMYFUNCTION("IFERROR(I56 * (1 + AVERAGE(Filter('Inflation Data'!$C:$C,'Inflation Data'!$A:$A = J$1))) + 'Fund YTD Contributions'!J56,'Fund YTD Contributions'!J56)"),0.0)</f>
        <v>0</v>
      </c>
      <c r="K56" s="170">
        <f>IFERROR(__xludf.DUMMYFUNCTION("IFERROR(J56 * (1 + AVERAGE(Filter('Inflation Data'!$C:$C,'Inflation Data'!$A:$A = K$1))) + 'Fund YTD Contributions'!K56,'Fund YTD Contributions'!K56)"),0.0)</f>
        <v>0</v>
      </c>
      <c r="L56" s="170">
        <f>IFERROR(__xludf.DUMMYFUNCTION("IFERROR(K56 * (1 + AVERAGE(Filter('Inflation Data'!$C:$C,'Inflation Data'!$A:$A = L$1))) + 'Fund YTD Contributions'!L56,'Fund YTD Contributions'!L56)"),0.0)</f>
        <v>0</v>
      </c>
      <c r="M56" s="170">
        <f>IFERROR(__xludf.DUMMYFUNCTION("IFERROR(L56 * (1 + AVERAGE(Filter('Inflation Data'!$C:$C,'Inflation Data'!$A:$A = M$1))) + 'Fund YTD Contributions'!M56,'Fund YTD Contributions'!M56)"),0.0)</f>
        <v>0</v>
      </c>
      <c r="N56" s="170">
        <f>IFERROR(__xludf.DUMMYFUNCTION("IFERROR(M56 * (1 + AVERAGE(Filter('Inflation Data'!$C:$C,'Inflation Data'!$A:$A = N$1))) + 'Fund YTD Contributions'!N56,'Fund YTD Contributions'!N56)"),0.0)</f>
        <v>0</v>
      </c>
      <c r="O56" s="170">
        <f>IFERROR(__xludf.DUMMYFUNCTION("IFERROR(N56 * (1 + AVERAGE(Filter('Inflation Data'!$C:$C,'Inflation Data'!$A:$A = O$1))) + 'Fund YTD Contributions'!O56,'Fund YTD Contributions'!O56)"),0.0)</f>
        <v>0</v>
      </c>
      <c r="P56" s="170">
        <f>IFERROR(__xludf.DUMMYFUNCTION("IFERROR(O56 * (1 + AVERAGE(Filter('Inflation Data'!$C:$C,'Inflation Data'!$A:$A = P$1))) + 'Fund YTD Contributions'!P56,'Fund YTD Contributions'!P56)"),0.0)</f>
        <v>0</v>
      </c>
      <c r="Q56" s="170">
        <f>IFERROR(__xludf.DUMMYFUNCTION("IFERROR(P56 * (1 + AVERAGE(Filter('Inflation Data'!$C:$C,'Inflation Data'!$A:$A = Q$1))) + 'Fund YTD Contributions'!Q56,'Fund YTD Contributions'!Q56)"),0.0)</f>
        <v>0</v>
      </c>
      <c r="R56" s="170">
        <f>IFERROR(__xludf.DUMMYFUNCTION("IFERROR(Q56 * (1 + AVERAGE(Filter('Inflation Data'!$C:$C,'Inflation Data'!$A:$A = R$1))) + 'Fund YTD Contributions'!R56,'Fund YTD Contributions'!R56)"),0.0)</f>
        <v>0</v>
      </c>
      <c r="S56" s="170">
        <f>IFERROR(__xludf.DUMMYFUNCTION("IFERROR(R56 * (1 + AVERAGE(Filter('Inflation Data'!$C:$C,'Inflation Data'!$A:$A = S$1))) + 'Fund YTD Contributions'!S56,'Fund YTD Contributions'!S56)"),0.0)</f>
        <v>0</v>
      </c>
      <c r="T56" s="170">
        <f>IFERROR(__xludf.DUMMYFUNCTION("IFERROR(S56 * (1 + AVERAGE(Filter('Inflation Data'!$C:$C,'Inflation Data'!$A:$A = T$1))) + 'Fund YTD Contributions'!T56,'Fund YTD Contributions'!T56)"),0.0)</f>
        <v>0</v>
      </c>
      <c r="U56" s="170">
        <f>IFERROR(__xludf.DUMMYFUNCTION("IFERROR(T56 * (1 + AVERAGE(Filter('Inflation Data'!$C:$C,'Inflation Data'!$A:$A = U$1))) + 'Fund YTD Contributions'!U56,'Fund YTD Contributions'!U56)"),0.0)</f>
        <v>0</v>
      </c>
      <c r="V56" s="170">
        <f>IFERROR(__xludf.DUMMYFUNCTION("IFERROR(U56 * (1 + AVERAGE(Filter('Inflation Data'!$C:$C,'Inflation Data'!$A:$A = V$1))) + 'Fund YTD Contributions'!V56,'Fund YTD Contributions'!V56)"),0.0)</f>
        <v>0</v>
      </c>
      <c r="W56" s="170">
        <f>IFERROR(__xludf.DUMMYFUNCTION("IFERROR(V56 * (1 + AVERAGE(Filter('Inflation Data'!$C:$C,'Inflation Data'!$A:$A = W$1))) + 'Fund YTD Contributions'!W56,'Fund YTD Contributions'!W56)"),0.0)</f>
        <v>0</v>
      </c>
      <c r="X56" s="170">
        <f>IFERROR(__xludf.DUMMYFUNCTION("IFERROR(W56 * (1 + AVERAGE(Filter('Inflation Data'!$C:$C,'Inflation Data'!$A:$A = X$1))) + 'Fund YTD Contributions'!X56,'Fund YTD Contributions'!X56)"),0.0)</f>
        <v>0</v>
      </c>
      <c r="Y56" s="170">
        <f>IFERROR(__xludf.DUMMYFUNCTION("IFERROR(X56 * (1 + AVERAGE(Filter('Inflation Data'!$C:$C,'Inflation Data'!$A:$A = Y$1))) + 'Fund YTD Contributions'!Y56,'Fund YTD Contributions'!Y56)"),0.0)</f>
        <v>0</v>
      </c>
      <c r="Z56" s="170">
        <f>IFERROR(__xludf.DUMMYFUNCTION("IFERROR(Y56 * (1 + AVERAGE(Filter('Inflation Data'!$C:$C,'Inflation Data'!$A:$A = Z$1))) + 'Fund YTD Contributions'!Z56,'Fund YTD Contributions'!Z56)"),0.0)</f>
        <v>0</v>
      </c>
      <c r="AA56" s="170">
        <f>IFERROR(__xludf.DUMMYFUNCTION("IFERROR(Z56 * (1 + AVERAGE(Filter('Inflation Data'!$C:$C,'Inflation Data'!$A:$A = AA$1))) + 'Fund YTD Contributions'!AA56,'Fund YTD Contributions'!AA56)"),0.0)</f>
        <v>0</v>
      </c>
      <c r="AB56" s="170">
        <f>IFERROR(__xludf.DUMMYFUNCTION("IFERROR(AA56 * (1 + AVERAGE(Filter('Inflation Data'!$C:$C,'Inflation Data'!$A:$A = AB$1))) + 'Fund YTD Contributions'!AB56,'Fund YTD Contributions'!AB56)"),0.0)</f>
        <v>0</v>
      </c>
      <c r="AC56" s="170">
        <f>IFERROR(__xludf.DUMMYFUNCTION("IFERROR(AB56 * (1 + AVERAGE(Filter('Inflation Data'!$C:$C,'Inflation Data'!$A:$A = AC$1))) + 'Fund YTD Contributions'!AC56,'Fund YTD Contributions'!AC56)"),0.0)</f>
        <v>0</v>
      </c>
      <c r="AD56" s="170">
        <f>IFERROR(__xludf.DUMMYFUNCTION("IFERROR(AC56 * (1 + AVERAGE(Filter('Inflation Data'!$C:$C,'Inflation Data'!$A:$A = AD$1))) + 'Fund YTD Contributions'!AD56,'Fund YTD Contributions'!AD56)"),0.0)</f>
        <v>0</v>
      </c>
      <c r="AE56" s="170">
        <f>IFERROR(__xludf.DUMMYFUNCTION("IFERROR(AD56 * (1 + AVERAGE(Filter('Inflation Data'!$C:$C,'Inflation Data'!$A:$A = AE$1))) + 'Fund YTD Contributions'!AE56,'Fund YTD Contributions'!AE56)"),0.0)</f>
        <v>0</v>
      </c>
      <c r="AF56" s="170" t="str">
        <f>IFERROR(__xludf.DUMMYFUNCTION("IFERROR(AE56 * (1 + AVERAGE(Filter('Inflation Data'!$C:$C,'Inflation Data'!$A:$A = AF$1))) + 'Fund YTD Contributions'!AF56,'Fund YTD Contributions'!AF56)"),"")</f>
        <v/>
      </c>
    </row>
    <row r="57">
      <c r="A57" s="145" t="str">
        <f>'Endowed Funds'!B:B</f>
        <v/>
      </c>
      <c r="B57" s="170">
        <f>IFERROR(__xludf.DUMMYFUNCTION("IFERROR(A57 * (1 + AVERAGE(Filter('Inflation Data'!$C:$C,'Inflation Data'!$A:$A = B$1))) + 'Fund YTD Contributions'!B57,'Fund YTD Contributions'!B57)"),0.0)</f>
        <v>0</v>
      </c>
      <c r="C57" s="170">
        <f>IFERROR(__xludf.DUMMYFUNCTION("IFERROR(B57 * (1 + AVERAGE(Filter('Inflation Data'!$C:$C,'Inflation Data'!$A:$A = C$1))) + 'Fund YTD Contributions'!C57,'Fund YTD Contributions'!C57)"),0.0)</f>
        <v>0</v>
      </c>
      <c r="D57" s="170">
        <f>IFERROR(__xludf.DUMMYFUNCTION("IFERROR(C57 * (1 + AVERAGE(Filter('Inflation Data'!$C:$C,'Inflation Data'!$A:$A = D$1))) + 'Fund YTD Contributions'!D57,'Fund YTD Contributions'!D57)"),0.0)</f>
        <v>0</v>
      </c>
      <c r="E57" s="170">
        <f>IFERROR(__xludf.DUMMYFUNCTION("IFERROR(D57 * (1 + AVERAGE(Filter('Inflation Data'!$C:$C,'Inflation Data'!$A:$A = E$1))) + 'Fund YTD Contributions'!E57,'Fund YTD Contributions'!E57)"),0.0)</f>
        <v>0</v>
      </c>
      <c r="F57" s="170">
        <f>IFERROR(__xludf.DUMMYFUNCTION("IFERROR(E57 * (1 + AVERAGE(Filter('Inflation Data'!$C:$C,'Inflation Data'!$A:$A = F$1))) + 'Fund YTD Contributions'!F57,'Fund YTD Contributions'!F57)"),0.0)</f>
        <v>0</v>
      </c>
      <c r="G57" s="170">
        <f>IFERROR(__xludf.DUMMYFUNCTION("IFERROR(F57 * (1 + AVERAGE(Filter('Inflation Data'!$C:$C,'Inflation Data'!$A:$A = G$1))) + 'Fund YTD Contributions'!G57,'Fund YTD Contributions'!G57)"),0.0)</f>
        <v>0</v>
      </c>
      <c r="H57" s="170">
        <f>IFERROR(__xludf.DUMMYFUNCTION("IFERROR(G57 * (1 + AVERAGE(Filter('Inflation Data'!$C:$C,'Inflation Data'!$A:$A = H$1))) + 'Fund YTD Contributions'!H57,'Fund YTD Contributions'!H57)"),0.0)</f>
        <v>0</v>
      </c>
      <c r="I57" s="170">
        <f>IFERROR(__xludf.DUMMYFUNCTION("IFERROR(H57 * (1 + AVERAGE(Filter('Inflation Data'!$C:$C,'Inflation Data'!$A:$A = I$1))) + 'Fund YTD Contributions'!I57,'Fund YTD Contributions'!I57)"),0.0)</f>
        <v>0</v>
      </c>
      <c r="J57" s="170">
        <f>IFERROR(__xludf.DUMMYFUNCTION("IFERROR(I57 * (1 + AVERAGE(Filter('Inflation Data'!$C:$C,'Inflation Data'!$A:$A = J$1))) + 'Fund YTD Contributions'!J57,'Fund YTD Contributions'!J57)"),0.0)</f>
        <v>0</v>
      </c>
      <c r="K57" s="170">
        <f>IFERROR(__xludf.DUMMYFUNCTION("IFERROR(J57 * (1 + AVERAGE(Filter('Inflation Data'!$C:$C,'Inflation Data'!$A:$A = K$1))) + 'Fund YTD Contributions'!K57,'Fund YTD Contributions'!K57)"),0.0)</f>
        <v>0</v>
      </c>
      <c r="L57" s="170">
        <f>IFERROR(__xludf.DUMMYFUNCTION("IFERROR(K57 * (1 + AVERAGE(Filter('Inflation Data'!$C:$C,'Inflation Data'!$A:$A = L$1))) + 'Fund YTD Contributions'!L57,'Fund YTD Contributions'!L57)"),0.0)</f>
        <v>0</v>
      </c>
      <c r="M57" s="170">
        <f>IFERROR(__xludf.DUMMYFUNCTION("IFERROR(L57 * (1 + AVERAGE(Filter('Inflation Data'!$C:$C,'Inflation Data'!$A:$A = M$1))) + 'Fund YTD Contributions'!M57,'Fund YTD Contributions'!M57)"),0.0)</f>
        <v>0</v>
      </c>
      <c r="N57" s="170">
        <f>IFERROR(__xludf.DUMMYFUNCTION("IFERROR(M57 * (1 + AVERAGE(Filter('Inflation Data'!$C:$C,'Inflation Data'!$A:$A = N$1))) + 'Fund YTD Contributions'!N57,'Fund YTD Contributions'!N57)"),0.0)</f>
        <v>0</v>
      </c>
      <c r="O57" s="170">
        <f>IFERROR(__xludf.DUMMYFUNCTION("IFERROR(N57 * (1 + AVERAGE(Filter('Inflation Data'!$C:$C,'Inflation Data'!$A:$A = O$1))) + 'Fund YTD Contributions'!O57,'Fund YTD Contributions'!O57)"),0.0)</f>
        <v>0</v>
      </c>
      <c r="P57" s="170">
        <f>IFERROR(__xludf.DUMMYFUNCTION("IFERROR(O57 * (1 + AVERAGE(Filter('Inflation Data'!$C:$C,'Inflation Data'!$A:$A = P$1))) + 'Fund YTD Contributions'!P57,'Fund YTD Contributions'!P57)"),0.0)</f>
        <v>0</v>
      </c>
      <c r="Q57" s="170">
        <f>IFERROR(__xludf.DUMMYFUNCTION("IFERROR(P57 * (1 + AVERAGE(Filter('Inflation Data'!$C:$C,'Inflation Data'!$A:$A = Q$1))) + 'Fund YTD Contributions'!Q57,'Fund YTD Contributions'!Q57)"),0.0)</f>
        <v>0</v>
      </c>
      <c r="R57" s="170">
        <f>IFERROR(__xludf.DUMMYFUNCTION("IFERROR(Q57 * (1 + AVERAGE(Filter('Inflation Data'!$C:$C,'Inflation Data'!$A:$A = R$1))) + 'Fund YTD Contributions'!R57,'Fund YTD Contributions'!R57)"),0.0)</f>
        <v>0</v>
      </c>
      <c r="S57" s="170">
        <f>IFERROR(__xludf.DUMMYFUNCTION("IFERROR(R57 * (1 + AVERAGE(Filter('Inflation Data'!$C:$C,'Inflation Data'!$A:$A = S$1))) + 'Fund YTD Contributions'!S57,'Fund YTD Contributions'!S57)"),0.0)</f>
        <v>0</v>
      </c>
      <c r="T57" s="170">
        <f>IFERROR(__xludf.DUMMYFUNCTION("IFERROR(S57 * (1 + AVERAGE(Filter('Inflation Data'!$C:$C,'Inflation Data'!$A:$A = T$1))) + 'Fund YTD Contributions'!T57,'Fund YTD Contributions'!T57)"),0.0)</f>
        <v>0</v>
      </c>
      <c r="U57" s="170">
        <f>IFERROR(__xludf.DUMMYFUNCTION("IFERROR(T57 * (1 + AVERAGE(Filter('Inflation Data'!$C:$C,'Inflation Data'!$A:$A = U$1))) + 'Fund YTD Contributions'!U57,'Fund YTD Contributions'!U57)"),0.0)</f>
        <v>0</v>
      </c>
      <c r="V57" s="170">
        <f>IFERROR(__xludf.DUMMYFUNCTION("IFERROR(U57 * (1 + AVERAGE(Filter('Inflation Data'!$C:$C,'Inflation Data'!$A:$A = V$1))) + 'Fund YTD Contributions'!V57,'Fund YTD Contributions'!V57)"),0.0)</f>
        <v>0</v>
      </c>
      <c r="W57" s="170">
        <f>IFERROR(__xludf.DUMMYFUNCTION("IFERROR(V57 * (1 + AVERAGE(Filter('Inflation Data'!$C:$C,'Inflation Data'!$A:$A = W$1))) + 'Fund YTD Contributions'!W57,'Fund YTD Contributions'!W57)"),0.0)</f>
        <v>0</v>
      </c>
      <c r="X57" s="170">
        <f>IFERROR(__xludf.DUMMYFUNCTION("IFERROR(W57 * (1 + AVERAGE(Filter('Inflation Data'!$C:$C,'Inflation Data'!$A:$A = X$1))) + 'Fund YTD Contributions'!X57,'Fund YTD Contributions'!X57)"),0.0)</f>
        <v>0</v>
      </c>
      <c r="Y57" s="170">
        <f>IFERROR(__xludf.DUMMYFUNCTION("IFERROR(X57 * (1 + AVERAGE(Filter('Inflation Data'!$C:$C,'Inflation Data'!$A:$A = Y$1))) + 'Fund YTD Contributions'!Y57,'Fund YTD Contributions'!Y57)"),0.0)</f>
        <v>0</v>
      </c>
      <c r="Z57" s="170">
        <f>IFERROR(__xludf.DUMMYFUNCTION("IFERROR(Y57 * (1 + AVERAGE(Filter('Inflation Data'!$C:$C,'Inflation Data'!$A:$A = Z$1))) + 'Fund YTD Contributions'!Z57,'Fund YTD Contributions'!Z57)"),0.0)</f>
        <v>0</v>
      </c>
      <c r="AA57" s="170">
        <f>IFERROR(__xludf.DUMMYFUNCTION("IFERROR(Z57 * (1 + AVERAGE(Filter('Inflation Data'!$C:$C,'Inflation Data'!$A:$A = AA$1))) + 'Fund YTD Contributions'!AA57,'Fund YTD Contributions'!AA57)"),0.0)</f>
        <v>0</v>
      </c>
      <c r="AB57" s="170">
        <f>IFERROR(__xludf.DUMMYFUNCTION("IFERROR(AA57 * (1 + AVERAGE(Filter('Inflation Data'!$C:$C,'Inflation Data'!$A:$A = AB$1))) + 'Fund YTD Contributions'!AB57,'Fund YTD Contributions'!AB57)"),0.0)</f>
        <v>0</v>
      </c>
      <c r="AC57" s="170">
        <f>IFERROR(__xludf.DUMMYFUNCTION("IFERROR(AB57 * (1 + AVERAGE(Filter('Inflation Data'!$C:$C,'Inflation Data'!$A:$A = AC$1))) + 'Fund YTD Contributions'!AC57,'Fund YTD Contributions'!AC57)"),0.0)</f>
        <v>0</v>
      </c>
      <c r="AD57" s="170">
        <f>IFERROR(__xludf.DUMMYFUNCTION("IFERROR(AC57 * (1 + AVERAGE(Filter('Inflation Data'!$C:$C,'Inflation Data'!$A:$A = AD$1))) + 'Fund YTD Contributions'!AD57,'Fund YTD Contributions'!AD57)"),0.0)</f>
        <v>0</v>
      </c>
      <c r="AE57" s="170">
        <f>IFERROR(__xludf.DUMMYFUNCTION("IFERROR(AD57 * (1 + AVERAGE(Filter('Inflation Data'!$C:$C,'Inflation Data'!$A:$A = AE$1))) + 'Fund YTD Contributions'!AE57,'Fund YTD Contributions'!AE57)"),0.0)</f>
        <v>0</v>
      </c>
      <c r="AF57" s="170" t="str">
        <f>IFERROR(__xludf.DUMMYFUNCTION("IFERROR(AE57 * (1 + AVERAGE(Filter('Inflation Data'!$C:$C,'Inflation Data'!$A:$A = AF$1))) + 'Fund YTD Contributions'!AF57,'Fund YTD Contributions'!AF57)"),"")</f>
        <v/>
      </c>
    </row>
    <row r="58">
      <c r="A58" s="145" t="str">
        <f>'Endowed Funds'!B:B</f>
        <v/>
      </c>
      <c r="B58" s="170">
        <f>IFERROR(__xludf.DUMMYFUNCTION("IFERROR(A58 * (1 + AVERAGE(Filter('Inflation Data'!$C:$C,'Inflation Data'!$A:$A = B$1))) + 'Fund YTD Contributions'!B58,'Fund YTD Contributions'!B58)"),0.0)</f>
        <v>0</v>
      </c>
      <c r="C58" s="170">
        <f>IFERROR(__xludf.DUMMYFUNCTION("IFERROR(B58 * (1 + AVERAGE(Filter('Inflation Data'!$C:$C,'Inflation Data'!$A:$A = C$1))) + 'Fund YTD Contributions'!C58,'Fund YTD Contributions'!C58)"),0.0)</f>
        <v>0</v>
      </c>
      <c r="D58" s="170">
        <f>IFERROR(__xludf.DUMMYFUNCTION("IFERROR(C58 * (1 + AVERAGE(Filter('Inflation Data'!$C:$C,'Inflation Data'!$A:$A = D$1))) + 'Fund YTD Contributions'!D58,'Fund YTD Contributions'!D58)"),0.0)</f>
        <v>0</v>
      </c>
      <c r="E58" s="170">
        <f>IFERROR(__xludf.DUMMYFUNCTION("IFERROR(D58 * (1 + AVERAGE(Filter('Inflation Data'!$C:$C,'Inflation Data'!$A:$A = E$1))) + 'Fund YTD Contributions'!E58,'Fund YTD Contributions'!E58)"),0.0)</f>
        <v>0</v>
      </c>
      <c r="F58" s="170">
        <f>IFERROR(__xludf.DUMMYFUNCTION("IFERROR(E58 * (1 + AVERAGE(Filter('Inflation Data'!$C:$C,'Inflation Data'!$A:$A = F$1))) + 'Fund YTD Contributions'!F58,'Fund YTD Contributions'!F58)"),0.0)</f>
        <v>0</v>
      </c>
      <c r="G58" s="170">
        <f>IFERROR(__xludf.DUMMYFUNCTION("IFERROR(F58 * (1 + AVERAGE(Filter('Inflation Data'!$C:$C,'Inflation Data'!$A:$A = G$1))) + 'Fund YTD Contributions'!G58,'Fund YTD Contributions'!G58)"),0.0)</f>
        <v>0</v>
      </c>
      <c r="H58" s="170">
        <f>IFERROR(__xludf.DUMMYFUNCTION("IFERROR(G58 * (1 + AVERAGE(Filter('Inflation Data'!$C:$C,'Inflation Data'!$A:$A = H$1))) + 'Fund YTD Contributions'!H58,'Fund YTD Contributions'!H58)"),0.0)</f>
        <v>0</v>
      </c>
      <c r="I58" s="170">
        <f>IFERROR(__xludf.DUMMYFUNCTION("IFERROR(H58 * (1 + AVERAGE(Filter('Inflation Data'!$C:$C,'Inflation Data'!$A:$A = I$1))) + 'Fund YTD Contributions'!I58,'Fund YTD Contributions'!I58)"),0.0)</f>
        <v>0</v>
      </c>
      <c r="J58" s="170">
        <f>IFERROR(__xludf.DUMMYFUNCTION("IFERROR(I58 * (1 + AVERAGE(Filter('Inflation Data'!$C:$C,'Inflation Data'!$A:$A = J$1))) + 'Fund YTD Contributions'!J58,'Fund YTD Contributions'!J58)"),0.0)</f>
        <v>0</v>
      </c>
      <c r="K58" s="170">
        <f>IFERROR(__xludf.DUMMYFUNCTION("IFERROR(J58 * (1 + AVERAGE(Filter('Inflation Data'!$C:$C,'Inflation Data'!$A:$A = K$1))) + 'Fund YTD Contributions'!K58,'Fund YTD Contributions'!K58)"),0.0)</f>
        <v>0</v>
      </c>
      <c r="L58" s="170">
        <f>IFERROR(__xludf.DUMMYFUNCTION("IFERROR(K58 * (1 + AVERAGE(Filter('Inflation Data'!$C:$C,'Inflation Data'!$A:$A = L$1))) + 'Fund YTD Contributions'!L58,'Fund YTD Contributions'!L58)"),0.0)</f>
        <v>0</v>
      </c>
      <c r="M58" s="170">
        <f>IFERROR(__xludf.DUMMYFUNCTION("IFERROR(L58 * (1 + AVERAGE(Filter('Inflation Data'!$C:$C,'Inflation Data'!$A:$A = M$1))) + 'Fund YTD Contributions'!M58,'Fund YTD Contributions'!M58)"),0.0)</f>
        <v>0</v>
      </c>
      <c r="N58" s="170">
        <f>IFERROR(__xludf.DUMMYFUNCTION("IFERROR(M58 * (1 + AVERAGE(Filter('Inflation Data'!$C:$C,'Inflation Data'!$A:$A = N$1))) + 'Fund YTD Contributions'!N58,'Fund YTD Contributions'!N58)"),0.0)</f>
        <v>0</v>
      </c>
      <c r="O58" s="170">
        <f>IFERROR(__xludf.DUMMYFUNCTION("IFERROR(N58 * (1 + AVERAGE(Filter('Inflation Data'!$C:$C,'Inflation Data'!$A:$A = O$1))) + 'Fund YTD Contributions'!O58,'Fund YTD Contributions'!O58)"),0.0)</f>
        <v>0</v>
      </c>
      <c r="P58" s="170">
        <f>IFERROR(__xludf.DUMMYFUNCTION("IFERROR(O58 * (1 + AVERAGE(Filter('Inflation Data'!$C:$C,'Inflation Data'!$A:$A = P$1))) + 'Fund YTD Contributions'!P58,'Fund YTD Contributions'!P58)"),0.0)</f>
        <v>0</v>
      </c>
      <c r="Q58" s="170">
        <f>IFERROR(__xludf.DUMMYFUNCTION("IFERROR(P58 * (1 + AVERAGE(Filter('Inflation Data'!$C:$C,'Inflation Data'!$A:$A = Q$1))) + 'Fund YTD Contributions'!Q58,'Fund YTD Contributions'!Q58)"),0.0)</f>
        <v>0</v>
      </c>
      <c r="R58" s="170">
        <f>IFERROR(__xludf.DUMMYFUNCTION("IFERROR(Q58 * (1 + AVERAGE(Filter('Inflation Data'!$C:$C,'Inflation Data'!$A:$A = R$1))) + 'Fund YTD Contributions'!R58,'Fund YTD Contributions'!R58)"),0.0)</f>
        <v>0</v>
      </c>
      <c r="S58" s="170">
        <f>IFERROR(__xludf.DUMMYFUNCTION("IFERROR(R58 * (1 + AVERAGE(Filter('Inflation Data'!$C:$C,'Inflation Data'!$A:$A = S$1))) + 'Fund YTD Contributions'!S58,'Fund YTD Contributions'!S58)"),0.0)</f>
        <v>0</v>
      </c>
      <c r="T58" s="170">
        <f>IFERROR(__xludf.DUMMYFUNCTION("IFERROR(S58 * (1 + AVERAGE(Filter('Inflation Data'!$C:$C,'Inflation Data'!$A:$A = T$1))) + 'Fund YTD Contributions'!T58,'Fund YTD Contributions'!T58)"),0.0)</f>
        <v>0</v>
      </c>
      <c r="U58" s="170">
        <f>IFERROR(__xludf.DUMMYFUNCTION("IFERROR(T58 * (1 + AVERAGE(Filter('Inflation Data'!$C:$C,'Inflation Data'!$A:$A = U$1))) + 'Fund YTD Contributions'!U58,'Fund YTD Contributions'!U58)"),0.0)</f>
        <v>0</v>
      </c>
      <c r="V58" s="170">
        <f>IFERROR(__xludf.DUMMYFUNCTION("IFERROR(U58 * (1 + AVERAGE(Filter('Inflation Data'!$C:$C,'Inflation Data'!$A:$A = V$1))) + 'Fund YTD Contributions'!V58,'Fund YTD Contributions'!V58)"),0.0)</f>
        <v>0</v>
      </c>
      <c r="W58" s="170">
        <f>IFERROR(__xludf.DUMMYFUNCTION("IFERROR(V58 * (1 + AVERAGE(Filter('Inflation Data'!$C:$C,'Inflation Data'!$A:$A = W$1))) + 'Fund YTD Contributions'!W58,'Fund YTD Contributions'!W58)"),0.0)</f>
        <v>0</v>
      </c>
      <c r="X58" s="170">
        <f>IFERROR(__xludf.DUMMYFUNCTION("IFERROR(W58 * (1 + AVERAGE(Filter('Inflation Data'!$C:$C,'Inflation Data'!$A:$A = X$1))) + 'Fund YTD Contributions'!X58,'Fund YTD Contributions'!X58)"),0.0)</f>
        <v>0</v>
      </c>
      <c r="Y58" s="170">
        <f>IFERROR(__xludf.DUMMYFUNCTION("IFERROR(X58 * (1 + AVERAGE(Filter('Inflation Data'!$C:$C,'Inflation Data'!$A:$A = Y$1))) + 'Fund YTD Contributions'!Y58,'Fund YTD Contributions'!Y58)"),0.0)</f>
        <v>0</v>
      </c>
      <c r="Z58" s="170">
        <f>IFERROR(__xludf.DUMMYFUNCTION("IFERROR(Y58 * (1 + AVERAGE(Filter('Inflation Data'!$C:$C,'Inflation Data'!$A:$A = Z$1))) + 'Fund YTD Contributions'!Z58,'Fund YTD Contributions'!Z58)"),0.0)</f>
        <v>0</v>
      </c>
      <c r="AA58" s="170">
        <f>IFERROR(__xludf.DUMMYFUNCTION("IFERROR(Z58 * (1 + AVERAGE(Filter('Inflation Data'!$C:$C,'Inflation Data'!$A:$A = AA$1))) + 'Fund YTD Contributions'!AA58,'Fund YTD Contributions'!AA58)"),0.0)</f>
        <v>0</v>
      </c>
      <c r="AB58" s="170">
        <f>IFERROR(__xludf.DUMMYFUNCTION("IFERROR(AA58 * (1 + AVERAGE(Filter('Inflation Data'!$C:$C,'Inflation Data'!$A:$A = AB$1))) + 'Fund YTD Contributions'!AB58,'Fund YTD Contributions'!AB58)"),0.0)</f>
        <v>0</v>
      </c>
      <c r="AC58" s="170">
        <f>IFERROR(__xludf.DUMMYFUNCTION("IFERROR(AB58 * (1 + AVERAGE(Filter('Inflation Data'!$C:$C,'Inflation Data'!$A:$A = AC$1))) + 'Fund YTD Contributions'!AC58,'Fund YTD Contributions'!AC58)"),0.0)</f>
        <v>0</v>
      </c>
      <c r="AD58" s="170">
        <f>IFERROR(__xludf.DUMMYFUNCTION("IFERROR(AC58 * (1 + AVERAGE(Filter('Inflation Data'!$C:$C,'Inflation Data'!$A:$A = AD$1))) + 'Fund YTD Contributions'!AD58,'Fund YTD Contributions'!AD58)"),0.0)</f>
        <v>0</v>
      </c>
      <c r="AE58" s="170">
        <f>IFERROR(__xludf.DUMMYFUNCTION("IFERROR(AD58 * (1 + AVERAGE(Filter('Inflation Data'!$C:$C,'Inflation Data'!$A:$A = AE$1))) + 'Fund YTD Contributions'!AE58,'Fund YTD Contributions'!AE58)"),0.0)</f>
        <v>0</v>
      </c>
      <c r="AF58" s="170" t="str">
        <f>IFERROR(__xludf.DUMMYFUNCTION("IFERROR(AE58 * (1 + AVERAGE(Filter('Inflation Data'!$C:$C,'Inflation Data'!$A:$A = AF$1))) + 'Fund YTD Contributions'!AF58,'Fund YTD Contributions'!AF58)"),"")</f>
        <v/>
      </c>
    </row>
    <row r="59">
      <c r="A59" s="145" t="str">
        <f>'Endowed Funds'!B:B</f>
        <v/>
      </c>
      <c r="B59" s="170">
        <f>IFERROR(__xludf.DUMMYFUNCTION("IFERROR(A59 * (1 + AVERAGE(Filter('Inflation Data'!$C:$C,'Inflation Data'!$A:$A = B$1))) + 'Fund YTD Contributions'!B59,'Fund YTD Contributions'!B59)"),0.0)</f>
        <v>0</v>
      </c>
      <c r="C59" s="170">
        <f>IFERROR(__xludf.DUMMYFUNCTION("IFERROR(B59 * (1 + AVERAGE(Filter('Inflation Data'!$C:$C,'Inflation Data'!$A:$A = C$1))) + 'Fund YTD Contributions'!C59,'Fund YTD Contributions'!C59)"),0.0)</f>
        <v>0</v>
      </c>
      <c r="D59" s="170">
        <f>IFERROR(__xludf.DUMMYFUNCTION("IFERROR(C59 * (1 + AVERAGE(Filter('Inflation Data'!$C:$C,'Inflation Data'!$A:$A = D$1))) + 'Fund YTD Contributions'!D59,'Fund YTD Contributions'!D59)"),0.0)</f>
        <v>0</v>
      </c>
      <c r="E59" s="170">
        <f>IFERROR(__xludf.DUMMYFUNCTION("IFERROR(D59 * (1 + AVERAGE(Filter('Inflation Data'!$C:$C,'Inflation Data'!$A:$A = E$1))) + 'Fund YTD Contributions'!E59,'Fund YTD Contributions'!E59)"),0.0)</f>
        <v>0</v>
      </c>
      <c r="F59" s="170">
        <f>IFERROR(__xludf.DUMMYFUNCTION("IFERROR(E59 * (1 + AVERAGE(Filter('Inflation Data'!$C:$C,'Inflation Data'!$A:$A = F$1))) + 'Fund YTD Contributions'!F59,'Fund YTD Contributions'!F59)"),0.0)</f>
        <v>0</v>
      </c>
      <c r="G59" s="170">
        <f>IFERROR(__xludf.DUMMYFUNCTION("IFERROR(F59 * (1 + AVERAGE(Filter('Inflation Data'!$C:$C,'Inflation Data'!$A:$A = G$1))) + 'Fund YTD Contributions'!G59,'Fund YTD Contributions'!G59)"),0.0)</f>
        <v>0</v>
      </c>
      <c r="H59" s="170">
        <f>IFERROR(__xludf.DUMMYFUNCTION("IFERROR(G59 * (1 + AVERAGE(Filter('Inflation Data'!$C:$C,'Inflation Data'!$A:$A = H$1))) + 'Fund YTD Contributions'!H59,'Fund YTD Contributions'!H59)"),0.0)</f>
        <v>0</v>
      </c>
      <c r="I59" s="170">
        <f>IFERROR(__xludf.DUMMYFUNCTION("IFERROR(H59 * (1 + AVERAGE(Filter('Inflation Data'!$C:$C,'Inflation Data'!$A:$A = I$1))) + 'Fund YTD Contributions'!I59,'Fund YTD Contributions'!I59)"),0.0)</f>
        <v>0</v>
      </c>
      <c r="J59" s="170">
        <f>IFERROR(__xludf.DUMMYFUNCTION("IFERROR(I59 * (1 + AVERAGE(Filter('Inflation Data'!$C:$C,'Inflation Data'!$A:$A = J$1))) + 'Fund YTD Contributions'!J59,'Fund YTD Contributions'!J59)"),0.0)</f>
        <v>0</v>
      </c>
      <c r="K59" s="170">
        <f>IFERROR(__xludf.DUMMYFUNCTION("IFERROR(J59 * (1 + AVERAGE(Filter('Inflation Data'!$C:$C,'Inflation Data'!$A:$A = K$1))) + 'Fund YTD Contributions'!K59,'Fund YTD Contributions'!K59)"),0.0)</f>
        <v>0</v>
      </c>
      <c r="L59" s="170">
        <f>IFERROR(__xludf.DUMMYFUNCTION("IFERROR(K59 * (1 + AVERAGE(Filter('Inflation Data'!$C:$C,'Inflation Data'!$A:$A = L$1))) + 'Fund YTD Contributions'!L59,'Fund YTD Contributions'!L59)"),0.0)</f>
        <v>0</v>
      </c>
      <c r="M59" s="170">
        <f>IFERROR(__xludf.DUMMYFUNCTION("IFERROR(L59 * (1 + AVERAGE(Filter('Inflation Data'!$C:$C,'Inflation Data'!$A:$A = M$1))) + 'Fund YTD Contributions'!M59,'Fund YTD Contributions'!M59)"),0.0)</f>
        <v>0</v>
      </c>
      <c r="N59" s="170">
        <f>IFERROR(__xludf.DUMMYFUNCTION("IFERROR(M59 * (1 + AVERAGE(Filter('Inflation Data'!$C:$C,'Inflation Data'!$A:$A = N$1))) + 'Fund YTD Contributions'!N59,'Fund YTD Contributions'!N59)"),0.0)</f>
        <v>0</v>
      </c>
      <c r="O59" s="170">
        <f>IFERROR(__xludf.DUMMYFUNCTION("IFERROR(N59 * (1 + AVERAGE(Filter('Inflation Data'!$C:$C,'Inflation Data'!$A:$A = O$1))) + 'Fund YTD Contributions'!O59,'Fund YTD Contributions'!O59)"),0.0)</f>
        <v>0</v>
      </c>
      <c r="P59" s="170">
        <f>IFERROR(__xludf.DUMMYFUNCTION("IFERROR(O59 * (1 + AVERAGE(Filter('Inflation Data'!$C:$C,'Inflation Data'!$A:$A = P$1))) + 'Fund YTD Contributions'!P59,'Fund YTD Contributions'!P59)"),0.0)</f>
        <v>0</v>
      </c>
      <c r="Q59" s="170">
        <f>IFERROR(__xludf.DUMMYFUNCTION("IFERROR(P59 * (1 + AVERAGE(Filter('Inflation Data'!$C:$C,'Inflation Data'!$A:$A = Q$1))) + 'Fund YTD Contributions'!Q59,'Fund YTD Contributions'!Q59)"),0.0)</f>
        <v>0</v>
      </c>
      <c r="R59" s="170">
        <f>IFERROR(__xludf.DUMMYFUNCTION("IFERROR(Q59 * (1 + AVERAGE(Filter('Inflation Data'!$C:$C,'Inflation Data'!$A:$A = R$1))) + 'Fund YTD Contributions'!R59,'Fund YTD Contributions'!R59)"),0.0)</f>
        <v>0</v>
      </c>
      <c r="S59" s="170">
        <f>IFERROR(__xludf.DUMMYFUNCTION("IFERROR(R59 * (1 + AVERAGE(Filter('Inflation Data'!$C:$C,'Inflation Data'!$A:$A = S$1))) + 'Fund YTD Contributions'!S59,'Fund YTD Contributions'!S59)"),0.0)</f>
        <v>0</v>
      </c>
      <c r="T59" s="170">
        <f>IFERROR(__xludf.DUMMYFUNCTION("IFERROR(S59 * (1 + AVERAGE(Filter('Inflation Data'!$C:$C,'Inflation Data'!$A:$A = T$1))) + 'Fund YTD Contributions'!T59,'Fund YTD Contributions'!T59)"),0.0)</f>
        <v>0</v>
      </c>
      <c r="U59" s="170">
        <f>IFERROR(__xludf.DUMMYFUNCTION("IFERROR(T59 * (1 + AVERAGE(Filter('Inflation Data'!$C:$C,'Inflation Data'!$A:$A = U$1))) + 'Fund YTD Contributions'!U59,'Fund YTD Contributions'!U59)"),0.0)</f>
        <v>0</v>
      </c>
      <c r="V59" s="170">
        <f>IFERROR(__xludf.DUMMYFUNCTION("IFERROR(U59 * (1 + AVERAGE(Filter('Inflation Data'!$C:$C,'Inflation Data'!$A:$A = V$1))) + 'Fund YTD Contributions'!V59,'Fund YTD Contributions'!V59)"),0.0)</f>
        <v>0</v>
      </c>
      <c r="W59" s="170">
        <f>IFERROR(__xludf.DUMMYFUNCTION("IFERROR(V59 * (1 + AVERAGE(Filter('Inflation Data'!$C:$C,'Inflation Data'!$A:$A = W$1))) + 'Fund YTD Contributions'!W59,'Fund YTD Contributions'!W59)"),0.0)</f>
        <v>0</v>
      </c>
      <c r="X59" s="170">
        <f>IFERROR(__xludf.DUMMYFUNCTION("IFERROR(W59 * (1 + AVERAGE(Filter('Inflation Data'!$C:$C,'Inflation Data'!$A:$A = X$1))) + 'Fund YTD Contributions'!X59,'Fund YTD Contributions'!X59)"),0.0)</f>
        <v>0</v>
      </c>
      <c r="Y59" s="170">
        <f>IFERROR(__xludf.DUMMYFUNCTION("IFERROR(X59 * (1 + AVERAGE(Filter('Inflation Data'!$C:$C,'Inflation Data'!$A:$A = Y$1))) + 'Fund YTD Contributions'!Y59,'Fund YTD Contributions'!Y59)"),0.0)</f>
        <v>0</v>
      </c>
      <c r="Z59" s="170">
        <f>IFERROR(__xludf.DUMMYFUNCTION("IFERROR(Y59 * (1 + AVERAGE(Filter('Inflation Data'!$C:$C,'Inflation Data'!$A:$A = Z$1))) + 'Fund YTD Contributions'!Z59,'Fund YTD Contributions'!Z59)"),0.0)</f>
        <v>0</v>
      </c>
      <c r="AA59" s="170">
        <f>IFERROR(__xludf.DUMMYFUNCTION("IFERROR(Z59 * (1 + AVERAGE(Filter('Inflation Data'!$C:$C,'Inflation Data'!$A:$A = AA$1))) + 'Fund YTD Contributions'!AA59,'Fund YTD Contributions'!AA59)"),0.0)</f>
        <v>0</v>
      </c>
      <c r="AB59" s="170">
        <f>IFERROR(__xludf.DUMMYFUNCTION("IFERROR(AA59 * (1 + AVERAGE(Filter('Inflation Data'!$C:$C,'Inflation Data'!$A:$A = AB$1))) + 'Fund YTD Contributions'!AB59,'Fund YTD Contributions'!AB59)"),0.0)</f>
        <v>0</v>
      </c>
      <c r="AC59" s="170">
        <f>IFERROR(__xludf.DUMMYFUNCTION("IFERROR(AB59 * (1 + AVERAGE(Filter('Inflation Data'!$C:$C,'Inflation Data'!$A:$A = AC$1))) + 'Fund YTD Contributions'!AC59,'Fund YTD Contributions'!AC59)"),0.0)</f>
        <v>0</v>
      </c>
      <c r="AD59" s="170">
        <f>IFERROR(__xludf.DUMMYFUNCTION("IFERROR(AC59 * (1 + AVERAGE(Filter('Inflation Data'!$C:$C,'Inflation Data'!$A:$A = AD$1))) + 'Fund YTD Contributions'!AD59,'Fund YTD Contributions'!AD59)"),0.0)</f>
        <v>0</v>
      </c>
      <c r="AE59" s="170">
        <f>IFERROR(__xludf.DUMMYFUNCTION("IFERROR(AD59 * (1 + AVERAGE(Filter('Inflation Data'!$C:$C,'Inflation Data'!$A:$A = AE$1))) + 'Fund YTD Contributions'!AE59,'Fund YTD Contributions'!AE59)"),0.0)</f>
        <v>0</v>
      </c>
      <c r="AF59" s="170" t="str">
        <f>IFERROR(__xludf.DUMMYFUNCTION("IFERROR(AE59 * (1 + AVERAGE(Filter('Inflation Data'!$C:$C,'Inflation Data'!$A:$A = AF$1))) + 'Fund YTD Contributions'!AF59,'Fund YTD Contributions'!AF59)"),"")</f>
        <v/>
      </c>
    </row>
    <row r="60">
      <c r="A60" s="145" t="str">
        <f>'Endowed Funds'!B:B</f>
        <v/>
      </c>
      <c r="B60" s="170">
        <f>IFERROR(__xludf.DUMMYFUNCTION("IFERROR(A60 * (1 + AVERAGE(Filter('Inflation Data'!$C:$C,'Inflation Data'!$A:$A = B$1))) + 'Fund YTD Contributions'!B60,'Fund YTD Contributions'!B60)"),0.0)</f>
        <v>0</v>
      </c>
      <c r="C60" s="170">
        <f>IFERROR(__xludf.DUMMYFUNCTION("IFERROR(B60 * (1 + AVERAGE(Filter('Inflation Data'!$C:$C,'Inflation Data'!$A:$A = C$1))) + 'Fund YTD Contributions'!C60,'Fund YTD Contributions'!C60)"),0.0)</f>
        <v>0</v>
      </c>
      <c r="D60" s="170">
        <f>IFERROR(__xludf.DUMMYFUNCTION("IFERROR(C60 * (1 + AVERAGE(Filter('Inflation Data'!$C:$C,'Inflation Data'!$A:$A = D$1))) + 'Fund YTD Contributions'!D60,'Fund YTD Contributions'!D60)"),0.0)</f>
        <v>0</v>
      </c>
      <c r="E60" s="170">
        <f>IFERROR(__xludf.DUMMYFUNCTION("IFERROR(D60 * (1 + AVERAGE(Filter('Inflation Data'!$C:$C,'Inflation Data'!$A:$A = E$1))) + 'Fund YTD Contributions'!E60,'Fund YTD Contributions'!E60)"),0.0)</f>
        <v>0</v>
      </c>
      <c r="F60" s="170">
        <f>IFERROR(__xludf.DUMMYFUNCTION("IFERROR(E60 * (1 + AVERAGE(Filter('Inflation Data'!$C:$C,'Inflation Data'!$A:$A = F$1))) + 'Fund YTD Contributions'!F60,'Fund YTD Contributions'!F60)"),0.0)</f>
        <v>0</v>
      </c>
      <c r="G60" s="170">
        <f>IFERROR(__xludf.DUMMYFUNCTION("IFERROR(F60 * (1 + AVERAGE(Filter('Inflation Data'!$C:$C,'Inflation Data'!$A:$A = G$1))) + 'Fund YTD Contributions'!G60,'Fund YTD Contributions'!G60)"),0.0)</f>
        <v>0</v>
      </c>
      <c r="H60" s="170">
        <f>IFERROR(__xludf.DUMMYFUNCTION("IFERROR(G60 * (1 + AVERAGE(Filter('Inflation Data'!$C:$C,'Inflation Data'!$A:$A = H$1))) + 'Fund YTD Contributions'!H60,'Fund YTD Contributions'!H60)"),0.0)</f>
        <v>0</v>
      </c>
      <c r="I60" s="170">
        <f>IFERROR(__xludf.DUMMYFUNCTION("IFERROR(H60 * (1 + AVERAGE(Filter('Inflation Data'!$C:$C,'Inflation Data'!$A:$A = I$1))) + 'Fund YTD Contributions'!I60,'Fund YTD Contributions'!I60)"),0.0)</f>
        <v>0</v>
      </c>
      <c r="J60" s="170">
        <f>IFERROR(__xludf.DUMMYFUNCTION("IFERROR(I60 * (1 + AVERAGE(Filter('Inflation Data'!$C:$C,'Inflation Data'!$A:$A = J$1))) + 'Fund YTD Contributions'!J60,'Fund YTD Contributions'!J60)"),0.0)</f>
        <v>0</v>
      </c>
      <c r="K60" s="170">
        <f>IFERROR(__xludf.DUMMYFUNCTION("IFERROR(J60 * (1 + AVERAGE(Filter('Inflation Data'!$C:$C,'Inflation Data'!$A:$A = K$1))) + 'Fund YTD Contributions'!K60,'Fund YTD Contributions'!K60)"),0.0)</f>
        <v>0</v>
      </c>
      <c r="L60" s="170">
        <f>IFERROR(__xludf.DUMMYFUNCTION("IFERROR(K60 * (1 + AVERAGE(Filter('Inflation Data'!$C:$C,'Inflation Data'!$A:$A = L$1))) + 'Fund YTD Contributions'!L60,'Fund YTD Contributions'!L60)"),0.0)</f>
        <v>0</v>
      </c>
      <c r="M60" s="170">
        <f>IFERROR(__xludf.DUMMYFUNCTION("IFERROR(L60 * (1 + AVERAGE(Filter('Inflation Data'!$C:$C,'Inflation Data'!$A:$A = M$1))) + 'Fund YTD Contributions'!M60,'Fund YTD Contributions'!M60)"),0.0)</f>
        <v>0</v>
      </c>
      <c r="N60" s="170">
        <f>IFERROR(__xludf.DUMMYFUNCTION("IFERROR(M60 * (1 + AVERAGE(Filter('Inflation Data'!$C:$C,'Inflation Data'!$A:$A = N$1))) + 'Fund YTD Contributions'!N60,'Fund YTD Contributions'!N60)"),0.0)</f>
        <v>0</v>
      </c>
      <c r="O60" s="170">
        <f>IFERROR(__xludf.DUMMYFUNCTION("IFERROR(N60 * (1 + AVERAGE(Filter('Inflation Data'!$C:$C,'Inflation Data'!$A:$A = O$1))) + 'Fund YTD Contributions'!O60,'Fund YTD Contributions'!O60)"),0.0)</f>
        <v>0</v>
      </c>
      <c r="P60" s="170">
        <f>IFERROR(__xludf.DUMMYFUNCTION("IFERROR(O60 * (1 + AVERAGE(Filter('Inflation Data'!$C:$C,'Inflation Data'!$A:$A = P$1))) + 'Fund YTD Contributions'!P60,'Fund YTD Contributions'!P60)"),0.0)</f>
        <v>0</v>
      </c>
      <c r="Q60" s="170">
        <f>IFERROR(__xludf.DUMMYFUNCTION("IFERROR(P60 * (1 + AVERAGE(Filter('Inflation Data'!$C:$C,'Inflation Data'!$A:$A = Q$1))) + 'Fund YTD Contributions'!Q60,'Fund YTD Contributions'!Q60)"),0.0)</f>
        <v>0</v>
      </c>
      <c r="R60" s="170">
        <f>IFERROR(__xludf.DUMMYFUNCTION("IFERROR(Q60 * (1 + AVERAGE(Filter('Inflation Data'!$C:$C,'Inflation Data'!$A:$A = R$1))) + 'Fund YTD Contributions'!R60,'Fund YTD Contributions'!R60)"),0.0)</f>
        <v>0</v>
      </c>
      <c r="S60" s="170">
        <f>IFERROR(__xludf.DUMMYFUNCTION("IFERROR(R60 * (1 + AVERAGE(Filter('Inflation Data'!$C:$C,'Inflation Data'!$A:$A = S$1))) + 'Fund YTD Contributions'!S60,'Fund YTD Contributions'!S60)"),0.0)</f>
        <v>0</v>
      </c>
      <c r="T60" s="170">
        <f>IFERROR(__xludf.DUMMYFUNCTION("IFERROR(S60 * (1 + AVERAGE(Filter('Inflation Data'!$C:$C,'Inflation Data'!$A:$A = T$1))) + 'Fund YTD Contributions'!T60,'Fund YTD Contributions'!T60)"),0.0)</f>
        <v>0</v>
      </c>
      <c r="U60" s="170">
        <f>IFERROR(__xludf.DUMMYFUNCTION("IFERROR(T60 * (1 + AVERAGE(Filter('Inflation Data'!$C:$C,'Inflation Data'!$A:$A = U$1))) + 'Fund YTD Contributions'!U60,'Fund YTD Contributions'!U60)"),0.0)</f>
        <v>0</v>
      </c>
      <c r="V60" s="170">
        <f>IFERROR(__xludf.DUMMYFUNCTION("IFERROR(U60 * (1 + AVERAGE(Filter('Inflation Data'!$C:$C,'Inflation Data'!$A:$A = V$1))) + 'Fund YTD Contributions'!V60,'Fund YTD Contributions'!V60)"),0.0)</f>
        <v>0</v>
      </c>
      <c r="W60" s="170">
        <f>IFERROR(__xludf.DUMMYFUNCTION("IFERROR(V60 * (1 + AVERAGE(Filter('Inflation Data'!$C:$C,'Inflation Data'!$A:$A = W$1))) + 'Fund YTD Contributions'!W60,'Fund YTD Contributions'!W60)"),0.0)</f>
        <v>0</v>
      </c>
      <c r="X60" s="170">
        <f>IFERROR(__xludf.DUMMYFUNCTION("IFERROR(W60 * (1 + AVERAGE(Filter('Inflation Data'!$C:$C,'Inflation Data'!$A:$A = X$1))) + 'Fund YTD Contributions'!X60,'Fund YTD Contributions'!X60)"),0.0)</f>
        <v>0</v>
      </c>
      <c r="Y60" s="170">
        <f>IFERROR(__xludf.DUMMYFUNCTION("IFERROR(X60 * (1 + AVERAGE(Filter('Inflation Data'!$C:$C,'Inflation Data'!$A:$A = Y$1))) + 'Fund YTD Contributions'!Y60,'Fund YTD Contributions'!Y60)"),0.0)</f>
        <v>0</v>
      </c>
      <c r="Z60" s="170">
        <f>IFERROR(__xludf.DUMMYFUNCTION("IFERROR(Y60 * (1 + AVERAGE(Filter('Inflation Data'!$C:$C,'Inflation Data'!$A:$A = Z$1))) + 'Fund YTD Contributions'!Z60,'Fund YTD Contributions'!Z60)"),0.0)</f>
        <v>0</v>
      </c>
      <c r="AA60" s="170">
        <f>IFERROR(__xludf.DUMMYFUNCTION("IFERROR(Z60 * (1 + AVERAGE(Filter('Inflation Data'!$C:$C,'Inflation Data'!$A:$A = AA$1))) + 'Fund YTD Contributions'!AA60,'Fund YTD Contributions'!AA60)"),0.0)</f>
        <v>0</v>
      </c>
      <c r="AB60" s="170">
        <f>IFERROR(__xludf.DUMMYFUNCTION("IFERROR(AA60 * (1 + AVERAGE(Filter('Inflation Data'!$C:$C,'Inflation Data'!$A:$A = AB$1))) + 'Fund YTD Contributions'!AB60,'Fund YTD Contributions'!AB60)"),0.0)</f>
        <v>0</v>
      </c>
      <c r="AC60" s="170">
        <f>IFERROR(__xludf.DUMMYFUNCTION("IFERROR(AB60 * (1 + AVERAGE(Filter('Inflation Data'!$C:$C,'Inflation Data'!$A:$A = AC$1))) + 'Fund YTD Contributions'!AC60,'Fund YTD Contributions'!AC60)"),0.0)</f>
        <v>0</v>
      </c>
      <c r="AD60" s="170">
        <f>IFERROR(__xludf.DUMMYFUNCTION("IFERROR(AC60 * (1 + AVERAGE(Filter('Inflation Data'!$C:$C,'Inflation Data'!$A:$A = AD$1))) + 'Fund YTD Contributions'!AD60,'Fund YTD Contributions'!AD60)"),0.0)</f>
        <v>0</v>
      </c>
      <c r="AE60" s="170">
        <f>IFERROR(__xludf.DUMMYFUNCTION("IFERROR(AD60 * (1 + AVERAGE(Filter('Inflation Data'!$C:$C,'Inflation Data'!$A:$A = AE$1))) + 'Fund YTD Contributions'!AE60,'Fund YTD Contributions'!AE60)"),0.0)</f>
        <v>0</v>
      </c>
      <c r="AF60" s="170" t="str">
        <f>IFERROR(__xludf.DUMMYFUNCTION("IFERROR(AE60 * (1 + AVERAGE(Filter('Inflation Data'!$C:$C,'Inflation Data'!$A:$A = AF$1))) + 'Fund YTD Contributions'!AF60,'Fund YTD Contributions'!AF60)"),"")</f>
        <v/>
      </c>
    </row>
    <row r="61">
      <c r="A61" s="145" t="str">
        <f>'Endowed Funds'!B:B</f>
        <v/>
      </c>
      <c r="B61" s="170">
        <f>IFERROR(__xludf.DUMMYFUNCTION("IFERROR(A61 * (1 + AVERAGE(Filter('Inflation Data'!$C:$C,'Inflation Data'!$A:$A = B$1))) + 'Fund YTD Contributions'!B61,'Fund YTD Contributions'!B61)"),0.0)</f>
        <v>0</v>
      </c>
      <c r="C61" s="170">
        <f>IFERROR(__xludf.DUMMYFUNCTION("IFERROR(B61 * (1 + AVERAGE(Filter('Inflation Data'!$C:$C,'Inflation Data'!$A:$A = C$1))) + 'Fund YTD Contributions'!C61,'Fund YTD Contributions'!C61)"),0.0)</f>
        <v>0</v>
      </c>
      <c r="D61" s="170">
        <f>IFERROR(__xludf.DUMMYFUNCTION("IFERROR(C61 * (1 + AVERAGE(Filter('Inflation Data'!$C:$C,'Inflation Data'!$A:$A = D$1))) + 'Fund YTD Contributions'!D61,'Fund YTD Contributions'!D61)"),0.0)</f>
        <v>0</v>
      </c>
      <c r="E61" s="170">
        <f>IFERROR(__xludf.DUMMYFUNCTION("IFERROR(D61 * (1 + AVERAGE(Filter('Inflation Data'!$C:$C,'Inflation Data'!$A:$A = E$1))) + 'Fund YTD Contributions'!E61,'Fund YTD Contributions'!E61)"),0.0)</f>
        <v>0</v>
      </c>
      <c r="F61" s="170">
        <f>IFERROR(__xludf.DUMMYFUNCTION("IFERROR(E61 * (1 + AVERAGE(Filter('Inflation Data'!$C:$C,'Inflation Data'!$A:$A = F$1))) + 'Fund YTD Contributions'!F61,'Fund YTD Contributions'!F61)"),0.0)</f>
        <v>0</v>
      </c>
      <c r="G61" s="170">
        <f>IFERROR(__xludf.DUMMYFUNCTION("IFERROR(F61 * (1 + AVERAGE(Filter('Inflation Data'!$C:$C,'Inflation Data'!$A:$A = G$1))) + 'Fund YTD Contributions'!G61,'Fund YTD Contributions'!G61)"),0.0)</f>
        <v>0</v>
      </c>
      <c r="H61" s="170">
        <f>IFERROR(__xludf.DUMMYFUNCTION("IFERROR(G61 * (1 + AVERAGE(Filter('Inflation Data'!$C:$C,'Inflation Data'!$A:$A = H$1))) + 'Fund YTD Contributions'!H61,'Fund YTD Contributions'!H61)"),0.0)</f>
        <v>0</v>
      </c>
      <c r="I61" s="170">
        <f>IFERROR(__xludf.DUMMYFUNCTION("IFERROR(H61 * (1 + AVERAGE(Filter('Inflation Data'!$C:$C,'Inflation Data'!$A:$A = I$1))) + 'Fund YTD Contributions'!I61,'Fund YTD Contributions'!I61)"),0.0)</f>
        <v>0</v>
      </c>
      <c r="J61" s="170">
        <f>IFERROR(__xludf.DUMMYFUNCTION("IFERROR(I61 * (1 + AVERAGE(Filter('Inflation Data'!$C:$C,'Inflation Data'!$A:$A = J$1))) + 'Fund YTD Contributions'!J61,'Fund YTD Contributions'!J61)"),0.0)</f>
        <v>0</v>
      </c>
      <c r="K61" s="170">
        <f>IFERROR(__xludf.DUMMYFUNCTION("IFERROR(J61 * (1 + AVERAGE(Filter('Inflation Data'!$C:$C,'Inflation Data'!$A:$A = K$1))) + 'Fund YTD Contributions'!K61,'Fund YTD Contributions'!K61)"),0.0)</f>
        <v>0</v>
      </c>
      <c r="L61" s="170">
        <f>IFERROR(__xludf.DUMMYFUNCTION("IFERROR(K61 * (1 + AVERAGE(Filter('Inflation Data'!$C:$C,'Inflation Data'!$A:$A = L$1))) + 'Fund YTD Contributions'!L61,'Fund YTD Contributions'!L61)"),0.0)</f>
        <v>0</v>
      </c>
      <c r="M61" s="170">
        <f>IFERROR(__xludf.DUMMYFUNCTION("IFERROR(L61 * (1 + AVERAGE(Filter('Inflation Data'!$C:$C,'Inflation Data'!$A:$A = M$1))) + 'Fund YTD Contributions'!M61,'Fund YTD Contributions'!M61)"),0.0)</f>
        <v>0</v>
      </c>
      <c r="N61" s="170">
        <f>IFERROR(__xludf.DUMMYFUNCTION("IFERROR(M61 * (1 + AVERAGE(Filter('Inflation Data'!$C:$C,'Inflation Data'!$A:$A = N$1))) + 'Fund YTD Contributions'!N61,'Fund YTD Contributions'!N61)"),0.0)</f>
        <v>0</v>
      </c>
      <c r="O61" s="170">
        <f>IFERROR(__xludf.DUMMYFUNCTION("IFERROR(N61 * (1 + AVERAGE(Filter('Inflation Data'!$C:$C,'Inflation Data'!$A:$A = O$1))) + 'Fund YTD Contributions'!O61,'Fund YTD Contributions'!O61)"),0.0)</f>
        <v>0</v>
      </c>
      <c r="P61" s="170">
        <f>IFERROR(__xludf.DUMMYFUNCTION("IFERROR(O61 * (1 + AVERAGE(Filter('Inflation Data'!$C:$C,'Inflation Data'!$A:$A = P$1))) + 'Fund YTD Contributions'!P61,'Fund YTD Contributions'!P61)"),0.0)</f>
        <v>0</v>
      </c>
      <c r="Q61" s="170">
        <f>IFERROR(__xludf.DUMMYFUNCTION("IFERROR(P61 * (1 + AVERAGE(Filter('Inflation Data'!$C:$C,'Inflation Data'!$A:$A = Q$1))) + 'Fund YTD Contributions'!Q61,'Fund YTD Contributions'!Q61)"),0.0)</f>
        <v>0</v>
      </c>
      <c r="R61" s="170">
        <f>IFERROR(__xludf.DUMMYFUNCTION("IFERROR(Q61 * (1 + AVERAGE(Filter('Inflation Data'!$C:$C,'Inflation Data'!$A:$A = R$1))) + 'Fund YTD Contributions'!R61,'Fund YTD Contributions'!R61)"),0.0)</f>
        <v>0</v>
      </c>
      <c r="S61" s="170">
        <f>IFERROR(__xludf.DUMMYFUNCTION("IFERROR(R61 * (1 + AVERAGE(Filter('Inflation Data'!$C:$C,'Inflation Data'!$A:$A = S$1))) + 'Fund YTD Contributions'!S61,'Fund YTD Contributions'!S61)"),0.0)</f>
        <v>0</v>
      </c>
      <c r="T61" s="170">
        <f>IFERROR(__xludf.DUMMYFUNCTION("IFERROR(S61 * (1 + AVERAGE(Filter('Inflation Data'!$C:$C,'Inflation Data'!$A:$A = T$1))) + 'Fund YTD Contributions'!T61,'Fund YTD Contributions'!T61)"),0.0)</f>
        <v>0</v>
      </c>
      <c r="U61" s="170">
        <f>IFERROR(__xludf.DUMMYFUNCTION("IFERROR(T61 * (1 + AVERAGE(Filter('Inflation Data'!$C:$C,'Inflation Data'!$A:$A = U$1))) + 'Fund YTD Contributions'!U61,'Fund YTD Contributions'!U61)"),0.0)</f>
        <v>0</v>
      </c>
      <c r="V61" s="170">
        <f>IFERROR(__xludf.DUMMYFUNCTION("IFERROR(U61 * (1 + AVERAGE(Filter('Inflation Data'!$C:$C,'Inflation Data'!$A:$A = V$1))) + 'Fund YTD Contributions'!V61,'Fund YTD Contributions'!V61)"),0.0)</f>
        <v>0</v>
      </c>
      <c r="W61" s="170">
        <f>IFERROR(__xludf.DUMMYFUNCTION("IFERROR(V61 * (1 + AVERAGE(Filter('Inflation Data'!$C:$C,'Inflation Data'!$A:$A = W$1))) + 'Fund YTD Contributions'!W61,'Fund YTD Contributions'!W61)"),0.0)</f>
        <v>0</v>
      </c>
      <c r="X61" s="170">
        <f>IFERROR(__xludf.DUMMYFUNCTION("IFERROR(W61 * (1 + AVERAGE(Filter('Inflation Data'!$C:$C,'Inflation Data'!$A:$A = X$1))) + 'Fund YTD Contributions'!X61,'Fund YTD Contributions'!X61)"),0.0)</f>
        <v>0</v>
      </c>
      <c r="Y61" s="170">
        <f>IFERROR(__xludf.DUMMYFUNCTION("IFERROR(X61 * (1 + AVERAGE(Filter('Inflation Data'!$C:$C,'Inflation Data'!$A:$A = Y$1))) + 'Fund YTD Contributions'!Y61,'Fund YTD Contributions'!Y61)"),0.0)</f>
        <v>0</v>
      </c>
      <c r="Z61" s="170">
        <f>IFERROR(__xludf.DUMMYFUNCTION("IFERROR(Y61 * (1 + AVERAGE(Filter('Inflation Data'!$C:$C,'Inflation Data'!$A:$A = Z$1))) + 'Fund YTD Contributions'!Z61,'Fund YTD Contributions'!Z61)"),0.0)</f>
        <v>0</v>
      </c>
      <c r="AA61" s="170">
        <f>IFERROR(__xludf.DUMMYFUNCTION("IFERROR(Z61 * (1 + AVERAGE(Filter('Inflation Data'!$C:$C,'Inflation Data'!$A:$A = AA$1))) + 'Fund YTD Contributions'!AA61,'Fund YTD Contributions'!AA61)"),0.0)</f>
        <v>0</v>
      </c>
      <c r="AB61" s="170">
        <f>IFERROR(__xludf.DUMMYFUNCTION("IFERROR(AA61 * (1 + AVERAGE(Filter('Inflation Data'!$C:$C,'Inflation Data'!$A:$A = AB$1))) + 'Fund YTD Contributions'!AB61,'Fund YTD Contributions'!AB61)"),0.0)</f>
        <v>0</v>
      </c>
      <c r="AC61" s="170">
        <f>IFERROR(__xludf.DUMMYFUNCTION("IFERROR(AB61 * (1 + AVERAGE(Filter('Inflation Data'!$C:$C,'Inflation Data'!$A:$A = AC$1))) + 'Fund YTD Contributions'!AC61,'Fund YTD Contributions'!AC61)"),0.0)</f>
        <v>0</v>
      </c>
      <c r="AD61" s="170">
        <f>IFERROR(__xludf.DUMMYFUNCTION("IFERROR(AC61 * (1 + AVERAGE(Filter('Inflation Data'!$C:$C,'Inflation Data'!$A:$A = AD$1))) + 'Fund YTD Contributions'!AD61,'Fund YTD Contributions'!AD61)"),0.0)</f>
        <v>0</v>
      </c>
      <c r="AE61" s="170">
        <f>IFERROR(__xludf.DUMMYFUNCTION("IFERROR(AD61 * (1 + AVERAGE(Filter('Inflation Data'!$C:$C,'Inflation Data'!$A:$A = AE$1))) + 'Fund YTD Contributions'!AE61,'Fund YTD Contributions'!AE61)"),0.0)</f>
        <v>0</v>
      </c>
      <c r="AF61" s="170" t="str">
        <f>IFERROR(__xludf.DUMMYFUNCTION("IFERROR(AE61 * (1 + AVERAGE(Filter('Inflation Data'!$C:$C,'Inflation Data'!$A:$A = AF$1))) + 'Fund YTD Contributions'!AF61,'Fund YTD Contributions'!AF61)"),"")</f>
        <v/>
      </c>
    </row>
    <row r="62">
      <c r="A62" s="145" t="str">
        <f>'Endowed Funds'!B:B</f>
        <v/>
      </c>
      <c r="B62" s="170">
        <f>IFERROR(__xludf.DUMMYFUNCTION("IFERROR(A62 * (1 + AVERAGE(Filter('Inflation Data'!$C:$C,'Inflation Data'!$A:$A = B$1))) + 'Fund YTD Contributions'!B62,'Fund YTD Contributions'!B62)"),0.0)</f>
        <v>0</v>
      </c>
      <c r="C62" s="170">
        <f>IFERROR(__xludf.DUMMYFUNCTION("IFERROR(B62 * (1 + AVERAGE(Filter('Inflation Data'!$C:$C,'Inflation Data'!$A:$A = C$1))) + 'Fund YTD Contributions'!C62,'Fund YTD Contributions'!C62)"),0.0)</f>
        <v>0</v>
      </c>
      <c r="D62" s="170">
        <f>IFERROR(__xludf.DUMMYFUNCTION("IFERROR(C62 * (1 + AVERAGE(Filter('Inflation Data'!$C:$C,'Inflation Data'!$A:$A = D$1))) + 'Fund YTD Contributions'!D62,'Fund YTD Contributions'!D62)"),0.0)</f>
        <v>0</v>
      </c>
      <c r="E62" s="170">
        <f>IFERROR(__xludf.DUMMYFUNCTION("IFERROR(D62 * (1 + AVERAGE(Filter('Inflation Data'!$C:$C,'Inflation Data'!$A:$A = E$1))) + 'Fund YTD Contributions'!E62,'Fund YTD Contributions'!E62)"),0.0)</f>
        <v>0</v>
      </c>
      <c r="F62" s="170">
        <f>IFERROR(__xludf.DUMMYFUNCTION("IFERROR(E62 * (1 + AVERAGE(Filter('Inflation Data'!$C:$C,'Inflation Data'!$A:$A = F$1))) + 'Fund YTD Contributions'!F62,'Fund YTD Contributions'!F62)"),0.0)</f>
        <v>0</v>
      </c>
      <c r="G62" s="170">
        <f>IFERROR(__xludf.DUMMYFUNCTION("IFERROR(F62 * (1 + AVERAGE(Filter('Inflation Data'!$C:$C,'Inflation Data'!$A:$A = G$1))) + 'Fund YTD Contributions'!G62,'Fund YTD Contributions'!G62)"),0.0)</f>
        <v>0</v>
      </c>
      <c r="H62" s="170">
        <f>IFERROR(__xludf.DUMMYFUNCTION("IFERROR(G62 * (1 + AVERAGE(Filter('Inflation Data'!$C:$C,'Inflation Data'!$A:$A = H$1))) + 'Fund YTD Contributions'!H62,'Fund YTD Contributions'!H62)"),0.0)</f>
        <v>0</v>
      </c>
      <c r="I62" s="170">
        <f>IFERROR(__xludf.DUMMYFUNCTION("IFERROR(H62 * (1 + AVERAGE(Filter('Inflation Data'!$C:$C,'Inflation Data'!$A:$A = I$1))) + 'Fund YTD Contributions'!I62,'Fund YTD Contributions'!I62)"),0.0)</f>
        <v>0</v>
      </c>
      <c r="J62" s="170">
        <f>IFERROR(__xludf.DUMMYFUNCTION("IFERROR(I62 * (1 + AVERAGE(Filter('Inflation Data'!$C:$C,'Inflation Data'!$A:$A = J$1))) + 'Fund YTD Contributions'!J62,'Fund YTD Contributions'!J62)"),0.0)</f>
        <v>0</v>
      </c>
      <c r="K62" s="170">
        <f>IFERROR(__xludf.DUMMYFUNCTION("IFERROR(J62 * (1 + AVERAGE(Filter('Inflation Data'!$C:$C,'Inflation Data'!$A:$A = K$1))) + 'Fund YTD Contributions'!K62,'Fund YTD Contributions'!K62)"),0.0)</f>
        <v>0</v>
      </c>
      <c r="L62" s="170">
        <f>IFERROR(__xludf.DUMMYFUNCTION("IFERROR(K62 * (1 + AVERAGE(Filter('Inflation Data'!$C:$C,'Inflation Data'!$A:$A = L$1))) + 'Fund YTD Contributions'!L62,'Fund YTD Contributions'!L62)"),0.0)</f>
        <v>0</v>
      </c>
      <c r="M62" s="170">
        <f>IFERROR(__xludf.DUMMYFUNCTION("IFERROR(L62 * (1 + AVERAGE(Filter('Inflation Data'!$C:$C,'Inflation Data'!$A:$A = M$1))) + 'Fund YTD Contributions'!M62,'Fund YTD Contributions'!M62)"),0.0)</f>
        <v>0</v>
      </c>
      <c r="N62" s="170">
        <f>IFERROR(__xludf.DUMMYFUNCTION("IFERROR(M62 * (1 + AVERAGE(Filter('Inflation Data'!$C:$C,'Inflation Data'!$A:$A = N$1))) + 'Fund YTD Contributions'!N62,'Fund YTD Contributions'!N62)"),0.0)</f>
        <v>0</v>
      </c>
      <c r="O62" s="170">
        <f>IFERROR(__xludf.DUMMYFUNCTION("IFERROR(N62 * (1 + AVERAGE(Filter('Inflation Data'!$C:$C,'Inflation Data'!$A:$A = O$1))) + 'Fund YTD Contributions'!O62,'Fund YTD Contributions'!O62)"),0.0)</f>
        <v>0</v>
      </c>
      <c r="P62" s="170">
        <f>IFERROR(__xludf.DUMMYFUNCTION("IFERROR(O62 * (1 + AVERAGE(Filter('Inflation Data'!$C:$C,'Inflation Data'!$A:$A = P$1))) + 'Fund YTD Contributions'!P62,'Fund YTD Contributions'!P62)"),0.0)</f>
        <v>0</v>
      </c>
      <c r="Q62" s="170">
        <f>IFERROR(__xludf.DUMMYFUNCTION("IFERROR(P62 * (1 + AVERAGE(Filter('Inflation Data'!$C:$C,'Inflation Data'!$A:$A = Q$1))) + 'Fund YTD Contributions'!Q62,'Fund YTD Contributions'!Q62)"),0.0)</f>
        <v>0</v>
      </c>
      <c r="R62" s="170">
        <f>IFERROR(__xludf.DUMMYFUNCTION("IFERROR(Q62 * (1 + AVERAGE(Filter('Inflation Data'!$C:$C,'Inflation Data'!$A:$A = R$1))) + 'Fund YTD Contributions'!R62,'Fund YTD Contributions'!R62)"),0.0)</f>
        <v>0</v>
      </c>
      <c r="S62" s="170">
        <f>IFERROR(__xludf.DUMMYFUNCTION("IFERROR(R62 * (1 + AVERAGE(Filter('Inflation Data'!$C:$C,'Inflation Data'!$A:$A = S$1))) + 'Fund YTD Contributions'!S62,'Fund YTD Contributions'!S62)"),0.0)</f>
        <v>0</v>
      </c>
      <c r="T62" s="170">
        <f>IFERROR(__xludf.DUMMYFUNCTION("IFERROR(S62 * (1 + AVERAGE(Filter('Inflation Data'!$C:$C,'Inflation Data'!$A:$A = T$1))) + 'Fund YTD Contributions'!T62,'Fund YTD Contributions'!T62)"),0.0)</f>
        <v>0</v>
      </c>
      <c r="U62" s="170">
        <f>IFERROR(__xludf.DUMMYFUNCTION("IFERROR(T62 * (1 + AVERAGE(Filter('Inflation Data'!$C:$C,'Inflation Data'!$A:$A = U$1))) + 'Fund YTD Contributions'!U62,'Fund YTD Contributions'!U62)"),0.0)</f>
        <v>0</v>
      </c>
      <c r="V62" s="170">
        <f>IFERROR(__xludf.DUMMYFUNCTION("IFERROR(U62 * (1 + AVERAGE(Filter('Inflation Data'!$C:$C,'Inflation Data'!$A:$A = V$1))) + 'Fund YTD Contributions'!V62,'Fund YTD Contributions'!V62)"),0.0)</f>
        <v>0</v>
      </c>
      <c r="W62" s="170">
        <f>IFERROR(__xludf.DUMMYFUNCTION("IFERROR(V62 * (1 + AVERAGE(Filter('Inflation Data'!$C:$C,'Inflation Data'!$A:$A = W$1))) + 'Fund YTD Contributions'!W62,'Fund YTD Contributions'!W62)"),0.0)</f>
        <v>0</v>
      </c>
      <c r="X62" s="170">
        <f>IFERROR(__xludf.DUMMYFUNCTION("IFERROR(W62 * (1 + AVERAGE(Filter('Inflation Data'!$C:$C,'Inflation Data'!$A:$A = X$1))) + 'Fund YTD Contributions'!X62,'Fund YTD Contributions'!X62)"),0.0)</f>
        <v>0</v>
      </c>
      <c r="Y62" s="170">
        <f>IFERROR(__xludf.DUMMYFUNCTION("IFERROR(X62 * (1 + AVERAGE(Filter('Inflation Data'!$C:$C,'Inflation Data'!$A:$A = Y$1))) + 'Fund YTD Contributions'!Y62,'Fund YTD Contributions'!Y62)"),0.0)</f>
        <v>0</v>
      </c>
      <c r="Z62" s="170">
        <f>IFERROR(__xludf.DUMMYFUNCTION("IFERROR(Y62 * (1 + AVERAGE(Filter('Inflation Data'!$C:$C,'Inflation Data'!$A:$A = Z$1))) + 'Fund YTD Contributions'!Z62,'Fund YTD Contributions'!Z62)"),0.0)</f>
        <v>0</v>
      </c>
      <c r="AA62" s="170">
        <f>IFERROR(__xludf.DUMMYFUNCTION("IFERROR(Z62 * (1 + AVERAGE(Filter('Inflation Data'!$C:$C,'Inflation Data'!$A:$A = AA$1))) + 'Fund YTD Contributions'!AA62,'Fund YTD Contributions'!AA62)"),0.0)</f>
        <v>0</v>
      </c>
      <c r="AB62" s="170">
        <f>IFERROR(__xludf.DUMMYFUNCTION("IFERROR(AA62 * (1 + AVERAGE(Filter('Inflation Data'!$C:$C,'Inflation Data'!$A:$A = AB$1))) + 'Fund YTD Contributions'!AB62,'Fund YTD Contributions'!AB62)"),0.0)</f>
        <v>0</v>
      </c>
      <c r="AC62" s="170">
        <f>IFERROR(__xludf.DUMMYFUNCTION("IFERROR(AB62 * (1 + AVERAGE(Filter('Inflation Data'!$C:$C,'Inflation Data'!$A:$A = AC$1))) + 'Fund YTD Contributions'!AC62,'Fund YTD Contributions'!AC62)"),0.0)</f>
        <v>0</v>
      </c>
      <c r="AD62" s="170">
        <f>IFERROR(__xludf.DUMMYFUNCTION("IFERROR(AC62 * (1 + AVERAGE(Filter('Inflation Data'!$C:$C,'Inflation Data'!$A:$A = AD$1))) + 'Fund YTD Contributions'!AD62,'Fund YTD Contributions'!AD62)"),0.0)</f>
        <v>0</v>
      </c>
      <c r="AE62" s="170">
        <f>IFERROR(__xludf.DUMMYFUNCTION("IFERROR(AD62 * (1 + AVERAGE(Filter('Inflation Data'!$C:$C,'Inflation Data'!$A:$A = AE$1))) + 'Fund YTD Contributions'!AE62,'Fund YTD Contributions'!AE62)"),0.0)</f>
        <v>0</v>
      </c>
      <c r="AF62" s="170" t="str">
        <f>IFERROR(__xludf.DUMMYFUNCTION("IFERROR(AE62 * (1 + AVERAGE(Filter('Inflation Data'!$C:$C,'Inflation Data'!$A:$A = AF$1))) + 'Fund YTD Contributions'!AF62,'Fund YTD Contributions'!AF62)"),"")</f>
        <v/>
      </c>
    </row>
    <row r="63">
      <c r="A63" s="145" t="str">
        <f>'Endowed Funds'!B:B</f>
        <v/>
      </c>
      <c r="B63" s="170">
        <f>IFERROR(__xludf.DUMMYFUNCTION("IFERROR(A63 * (1 + AVERAGE(Filter('Inflation Data'!$C:$C,'Inflation Data'!$A:$A = B$1))) + 'Fund YTD Contributions'!B63,'Fund YTD Contributions'!B63)"),0.0)</f>
        <v>0</v>
      </c>
      <c r="C63" s="170">
        <f>IFERROR(__xludf.DUMMYFUNCTION("IFERROR(B63 * (1 + AVERAGE(Filter('Inflation Data'!$C:$C,'Inflation Data'!$A:$A = C$1))) + 'Fund YTD Contributions'!C63,'Fund YTD Contributions'!C63)"),0.0)</f>
        <v>0</v>
      </c>
      <c r="D63" s="170">
        <f>IFERROR(__xludf.DUMMYFUNCTION("IFERROR(C63 * (1 + AVERAGE(Filter('Inflation Data'!$C:$C,'Inflation Data'!$A:$A = D$1))) + 'Fund YTD Contributions'!D63,'Fund YTD Contributions'!D63)"),0.0)</f>
        <v>0</v>
      </c>
      <c r="E63" s="170">
        <f>IFERROR(__xludf.DUMMYFUNCTION("IFERROR(D63 * (1 + AVERAGE(Filter('Inflation Data'!$C:$C,'Inflation Data'!$A:$A = E$1))) + 'Fund YTD Contributions'!E63,'Fund YTD Contributions'!E63)"),0.0)</f>
        <v>0</v>
      </c>
      <c r="F63" s="170">
        <f>IFERROR(__xludf.DUMMYFUNCTION("IFERROR(E63 * (1 + AVERAGE(Filter('Inflation Data'!$C:$C,'Inflation Data'!$A:$A = F$1))) + 'Fund YTD Contributions'!F63,'Fund YTD Contributions'!F63)"),0.0)</f>
        <v>0</v>
      </c>
      <c r="G63" s="170">
        <f>IFERROR(__xludf.DUMMYFUNCTION("IFERROR(F63 * (1 + AVERAGE(Filter('Inflation Data'!$C:$C,'Inflation Data'!$A:$A = G$1))) + 'Fund YTD Contributions'!G63,'Fund YTD Contributions'!G63)"),0.0)</f>
        <v>0</v>
      </c>
      <c r="H63" s="170">
        <f>IFERROR(__xludf.DUMMYFUNCTION("IFERROR(G63 * (1 + AVERAGE(Filter('Inflation Data'!$C:$C,'Inflation Data'!$A:$A = H$1))) + 'Fund YTD Contributions'!H63,'Fund YTD Contributions'!H63)"),0.0)</f>
        <v>0</v>
      </c>
      <c r="I63" s="170">
        <f>IFERROR(__xludf.DUMMYFUNCTION("IFERROR(H63 * (1 + AVERAGE(Filter('Inflation Data'!$C:$C,'Inflation Data'!$A:$A = I$1))) + 'Fund YTD Contributions'!I63,'Fund YTD Contributions'!I63)"),0.0)</f>
        <v>0</v>
      </c>
      <c r="J63" s="170">
        <f>IFERROR(__xludf.DUMMYFUNCTION("IFERROR(I63 * (1 + AVERAGE(Filter('Inflation Data'!$C:$C,'Inflation Data'!$A:$A = J$1))) + 'Fund YTD Contributions'!J63,'Fund YTD Contributions'!J63)"),0.0)</f>
        <v>0</v>
      </c>
      <c r="K63" s="170">
        <f>IFERROR(__xludf.DUMMYFUNCTION("IFERROR(J63 * (1 + AVERAGE(Filter('Inflation Data'!$C:$C,'Inflation Data'!$A:$A = K$1))) + 'Fund YTD Contributions'!K63,'Fund YTD Contributions'!K63)"),0.0)</f>
        <v>0</v>
      </c>
      <c r="L63" s="170">
        <f>IFERROR(__xludf.DUMMYFUNCTION("IFERROR(K63 * (1 + AVERAGE(Filter('Inflation Data'!$C:$C,'Inflation Data'!$A:$A = L$1))) + 'Fund YTD Contributions'!L63,'Fund YTD Contributions'!L63)"),0.0)</f>
        <v>0</v>
      </c>
      <c r="M63" s="170">
        <f>IFERROR(__xludf.DUMMYFUNCTION("IFERROR(L63 * (1 + AVERAGE(Filter('Inflation Data'!$C:$C,'Inflation Data'!$A:$A = M$1))) + 'Fund YTD Contributions'!M63,'Fund YTD Contributions'!M63)"),0.0)</f>
        <v>0</v>
      </c>
      <c r="N63" s="170">
        <f>IFERROR(__xludf.DUMMYFUNCTION("IFERROR(M63 * (1 + AVERAGE(Filter('Inflation Data'!$C:$C,'Inflation Data'!$A:$A = N$1))) + 'Fund YTD Contributions'!N63,'Fund YTD Contributions'!N63)"),0.0)</f>
        <v>0</v>
      </c>
      <c r="O63" s="170">
        <f>IFERROR(__xludf.DUMMYFUNCTION("IFERROR(N63 * (1 + AVERAGE(Filter('Inflation Data'!$C:$C,'Inflation Data'!$A:$A = O$1))) + 'Fund YTD Contributions'!O63,'Fund YTD Contributions'!O63)"),0.0)</f>
        <v>0</v>
      </c>
      <c r="P63" s="170">
        <f>IFERROR(__xludf.DUMMYFUNCTION("IFERROR(O63 * (1 + AVERAGE(Filter('Inflation Data'!$C:$C,'Inflation Data'!$A:$A = P$1))) + 'Fund YTD Contributions'!P63,'Fund YTD Contributions'!P63)"),0.0)</f>
        <v>0</v>
      </c>
      <c r="Q63" s="170">
        <f>IFERROR(__xludf.DUMMYFUNCTION("IFERROR(P63 * (1 + AVERAGE(Filter('Inflation Data'!$C:$C,'Inflation Data'!$A:$A = Q$1))) + 'Fund YTD Contributions'!Q63,'Fund YTD Contributions'!Q63)"),0.0)</f>
        <v>0</v>
      </c>
      <c r="R63" s="170">
        <f>IFERROR(__xludf.DUMMYFUNCTION("IFERROR(Q63 * (1 + AVERAGE(Filter('Inflation Data'!$C:$C,'Inflation Data'!$A:$A = R$1))) + 'Fund YTD Contributions'!R63,'Fund YTD Contributions'!R63)"),0.0)</f>
        <v>0</v>
      </c>
      <c r="S63" s="170">
        <f>IFERROR(__xludf.DUMMYFUNCTION("IFERROR(R63 * (1 + AVERAGE(Filter('Inflation Data'!$C:$C,'Inflation Data'!$A:$A = S$1))) + 'Fund YTD Contributions'!S63,'Fund YTD Contributions'!S63)"),0.0)</f>
        <v>0</v>
      </c>
      <c r="T63" s="170">
        <f>IFERROR(__xludf.DUMMYFUNCTION("IFERROR(S63 * (1 + AVERAGE(Filter('Inflation Data'!$C:$C,'Inflation Data'!$A:$A = T$1))) + 'Fund YTD Contributions'!T63,'Fund YTD Contributions'!T63)"),0.0)</f>
        <v>0</v>
      </c>
      <c r="U63" s="170">
        <f>IFERROR(__xludf.DUMMYFUNCTION("IFERROR(T63 * (1 + AVERAGE(Filter('Inflation Data'!$C:$C,'Inflation Data'!$A:$A = U$1))) + 'Fund YTD Contributions'!U63,'Fund YTD Contributions'!U63)"),0.0)</f>
        <v>0</v>
      </c>
      <c r="V63" s="170">
        <f>IFERROR(__xludf.DUMMYFUNCTION("IFERROR(U63 * (1 + AVERAGE(Filter('Inflation Data'!$C:$C,'Inflation Data'!$A:$A = V$1))) + 'Fund YTD Contributions'!V63,'Fund YTD Contributions'!V63)"),0.0)</f>
        <v>0</v>
      </c>
      <c r="W63" s="170">
        <f>IFERROR(__xludf.DUMMYFUNCTION("IFERROR(V63 * (1 + AVERAGE(Filter('Inflation Data'!$C:$C,'Inflation Data'!$A:$A = W$1))) + 'Fund YTD Contributions'!W63,'Fund YTD Contributions'!W63)"),0.0)</f>
        <v>0</v>
      </c>
      <c r="X63" s="170">
        <f>IFERROR(__xludf.DUMMYFUNCTION("IFERROR(W63 * (1 + AVERAGE(Filter('Inflation Data'!$C:$C,'Inflation Data'!$A:$A = X$1))) + 'Fund YTD Contributions'!X63,'Fund YTD Contributions'!X63)"),0.0)</f>
        <v>0</v>
      </c>
      <c r="Y63" s="170">
        <f>IFERROR(__xludf.DUMMYFUNCTION("IFERROR(X63 * (1 + AVERAGE(Filter('Inflation Data'!$C:$C,'Inflation Data'!$A:$A = Y$1))) + 'Fund YTD Contributions'!Y63,'Fund YTD Contributions'!Y63)"),0.0)</f>
        <v>0</v>
      </c>
      <c r="Z63" s="170">
        <f>IFERROR(__xludf.DUMMYFUNCTION("IFERROR(Y63 * (1 + AVERAGE(Filter('Inflation Data'!$C:$C,'Inflation Data'!$A:$A = Z$1))) + 'Fund YTD Contributions'!Z63,'Fund YTD Contributions'!Z63)"),0.0)</f>
        <v>0</v>
      </c>
      <c r="AA63" s="170">
        <f>IFERROR(__xludf.DUMMYFUNCTION("IFERROR(Z63 * (1 + AVERAGE(Filter('Inflation Data'!$C:$C,'Inflation Data'!$A:$A = AA$1))) + 'Fund YTD Contributions'!AA63,'Fund YTD Contributions'!AA63)"),0.0)</f>
        <v>0</v>
      </c>
      <c r="AB63" s="170">
        <f>IFERROR(__xludf.DUMMYFUNCTION("IFERROR(AA63 * (1 + AVERAGE(Filter('Inflation Data'!$C:$C,'Inflation Data'!$A:$A = AB$1))) + 'Fund YTD Contributions'!AB63,'Fund YTD Contributions'!AB63)"),0.0)</f>
        <v>0</v>
      </c>
      <c r="AC63" s="170">
        <f>IFERROR(__xludf.DUMMYFUNCTION("IFERROR(AB63 * (1 + AVERAGE(Filter('Inflation Data'!$C:$C,'Inflation Data'!$A:$A = AC$1))) + 'Fund YTD Contributions'!AC63,'Fund YTD Contributions'!AC63)"),0.0)</f>
        <v>0</v>
      </c>
      <c r="AD63" s="170">
        <f>IFERROR(__xludf.DUMMYFUNCTION("IFERROR(AC63 * (1 + AVERAGE(Filter('Inflation Data'!$C:$C,'Inflation Data'!$A:$A = AD$1))) + 'Fund YTD Contributions'!AD63,'Fund YTD Contributions'!AD63)"),0.0)</f>
        <v>0</v>
      </c>
      <c r="AE63" s="170">
        <f>IFERROR(__xludf.DUMMYFUNCTION("IFERROR(AD63 * (1 + AVERAGE(Filter('Inflation Data'!$C:$C,'Inflation Data'!$A:$A = AE$1))) + 'Fund YTD Contributions'!AE63,'Fund YTD Contributions'!AE63)"),0.0)</f>
        <v>0</v>
      </c>
      <c r="AF63" s="170" t="str">
        <f>IFERROR(__xludf.DUMMYFUNCTION("IFERROR(AE63 * (1 + AVERAGE(Filter('Inflation Data'!$C:$C,'Inflation Data'!$A:$A = AF$1))) + 'Fund YTD Contributions'!AF63,'Fund YTD Contributions'!AF63)"),"")</f>
        <v/>
      </c>
    </row>
    <row r="64">
      <c r="A64" s="145" t="str">
        <f>'Endowed Funds'!B:B</f>
        <v/>
      </c>
      <c r="B64" s="170">
        <f>IFERROR(__xludf.DUMMYFUNCTION("IFERROR(A64 * (1 + AVERAGE(Filter('Inflation Data'!$C:$C,'Inflation Data'!$A:$A = B$1))) + 'Fund YTD Contributions'!B64,'Fund YTD Contributions'!B64)"),0.0)</f>
        <v>0</v>
      </c>
      <c r="C64" s="170">
        <f>IFERROR(__xludf.DUMMYFUNCTION("IFERROR(B64 * (1 + AVERAGE(Filter('Inflation Data'!$C:$C,'Inflation Data'!$A:$A = C$1))) + 'Fund YTD Contributions'!C64,'Fund YTD Contributions'!C64)"),0.0)</f>
        <v>0</v>
      </c>
      <c r="D64" s="170">
        <f>IFERROR(__xludf.DUMMYFUNCTION("IFERROR(C64 * (1 + AVERAGE(Filter('Inflation Data'!$C:$C,'Inflation Data'!$A:$A = D$1))) + 'Fund YTD Contributions'!D64,'Fund YTD Contributions'!D64)"),0.0)</f>
        <v>0</v>
      </c>
      <c r="E64" s="170">
        <f>IFERROR(__xludf.DUMMYFUNCTION("IFERROR(D64 * (1 + AVERAGE(Filter('Inflation Data'!$C:$C,'Inflation Data'!$A:$A = E$1))) + 'Fund YTD Contributions'!E64,'Fund YTD Contributions'!E64)"),0.0)</f>
        <v>0</v>
      </c>
      <c r="F64" s="170">
        <f>IFERROR(__xludf.DUMMYFUNCTION("IFERROR(E64 * (1 + AVERAGE(Filter('Inflation Data'!$C:$C,'Inflation Data'!$A:$A = F$1))) + 'Fund YTD Contributions'!F64,'Fund YTD Contributions'!F64)"),0.0)</f>
        <v>0</v>
      </c>
      <c r="G64" s="170">
        <f>IFERROR(__xludf.DUMMYFUNCTION("IFERROR(F64 * (1 + AVERAGE(Filter('Inflation Data'!$C:$C,'Inflation Data'!$A:$A = G$1))) + 'Fund YTD Contributions'!G64,'Fund YTD Contributions'!G64)"),0.0)</f>
        <v>0</v>
      </c>
      <c r="H64" s="170">
        <f>IFERROR(__xludf.DUMMYFUNCTION("IFERROR(G64 * (1 + AVERAGE(Filter('Inflation Data'!$C:$C,'Inflation Data'!$A:$A = H$1))) + 'Fund YTD Contributions'!H64,'Fund YTD Contributions'!H64)"),0.0)</f>
        <v>0</v>
      </c>
      <c r="I64" s="170">
        <f>IFERROR(__xludf.DUMMYFUNCTION("IFERROR(H64 * (1 + AVERAGE(Filter('Inflation Data'!$C:$C,'Inflation Data'!$A:$A = I$1))) + 'Fund YTD Contributions'!I64,'Fund YTD Contributions'!I64)"),0.0)</f>
        <v>0</v>
      </c>
      <c r="J64" s="170">
        <f>IFERROR(__xludf.DUMMYFUNCTION("IFERROR(I64 * (1 + AVERAGE(Filter('Inflation Data'!$C:$C,'Inflation Data'!$A:$A = J$1))) + 'Fund YTD Contributions'!J64,'Fund YTD Contributions'!J64)"),0.0)</f>
        <v>0</v>
      </c>
      <c r="K64" s="170">
        <f>IFERROR(__xludf.DUMMYFUNCTION("IFERROR(J64 * (1 + AVERAGE(Filter('Inflation Data'!$C:$C,'Inflation Data'!$A:$A = K$1))) + 'Fund YTD Contributions'!K64,'Fund YTD Contributions'!K64)"),0.0)</f>
        <v>0</v>
      </c>
      <c r="L64" s="170">
        <f>IFERROR(__xludf.DUMMYFUNCTION("IFERROR(K64 * (1 + AVERAGE(Filter('Inflation Data'!$C:$C,'Inflation Data'!$A:$A = L$1))) + 'Fund YTD Contributions'!L64,'Fund YTD Contributions'!L64)"),0.0)</f>
        <v>0</v>
      </c>
      <c r="M64" s="170">
        <f>IFERROR(__xludf.DUMMYFUNCTION("IFERROR(L64 * (1 + AVERAGE(Filter('Inflation Data'!$C:$C,'Inflation Data'!$A:$A = M$1))) + 'Fund YTD Contributions'!M64,'Fund YTD Contributions'!M64)"),0.0)</f>
        <v>0</v>
      </c>
      <c r="N64" s="170">
        <f>IFERROR(__xludf.DUMMYFUNCTION("IFERROR(M64 * (1 + AVERAGE(Filter('Inflation Data'!$C:$C,'Inflation Data'!$A:$A = N$1))) + 'Fund YTD Contributions'!N64,'Fund YTD Contributions'!N64)"),0.0)</f>
        <v>0</v>
      </c>
      <c r="O64" s="170">
        <f>IFERROR(__xludf.DUMMYFUNCTION("IFERROR(N64 * (1 + AVERAGE(Filter('Inflation Data'!$C:$C,'Inflation Data'!$A:$A = O$1))) + 'Fund YTD Contributions'!O64,'Fund YTD Contributions'!O64)"),0.0)</f>
        <v>0</v>
      </c>
      <c r="P64" s="170">
        <f>IFERROR(__xludf.DUMMYFUNCTION("IFERROR(O64 * (1 + AVERAGE(Filter('Inflation Data'!$C:$C,'Inflation Data'!$A:$A = P$1))) + 'Fund YTD Contributions'!P64,'Fund YTD Contributions'!P64)"),0.0)</f>
        <v>0</v>
      </c>
      <c r="Q64" s="170">
        <f>IFERROR(__xludf.DUMMYFUNCTION("IFERROR(P64 * (1 + AVERAGE(Filter('Inflation Data'!$C:$C,'Inflation Data'!$A:$A = Q$1))) + 'Fund YTD Contributions'!Q64,'Fund YTD Contributions'!Q64)"),0.0)</f>
        <v>0</v>
      </c>
      <c r="R64" s="170">
        <f>IFERROR(__xludf.DUMMYFUNCTION("IFERROR(Q64 * (1 + AVERAGE(Filter('Inflation Data'!$C:$C,'Inflation Data'!$A:$A = R$1))) + 'Fund YTD Contributions'!R64,'Fund YTD Contributions'!R64)"),0.0)</f>
        <v>0</v>
      </c>
      <c r="S64" s="170">
        <f>IFERROR(__xludf.DUMMYFUNCTION("IFERROR(R64 * (1 + AVERAGE(Filter('Inflation Data'!$C:$C,'Inflation Data'!$A:$A = S$1))) + 'Fund YTD Contributions'!S64,'Fund YTD Contributions'!S64)"),0.0)</f>
        <v>0</v>
      </c>
      <c r="T64" s="170">
        <f>IFERROR(__xludf.DUMMYFUNCTION("IFERROR(S64 * (1 + AVERAGE(Filter('Inflation Data'!$C:$C,'Inflation Data'!$A:$A = T$1))) + 'Fund YTD Contributions'!T64,'Fund YTD Contributions'!T64)"),0.0)</f>
        <v>0</v>
      </c>
      <c r="U64" s="170">
        <f>IFERROR(__xludf.DUMMYFUNCTION("IFERROR(T64 * (1 + AVERAGE(Filter('Inflation Data'!$C:$C,'Inflation Data'!$A:$A = U$1))) + 'Fund YTD Contributions'!U64,'Fund YTD Contributions'!U64)"),0.0)</f>
        <v>0</v>
      </c>
      <c r="V64" s="170">
        <f>IFERROR(__xludf.DUMMYFUNCTION("IFERROR(U64 * (1 + AVERAGE(Filter('Inflation Data'!$C:$C,'Inflation Data'!$A:$A = V$1))) + 'Fund YTD Contributions'!V64,'Fund YTD Contributions'!V64)"),0.0)</f>
        <v>0</v>
      </c>
      <c r="W64" s="170">
        <f>IFERROR(__xludf.DUMMYFUNCTION("IFERROR(V64 * (1 + AVERAGE(Filter('Inflation Data'!$C:$C,'Inflation Data'!$A:$A = W$1))) + 'Fund YTD Contributions'!W64,'Fund YTD Contributions'!W64)"),0.0)</f>
        <v>0</v>
      </c>
      <c r="X64" s="170">
        <f>IFERROR(__xludf.DUMMYFUNCTION("IFERROR(W64 * (1 + AVERAGE(Filter('Inflation Data'!$C:$C,'Inflation Data'!$A:$A = X$1))) + 'Fund YTD Contributions'!X64,'Fund YTD Contributions'!X64)"),0.0)</f>
        <v>0</v>
      </c>
      <c r="Y64" s="170">
        <f>IFERROR(__xludf.DUMMYFUNCTION("IFERROR(X64 * (1 + AVERAGE(Filter('Inflation Data'!$C:$C,'Inflation Data'!$A:$A = Y$1))) + 'Fund YTD Contributions'!Y64,'Fund YTD Contributions'!Y64)"),0.0)</f>
        <v>0</v>
      </c>
      <c r="Z64" s="170">
        <f>IFERROR(__xludf.DUMMYFUNCTION("IFERROR(Y64 * (1 + AVERAGE(Filter('Inflation Data'!$C:$C,'Inflation Data'!$A:$A = Z$1))) + 'Fund YTD Contributions'!Z64,'Fund YTD Contributions'!Z64)"),0.0)</f>
        <v>0</v>
      </c>
      <c r="AA64" s="170">
        <f>IFERROR(__xludf.DUMMYFUNCTION("IFERROR(Z64 * (1 + AVERAGE(Filter('Inflation Data'!$C:$C,'Inflation Data'!$A:$A = AA$1))) + 'Fund YTD Contributions'!AA64,'Fund YTD Contributions'!AA64)"),0.0)</f>
        <v>0</v>
      </c>
      <c r="AB64" s="170">
        <f>IFERROR(__xludf.DUMMYFUNCTION("IFERROR(AA64 * (1 + AVERAGE(Filter('Inflation Data'!$C:$C,'Inflation Data'!$A:$A = AB$1))) + 'Fund YTD Contributions'!AB64,'Fund YTD Contributions'!AB64)"),0.0)</f>
        <v>0</v>
      </c>
      <c r="AC64" s="170">
        <f>IFERROR(__xludf.DUMMYFUNCTION("IFERROR(AB64 * (1 + AVERAGE(Filter('Inflation Data'!$C:$C,'Inflation Data'!$A:$A = AC$1))) + 'Fund YTD Contributions'!AC64,'Fund YTD Contributions'!AC64)"),0.0)</f>
        <v>0</v>
      </c>
      <c r="AD64" s="170">
        <f>IFERROR(__xludf.DUMMYFUNCTION("IFERROR(AC64 * (1 + AVERAGE(Filter('Inflation Data'!$C:$C,'Inflation Data'!$A:$A = AD$1))) + 'Fund YTD Contributions'!AD64,'Fund YTD Contributions'!AD64)"),0.0)</f>
        <v>0</v>
      </c>
      <c r="AE64" s="170">
        <f>IFERROR(__xludf.DUMMYFUNCTION("IFERROR(AD64 * (1 + AVERAGE(Filter('Inflation Data'!$C:$C,'Inflation Data'!$A:$A = AE$1))) + 'Fund YTD Contributions'!AE64,'Fund YTD Contributions'!AE64)"),0.0)</f>
        <v>0</v>
      </c>
      <c r="AF64" s="170" t="str">
        <f>IFERROR(__xludf.DUMMYFUNCTION("IFERROR(AE64 * (1 + AVERAGE(Filter('Inflation Data'!$C:$C,'Inflation Data'!$A:$A = AF$1))) + 'Fund YTD Contributions'!AF64,'Fund YTD Contributions'!AF64)"),"")</f>
        <v/>
      </c>
    </row>
    <row r="65">
      <c r="A65" s="145" t="str">
        <f>'Endowed Funds'!B:B</f>
        <v/>
      </c>
      <c r="B65" s="170">
        <f>IFERROR(__xludf.DUMMYFUNCTION("IFERROR(A65 * (1 + AVERAGE(Filter('Inflation Data'!$C:$C,'Inflation Data'!$A:$A = B$1))) + 'Fund YTD Contributions'!B65,'Fund YTD Contributions'!B65)"),0.0)</f>
        <v>0</v>
      </c>
      <c r="C65" s="170">
        <f>IFERROR(__xludf.DUMMYFUNCTION("IFERROR(B65 * (1 + AVERAGE(Filter('Inflation Data'!$C:$C,'Inflation Data'!$A:$A = C$1))) + 'Fund YTD Contributions'!C65,'Fund YTD Contributions'!C65)"),0.0)</f>
        <v>0</v>
      </c>
      <c r="D65" s="170">
        <f>IFERROR(__xludf.DUMMYFUNCTION("IFERROR(C65 * (1 + AVERAGE(Filter('Inflation Data'!$C:$C,'Inflation Data'!$A:$A = D$1))) + 'Fund YTD Contributions'!D65,'Fund YTD Contributions'!D65)"),0.0)</f>
        <v>0</v>
      </c>
      <c r="E65" s="170">
        <f>IFERROR(__xludf.DUMMYFUNCTION("IFERROR(D65 * (1 + AVERAGE(Filter('Inflation Data'!$C:$C,'Inflation Data'!$A:$A = E$1))) + 'Fund YTD Contributions'!E65,'Fund YTD Contributions'!E65)"),0.0)</f>
        <v>0</v>
      </c>
      <c r="F65" s="170">
        <f>IFERROR(__xludf.DUMMYFUNCTION("IFERROR(E65 * (1 + AVERAGE(Filter('Inflation Data'!$C:$C,'Inflation Data'!$A:$A = F$1))) + 'Fund YTD Contributions'!F65,'Fund YTD Contributions'!F65)"),0.0)</f>
        <v>0</v>
      </c>
      <c r="G65" s="170">
        <f>IFERROR(__xludf.DUMMYFUNCTION("IFERROR(F65 * (1 + AVERAGE(Filter('Inflation Data'!$C:$C,'Inflation Data'!$A:$A = G$1))) + 'Fund YTD Contributions'!G65,'Fund YTD Contributions'!G65)"),0.0)</f>
        <v>0</v>
      </c>
      <c r="H65" s="170">
        <f>IFERROR(__xludf.DUMMYFUNCTION("IFERROR(G65 * (1 + AVERAGE(Filter('Inflation Data'!$C:$C,'Inflation Data'!$A:$A = H$1))) + 'Fund YTD Contributions'!H65,'Fund YTD Contributions'!H65)"),0.0)</f>
        <v>0</v>
      </c>
      <c r="I65" s="170">
        <f>IFERROR(__xludf.DUMMYFUNCTION("IFERROR(H65 * (1 + AVERAGE(Filter('Inflation Data'!$C:$C,'Inflation Data'!$A:$A = I$1))) + 'Fund YTD Contributions'!I65,'Fund YTD Contributions'!I65)"),0.0)</f>
        <v>0</v>
      </c>
      <c r="J65" s="170">
        <f>IFERROR(__xludf.DUMMYFUNCTION("IFERROR(I65 * (1 + AVERAGE(Filter('Inflation Data'!$C:$C,'Inflation Data'!$A:$A = J$1))) + 'Fund YTD Contributions'!J65,'Fund YTD Contributions'!J65)"),0.0)</f>
        <v>0</v>
      </c>
      <c r="K65" s="170">
        <f>IFERROR(__xludf.DUMMYFUNCTION("IFERROR(J65 * (1 + AVERAGE(Filter('Inflation Data'!$C:$C,'Inflation Data'!$A:$A = K$1))) + 'Fund YTD Contributions'!K65,'Fund YTD Contributions'!K65)"),0.0)</f>
        <v>0</v>
      </c>
      <c r="L65" s="170">
        <f>IFERROR(__xludf.DUMMYFUNCTION("IFERROR(K65 * (1 + AVERAGE(Filter('Inflation Data'!$C:$C,'Inflation Data'!$A:$A = L$1))) + 'Fund YTD Contributions'!L65,'Fund YTD Contributions'!L65)"),0.0)</f>
        <v>0</v>
      </c>
      <c r="M65" s="170">
        <f>IFERROR(__xludf.DUMMYFUNCTION("IFERROR(L65 * (1 + AVERAGE(Filter('Inflation Data'!$C:$C,'Inflation Data'!$A:$A = M$1))) + 'Fund YTD Contributions'!M65,'Fund YTD Contributions'!M65)"),0.0)</f>
        <v>0</v>
      </c>
      <c r="N65" s="170">
        <f>IFERROR(__xludf.DUMMYFUNCTION("IFERROR(M65 * (1 + AVERAGE(Filter('Inflation Data'!$C:$C,'Inflation Data'!$A:$A = N$1))) + 'Fund YTD Contributions'!N65,'Fund YTD Contributions'!N65)"),0.0)</f>
        <v>0</v>
      </c>
      <c r="O65" s="170">
        <f>IFERROR(__xludf.DUMMYFUNCTION("IFERROR(N65 * (1 + AVERAGE(Filter('Inflation Data'!$C:$C,'Inflation Data'!$A:$A = O$1))) + 'Fund YTD Contributions'!O65,'Fund YTD Contributions'!O65)"),0.0)</f>
        <v>0</v>
      </c>
      <c r="P65" s="170">
        <f>IFERROR(__xludf.DUMMYFUNCTION("IFERROR(O65 * (1 + AVERAGE(Filter('Inflation Data'!$C:$C,'Inflation Data'!$A:$A = P$1))) + 'Fund YTD Contributions'!P65,'Fund YTD Contributions'!P65)"),0.0)</f>
        <v>0</v>
      </c>
      <c r="Q65" s="170">
        <f>IFERROR(__xludf.DUMMYFUNCTION("IFERROR(P65 * (1 + AVERAGE(Filter('Inflation Data'!$C:$C,'Inflation Data'!$A:$A = Q$1))) + 'Fund YTD Contributions'!Q65,'Fund YTD Contributions'!Q65)"),0.0)</f>
        <v>0</v>
      </c>
      <c r="R65" s="170">
        <f>IFERROR(__xludf.DUMMYFUNCTION("IFERROR(Q65 * (1 + AVERAGE(Filter('Inflation Data'!$C:$C,'Inflation Data'!$A:$A = R$1))) + 'Fund YTD Contributions'!R65,'Fund YTD Contributions'!R65)"),0.0)</f>
        <v>0</v>
      </c>
      <c r="S65" s="170">
        <f>IFERROR(__xludf.DUMMYFUNCTION("IFERROR(R65 * (1 + AVERAGE(Filter('Inflation Data'!$C:$C,'Inflation Data'!$A:$A = S$1))) + 'Fund YTD Contributions'!S65,'Fund YTD Contributions'!S65)"),0.0)</f>
        <v>0</v>
      </c>
      <c r="T65" s="170">
        <f>IFERROR(__xludf.DUMMYFUNCTION("IFERROR(S65 * (1 + AVERAGE(Filter('Inflation Data'!$C:$C,'Inflation Data'!$A:$A = T$1))) + 'Fund YTD Contributions'!T65,'Fund YTD Contributions'!T65)"),0.0)</f>
        <v>0</v>
      </c>
      <c r="U65" s="170">
        <f>IFERROR(__xludf.DUMMYFUNCTION("IFERROR(T65 * (1 + AVERAGE(Filter('Inflation Data'!$C:$C,'Inflation Data'!$A:$A = U$1))) + 'Fund YTD Contributions'!U65,'Fund YTD Contributions'!U65)"),0.0)</f>
        <v>0</v>
      </c>
      <c r="V65" s="170">
        <f>IFERROR(__xludf.DUMMYFUNCTION("IFERROR(U65 * (1 + AVERAGE(Filter('Inflation Data'!$C:$C,'Inflation Data'!$A:$A = V$1))) + 'Fund YTD Contributions'!V65,'Fund YTD Contributions'!V65)"),0.0)</f>
        <v>0</v>
      </c>
      <c r="W65" s="170">
        <f>IFERROR(__xludf.DUMMYFUNCTION("IFERROR(V65 * (1 + AVERAGE(Filter('Inflation Data'!$C:$C,'Inflation Data'!$A:$A = W$1))) + 'Fund YTD Contributions'!W65,'Fund YTD Contributions'!W65)"),0.0)</f>
        <v>0</v>
      </c>
      <c r="X65" s="170">
        <f>IFERROR(__xludf.DUMMYFUNCTION("IFERROR(W65 * (1 + AVERAGE(Filter('Inflation Data'!$C:$C,'Inflation Data'!$A:$A = X$1))) + 'Fund YTD Contributions'!X65,'Fund YTD Contributions'!X65)"),0.0)</f>
        <v>0</v>
      </c>
      <c r="Y65" s="170">
        <f>IFERROR(__xludf.DUMMYFUNCTION("IFERROR(X65 * (1 + AVERAGE(Filter('Inflation Data'!$C:$C,'Inflation Data'!$A:$A = Y$1))) + 'Fund YTD Contributions'!Y65,'Fund YTD Contributions'!Y65)"),0.0)</f>
        <v>0</v>
      </c>
      <c r="Z65" s="170">
        <f>IFERROR(__xludf.DUMMYFUNCTION("IFERROR(Y65 * (1 + AVERAGE(Filter('Inflation Data'!$C:$C,'Inflation Data'!$A:$A = Z$1))) + 'Fund YTD Contributions'!Z65,'Fund YTD Contributions'!Z65)"),0.0)</f>
        <v>0</v>
      </c>
      <c r="AA65" s="170">
        <f>IFERROR(__xludf.DUMMYFUNCTION("IFERROR(Z65 * (1 + AVERAGE(Filter('Inflation Data'!$C:$C,'Inflation Data'!$A:$A = AA$1))) + 'Fund YTD Contributions'!AA65,'Fund YTD Contributions'!AA65)"),0.0)</f>
        <v>0</v>
      </c>
      <c r="AB65" s="170">
        <f>IFERROR(__xludf.DUMMYFUNCTION("IFERROR(AA65 * (1 + AVERAGE(Filter('Inflation Data'!$C:$C,'Inflation Data'!$A:$A = AB$1))) + 'Fund YTD Contributions'!AB65,'Fund YTD Contributions'!AB65)"),0.0)</f>
        <v>0</v>
      </c>
      <c r="AC65" s="170">
        <f>IFERROR(__xludf.DUMMYFUNCTION("IFERROR(AB65 * (1 + AVERAGE(Filter('Inflation Data'!$C:$C,'Inflation Data'!$A:$A = AC$1))) + 'Fund YTD Contributions'!AC65,'Fund YTD Contributions'!AC65)"),0.0)</f>
        <v>0</v>
      </c>
      <c r="AD65" s="170">
        <f>IFERROR(__xludf.DUMMYFUNCTION("IFERROR(AC65 * (1 + AVERAGE(Filter('Inflation Data'!$C:$C,'Inflation Data'!$A:$A = AD$1))) + 'Fund YTD Contributions'!AD65,'Fund YTD Contributions'!AD65)"),0.0)</f>
        <v>0</v>
      </c>
      <c r="AE65" s="170">
        <f>IFERROR(__xludf.DUMMYFUNCTION("IFERROR(AD65 * (1 + AVERAGE(Filter('Inflation Data'!$C:$C,'Inflation Data'!$A:$A = AE$1))) + 'Fund YTD Contributions'!AE65,'Fund YTD Contributions'!AE65)"),0.0)</f>
        <v>0</v>
      </c>
      <c r="AF65" s="170" t="str">
        <f>IFERROR(__xludf.DUMMYFUNCTION("IFERROR(AE65 * (1 + AVERAGE(Filter('Inflation Data'!$C:$C,'Inflation Data'!$A:$A = AF$1))) + 'Fund YTD Contributions'!AF65,'Fund YTD Contributions'!AF65)"),"")</f>
        <v/>
      </c>
    </row>
    <row r="66">
      <c r="A66" s="145" t="str">
        <f>'Endowed Funds'!B:B</f>
        <v/>
      </c>
      <c r="B66" s="170">
        <f>IFERROR(__xludf.DUMMYFUNCTION("IFERROR(A66 * (1 + AVERAGE(Filter('Inflation Data'!$C:$C,'Inflation Data'!$A:$A = B$1))) + 'Fund YTD Contributions'!B66,'Fund YTD Contributions'!B66)"),0.0)</f>
        <v>0</v>
      </c>
      <c r="C66" s="170">
        <f>IFERROR(__xludf.DUMMYFUNCTION("IFERROR(B66 * (1 + AVERAGE(Filter('Inflation Data'!$C:$C,'Inflation Data'!$A:$A = C$1))) + 'Fund YTD Contributions'!C66,'Fund YTD Contributions'!C66)"),0.0)</f>
        <v>0</v>
      </c>
      <c r="D66" s="170">
        <f>IFERROR(__xludf.DUMMYFUNCTION("IFERROR(C66 * (1 + AVERAGE(Filter('Inflation Data'!$C:$C,'Inflation Data'!$A:$A = D$1))) + 'Fund YTD Contributions'!D66,'Fund YTD Contributions'!D66)"),0.0)</f>
        <v>0</v>
      </c>
      <c r="E66" s="170">
        <f>IFERROR(__xludf.DUMMYFUNCTION("IFERROR(D66 * (1 + AVERAGE(Filter('Inflation Data'!$C:$C,'Inflation Data'!$A:$A = E$1))) + 'Fund YTD Contributions'!E66,'Fund YTD Contributions'!E66)"),0.0)</f>
        <v>0</v>
      </c>
      <c r="F66" s="170">
        <f>IFERROR(__xludf.DUMMYFUNCTION("IFERROR(E66 * (1 + AVERAGE(Filter('Inflation Data'!$C:$C,'Inflation Data'!$A:$A = F$1))) + 'Fund YTD Contributions'!F66,'Fund YTD Contributions'!F66)"),0.0)</f>
        <v>0</v>
      </c>
      <c r="G66" s="170">
        <f>IFERROR(__xludf.DUMMYFUNCTION("IFERROR(F66 * (1 + AVERAGE(Filter('Inflation Data'!$C:$C,'Inflation Data'!$A:$A = G$1))) + 'Fund YTD Contributions'!G66,'Fund YTD Contributions'!G66)"),0.0)</f>
        <v>0</v>
      </c>
      <c r="H66" s="170">
        <f>IFERROR(__xludf.DUMMYFUNCTION("IFERROR(G66 * (1 + AVERAGE(Filter('Inflation Data'!$C:$C,'Inflation Data'!$A:$A = H$1))) + 'Fund YTD Contributions'!H66,'Fund YTD Contributions'!H66)"),0.0)</f>
        <v>0</v>
      </c>
      <c r="I66" s="170">
        <f>IFERROR(__xludf.DUMMYFUNCTION("IFERROR(H66 * (1 + AVERAGE(Filter('Inflation Data'!$C:$C,'Inflation Data'!$A:$A = I$1))) + 'Fund YTD Contributions'!I66,'Fund YTD Contributions'!I66)"),0.0)</f>
        <v>0</v>
      </c>
      <c r="J66" s="170">
        <f>IFERROR(__xludf.DUMMYFUNCTION("IFERROR(I66 * (1 + AVERAGE(Filter('Inflation Data'!$C:$C,'Inflation Data'!$A:$A = J$1))) + 'Fund YTD Contributions'!J66,'Fund YTD Contributions'!J66)"),0.0)</f>
        <v>0</v>
      </c>
      <c r="K66" s="170">
        <f>IFERROR(__xludf.DUMMYFUNCTION("IFERROR(J66 * (1 + AVERAGE(Filter('Inflation Data'!$C:$C,'Inflation Data'!$A:$A = K$1))) + 'Fund YTD Contributions'!K66,'Fund YTD Contributions'!K66)"),0.0)</f>
        <v>0</v>
      </c>
      <c r="L66" s="170">
        <f>IFERROR(__xludf.DUMMYFUNCTION("IFERROR(K66 * (1 + AVERAGE(Filter('Inflation Data'!$C:$C,'Inflation Data'!$A:$A = L$1))) + 'Fund YTD Contributions'!L66,'Fund YTD Contributions'!L66)"),0.0)</f>
        <v>0</v>
      </c>
      <c r="M66" s="170">
        <f>IFERROR(__xludf.DUMMYFUNCTION("IFERROR(L66 * (1 + AVERAGE(Filter('Inflation Data'!$C:$C,'Inflation Data'!$A:$A = M$1))) + 'Fund YTD Contributions'!M66,'Fund YTD Contributions'!M66)"),0.0)</f>
        <v>0</v>
      </c>
      <c r="N66" s="170">
        <f>IFERROR(__xludf.DUMMYFUNCTION("IFERROR(M66 * (1 + AVERAGE(Filter('Inflation Data'!$C:$C,'Inflation Data'!$A:$A = N$1))) + 'Fund YTD Contributions'!N66,'Fund YTD Contributions'!N66)"),0.0)</f>
        <v>0</v>
      </c>
      <c r="O66" s="170">
        <f>IFERROR(__xludf.DUMMYFUNCTION("IFERROR(N66 * (1 + AVERAGE(Filter('Inflation Data'!$C:$C,'Inflation Data'!$A:$A = O$1))) + 'Fund YTD Contributions'!O66,'Fund YTD Contributions'!O66)"),0.0)</f>
        <v>0</v>
      </c>
      <c r="P66" s="170">
        <f>IFERROR(__xludf.DUMMYFUNCTION("IFERROR(O66 * (1 + AVERAGE(Filter('Inflation Data'!$C:$C,'Inflation Data'!$A:$A = P$1))) + 'Fund YTD Contributions'!P66,'Fund YTD Contributions'!P66)"),0.0)</f>
        <v>0</v>
      </c>
      <c r="Q66" s="170">
        <f>IFERROR(__xludf.DUMMYFUNCTION("IFERROR(P66 * (1 + AVERAGE(Filter('Inflation Data'!$C:$C,'Inflation Data'!$A:$A = Q$1))) + 'Fund YTD Contributions'!Q66,'Fund YTD Contributions'!Q66)"),0.0)</f>
        <v>0</v>
      </c>
      <c r="R66" s="170">
        <f>IFERROR(__xludf.DUMMYFUNCTION("IFERROR(Q66 * (1 + AVERAGE(Filter('Inflation Data'!$C:$C,'Inflation Data'!$A:$A = R$1))) + 'Fund YTD Contributions'!R66,'Fund YTD Contributions'!R66)"),0.0)</f>
        <v>0</v>
      </c>
      <c r="S66" s="170">
        <f>IFERROR(__xludf.DUMMYFUNCTION("IFERROR(R66 * (1 + AVERAGE(Filter('Inflation Data'!$C:$C,'Inflation Data'!$A:$A = S$1))) + 'Fund YTD Contributions'!S66,'Fund YTD Contributions'!S66)"),0.0)</f>
        <v>0</v>
      </c>
      <c r="T66" s="170">
        <f>IFERROR(__xludf.DUMMYFUNCTION("IFERROR(S66 * (1 + AVERAGE(Filter('Inflation Data'!$C:$C,'Inflation Data'!$A:$A = T$1))) + 'Fund YTD Contributions'!T66,'Fund YTD Contributions'!T66)"),0.0)</f>
        <v>0</v>
      </c>
      <c r="U66" s="170">
        <f>IFERROR(__xludf.DUMMYFUNCTION("IFERROR(T66 * (1 + AVERAGE(Filter('Inflation Data'!$C:$C,'Inflation Data'!$A:$A = U$1))) + 'Fund YTD Contributions'!U66,'Fund YTD Contributions'!U66)"),0.0)</f>
        <v>0</v>
      </c>
      <c r="V66" s="170">
        <f>IFERROR(__xludf.DUMMYFUNCTION("IFERROR(U66 * (1 + AVERAGE(Filter('Inflation Data'!$C:$C,'Inflation Data'!$A:$A = V$1))) + 'Fund YTD Contributions'!V66,'Fund YTD Contributions'!V66)"),0.0)</f>
        <v>0</v>
      </c>
      <c r="W66" s="170">
        <f>IFERROR(__xludf.DUMMYFUNCTION("IFERROR(V66 * (1 + AVERAGE(Filter('Inflation Data'!$C:$C,'Inflation Data'!$A:$A = W$1))) + 'Fund YTD Contributions'!W66,'Fund YTD Contributions'!W66)"),0.0)</f>
        <v>0</v>
      </c>
      <c r="X66" s="170">
        <f>IFERROR(__xludf.DUMMYFUNCTION("IFERROR(W66 * (1 + AVERAGE(Filter('Inflation Data'!$C:$C,'Inflation Data'!$A:$A = X$1))) + 'Fund YTD Contributions'!X66,'Fund YTD Contributions'!X66)"),0.0)</f>
        <v>0</v>
      </c>
      <c r="Y66" s="170">
        <f>IFERROR(__xludf.DUMMYFUNCTION("IFERROR(X66 * (1 + AVERAGE(Filter('Inflation Data'!$C:$C,'Inflation Data'!$A:$A = Y$1))) + 'Fund YTD Contributions'!Y66,'Fund YTD Contributions'!Y66)"),0.0)</f>
        <v>0</v>
      </c>
      <c r="Z66" s="170">
        <f>IFERROR(__xludf.DUMMYFUNCTION("IFERROR(Y66 * (1 + AVERAGE(Filter('Inflation Data'!$C:$C,'Inflation Data'!$A:$A = Z$1))) + 'Fund YTD Contributions'!Z66,'Fund YTD Contributions'!Z66)"),0.0)</f>
        <v>0</v>
      </c>
      <c r="AA66" s="170">
        <f>IFERROR(__xludf.DUMMYFUNCTION("IFERROR(Z66 * (1 + AVERAGE(Filter('Inflation Data'!$C:$C,'Inflation Data'!$A:$A = AA$1))) + 'Fund YTD Contributions'!AA66,'Fund YTD Contributions'!AA66)"),0.0)</f>
        <v>0</v>
      </c>
      <c r="AB66" s="170">
        <f>IFERROR(__xludf.DUMMYFUNCTION("IFERROR(AA66 * (1 + AVERAGE(Filter('Inflation Data'!$C:$C,'Inflation Data'!$A:$A = AB$1))) + 'Fund YTD Contributions'!AB66,'Fund YTD Contributions'!AB66)"),0.0)</f>
        <v>0</v>
      </c>
      <c r="AC66" s="170">
        <f>IFERROR(__xludf.DUMMYFUNCTION("IFERROR(AB66 * (1 + AVERAGE(Filter('Inflation Data'!$C:$C,'Inflation Data'!$A:$A = AC$1))) + 'Fund YTD Contributions'!AC66,'Fund YTD Contributions'!AC66)"),0.0)</f>
        <v>0</v>
      </c>
      <c r="AD66" s="170">
        <f>IFERROR(__xludf.DUMMYFUNCTION("IFERROR(AC66 * (1 + AVERAGE(Filter('Inflation Data'!$C:$C,'Inflation Data'!$A:$A = AD$1))) + 'Fund YTD Contributions'!AD66,'Fund YTD Contributions'!AD66)"),0.0)</f>
        <v>0</v>
      </c>
      <c r="AE66" s="170">
        <f>IFERROR(__xludf.DUMMYFUNCTION("IFERROR(AD66 * (1 + AVERAGE(Filter('Inflation Data'!$C:$C,'Inflation Data'!$A:$A = AE$1))) + 'Fund YTD Contributions'!AE66,'Fund YTD Contributions'!AE66)"),0.0)</f>
        <v>0</v>
      </c>
      <c r="AF66" s="170" t="str">
        <f>IFERROR(__xludf.DUMMYFUNCTION("IFERROR(AE66 * (1 + AVERAGE(Filter('Inflation Data'!$C:$C,'Inflation Data'!$A:$A = AF$1))) + 'Fund YTD Contributions'!AF66,'Fund YTD Contributions'!AF66)"),"")</f>
        <v/>
      </c>
    </row>
    <row r="67">
      <c r="A67" s="145" t="str">
        <f>'Endowed Funds'!B:B</f>
        <v/>
      </c>
      <c r="B67" s="170">
        <f>IFERROR(__xludf.DUMMYFUNCTION("IFERROR(A67 * (1 + AVERAGE(Filter('Inflation Data'!$C:$C,'Inflation Data'!$A:$A = B$1))) + 'Fund YTD Contributions'!B67,'Fund YTD Contributions'!B67)"),0.0)</f>
        <v>0</v>
      </c>
      <c r="C67" s="170">
        <f>IFERROR(__xludf.DUMMYFUNCTION("IFERROR(B67 * (1 + AVERAGE(Filter('Inflation Data'!$C:$C,'Inflation Data'!$A:$A = C$1))) + 'Fund YTD Contributions'!C67,'Fund YTD Contributions'!C67)"),0.0)</f>
        <v>0</v>
      </c>
      <c r="D67" s="170">
        <f>IFERROR(__xludf.DUMMYFUNCTION("IFERROR(C67 * (1 + AVERAGE(Filter('Inflation Data'!$C:$C,'Inflation Data'!$A:$A = D$1))) + 'Fund YTD Contributions'!D67,'Fund YTD Contributions'!D67)"),0.0)</f>
        <v>0</v>
      </c>
      <c r="E67" s="170">
        <f>IFERROR(__xludf.DUMMYFUNCTION("IFERROR(D67 * (1 + AVERAGE(Filter('Inflation Data'!$C:$C,'Inflation Data'!$A:$A = E$1))) + 'Fund YTD Contributions'!E67,'Fund YTD Contributions'!E67)"),0.0)</f>
        <v>0</v>
      </c>
      <c r="F67" s="170">
        <f>IFERROR(__xludf.DUMMYFUNCTION("IFERROR(E67 * (1 + AVERAGE(Filter('Inflation Data'!$C:$C,'Inflation Data'!$A:$A = F$1))) + 'Fund YTD Contributions'!F67,'Fund YTD Contributions'!F67)"),0.0)</f>
        <v>0</v>
      </c>
      <c r="G67" s="170">
        <f>IFERROR(__xludf.DUMMYFUNCTION("IFERROR(F67 * (1 + AVERAGE(Filter('Inflation Data'!$C:$C,'Inflation Data'!$A:$A = G$1))) + 'Fund YTD Contributions'!G67,'Fund YTD Contributions'!G67)"),0.0)</f>
        <v>0</v>
      </c>
      <c r="H67" s="170">
        <f>IFERROR(__xludf.DUMMYFUNCTION("IFERROR(G67 * (1 + AVERAGE(Filter('Inflation Data'!$C:$C,'Inflation Data'!$A:$A = H$1))) + 'Fund YTD Contributions'!H67,'Fund YTD Contributions'!H67)"),0.0)</f>
        <v>0</v>
      </c>
      <c r="I67" s="170">
        <f>IFERROR(__xludf.DUMMYFUNCTION("IFERROR(H67 * (1 + AVERAGE(Filter('Inflation Data'!$C:$C,'Inflation Data'!$A:$A = I$1))) + 'Fund YTD Contributions'!I67,'Fund YTD Contributions'!I67)"),0.0)</f>
        <v>0</v>
      </c>
      <c r="J67" s="170">
        <f>IFERROR(__xludf.DUMMYFUNCTION("IFERROR(I67 * (1 + AVERAGE(Filter('Inflation Data'!$C:$C,'Inflation Data'!$A:$A = J$1))) + 'Fund YTD Contributions'!J67,'Fund YTD Contributions'!J67)"),0.0)</f>
        <v>0</v>
      </c>
      <c r="K67" s="170">
        <f>IFERROR(__xludf.DUMMYFUNCTION("IFERROR(J67 * (1 + AVERAGE(Filter('Inflation Data'!$C:$C,'Inflation Data'!$A:$A = K$1))) + 'Fund YTD Contributions'!K67,'Fund YTD Contributions'!K67)"),0.0)</f>
        <v>0</v>
      </c>
      <c r="L67" s="170">
        <f>IFERROR(__xludf.DUMMYFUNCTION("IFERROR(K67 * (1 + AVERAGE(Filter('Inflation Data'!$C:$C,'Inflation Data'!$A:$A = L$1))) + 'Fund YTD Contributions'!L67,'Fund YTD Contributions'!L67)"),0.0)</f>
        <v>0</v>
      </c>
      <c r="M67" s="170">
        <f>IFERROR(__xludf.DUMMYFUNCTION("IFERROR(L67 * (1 + AVERAGE(Filter('Inflation Data'!$C:$C,'Inflation Data'!$A:$A = M$1))) + 'Fund YTD Contributions'!M67,'Fund YTD Contributions'!M67)"),0.0)</f>
        <v>0</v>
      </c>
      <c r="N67" s="170">
        <f>IFERROR(__xludf.DUMMYFUNCTION("IFERROR(M67 * (1 + AVERAGE(Filter('Inflation Data'!$C:$C,'Inflation Data'!$A:$A = N$1))) + 'Fund YTD Contributions'!N67,'Fund YTD Contributions'!N67)"),0.0)</f>
        <v>0</v>
      </c>
      <c r="O67" s="170">
        <f>IFERROR(__xludf.DUMMYFUNCTION("IFERROR(N67 * (1 + AVERAGE(Filter('Inflation Data'!$C:$C,'Inflation Data'!$A:$A = O$1))) + 'Fund YTD Contributions'!O67,'Fund YTD Contributions'!O67)"),0.0)</f>
        <v>0</v>
      </c>
      <c r="P67" s="170">
        <f>IFERROR(__xludf.DUMMYFUNCTION("IFERROR(O67 * (1 + AVERAGE(Filter('Inflation Data'!$C:$C,'Inflation Data'!$A:$A = P$1))) + 'Fund YTD Contributions'!P67,'Fund YTD Contributions'!P67)"),0.0)</f>
        <v>0</v>
      </c>
      <c r="Q67" s="170">
        <f>IFERROR(__xludf.DUMMYFUNCTION("IFERROR(P67 * (1 + AVERAGE(Filter('Inflation Data'!$C:$C,'Inflation Data'!$A:$A = Q$1))) + 'Fund YTD Contributions'!Q67,'Fund YTD Contributions'!Q67)"),0.0)</f>
        <v>0</v>
      </c>
      <c r="R67" s="170">
        <f>IFERROR(__xludf.DUMMYFUNCTION("IFERROR(Q67 * (1 + AVERAGE(Filter('Inflation Data'!$C:$C,'Inflation Data'!$A:$A = R$1))) + 'Fund YTD Contributions'!R67,'Fund YTD Contributions'!R67)"),0.0)</f>
        <v>0</v>
      </c>
      <c r="S67" s="170">
        <f>IFERROR(__xludf.DUMMYFUNCTION("IFERROR(R67 * (1 + AVERAGE(Filter('Inflation Data'!$C:$C,'Inflation Data'!$A:$A = S$1))) + 'Fund YTD Contributions'!S67,'Fund YTD Contributions'!S67)"),0.0)</f>
        <v>0</v>
      </c>
      <c r="T67" s="170">
        <f>IFERROR(__xludf.DUMMYFUNCTION("IFERROR(S67 * (1 + AVERAGE(Filter('Inflation Data'!$C:$C,'Inflation Data'!$A:$A = T$1))) + 'Fund YTD Contributions'!T67,'Fund YTD Contributions'!T67)"),0.0)</f>
        <v>0</v>
      </c>
      <c r="U67" s="170">
        <f>IFERROR(__xludf.DUMMYFUNCTION("IFERROR(T67 * (1 + AVERAGE(Filter('Inflation Data'!$C:$C,'Inflation Data'!$A:$A = U$1))) + 'Fund YTD Contributions'!U67,'Fund YTD Contributions'!U67)"),0.0)</f>
        <v>0</v>
      </c>
      <c r="V67" s="170">
        <f>IFERROR(__xludf.DUMMYFUNCTION("IFERROR(U67 * (1 + AVERAGE(Filter('Inflation Data'!$C:$C,'Inflation Data'!$A:$A = V$1))) + 'Fund YTD Contributions'!V67,'Fund YTD Contributions'!V67)"),0.0)</f>
        <v>0</v>
      </c>
      <c r="W67" s="170">
        <f>IFERROR(__xludf.DUMMYFUNCTION("IFERROR(V67 * (1 + AVERAGE(Filter('Inflation Data'!$C:$C,'Inflation Data'!$A:$A = W$1))) + 'Fund YTD Contributions'!W67,'Fund YTD Contributions'!W67)"),0.0)</f>
        <v>0</v>
      </c>
      <c r="X67" s="170">
        <f>IFERROR(__xludf.DUMMYFUNCTION("IFERROR(W67 * (1 + AVERAGE(Filter('Inflation Data'!$C:$C,'Inflation Data'!$A:$A = X$1))) + 'Fund YTD Contributions'!X67,'Fund YTD Contributions'!X67)"),0.0)</f>
        <v>0</v>
      </c>
      <c r="Y67" s="170">
        <f>IFERROR(__xludf.DUMMYFUNCTION("IFERROR(X67 * (1 + AVERAGE(Filter('Inflation Data'!$C:$C,'Inflation Data'!$A:$A = Y$1))) + 'Fund YTD Contributions'!Y67,'Fund YTD Contributions'!Y67)"),0.0)</f>
        <v>0</v>
      </c>
      <c r="Z67" s="170">
        <f>IFERROR(__xludf.DUMMYFUNCTION("IFERROR(Y67 * (1 + AVERAGE(Filter('Inflation Data'!$C:$C,'Inflation Data'!$A:$A = Z$1))) + 'Fund YTD Contributions'!Z67,'Fund YTD Contributions'!Z67)"),0.0)</f>
        <v>0</v>
      </c>
      <c r="AA67" s="170">
        <f>IFERROR(__xludf.DUMMYFUNCTION("IFERROR(Z67 * (1 + AVERAGE(Filter('Inflation Data'!$C:$C,'Inflation Data'!$A:$A = AA$1))) + 'Fund YTD Contributions'!AA67,'Fund YTD Contributions'!AA67)"),0.0)</f>
        <v>0</v>
      </c>
      <c r="AB67" s="170">
        <f>IFERROR(__xludf.DUMMYFUNCTION("IFERROR(AA67 * (1 + AVERAGE(Filter('Inflation Data'!$C:$C,'Inflation Data'!$A:$A = AB$1))) + 'Fund YTD Contributions'!AB67,'Fund YTD Contributions'!AB67)"),0.0)</f>
        <v>0</v>
      </c>
      <c r="AC67" s="170">
        <f>IFERROR(__xludf.DUMMYFUNCTION("IFERROR(AB67 * (1 + AVERAGE(Filter('Inflation Data'!$C:$C,'Inflation Data'!$A:$A = AC$1))) + 'Fund YTD Contributions'!AC67,'Fund YTD Contributions'!AC67)"),0.0)</f>
        <v>0</v>
      </c>
      <c r="AD67" s="170">
        <f>IFERROR(__xludf.DUMMYFUNCTION("IFERROR(AC67 * (1 + AVERAGE(Filter('Inflation Data'!$C:$C,'Inflation Data'!$A:$A = AD$1))) + 'Fund YTD Contributions'!AD67,'Fund YTD Contributions'!AD67)"),0.0)</f>
        <v>0</v>
      </c>
      <c r="AE67" s="170">
        <f>IFERROR(__xludf.DUMMYFUNCTION("IFERROR(AD67 * (1 + AVERAGE(Filter('Inflation Data'!$C:$C,'Inflation Data'!$A:$A = AE$1))) + 'Fund YTD Contributions'!AE67,'Fund YTD Contributions'!AE67)"),0.0)</f>
        <v>0</v>
      </c>
      <c r="AF67" s="170" t="str">
        <f>IFERROR(__xludf.DUMMYFUNCTION("IFERROR(AE67 * (1 + AVERAGE(Filter('Inflation Data'!$C:$C,'Inflation Data'!$A:$A = AF$1))) + 'Fund YTD Contributions'!AF67,'Fund YTD Contributions'!AF67)"),"")</f>
        <v/>
      </c>
    </row>
    <row r="68">
      <c r="A68" s="145" t="str">
        <f>'Endowed Funds'!B:B</f>
        <v/>
      </c>
      <c r="B68" s="170">
        <f>IFERROR(__xludf.DUMMYFUNCTION("IFERROR(A68 * (1 + AVERAGE(Filter('Inflation Data'!$C:$C,'Inflation Data'!$A:$A = B$1))) + 'Fund YTD Contributions'!B68,'Fund YTD Contributions'!B68)"),0.0)</f>
        <v>0</v>
      </c>
      <c r="C68" s="170">
        <f>IFERROR(__xludf.DUMMYFUNCTION("IFERROR(B68 * (1 + AVERAGE(Filter('Inflation Data'!$C:$C,'Inflation Data'!$A:$A = C$1))) + 'Fund YTD Contributions'!C68,'Fund YTD Contributions'!C68)"),0.0)</f>
        <v>0</v>
      </c>
      <c r="D68" s="170">
        <f>IFERROR(__xludf.DUMMYFUNCTION("IFERROR(C68 * (1 + AVERAGE(Filter('Inflation Data'!$C:$C,'Inflation Data'!$A:$A = D$1))) + 'Fund YTD Contributions'!D68,'Fund YTD Contributions'!D68)"),0.0)</f>
        <v>0</v>
      </c>
      <c r="E68" s="170">
        <f>IFERROR(__xludf.DUMMYFUNCTION("IFERROR(D68 * (1 + AVERAGE(Filter('Inflation Data'!$C:$C,'Inflation Data'!$A:$A = E$1))) + 'Fund YTD Contributions'!E68,'Fund YTD Contributions'!E68)"),0.0)</f>
        <v>0</v>
      </c>
      <c r="F68" s="170">
        <f>IFERROR(__xludf.DUMMYFUNCTION("IFERROR(E68 * (1 + AVERAGE(Filter('Inflation Data'!$C:$C,'Inflation Data'!$A:$A = F$1))) + 'Fund YTD Contributions'!F68,'Fund YTD Contributions'!F68)"),0.0)</f>
        <v>0</v>
      </c>
      <c r="G68" s="170">
        <f>IFERROR(__xludf.DUMMYFUNCTION("IFERROR(F68 * (1 + AVERAGE(Filter('Inflation Data'!$C:$C,'Inflation Data'!$A:$A = G$1))) + 'Fund YTD Contributions'!G68,'Fund YTD Contributions'!G68)"),0.0)</f>
        <v>0</v>
      </c>
      <c r="H68" s="170">
        <f>IFERROR(__xludf.DUMMYFUNCTION("IFERROR(G68 * (1 + AVERAGE(Filter('Inflation Data'!$C:$C,'Inflation Data'!$A:$A = H$1))) + 'Fund YTD Contributions'!H68,'Fund YTD Contributions'!H68)"),0.0)</f>
        <v>0</v>
      </c>
      <c r="I68" s="170">
        <f>IFERROR(__xludf.DUMMYFUNCTION("IFERROR(H68 * (1 + AVERAGE(Filter('Inflation Data'!$C:$C,'Inflation Data'!$A:$A = I$1))) + 'Fund YTD Contributions'!I68,'Fund YTD Contributions'!I68)"),0.0)</f>
        <v>0</v>
      </c>
      <c r="J68" s="170">
        <f>IFERROR(__xludf.DUMMYFUNCTION("IFERROR(I68 * (1 + AVERAGE(Filter('Inflation Data'!$C:$C,'Inflation Data'!$A:$A = J$1))) + 'Fund YTD Contributions'!J68,'Fund YTD Contributions'!J68)"),0.0)</f>
        <v>0</v>
      </c>
      <c r="K68" s="170">
        <f>IFERROR(__xludf.DUMMYFUNCTION("IFERROR(J68 * (1 + AVERAGE(Filter('Inflation Data'!$C:$C,'Inflation Data'!$A:$A = K$1))) + 'Fund YTD Contributions'!K68,'Fund YTD Contributions'!K68)"),0.0)</f>
        <v>0</v>
      </c>
      <c r="L68" s="170">
        <f>IFERROR(__xludf.DUMMYFUNCTION("IFERROR(K68 * (1 + AVERAGE(Filter('Inflation Data'!$C:$C,'Inflation Data'!$A:$A = L$1))) + 'Fund YTD Contributions'!L68,'Fund YTD Contributions'!L68)"),0.0)</f>
        <v>0</v>
      </c>
      <c r="M68" s="170">
        <f>IFERROR(__xludf.DUMMYFUNCTION("IFERROR(L68 * (1 + AVERAGE(Filter('Inflation Data'!$C:$C,'Inflation Data'!$A:$A = M$1))) + 'Fund YTD Contributions'!M68,'Fund YTD Contributions'!M68)"),0.0)</f>
        <v>0</v>
      </c>
      <c r="N68" s="170">
        <f>IFERROR(__xludf.DUMMYFUNCTION("IFERROR(M68 * (1 + AVERAGE(Filter('Inflation Data'!$C:$C,'Inflation Data'!$A:$A = N$1))) + 'Fund YTD Contributions'!N68,'Fund YTD Contributions'!N68)"),0.0)</f>
        <v>0</v>
      </c>
      <c r="O68" s="170">
        <f>IFERROR(__xludf.DUMMYFUNCTION("IFERROR(N68 * (1 + AVERAGE(Filter('Inflation Data'!$C:$C,'Inflation Data'!$A:$A = O$1))) + 'Fund YTD Contributions'!O68,'Fund YTD Contributions'!O68)"),0.0)</f>
        <v>0</v>
      </c>
      <c r="P68" s="170">
        <f>IFERROR(__xludf.DUMMYFUNCTION("IFERROR(O68 * (1 + AVERAGE(Filter('Inflation Data'!$C:$C,'Inflation Data'!$A:$A = P$1))) + 'Fund YTD Contributions'!P68,'Fund YTD Contributions'!P68)"),0.0)</f>
        <v>0</v>
      </c>
      <c r="Q68" s="170">
        <f>IFERROR(__xludf.DUMMYFUNCTION("IFERROR(P68 * (1 + AVERAGE(Filter('Inflation Data'!$C:$C,'Inflation Data'!$A:$A = Q$1))) + 'Fund YTD Contributions'!Q68,'Fund YTD Contributions'!Q68)"),0.0)</f>
        <v>0</v>
      </c>
      <c r="R68" s="170">
        <f>IFERROR(__xludf.DUMMYFUNCTION("IFERROR(Q68 * (1 + AVERAGE(Filter('Inflation Data'!$C:$C,'Inflation Data'!$A:$A = R$1))) + 'Fund YTD Contributions'!R68,'Fund YTD Contributions'!R68)"),0.0)</f>
        <v>0</v>
      </c>
      <c r="S68" s="170">
        <f>IFERROR(__xludf.DUMMYFUNCTION("IFERROR(R68 * (1 + AVERAGE(Filter('Inflation Data'!$C:$C,'Inflation Data'!$A:$A = S$1))) + 'Fund YTD Contributions'!S68,'Fund YTD Contributions'!S68)"),0.0)</f>
        <v>0</v>
      </c>
      <c r="T68" s="170">
        <f>IFERROR(__xludf.DUMMYFUNCTION("IFERROR(S68 * (1 + AVERAGE(Filter('Inflation Data'!$C:$C,'Inflation Data'!$A:$A = T$1))) + 'Fund YTD Contributions'!T68,'Fund YTD Contributions'!T68)"),0.0)</f>
        <v>0</v>
      </c>
      <c r="U68" s="170">
        <f>IFERROR(__xludf.DUMMYFUNCTION("IFERROR(T68 * (1 + AVERAGE(Filter('Inflation Data'!$C:$C,'Inflation Data'!$A:$A = U$1))) + 'Fund YTD Contributions'!U68,'Fund YTD Contributions'!U68)"),0.0)</f>
        <v>0</v>
      </c>
      <c r="V68" s="170">
        <f>IFERROR(__xludf.DUMMYFUNCTION("IFERROR(U68 * (1 + AVERAGE(Filter('Inflation Data'!$C:$C,'Inflation Data'!$A:$A = V$1))) + 'Fund YTD Contributions'!V68,'Fund YTD Contributions'!V68)"),0.0)</f>
        <v>0</v>
      </c>
      <c r="W68" s="170">
        <f>IFERROR(__xludf.DUMMYFUNCTION("IFERROR(V68 * (1 + AVERAGE(Filter('Inflation Data'!$C:$C,'Inflation Data'!$A:$A = W$1))) + 'Fund YTD Contributions'!W68,'Fund YTD Contributions'!W68)"),0.0)</f>
        <v>0</v>
      </c>
      <c r="X68" s="170">
        <f>IFERROR(__xludf.DUMMYFUNCTION("IFERROR(W68 * (1 + AVERAGE(Filter('Inflation Data'!$C:$C,'Inflation Data'!$A:$A = X$1))) + 'Fund YTD Contributions'!X68,'Fund YTD Contributions'!X68)"),0.0)</f>
        <v>0</v>
      </c>
      <c r="Y68" s="170">
        <f>IFERROR(__xludf.DUMMYFUNCTION("IFERROR(X68 * (1 + AVERAGE(Filter('Inflation Data'!$C:$C,'Inflation Data'!$A:$A = Y$1))) + 'Fund YTD Contributions'!Y68,'Fund YTD Contributions'!Y68)"),0.0)</f>
        <v>0</v>
      </c>
      <c r="Z68" s="170">
        <f>IFERROR(__xludf.DUMMYFUNCTION("IFERROR(Y68 * (1 + AVERAGE(Filter('Inflation Data'!$C:$C,'Inflation Data'!$A:$A = Z$1))) + 'Fund YTD Contributions'!Z68,'Fund YTD Contributions'!Z68)"),0.0)</f>
        <v>0</v>
      </c>
      <c r="AA68" s="170">
        <f>IFERROR(__xludf.DUMMYFUNCTION("IFERROR(Z68 * (1 + AVERAGE(Filter('Inflation Data'!$C:$C,'Inflation Data'!$A:$A = AA$1))) + 'Fund YTD Contributions'!AA68,'Fund YTD Contributions'!AA68)"),0.0)</f>
        <v>0</v>
      </c>
      <c r="AB68" s="170">
        <f>IFERROR(__xludf.DUMMYFUNCTION("IFERROR(AA68 * (1 + AVERAGE(Filter('Inflation Data'!$C:$C,'Inflation Data'!$A:$A = AB$1))) + 'Fund YTD Contributions'!AB68,'Fund YTD Contributions'!AB68)"),0.0)</f>
        <v>0</v>
      </c>
      <c r="AC68" s="170">
        <f>IFERROR(__xludf.DUMMYFUNCTION("IFERROR(AB68 * (1 + AVERAGE(Filter('Inflation Data'!$C:$C,'Inflation Data'!$A:$A = AC$1))) + 'Fund YTD Contributions'!AC68,'Fund YTD Contributions'!AC68)"),0.0)</f>
        <v>0</v>
      </c>
      <c r="AD68" s="170">
        <f>IFERROR(__xludf.DUMMYFUNCTION("IFERROR(AC68 * (1 + AVERAGE(Filter('Inflation Data'!$C:$C,'Inflation Data'!$A:$A = AD$1))) + 'Fund YTD Contributions'!AD68,'Fund YTD Contributions'!AD68)"),0.0)</f>
        <v>0</v>
      </c>
      <c r="AE68" s="170">
        <f>IFERROR(__xludf.DUMMYFUNCTION("IFERROR(AD68 * (1 + AVERAGE(Filter('Inflation Data'!$C:$C,'Inflation Data'!$A:$A = AE$1))) + 'Fund YTD Contributions'!AE68,'Fund YTD Contributions'!AE68)"),0.0)</f>
        <v>0</v>
      </c>
      <c r="AF68" s="170" t="str">
        <f>IFERROR(__xludf.DUMMYFUNCTION("IFERROR(AE68 * (1 + AVERAGE(Filter('Inflation Data'!$C:$C,'Inflation Data'!$A:$A = AF$1))) + 'Fund YTD Contributions'!AF68,'Fund YTD Contributions'!AF68)"),"")</f>
        <v/>
      </c>
    </row>
    <row r="69">
      <c r="A69" s="145" t="str">
        <f>'Endowed Funds'!B:B</f>
        <v/>
      </c>
      <c r="B69" s="170">
        <f>IFERROR(__xludf.DUMMYFUNCTION("IFERROR(A69 * (1 + AVERAGE(Filter('Inflation Data'!$C:$C,'Inflation Data'!$A:$A = B$1))) + 'Fund YTD Contributions'!B69,'Fund YTD Contributions'!B69)"),0.0)</f>
        <v>0</v>
      </c>
      <c r="C69" s="170">
        <f>IFERROR(__xludf.DUMMYFUNCTION("IFERROR(B69 * (1 + AVERAGE(Filter('Inflation Data'!$C:$C,'Inflation Data'!$A:$A = C$1))) + 'Fund YTD Contributions'!C69,'Fund YTD Contributions'!C69)"),0.0)</f>
        <v>0</v>
      </c>
      <c r="D69" s="170">
        <f>IFERROR(__xludf.DUMMYFUNCTION("IFERROR(C69 * (1 + AVERAGE(Filter('Inflation Data'!$C:$C,'Inflation Data'!$A:$A = D$1))) + 'Fund YTD Contributions'!D69,'Fund YTD Contributions'!D69)"),0.0)</f>
        <v>0</v>
      </c>
      <c r="E69" s="170">
        <f>IFERROR(__xludf.DUMMYFUNCTION("IFERROR(D69 * (1 + AVERAGE(Filter('Inflation Data'!$C:$C,'Inflation Data'!$A:$A = E$1))) + 'Fund YTD Contributions'!E69,'Fund YTD Contributions'!E69)"),0.0)</f>
        <v>0</v>
      </c>
      <c r="F69" s="170">
        <f>IFERROR(__xludf.DUMMYFUNCTION("IFERROR(E69 * (1 + AVERAGE(Filter('Inflation Data'!$C:$C,'Inflation Data'!$A:$A = F$1))) + 'Fund YTD Contributions'!F69,'Fund YTD Contributions'!F69)"),0.0)</f>
        <v>0</v>
      </c>
      <c r="G69" s="170">
        <f>IFERROR(__xludf.DUMMYFUNCTION("IFERROR(F69 * (1 + AVERAGE(Filter('Inflation Data'!$C:$C,'Inflation Data'!$A:$A = G$1))) + 'Fund YTD Contributions'!G69,'Fund YTD Contributions'!G69)"),0.0)</f>
        <v>0</v>
      </c>
      <c r="H69" s="170">
        <f>IFERROR(__xludf.DUMMYFUNCTION("IFERROR(G69 * (1 + AVERAGE(Filter('Inflation Data'!$C:$C,'Inflation Data'!$A:$A = H$1))) + 'Fund YTD Contributions'!H69,'Fund YTD Contributions'!H69)"),0.0)</f>
        <v>0</v>
      </c>
      <c r="I69" s="170">
        <f>IFERROR(__xludf.DUMMYFUNCTION("IFERROR(H69 * (1 + AVERAGE(Filter('Inflation Data'!$C:$C,'Inflation Data'!$A:$A = I$1))) + 'Fund YTD Contributions'!I69,'Fund YTD Contributions'!I69)"),0.0)</f>
        <v>0</v>
      </c>
      <c r="J69" s="170">
        <f>IFERROR(__xludf.DUMMYFUNCTION("IFERROR(I69 * (1 + AVERAGE(Filter('Inflation Data'!$C:$C,'Inflation Data'!$A:$A = J$1))) + 'Fund YTD Contributions'!J69,'Fund YTD Contributions'!J69)"),0.0)</f>
        <v>0</v>
      </c>
      <c r="K69" s="170">
        <f>IFERROR(__xludf.DUMMYFUNCTION("IFERROR(J69 * (1 + AVERAGE(Filter('Inflation Data'!$C:$C,'Inflation Data'!$A:$A = K$1))) + 'Fund YTD Contributions'!K69,'Fund YTD Contributions'!K69)"),0.0)</f>
        <v>0</v>
      </c>
      <c r="L69" s="170">
        <f>IFERROR(__xludf.DUMMYFUNCTION("IFERROR(K69 * (1 + AVERAGE(Filter('Inflation Data'!$C:$C,'Inflation Data'!$A:$A = L$1))) + 'Fund YTD Contributions'!L69,'Fund YTD Contributions'!L69)"),0.0)</f>
        <v>0</v>
      </c>
      <c r="M69" s="170">
        <f>IFERROR(__xludf.DUMMYFUNCTION("IFERROR(L69 * (1 + AVERAGE(Filter('Inflation Data'!$C:$C,'Inflation Data'!$A:$A = M$1))) + 'Fund YTD Contributions'!M69,'Fund YTD Contributions'!M69)"),0.0)</f>
        <v>0</v>
      </c>
      <c r="N69" s="170">
        <f>IFERROR(__xludf.DUMMYFUNCTION("IFERROR(M69 * (1 + AVERAGE(Filter('Inflation Data'!$C:$C,'Inflation Data'!$A:$A = N$1))) + 'Fund YTD Contributions'!N69,'Fund YTD Contributions'!N69)"),0.0)</f>
        <v>0</v>
      </c>
      <c r="O69" s="170">
        <f>IFERROR(__xludf.DUMMYFUNCTION("IFERROR(N69 * (1 + AVERAGE(Filter('Inflation Data'!$C:$C,'Inflation Data'!$A:$A = O$1))) + 'Fund YTD Contributions'!O69,'Fund YTD Contributions'!O69)"),0.0)</f>
        <v>0</v>
      </c>
      <c r="P69" s="170">
        <f>IFERROR(__xludf.DUMMYFUNCTION("IFERROR(O69 * (1 + AVERAGE(Filter('Inflation Data'!$C:$C,'Inflation Data'!$A:$A = P$1))) + 'Fund YTD Contributions'!P69,'Fund YTD Contributions'!P69)"),0.0)</f>
        <v>0</v>
      </c>
      <c r="Q69" s="170">
        <f>IFERROR(__xludf.DUMMYFUNCTION("IFERROR(P69 * (1 + AVERAGE(Filter('Inflation Data'!$C:$C,'Inflation Data'!$A:$A = Q$1))) + 'Fund YTD Contributions'!Q69,'Fund YTD Contributions'!Q69)"),0.0)</f>
        <v>0</v>
      </c>
      <c r="R69" s="170">
        <f>IFERROR(__xludf.DUMMYFUNCTION("IFERROR(Q69 * (1 + AVERAGE(Filter('Inflation Data'!$C:$C,'Inflation Data'!$A:$A = R$1))) + 'Fund YTD Contributions'!R69,'Fund YTD Contributions'!R69)"),0.0)</f>
        <v>0</v>
      </c>
      <c r="S69" s="170">
        <f>IFERROR(__xludf.DUMMYFUNCTION("IFERROR(R69 * (1 + AVERAGE(Filter('Inflation Data'!$C:$C,'Inflation Data'!$A:$A = S$1))) + 'Fund YTD Contributions'!S69,'Fund YTD Contributions'!S69)"),0.0)</f>
        <v>0</v>
      </c>
      <c r="T69" s="170">
        <f>IFERROR(__xludf.DUMMYFUNCTION("IFERROR(S69 * (1 + AVERAGE(Filter('Inflation Data'!$C:$C,'Inflation Data'!$A:$A = T$1))) + 'Fund YTD Contributions'!T69,'Fund YTD Contributions'!T69)"),0.0)</f>
        <v>0</v>
      </c>
      <c r="U69" s="170">
        <f>IFERROR(__xludf.DUMMYFUNCTION("IFERROR(T69 * (1 + AVERAGE(Filter('Inflation Data'!$C:$C,'Inflation Data'!$A:$A = U$1))) + 'Fund YTD Contributions'!U69,'Fund YTD Contributions'!U69)"),0.0)</f>
        <v>0</v>
      </c>
      <c r="V69" s="170">
        <f>IFERROR(__xludf.DUMMYFUNCTION("IFERROR(U69 * (1 + AVERAGE(Filter('Inflation Data'!$C:$C,'Inflation Data'!$A:$A = V$1))) + 'Fund YTD Contributions'!V69,'Fund YTD Contributions'!V69)"),0.0)</f>
        <v>0</v>
      </c>
      <c r="W69" s="170">
        <f>IFERROR(__xludf.DUMMYFUNCTION("IFERROR(V69 * (1 + AVERAGE(Filter('Inflation Data'!$C:$C,'Inflation Data'!$A:$A = W$1))) + 'Fund YTD Contributions'!W69,'Fund YTD Contributions'!W69)"),0.0)</f>
        <v>0</v>
      </c>
      <c r="X69" s="170">
        <f>IFERROR(__xludf.DUMMYFUNCTION("IFERROR(W69 * (1 + AVERAGE(Filter('Inflation Data'!$C:$C,'Inflation Data'!$A:$A = X$1))) + 'Fund YTD Contributions'!X69,'Fund YTD Contributions'!X69)"),0.0)</f>
        <v>0</v>
      </c>
      <c r="Y69" s="170">
        <f>IFERROR(__xludf.DUMMYFUNCTION("IFERROR(X69 * (1 + AVERAGE(Filter('Inflation Data'!$C:$C,'Inflation Data'!$A:$A = Y$1))) + 'Fund YTD Contributions'!Y69,'Fund YTD Contributions'!Y69)"),0.0)</f>
        <v>0</v>
      </c>
      <c r="Z69" s="170">
        <f>IFERROR(__xludf.DUMMYFUNCTION("IFERROR(Y69 * (1 + AVERAGE(Filter('Inflation Data'!$C:$C,'Inflation Data'!$A:$A = Z$1))) + 'Fund YTD Contributions'!Z69,'Fund YTD Contributions'!Z69)"),0.0)</f>
        <v>0</v>
      </c>
      <c r="AA69" s="170">
        <f>IFERROR(__xludf.DUMMYFUNCTION("IFERROR(Z69 * (1 + AVERAGE(Filter('Inflation Data'!$C:$C,'Inflation Data'!$A:$A = AA$1))) + 'Fund YTD Contributions'!AA69,'Fund YTD Contributions'!AA69)"),0.0)</f>
        <v>0</v>
      </c>
      <c r="AB69" s="170">
        <f>IFERROR(__xludf.DUMMYFUNCTION("IFERROR(AA69 * (1 + AVERAGE(Filter('Inflation Data'!$C:$C,'Inflation Data'!$A:$A = AB$1))) + 'Fund YTD Contributions'!AB69,'Fund YTD Contributions'!AB69)"),0.0)</f>
        <v>0</v>
      </c>
      <c r="AC69" s="170">
        <f>IFERROR(__xludf.DUMMYFUNCTION("IFERROR(AB69 * (1 + AVERAGE(Filter('Inflation Data'!$C:$C,'Inflation Data'!$A:$A = AC$1))) + 'Fund YTD Contributions'!AC69,'Fund YTD Contributions'!AC69)"),0.0)</f>
        <v>0</v>
      </c>
      <c r="AD69" s="170">
        <f>IFERROR(__xludf.DUMMYFUNCTION("IFERROR(AC69 * (1 + AVERAGE(Filter('Inflation Data'!$C:$C,'Inflation Data'!$A:$A = AD$1))) + 'Fund YTD Contributions'!AD69,'Fund YTD Contributions'!AD69)"),0.0)</f>
        <v>0</v>
      </c>
      <c r="AE69" s="170">
        <f>IFERROR(__xludf.DUMMYFUNCTION("IFERROR(AD69 * (1 + AVERAGE(Filter('Inflation Data'!$C:$C,'Inflation Data'!$A:$A = AE$1))) + 'Fund YTD Contributions'!AE69,'Fund YTD Contributions'!AE69)"),0.0)</f>
        <v>0</v>
      </c>
      <c r="AF69" s="170" t="str">
        <f>IFERROR(__xludf.DUMMYFUNCTION("IFERROR(AE69 * (1 + AVERAGE(Filter('Inflation Data'!$C:$C,'Inflation Data'!$A:$A = AF$1))) + 'Fund YTD Contributions'!AF69,'Fund YTD Contributions'!AF69)"),"")</f>
        <v/>
      </c>
    </row>
    <row r="70">
      <c r="A70" s="145" t="str">
        <f>'Endowed Funds'!B:B</f>
        <v/>
      </c>
      <c r="B70" s="170">
        <f>IFERROR(__xludf.DUMMYFUNCTION("IFERROR(A70 * (1 + AVERAGE(Filter('Inflation Data'!$C:$C,'Inflation Data'!$A:$A = B$1))) + 'Fund YTD Contributions'!B70,'Fund YTD Contributions'!B70)"),0.0)</f>
        <v>0</v>
      </c>
      <c r="C70" s="170">
        <f>IFERROR(__xludf.DUMMYFUNCTION("IFERROR(B70 * (1 + AVERAGE(Filter('Inflation Data'!$C:$C,'Inflation Data'!$A:$A = C$1))) + 'Fund YTD Contributions'!C70,'Fund YTD Contributions'!C70)"),0.0)</f>
        <v>0</v>
      </c>
      <c r="D70" s="170">
        <f>IFERROR(__xludf.DUMMYFUNCTION("IFERROR(C70 * (1 + AVERAGE(Filter('Inflation Data'!$C:$C,'Inflation Data'!$A:$A = D$1))) + 'Fund YTD Contributions'!D70,'Fund YTD Contributions'!D70)"),0.0)</f>
        <v>0</v>
      </c>
      <c r="E70" s="170">
        <f>IFERROR(__xludf.DUMMYFUNCTION("IFERROR(D70 * (1 + AVERAGE(Filter('Inflation Data'!$C:$C,'Inflation Data'!$A:$A = E$1))) + 'Fund YTD Contributions'!E70,'Fund YTD Contributions'!E70)"),0.0)</f>
        <v>0</v>
      </c>
      <c r="F70" s="170">
        <f>IFERROR(__xludf.DUMMYFUNCTION("IFERROR(E70 * (1 + AVERAGE(Filter('Inflation Data'!$C:$C,'Inflation Data'!$A:$A = F$1))) + 'Fund YTD Contributions'!F70,'Fund YTD Contributions'!F70)"),0.0)</f>
        <v>0</v>
      </c>
      <c r="G70" s="170">
        <f>IFERROR(__xludf.DUMMYFUNCTION("IFERROR(F70 * (1 + AVERAGE(Filter('Inflation Data'!$C:$C,'Inflation Data'!$A:$A = G$1))) + 'Fund YTD Contributions'!G70,'Fund YTD Contributions'!G70)"),0.0)</f>
        <v>0</v>
      </c>
      <c r="H70" s="170">
        <f>IFERROR(__xludf.DUMMYFUNCTION("IFERROR(G70 * (1 + AVERAGE(Filter('Inflation Data'!$C:$C,'Inflation Data'!$A:$A = H$1))) + 'Fund YTD Contributions'!H70,'Fund YTD Contributions'!H70)"),0.0)</f>
        <v>0</v>
      </c>
      <c r="I70" s="170">
        <f>IFERROR(__xludf.DUMMYFUNCTION("IFERROR(H70 * (1 + AVERAGE(Filter('Inflation Data'!$C:$C,'Inflation Data'!$A:$A = I$1))) + 'Fund YTD Contributions'!I70,'Fund YTD Contributions'!I70)"),0.0)</f>
        <v>0</v>
      </c>
      <c r="J70" s="170">
        <f>IFERROR(__xludf.DUMMYFUNCTION("IFERROR(I70 * (1 + AVERAGE(Filter('Inflation Data'!$C:$C,'Inflation Data'!$A:$A = J$1))) + 'Fund YTD Contributions'!J70,'Fund YTD Contributions'!J70)"),0.0)</f>
        <v>0</v>
      </c>
      <c r="K70" s="170">
        <f>IFERROR(__xludf.DUMMYFUNCTION("IFERROR(J70 * (1 + AVERAGE(Filter('Inflation Data'!$C:$C,'Inflation Data'!$A:$A = K$1))) + 'Fund YTD Contributions'!K70,'Fund YTD Contributions'!K70)"),0.0)</f>
        <v>0</v>
      </c>
      <c r="L70" s="170">
        <f>IFERROR(__xludf.DUMMYFUNCTION("IFERROR(K70 * (1 + AVERAGE(Filter('Inflation Data'!$C:$C,'Inflation Data'!$A:$A = L$1))) + 'Fund YTD Contributions'!L70,'Fund YTD Contributions'!L70)"),0.0)</f>
        <v>0</v>
      </c>
      <c r="M70" s="170">
        <f>IFERROR(__xludf.DUMMYFUNCTION("IFERROR(L70 * (1 + AVERAGE(Filter('Inflation Data'!$C:$C,'Inflation Data'!$A:$A = M$1))) + 'Fund YTD Contributions'!M70,'Fund YTD Contributions'!M70)"),0.0)</f>
        <v>0</v>
      </c>
      <c r="N70" s="170">
        <f>IFERROR(__xludf.DUMMYFUNCTION("IFERROR(M70 * (1 + AVERAGE(Filter('Inflation Data'!$C:$C,'Inflation Data'!$A:$A = N$1))) + 'Fund YTD Contributions'!N70,'Fund YTD Contributions'!N70)"),0.0)</f>
        <v>0</v>
      </c>
      <c r="O70" s="170">
        <f>IFERROR(__xludf.DUMMYFUNCTION("IFERROR(N70 * (1 + AVERAGE(Filter('Inflation Data'!$C:$C,'Inflation Data'!$A:$A = O$1))) + 'Fund YTD Contributions'!O70,'Fund YTD Contributions'!O70)"),0.0)</f>
        <v>0</v>
      </c>
      <c r="P70" s="170">
        <f>IFERROR(__xludf.DUMMYFUNCTION("IFERROR(O70 * (1 + AVERAGE(Filter('Inflation Data'!$C:$C,'Inflation Data'!$A:$A = P$1))) + 'Fund YTD Contributions'!P70,'Fund YTD Contributions'!P70)"),0.0)</f>
        <v>0</v>
      </c>
      <c r="Q70" s="170">
        <f>IFERROR(__xludf.DUMMYFUNCTION("IFERROR(P70 * (1 + AVERAGE(Filter('Inflation Data'!$C:$C,'Inflation Data'!$A:$A = Q$1))) + 'Fund YTD Contributions'!Q70,'Fund YTD Contributions'!Q70)"),0.0)</f>
        <v>0</v>
      </c>
      <c r="R70" s="170">
        <f>IFERROR(__xludf.DUMMYFUNCTION("IFERROR(Q70 * (1 + AVERAGE(Filter('Inflation Data'!$C:$C,'Inflation Data'!$A:$A = R$1))) + 'Fund YTD Contributions'!R70,'Fund YTD Contributions'!R70)"),0.0)</f>
        <v>0</v>
      </c>
      <c r="S70" s="170">
        <f>IFERROR(__xludf.DUMMYFUNCTION("IFERROR(R70 * (1 + AVERAGE(Filter('Inflation Data'!$C:$C,'Inflation Data'!$A:$A = S$1))) + 'Fund YTD Contributions'!S70,'Fund YTD Contributions'!S70)"),0.0)</f>
        <v>0</v>
      </c>
      <c r="T70" s="170">
        <f>IFERROR(__xludf.DUMMYFUNCTION("IFERROR(S70 * (1 + AVERAGE(Filter('Inflation Data'!$C:$C,'Inflation Data'!$A:$A = T$1))) + 'Fund YTD Contributions'!T70,'Fund YTD Contributions'!T70)"),0.0)</f>
        <v>0</v>
      </c>
      <c r="U70" s="170">
        <f>IFERROR(__xludf.DUMMYFUNCTION("IFERROR(T70 * (1 + AVERAGE(Filter('Inflation Data'!$C:$C,'Inflation Data'!$A:$A = U$1))) + 'Fund YTD Contributions'!U70,'Fund YTD Contributions'!U70)"),0.0)</f>
        <v>0</v>
      </c>
      <c r="V70" s="170">
        <f>IFERROR(__xludf.DUMMYFUNCTION("IFERROR(U70 * (1 + AVERAGE(Filter('Inflation Data'!$C:$C,'Inflation Data'!$A:$A = V$1))) + 'Fund YTD Contributions'!V70,'Fund YTD Contributions'!V70)"),0.0)</f>
        <v>0</v>
      </c>
      <c r="W70" s="170">
        <f>IFERROR(__xludf.DUMMYFUNCTION("IFERROR(V70 * (1 + AVERAGE(Filter('Inflation Data'!$C:$C,'Inflation Data'!$A:$A = W$1))) + 'Fund YTD Contributions'!W70,'Fund YTD Contributions'!W70)"),0.0)</f>
        <v>0</v>
      </c>
      <c r="X70" s="170">
        <f>IFERROR(__xludf.DUMMYFUNCTION("IFERROR(W70 * (1 + AVERAGE(Filter('Inflation Data'!$C:$C,'Inflation Data'!$A:$A = X$1))) + 'Fund YTD Contributions'!X70,'Fund YTD Contributions'!X70)"),0.0)</f>
        <v>0</v>
      </c>
      <c r="Y70" s="170">
        <f>IFERROR(__xludf.DUMMYFUNCTION("IFERROR(X70 * (1 + AVERAGE(Filter('Inflation Data'!$C:$C,'Inflation Data'!$A:$A = Y$1))) + 'Fund YTD Contributions'!Y70,'Fund YTD Contributions'!Y70)"),0.0)</f>
        <v>0</v>
      </c>
      <c r="Z70" s="170">
        <f>IFERROR(__xludf.DUMMYFUNCTION("IFERROR(Y70 * (1 + AVERAGE(Filter('Inflation Data'!$C:$C,'Inflation Data'!$A:$A = Z$1))) + 'Fund YTD Contributions'!Z70,'Fund YTD Contributions'!Z70)"),0.0)</f>
        <v>0</v>
      </c>
      <c r="AA70" s="170">
        <f>IFERROR(__xludf.DUMMYFUNCTION("IFERROR(Z70 * (1 + AVERAGE(Filter('Inflation Data'!$C:$C,'Inflation Data'!$A:$A = AA$1))) + 'Fund YTD Contributions'!AA70,'Fund YTD Contributions'!AA70)"),0.0)</f>
        <v>0</v>
      </c>
      <c r="AB70" s="170">
        <f>IFERROR(__xludf.DUMMYFUNCTION("IFERROR(AA70 * (1 + AVERAGE(Filter('Inflation Data'!$C:$C,'Inflation Data'!$A:$A = AB$1))) + 'Fund YTD Contributions'!AB70,'Fund YTD Contributions'!AB70)"),0.0)</f>
        <v>0</v>
      </c>
      <c r="AC70" s="170">
        <f>IFERROR(__xludf.DUMMYFUNCTION("IFERROR(AB70 * (1 + AVERAGE(Filter('Inflation Data'!$C:$C,'Inflation Data'!$A:$A = AC$1))) + 'Fund YTD Contributions'!AC70,'Fund YTD Contributions'!AC70)"),0.0)</f>
        <v>0</v>
      </c>
      <c r="AD70" s="170">
        <f>IFERROR(__xludf.DUMMYFUNCTION("IFERROR(AC70 * (1 + AVERAGE(Filter('Inflation Data'!$C:$C,'Inflation Data'!$A:$A = AD$1))) + 'Fund YTD Contributions'!AD70,'Fund YTD Contributions'!AD70)"),0.0)</f>
        <v>0</v>
      </c>
      <c r="AE70" s="170">
        <f>IFERROR(__xludf.DUMMYFUNCTION("IFERROR(AD70 * (1 + AVERAGE(Filter('Inflation Data'!$C:$C,'Inflation Data'!$A:$A = AE$1))) + 'Fund YTD Contributions'!AE70,'Fund YTD Contributions'!AE70)"),0.0)</f>
        <v>0</v>
      </c>
      <c r="AF70" s="170" t="str">
        <f>IFERROR(__xludf.DUMMYFUNCTION("IFERROR(AE70 * (1 + AVERAGE(Filter('Inflation Data'!$C:$C,'Inflation Data'!$A:$A = AF$1))) + 'Fund YTD Contributions'!AF70,'Fund YTD Contributions'!AF70)"),"")</f>
        <v/>
      </c>
    </row>
    <row r="71">
      <c r="A71" s="145" t="str">
        <f>'Endowed Funds'!B:B</f>
        <v/>
      </c>
      <c r="B71" s="170">
        <f>IFERROR(__xludf.DUMMYFUNCTION("IFERROR(A71 * (1 + AVERAGE(Filter('Inflation Data'!$C:$C,'Inflation Data'!$A:$A = B$1))) + 'Fund YTD Contributions'!B71,'Fund YTD Contributions'!B71)"),0.0)</f>
        <v>0</v>
      </c>
      <c r="C71" s="170">
        <f>IFERROR(__xludf.DUMMYFUNCTION("IFERROR(B71 * (1 + AVERAGE(Filter('Inflation Data'!$C:$C,'Inflation Data'!$A:$A = C$1))) + 'Fund YTD Contributions'!C71,'Fund YTD Contributions'!C71)"),0.0)</f>
        <v>0</v>
      </c>
      <c r="D71" s="170">
        <f>IFERROR(__xludf.DUMMYFUNCTION("IFERROR(C71 * (1 + AVERAGE(Filter('Inflation Data'!$C:$C,'Inflation Data'!$A:$A = D$1))) + 'Fund YTD Contributions'!D71,'Fund YTD Contributions'!D71)"),0.0)</f>
        <v>0</v>
      </c>
      <c r="E71" s="170">
        <f>IFERROR(__xludf.DUMMYFUNCTION("IFERROR(D71 * (1 + AVERAGE(Filter('Inflation Data'!$C:$C,'Inflation Data'!$A:$A = E$1))) + 'Fund YTD Contributions'!E71,'Fund YTD Contributions'!E71)"),0.0)</f>
        <v>0</v>
      </c>
      <c r="F71" s="170">
        <f>IFERROR(__xludf.DUMMYFUNCTION("IFERROR(E71 * (1 + AVERAGE(Filter('Inflation Data'!$C:$C,'Inflation Data'!$A:$A = F$1))) + 'Fund YTD Contributions'!F71,'Fund YTD Contributions'!F71)"),0.0)</f>
        <v>0</v>
      </c>
      <c r="G71" s="170">
        <f>IFERROR(__xludf.DUMMYFUNCTION("IFERROR(F71 * (1 + AVERAGE(Filter('Inflation Data'!$C:$C,'Inflation Data'!$A:$A = G$1))) + 'Fund YTD Contributions'!G71,'Fund YTD Contributions'!G71)"),0.0)</f>
        <v>0</v>
      </c>
      <c r="H71" s="170">
        <f>IFERROR(__xludf.DUMMYFUNCTION("IFERROR(G71 * (1 + AVERAGE(Filter('Inflation Data'!$C:$C,'Inflation Data'!$A:$A = H$1))) + 'Fund YTD Contributions'!H71,'Fund YTD Contributions'!H71)"),0.0)</f>
        <v>0</v>
      </c>
      <c r="I71" s="170">
        <f>IFERROR(__xludf.DUMMYFUNCTION("IFERROR(H71 * (1 + AVERAGE(Filter('Inflation Data'!$C:$C,'Inflation Data'!$A:$A = I$1))) + 'Fund YTD Contributions'!I71,'Fund YTD Contributions'!I71)"),0.0)</f>
        <v>0</v>
      </c>
      <c r="J71" s="170">
        <f>IFERROR(__xludf.DUMMYFUNCTION("IFERROR(I71 * (1 + AVERAGE(Filter('Inflation Data'!$C:$C,'Inflation Data'!$A:$A = J$1))) + 'Fund YTD Contributions'!J71,'Fund YTD Contributions'!J71)"),0.0)</f>
        <v>0</v>
      </c>
      <c r="K71" s="170">
        <f>IFERROR(__xludf.DUMMYFUNCTION("IFERROR(J71 * (1 + AVERAGE(Filter('Inflation Data'!$C:$C,'Inflation Data'!$A:$A = K$1))) + 'Fund YTD Contributions'!K71,'Fund YTD Contributions'!K71)"),0.0)</f>
        <v>0</v>
      </c>
      <c r="L71" s="170">
        <f>IFERROR(__xludf.DUMMYFUNCTION("IFERROR(K71 * (1 + AVERAGE(Filter('Inflation Data'!$C:$C,'Inflation Data'!$A:$A = L$1))) + 'Fund YTD Contributions'!L71,'Fund YTD Contributions'!L71)"),0.0)</f>
        <v>0</v>
      </c>
      <c r="M71" s="170">
        <f>IFERROR(__xludf.DUMMYFUNCTION("IFERROR(L71 * (1 + AVERAGE(Filter('Inflation Data'!$C:$C,'Inflation Data'!$A:$A = M$1))) + 'Fund YTD Contributions'!M71,'Fund YTD Contributions'!M71)"),0.0)</f>
        <v>0</v>
      </c>
      <c r="N71" s="170">
        <f>IFERROR(__xludf.DUMMYFUNCTION("IFERROR(M71 * (1 + AVERAGE(Filter('Inflation Data'!$C:$C,'Inflation Data'!$A:$A = N$1))) + 'Fund YTD Contributions'!N71,'Fund YTD Contributions'!N71)"),0.0)</f>
        <v>0</v>
      </c>
      <c r="O71" s="170">
        <f>IFERROR(__xludf.DUMMYFUNCTION("IFERROR(N71 * (1 + AVERAGE(Filter('Inflation Data'!$C:$C,'Inflation Data'!$A:$A = O$1))) + 'Fund YTD Contributions'!O71,'Fund YTD Contributions'!O71)"),0.0)</f>
        <v>0</v>
      </c>
      <c r="P71" s="170">
        <f>IFERROR(__xludf.DUMMYFUNCTION("IFERROR(O71 * (1 + AVERAGE(Filter('Inflation Data'!$C:$C,'Inflation Data'!$A:$A = P$1))) + 'Fund YTD Contributions'!P71,'Fund YTD Contributions'!P71)"),0.0)</f>
        <v>0</v>
      </c>
      <c r="Q71" s="170">
        <f>IFERROR(__xludf.DUMMYFUNCTION("IFERROR(P71 * (1 + AVERAGE(Filter('Inflation Data'!$C:$C,'Inflation Data'!$A:$A = Q$1))) + 'Fund YTD Contributions'!Q71,'Fund YTD Contributions'!Q71)"),0.0)</f>
        <v>0</v>
      </c>
      <c r="R71" s="170">
        <f>IFERROR(__xludf.DUMMYFUNCTION("IFERROR(Q71 * (1 + AVERAGE(Filter('Inflation Data'!$C:$C,'Inflation Data'!$A:$A = R$1))) + 'Fund YTD Contributions'!R71,'Fund YTD Contributions'!R71)"),0.0)</f>
        <v>0</v>
      </c>
      <c r="S71" s="170">
        <f>IFERROR(__xludf.DUMMYFUNCTION("IFERROR(R71 * (1 + AVERAGE(Filter('Inflation Data'!$C:$C,'Inflation Data'!$A:$A = S$1))) + 'Fund YTD Contributions'!S71,'Fund YTD Contributions'!S71)"),0.0)</f>
        <v>0</v>
      </c>
      <c r="T71" s="170">
        <f>IFERROR(__xludf.DUMMYFUNCTION("IFERROR(S71 * (1 + AVERAGE(Filter('Inflation Data'!$C:$C,'Inflation Data'!$A:$A = T$1))) + 'Fund YTD Contributions'!T71,'Fund YTD Contributions'!T71)"),0.0)</f>
        <v>0</v>
      </c>
      <c r="U71" s="170">
        <f>IFERROR(__xludf.DUMMYFUNCTION("IFERROR(T71 * (1 + AVERAGE(Filter('Inflation Data'!$C:$C,'Inflation Data'!$A:$A = U$1))) + 'Fund YTD Contributions'!U71,'Fund YTD Contributions'!U71)"),0.0)</f>
        <v>0</v>
      </c>
      <c r="V71" s="170">
        <f>IFERROR(__xludf.DUMMYFUNCTION("IFERROR(U71 * (1 + AVERAGE(Filter('Inflation Data'!$C:$C,'Inflation Data'!$A:$A = V$1))) + 'Fund YTD Contributions'!V71,'Fund YTD Contributions'!V71)"),0.0)</f>
        <v>0</v>
      </c>
      <c r="W71" s="170">
        <f>IFERROR(__xludf.DUMMYFUNCTION("IFERROR(V71 * (1 + AVERAGE(Filter('Inflation Data'!$C:$C,'Inflation Data'!$A:$A = W$1))) + 'Fund YTD Contributions'!W71,'Fund YTD Contributions'!W71)"),0.0)</f>
        <v>0</v>
      </c>
      <c r="X71" s="170">
        <f>IFERROR(__xludf.DUMMYFUNCTION("IFERROR(W71 * (1 + AVERAGE(Filter('Inflation Data'!$C:$C,'Inflation Data'!$A:$A = X$1))) + 'Fund YTD Contributions'!X71,'Fund YTD Contributions'!X71)"),0.0)</f>
        <v>0</v>
      </c>
      <c r="Y71" s="170">
        <f>IFERROR(__xludf.DUMMYFUNCTION("IFERROR(X71 * (1 + AVERAGE(Filter('Inflation Data'!$C:$C,'Inflation Data'!$A:$A = Y$1))) + 'Fund YTD Contributions'!Y71,'Fund YTD Contributions'!Y71)"),0.0)</f>
        <v>0</v>
      </c>
      <c r="Z71" s="170">
        <f>IFERROR(__xludf.DUMMYFUNCTION("IFERROR(Y71 * (1 + AVERAGE(Filter('Inflation Data'!$C:$C,'Inflation Data'!$A:$A = Z$1))) + 'Fund YTD Contributions'!Z71,'Fund YTD Contributions'!Z71)"),0.0)</f>
        <v>0</v>
      </c>
      <c r="AA71" s="170">
        <f>IFERROR(__xludf.DUMMYFUNCTION("IFERROR(Z71 * (1 + AVERAGE(Filter('Inflation Data'!$C:$C,'Inflation Data'!$A:$A = AA$1))) + 'Fund YTD Contributions'!AA71,'Fund YTD Contributions'!AA71)"),0.0)</f>
        <v>0</v>
      </c>
      <c r="AB71" s="170">
        <f>IFERROR(__xludf.DUMMYFUNCTION("IFERROR(AA71 * (1 + AVERAGE(Filter('Inflation Data'!$C:$C,'Inflation Data'!$A:$A = AB$1))) + 'Fund YTD Contributions'!AB71,'Fund YTD Contributions'!AB71)"),0.0)</f>
        <v>0</v>
      </c>
      <c r="AC71" s="170">
        <f>IFERROR(__xludf.DUMMYFUNCTION("IFERROR(AB71 * (1 + AVERAGE(Filter('Inflation Data'!$C:$C,'Inflation Data'!$A:$A = AC$1))) + 'Fund YTD Contributions'!AC71,'Fund YTD Contributions'!AC71)"),0.0)</f>
        <v>0</v>
      </c>
      <c r="AD71" s="170">
        <f>IFERROR(__xludf.DUMMYFUNCTION("IFERROR(AC71 * (1 + AVERAGE(Filter('Inflation Data'!$C:$C,'Inflation Data'!$A:$A = AD$1))) + 'Fund YTD Contributions'!AD71,'Fund YTD Contributions'!AD71)"),0.0)</f>
        <v>0</v>
      </c>
      <c r="AE71" s="170">
        <f>IFERROR(__xludf.DUMMYFUNCTION("IFERROR(AD71 * (1 + AVERAGE(Filter('Inflation Data'!$C:$C,'Inflation Data'!$A:$A = AE$1))) + 'Fund YTD Contributions'!AE71,'Fund YTD Contributions'!AE71)"),0.0)</f>
        <v>0</v>
      </c>
      <c r="AF71" s="170" t="str">
        <f>IFERROR(__xludf.DUMMYFUNCTION("IFERROR(AE71 * (1 + AVERAGE(Filter('Inflation Data'!$C:$C,'Inflation Data'!$A:$A = AF$1))) + 'Fund YTD Contributions'!AF71,'Fund YTD Contributions'!AF71)"),"")</f>
        <v/>
      </c>
    </row>
    <row r="72">
      <c r="A72" s="145" t="str">
        <f>'Endowed Funds'!B:B</f>
        <v/>
      </c>
      <c r="B72" s="170">
        <f>IFERROR(__xludf.DUMMYFUNCTION("IFERROR(A72 * (1 + AVERAGE(Filter('Inflation Data'!$C:$C,'Inflation Data'!$A:$A = B$1))) + 'Fund YTD Contributions'!B72,'Fund YTD Contributions'!B72)"),0.0)</f>
        <v>0</v>
      </c>
      <c r="C72" s="170">
        <f>IFERROR(__xludf.DUMMYFUNCTION("IFERROR(B72 * (1 + AVERAGE(Filter('Inflation Data'!$C:$C,'Inflation Data'!$A:$A = C$1))) + 'Fund YTD Contributions'!C72,'Fund YTD Contributions'!C72)"),0.0)</f>
        <v>0</v>
      </c>
      <c r="D72" s="170">
        <f>IFERROR(__xludf.DUMMYFUNCTION("IFERROR(C72 * (1 + AVERAGE(Filter('Inflation Data'!$C:$C,'Inflation Data'!$A:$A = D$1))) + 'Fund YTD Contributions'!D72,'Fund YTD Contributions'!D72)"),0.0)</f>
        <v>0</v>
      </c>
      <c r="E72" s="170">
        <f>IFERROR(__xludf.DUMMYFUNCTION("IFERROR(D72 * (1 + AVERAGE(Filter('Inflation Data'!$C:$C,'Inflation Data'!$A:$A = E$1))) + 'Fund YTD Contributions'!E72,'Fund YTD Contributions'!E72)"),0.0)</f>
        <v>0</v>
      </c>
      <c r="F72" s="170">
        <f>IFERROR(__xludf.DUMMYFUNCTION("IFERROR(E72 * (1 + AVERAGE(Filter('Inflation Data'!$C:$C,'Inflation Data'!$A:$A = F$1))) + 'Fund YTD Contributions'!F72,'Fund YTD Contributions'!F72)"),0.0)</f>
        <v>0</v>
      </c>
      <c r="G72" s="170">
        <f>IFERROR(__xludf.DUMMYFUNCTION("IFERROR(F72 * (1 + AVERAGE(Filter('Inflation Data'!$C:$C,'Inflation Data'!$A:$A = G$1))) + 'Fund YTD Contributions'!G72,'Fund YTD Contributions'!G72)"),0.0)</f>
        <v>0</v>
      </c>
      <c r="H72" s="170">
        <f>IFERROR(__xludf.DUMMYFUNCTION("IFERROR(G72 * (1 + AVERAGE(Filter('Inflation Data'!$C:$C,'Inflation Data'!$A:$A = H$1))) + 'Fund YTD Contributions'!H72,'Fund YTD Contributions'!H72)"),0.0)</f>
        <v>0</v>
      </c>
      <c r="I72" s="170">
        <f>IFERROR(__xludf.DUMMYFUNCTION("IFERROR(H72 * (1 + AVERAGE(Filter('Inflation Data'!$C:$C,'Inflation Data'!$A:$A = I$1))) + 'Fund YTD Contributions'!I72,'Fund YTD Contributions'!I72)"),0.0)</f>
        <v>0</v>
      </c>
      <c r="J72" s="170">
        <f>IFERROR(__xludf.DUMMYFUNCTION("IFERROR(I72 * (1 + AVERAGE(Filter('Inflation Data'!$C:$C,'Inflation Data'!$A:$A = J$1))) + 'Fund YTD Contributions'!J72,'Fund YTD Contributions'!J72)"),0.0)</f>
        <v>0</v>
      </c>
      <c r="K72" s="170">
        <f>IFERROR(__xludf.DUMMYFUNCTION("IFERROR(J72 * (1 + AVERAGE(Filter('Inflation Data'!$C:$C,'Inflation Data'!$A:$A = K$1))) + 'Fund YTD Contributions'!K72,'Fund YTD Contributions'!K72)"),0.0)</f>
        <v>0</v>
      </c>
      <c r="L72" s="170">
        <f>IFERROR(__xludf.DUMMYFUNCTION("IFERROR(K72 * (1 + AVERAGE(Filter('Inflation Data'!$C:$C,'Inflation Data'!$A:$A = L$1))) + 'Fund YTD Contributions'!L72,'Fund YTD Contributions'!L72)"),0.0)</f>
        <v>0</v>
      </c>
      <c r="M72" s="170">
        <f>IFERROR(__xludf.DUMMYFUNCTION("IFERROR(L72 * (1 + AVERAGE(Filter('Inflation Data'!$C:$C,'Inflation Data'!$A:$A = M$1))) + 'Fund YTD Contributions'!M72,'Fund YTD Contributions'!M72)"),0.0)</f>
        <v>0</v>
      </c>
      <c r="N72" s="170">
        <f>IFERROR(__xludf.DUMMYFUNCTION("IFERROR(M72 * (1 + AVERAGE(Filter('Inflation Data'!$C:$C,'Inflation Data'!$A:$A = N$1))) + 'Fund YTD Contributions'!N72,'Fund YTD Contributions'!N72)"),0.0)</f>
        <v>0</v>
      </c>
      <c r="O72" s="170">
        <f>IFERROR(__xludf.DUMMYFUNCTION("IFERROR(N72 * (1 + AVERAGE(Filter('Inflation Data'!$C:$C,'Inflation Data'!$A:$A = O$1))) + 'Fund YTD Contributions'!O72,'Fund YTD Contributions'!O72)"),0.0)</f>
        <v>0</v>
      </c>
      <c r="P72" s="170">
        <f>IFERROR(__xludf.DUMMYFUNCTION("IFERROR(O72 * (1 + AVERAGE(Filter('Inflation Data'!$C:$C,'Inflation Data'!$A:$A = P$1))) + 'Fund YTD Contributions'!P72,'Fund YTD Contributions'!P72)"),0.0)</f>
        <v>0</v>
      </c>
      <c r="Q72" s="170">
        <f>IFERROR(__xludf.DUMMYFUNCTION("IFERROR(P72 * (1 + AVERAGE(Filter('Inflation Data'!$C:$C,'Inflation Data'!$A:$A = Q$1))) + 'Fund YTD Contributions'!Q72,'Fund YTD Contributions'!Q72)"),0.0)</f>
        <v>0</v>
      </c>
      <c r="R72" s="170">
        <f>IFERROR(__xludf.DUMMYFUNCTION("IFERROR(Q72 * (1 + AVERAGE(Filter('Inflation Data'!$C:$C,'Inflation Data'!$A:$A = R$1))) + 'Fund YTD Contributions'!R72,'Fund YTD Contributions'!R72)"),0.0)</f>
        <v>0</v>
      </c>
      <c r="S72" s="170">
        <f>IFERROR(__xludf.DUMMYFUNCTION("IFERROR(R72 * (1 + AVERAGE(Filter('Inflation Data'!$C:$C,'Inflation Data'!$A:$A = S$1))) + 'Fund YTD Contributions'!S72,'Fund YTD Contributions'!S72)"),0.0)</f>
        <v>0</v>
      </c>
      <c r="T72" s="170">
        <f>IFERROR(__xludf.DUMMYFUNCTION("IFERROR(S72 * (1 + AVERAGE(Filter('Inflation Data'!$C:$C,'Inflation Data'!$A:$A = T$1))) + 'Fund YTD Contributions'!T72,'Fund YTD Contributions'!T72)"),0.0)</f>
        <v>0</v>
      </c>
      <c r="U72" s="170">
        <f>IFERROR(__xludf.DUMMYFUNCTION("IFERROR(T72 * (1 + AVERAGE(Filter('Inflation Data'!$C:$C,'Inflation Data'!$A:$A = U$1))) + 'Fund YTD Contributions'!U72,'Fund YTD Contributions'!U72)"),0.0)</f>
        <v>0</v>
      </c>
      <c r="V72" s="170">
        <f>IFERROR(__xludf.DUMMYFUNCTION("IFERROR(U72 * (1 + AVERAGE(Filter('Inflation Data'!$C:$C,'Inflation Data'!$A:$A = V$1))) + 'Fund YTD Contributions'!V72,'Fund YTD Contributions'!V72)"),0.0)</f>
        <v>0</v>
      </c>
      <c r="W72" s="170">
        <f>IFERROR(__xludf.DUMMYFUNCTION("IFERROR(V72 * (1 + AVERAGE(Filter('Inflation Data'!$C:$C,'Inflation Data'!$A:$A = W$1))) + 'Fund YTD Contributions'!W72,'Fund YTD Contributions'!W72)"),0.0)</f>
        <v>0</v>
      </c>
      <c r="X72" s="170">
        <f>IFERROR(__xludf.DUMMYFUNCTION("IFERROR(W72 * (1 + AVERAGE(Filter('Inflation Data'!$C:$C,'Inflation Data'!$A:$A = X$1))) + 'Fund YTD Contributions'!X72,'Fund YTD Contributions'!X72)"),0.0)</f>
        <v>0</v>
      </c>
      <c r="Y72" s="170">
        <f>IFERROR(__xludf.DUMMYFUNCTION("IFERROR(X72 * (1 + AVERAGE(Filter('Inflation Data'!$C:$C,'Inflation Data'!$A:$A = Y$1))) + 'Fund YTD Contributions'!Y72,'Fund YTD Contributions'!Y72)"),0.0)</f>
        <v>0</v>
      </c>
      <c r="Z72" s="170">
        <f>IFERROR(__xludf.DUMMYFUNCTION("IFERROR(Y72 * (1 + AVERAGE(Filter('Inflation Data'!$C:$C,'Inflation Data'!$A:$A = Z$1))) + 'Fund YTD Contributions'!Z72,'Fund YTD Contributions'!Z72)"),0.0)</f>
        <v>0</v>
      </c>
      <c r="AA72" s="170">
        <f>IFERROR(__xludf.DUMMYFUNCTION("IFERROR(Z72 * (1 + AVERAGE(Filter('Inflation Data'!$C:$C,'Inflation Data'!$A:$A = AA$1))) + 'Fund YTD Contributions'!AA72,'Fund YTD Contributions'!AA72)"),0.0)</f>
        <v>0</v>
      </c>
      <c r="AB72" s="170">
        <f>IFERROR(__xludf.DUMMYFUNCTION("IFERROR(AA72 * (1 + AVERAGE(Filter('Inflation Data'!$C:$C,'Inflation Data'!$A:$A = AB$1))) + 'Fund YTD Contributions'!AB72,'Fund YTD Contributions'!AB72)"),0.0)</f>
        <v>0</v>
      </c>
      <c r="AC72" s="170">
        <f>IFERROR(__xludf.DUMMYFUNCTION("IFERROR(AB72 * (1 + AVERAGE(Filter('Inflation Data'!$C:$C,'Inflation Data'!$A:$A = AC$1))) + 'Fund YTD Contributions'!AC72,'Fund YTD Contributions'!AC72)"),0.0)</f>
        <v>0</v>
      </c>
      <c r="AD72" s="170">
        <f>IFERROR(__xludf.DUMMYFUNCTION("IFERROR(AC72 * (1 + AVERAGE(Filter('Inflation Data'!$C:$C,'Inflation Data'!$A:$A = AD$1))) + 'Fund YTD Contributions'!AD72,'Fund YTD Contributions'!AD72)"),0.0)</f>
        <v>0</v>
      </c>
      <c r="AE72" s="170">
        <f>IFERROR(__xludf.DUMMYFUNCTION("IFERROR(AD72 * (1 + AVERAGE(Filter('Inflation Data'!$C:$C,'Inflation Data'!$A:$A = AE$1))) + 'Fund YTD Contributions'!AE72,'Fund YTD Contributions'!AE72)"),0.0)</f>
        <v>0</v>
      </c>
      <c r="AF72" s="170" t="str">
        <f>IFERROR(__xludf.DUMMYFUNCTION("IFERROR(AE72 * (1 + AVERAGE(Filter('Inflation Data'!$C:$C,'Inflation Data'!$A:$A = AF$1))) + 'Fund YTD Contributions'!AF72,'Fund YTD Contributions'!AF72)"),"")</f>
        <v/>
      </c>
    </row>
    <row r="73">
      <c r="A73" s="145" t="str">
        <f>'Endowed Funds'!B:B</f>
        <v/>
      </c>
      <c r="B73" s="170">
        <f>IFERROR(__xludf.DUMMYFUNCTION("IFERROR(A73 * (1 + AVERAGE(Filter('Inflation Data'!$C:$C,'Inflation Data'!$A:$A = B$1))) + 'Fund YTD Contributions'!B73,'Fund YTD Contributions'!B73)"),0.0)</f>
        <v>0</v>
      </c>
      <c r="C73" s="170">
        <f>IFERROR(__xludf.DUMMYFUNCTION("IFERROR(B73 * (1 + AVERAGE(Filter('Inflation Data'!$C:$C,'Inflation Data'!$A:$A = C$1))) + 'Fund YTD Contributions'!C73,'Fund YTD Contributions'!C73)"),0.0)</f>
        <v>0</v>
      </c>
      <c r="D73" s="170">
        <f>IFERROR(__xludf.DUMMYFUNCTION("IFERROR(C73 * (1 + AVERAGE(Filter('Inflation Data'!$C:$C,'Inflation Data'!$A:$A = D$1))) + 'Fund YTD Contributions'!D73,'Fund YTD Contributions'!D73)"),0.0)</f>
        <v>0</v>
      </c>
      <c r="E73" s="170">
        <f>IFERROR(__xludf.DUMMYFUNCTION("IFERROR(D73 * (1 + AVERAGE(Filter('Inflation Data'!$C:$C,'Inflation Data'!$A:$A = E$1))) + 'Fund YTD Contributions'!E73,'Fund YTD Contributions'!E73)"),0.0)</f>
        <v>0</v>
      </c>
      <c r="F73" s="170">
        <f>IFERROR(__xludf.DUMMYFUNCTION("IFERROR(E73 * (1 + AVERAGE(Filter('Inflation Data'!$C:$C,'Inflation Data'!$A:$A = F$1))) + 'Fund YTD Contributions'!F73,'Fund YTD Contributions'!F73)"),0.0)</f>
        <v>0</v>
      </c>
      <c r="G73" s="170">
        <f>IFERROR(__xludf.DUMMYFUNCTION("IFERROR(F73 * (1 + AVERAGE(Filter('Inflation Data'!$C:$C,'Inflation Data'!$A:$A = G$1))) + 'Fund YTD Contributions'!G73,'Fund YTD Contributions'!G73)"),0.0)</f>
        <v>0</v>
      </c>
      <c r="H73" s="170">
        <f>IFERROR(__xludf.DUMMYFUNCTION("IFERROR(G73 * (1 + AVERAGE(Filter('Inflation Data'!$C:$C,'Inflation Data'!$A:$A = H$1))) + 'Fund YTD Contributions'!H73,'Fund YTD Contributions'!H73)"),0.0)</f>
        <v>0</v>
      </c>
      <c r="I73" s="170">
        <f>IFERROR(__xludf.DUMMYFUNCTION("IFERROR(H73 * (1 + AVERAGE(Filter('Inflation Data'!$C:$C,'Inflation Data'!$A:$A = I$1))) + 'Fund YTD Contributions'!I73,'Fund YTD Contributions'!I73)"),0.0)</f>
        <v>0</v>
      </c>
      <c r="J73" s="170">
        <f>IFERROR(__xludf.DUMMYFUNCTION("IFERROR(I73 * (1 + AVERAGE(Filter('Inflation Data'!$C:$C,'Inflation Data'!$A:$A = J$1))) + 'Fund YTD Contributions'!J73,'Fund YTD Contributions'!J73)"),0.0)</f>
        <v>0</v>
      </c>
      <c r="K73" s="170">
        <f>IFERROR(__xludf.DUMMYFUNCTION("IFERROR(J73 * (1 + AVERAGE(Filter('Inflation Data'!$C:$C,'Inflation Data'!$A:$A = K$1))) + 'Fund YTD Contributions'!K73,'Fund YTD Contributions'!K73)"),0.0)</f>
        <v>0</v>
      </c>
      <c r="L73" s="170">
        <f>IFERROR(__xludf.DUMMYFUNCTION("IFERROR(K73 * (1 + AVERAGE(Filter('Inflation Data'!$C:$C,'Inflation Data'!$A:$A = L$1))) + 'Fund YTD Contributions'!L73,'Fund YTD Contributions'!L73)"),0.0)</f>
        <v>0</v>
      </c>
      <c r="M73" s="170">
        <f>IFERROR(__xludf.DUMMYFUNCTION("IFERROR(L73 * (1 + AVERAGE(Filter('Inflation Data'!$C:$C,'Inflation Data'!$A:$A = M$1))) + 'Fund YTD Contributions'!M73,'Fund YTD Contributions'!M73)"),0.0)</f>
        <v>0</v>
      </c>
      <c r="N73" s="170">
        <f>IFERROR(__xludf.DUMMYFUNCTION("IFERROR(M73 * (1 + AVERAGE(Filter('Inflation Data'!$C:$C,'Inflation Data'!$A:$A = N$1))) + 'Fund YTD Contributions'!N73,'Fund YTD Contributions'!N73)"),0.0)</f>
        <v>0</v>
      </c>
      <c r="O73" s="170">
        <f>IFERROR(__xludf.DUMMYFUNCTION("IFERROR(N73 * (1 + AVERAGE(Filter('Inflation Data'!$C:$C,'Inflation Data'!$A:$A = O$1))) + 'Fund YTD Contributions'!O73,'Fund YTD Contributions'!O73)"),0.0)</f>
        <v>0</v>
      </c>
      <c r="P73" s="170">
        <f>IFERROR(__xludf.DUMMYFUNCTION("IFERROR(O73 * (1 + AVERAGE(Filter('Inflation Data'!$C:$C,'Inflation Data'!$A:$A = P$1))) + 'Fund YTD Contributions'!P73,'Fund YTD Contributions'!P73)"),0.0)</f>
        <v>0</v>
      </c>
      <c r="Q73" s="170">
        <f>IFERROR(__xludf.DUMMYFUNCTION("IFERROR(P73 * (1 + AVERAGE(Filter('Inflation Data'!$C:$C,'Inflation Data'!$A:$A = Q$1))) + 'Fund YTD Contributions'!Q73,'Fund YTD Contributions'!Q73)"),0.0)</f>
        <v>0</v>
      </c>
      <c r="R73" s="170">
        <f>IFERROR(__xludf.DUMMYFUNCTION("IFERROR(Q73 * (1 + AVERAGE(Filter('Inflation Data'!$C:$C,'Inflation Data'!$A:$A = R$1))) + 'Fund YTD Contributions'!R73,'Fund YTD Contributions'!R73)"),0.0)</f>
        <v>0</v>
      </c>
      <c r="S73" s="170">
        <f>IFERROR(__xludf.DUMMYFUNCTION("IFERROR(R73 * (1 + AVERAGE(Filter('Inflation Data'!$C:$C,'Inflation Data'!$A:$A = S$1))) + 'Fund YTD Contributions'!S73,'Fund YTD Contributions'!S73)"),0.0)</f>
        <v>0</v>
      </c>
      <c r="T73" s="170">
        <f>IFERROR(__xludf.DUMMYFUNCTION("IFERROR(S73 * (1 + AVERAGE(Filter('Inflation Data'!$C:$C,'Inflation Data'!$A:$A = T$1))) + 'Fund YTD Contributions'!T73,'Fund YTD Contributions'!T73)"),0.0)</f>
        <v>0</v>
      </c>
      <c r="U73" s="170">
        <f>IFERROR(__xludf.DUMMYFUNCTION("IFERROR(T73 * (1 + AVERAGE(Filter('Inflation Data'!$C:$C,'Inflation Data'!$A:$A = U$1))) + 'Fund YTD Contributions'!U73,'Fund YTD Contributions'!U73)"),0.0)</f>
        <v>0</v>
      </c>
      <c r="V73" s="170">
        <f>IFERROR(__xludf.DUMMYFUNCTION("IFERROR(U73 * (1 + AVERAGE(Filter('Inflation Data'!$C:$C,'Inflation Data'!$A:$A = V$1))) + 'Fund YTD Contributions'!V73,'Fund YTD Contributions'!V73)"),0.0)</f>
        <v>0</v>
      </c>
      <c r="W73" s="170">
        <f>IFERROR(__xludf.DUMMYFUNCTION("IFERROR(V73 * (1 + AVERAGE(Filter('Inflation Data'!$C:$C,'Inflation Data'!$A:$A = W$1))) + 'Fund YTD Contributions'!W73,'Fund YTD Contributions'!W73)"),0.0)</f>
        <v>0</v>
      </c>
      <c r="X73" s="170">
        <f>IFERROR(__xludf.DUMMYFUNCTION("IFERROR(W73 * (1 + AVERAGE(Filter('Inflation Data'!$C:$C,'Inflation Data'!$A:$A = X$1))) + 'Fund YTD Contributions'!X73,'Fund YTD Contributions'!X73)"),0.0)</f>
        <v>0</v>
      </c>
      <c r="Y73" s="170">
        <f>IFERROR(__xludf.DUMMYFUNCTION("IFERROR(X73 * (1 + AVERAGE(Filter('Inflation Data'!$C:$C,'Inflation Data'!$A:$A = Y$1))) + 'Fund YTD Contributions'!Y73,'Fund YTD Contributions'!Y73)"),0.0)</f>
        <v>0</v>
      </c>
      <c r="Z73" s="170">
        <f>IFERROR(__xludf.DUMMYFUNCTION("IFERROR(Y73 * (1 + AVERAGE(Filter('Inflation Data'!$C:$C,'Inflation Data'!$A:$A = Z$1))) + 'Fund YTD Contributions'!Z73,'Fund YTD Contributions'!Z73)"),0.0)</f>
        <v>0</v>
      </c>
      <c r="AA73" s="170">
        <f>IFERROR(__xludf.DUMMYFUNCTION("IFERROR(Z73 * (1 + AVERAGE(Filter('Inflation Data'!$C:$C,'Inflation Data'!$A:$A = AA$1))) + 'Fund YTD Contributions'!AA73,'Fund YTD Contributions'!AA73)"),0.0)</f>
        <v>0</v>
      </c>
      <c r="AB73" s="170">
        <f>IFERROR(__xludf.DUMMYFUNCTION("IFERROR(AA73 * (1 + AVERAGE(Filter('Inflation Data'!$C:$C,'Inflation Data'!$A:$A = AB$1))) + 'Fund YTD Contributions'!AB73,'Fund YTD Contributions'!AB73)"),0.0)</f>
        <v>0</v>
      </c>
      <c r="AC73" s="170">
        <f>IFERROR(__xludf.DUMMYFUNCTION("IFERROR(AB73 * (1 + AVERAGE(Filter('Inflation Data'!$C:$C,'Inflation Data'!$A:$A = AC$1))) + 'Fund YTD Contributions'!AC73,'Fund YTD Contributions'!AC73)"),0.0)</f>
        <v>0</v>
      </c>
      <c r="AD73" s="170">
        <f>IFERROR(__xludf.DUMMYFUNCTION("IFERROR(AC73 * (1 + AVERAGE(Filter('Inflation Data'!$C:$C,'Inflation Data'!$A:$A = AD$1))) + 'Fund YTD Contributions'!AD73,'Fund YTD Contributions'!AD73)"),0.0)</f>
        <v>0</v>
      </c>
      <c r="AE73" s="170">
        <f>IFERROR(__xludf.DUMMYFUNCTION("IFERROR(AD73 * (1 + AVERAGE(Filter('Inflation Data'!$C:$C,'Inflation Data'!$A:$A = AE$1))) + 'Fund YTD Contributions'!AE73,'Fund YTD Contributions'!AE73)"),0.0)</f>
        <v>0</v>
      </c>
      <c r="AF73" s="170" t="str">
        <f>IFERROR(__xludf.DUMMYFUNCTION("IFERROR(AE73 * (1 + AVERAGE(Filter('Inflation Data'!$C:$C,'Inflation Data'!$A:$A = AF$1))) + 'Fund YTD Contributions'!AF73,'Fund YTD Contributions'!AF73)"),"")</f>
        <v/>
      </c>
    </row>
    <row r="74">
      <c r="A74" s="145" t="str">
        <f>'Endowed Funds'!B:B</f>
        <v/>
      </c>
      <c r="B74" s="170">
        <f>IFERROR(__xludf.DUMMYFUNCTION("IFERROR(A74 * (1 + AVERAGE(Filter('Inflation Data'!$C:$C,'Inflation Data'!$A:$A = B$1))) + 'Fund YTD Contributions'!B74,'Fund YTD Contributions'!B74)"),0.0)</f>
        <v>0</v>
      </c>
      <c r="C74" s="170">
        <f>IFERROR(__xludf.DUMMYFUNCTION("IFERROR(B74 * (1 + AVERAGE(Filter('Inflation Data'!$C:$C,'Inflation Data'!$A:$A = C$1))) + 'Fund YTD Contributions'!C74,'Fund YTD Contributions'!C74)"),0.0)</f>
        <v>0</v>
      </c>
      <c r="D74" s="170">
        <f>IFERROR(__xludf.DUMMYFUNCTION("IFERROR(C74 * (1 + AVERAGE(Filter('Inflation Data'!$C:$C,'Inflation Data'!$A:$A = D$1))) + 'Fund YTD Contributions'!D74,'Fund YTD Contributions'!D74)"),0.0)</f>
        <v>0</v>
      </c>
      <c r="E74" s="170">
        <f>IFERROR(__xludf.DUMMYFUNCTION("IFERROR(D74 * (1 + AVERAGE(Filter('Inflation Data'!$C:$C,'Inflation Data'!$A:$A = E$1))) + 'Fund YTD Contributions'!E74,'Fund YTD Contributions'!E74)"),0.0)</f>
        <v>0</v>
      </c>
      <c r="F74" s="170">
        <f>IFERROR(__xludf.DUMMYFUNCTION("IFERROR(E74 * (1 + AVERAGE(Filter('Inflation Data'!$C:$C,'Inflation Data'!$A:$A = F$1))) + 'Fund YTD Contributions'!F74,'Fund YTD Contributions'!F74)"),0.0)</f>
        <v>0</v>
      </c>
      <c r="G74" s="170">
        <f>IFERROR(__xludf.DUMMYFUNCTION("IFERROR(F74 * (1 + AVERAGE(Filter('Inflation Data'!$C:$C,'Inflation Data'!$A:$A = G$1))) + 'Fund YTD Contributions'!G74,'Fund YTD Contributions'!G74)"),0.0)</f>
        <v>0</v>
      </c>
      <c r="H74" s="170">
        <f>IFERROR(__xludf.DUMMYFUNCTION("IFERROR(G74 * (1 + AVERAGE(Filter('Inflation Data'!$C:$C,'Inflation Data'!$A:$A = H$1))) + 'Fund YTD Contributions'!H74,'Fund YTD Contributions'!H74)"),0.0)</f>
        <v>0</v>
      </c>
      <c r="I74" s="170">
        <f>IFERROR(__xludf.DUMMYFUNCTION("IFERROR(H74 * (1 + AVERAGE(Filter('Inflation Data'!$C:$C,'Inflation Data'!$A:$A = I$1))) + 'Fund YTD Contributions'!I74,'Fund YTD Contributions'!I74)"),0.0)</f>
        <v>0</v>
      </c>
      <c r="J74" s="170">
        <f>IFERROR(__xludf.DUMMYFUNCTION("IFERROR(I74 * (1 + AVERAGE(Filter('Inflation Data'!$C:$C,'Inflation Data'!$A:$A = J$1))) + 'Fund YTD Contributions'!J74,'Fund YTD Contributions'!J74)"),0.0)</f>
        <v>0</v>
      </c>
      <c r="K74" s="170">
        <f>IFERROR(__xludf.DUMMYFUNCTION("IFERROR(J74 * (1 + AVERAGE(Filter('Inflation Data'!$C:$C,'Inflation Data'!$A:$A = K$1))) + 'Fund YTD Contributions'!K74,'Fund YTD Contributions'!K74)"),0.0)</f>
        <v>0</v>
      </c>
      <c r="L74" s="170">
        <f>IFERROR(__xludf.DUMMYFUNCTION("IFERROR(K74 * (1 + AVERAGE(Filter('Inflation Data'!$C:$C,'Inflation Data'!$A:$A = L$1))) + 'Fund YTD Contributions'!L74,'Fund YTD Contributions'!L74)"),0.0)</f>
        <v>0</v>
      </c>
      <c r="M74" s="170">
        <f>IFERROR(__xludf.DUMMYFUNCTION("IFERROR(L74 * (1 + AVERAGE(Filter('Inflation Data'!$C:$C,'Inflation Data'!$A:$A = M$1))) + 'Fund YTD Contributions'!M74,'Fund YTD Contributions'!M74)"),0.0)</f>
        <v>0</v>
      </c>
      <c r="N74" s="170">
        <f>IFERROR(__xludf.DUMMYFUNCTION("IFERROR(M74 * (1 + AVERAGE(Filter('Inflation Data'!$C:$C,'Inflation Data'!$A:$A = N$1))) + 'Fund YTD Contributions'!N74,'Fund YTD Contributions'!N74)"),0.0)</f>
        <v>0</v>
      </c>
      <c r="O74" s="170">
        <f>IFERROR(__xludf.DUMMYFUNCTION("IFERROR(N74 * (1 + AVERAGE(Filter('Inflation Data'!$C:$C,'Inflation Data'!$A:$A = O$1))) + 'Fund YTD Contributions'!O74,'Fund YTD Contributions'!O74)"),0.0)</f>
        <v>0</v>
      </c>
      <c r="P74" s="170">
        <f>IFERROR(__xludf.DUMMYFUNCTION("IFERROR(O74 * (1 + AVERAGE(Filter('Inflation Data'!$C:$C,'Inflation Data'!$A:$A = P$1))) + 'Fund YTD Contributions'!P74,'Fund YTD Contributions'!P74)"),0.0)</f>
        <v>0</v>
      </c>
      <c r="Q74" s="170">
        <f>IFERROR(__xludf.DUMMYFUNCTION("IFERROR(P74 * (1 + AVERAGE(Filter('Inflation Data'!$C:$C,'Inflation Data'!$A:$A = Q$1))) + 'Fund YTD Contributions'!Q74,'Fund YTD Contributions'!Q74)"),0.0)</f>
        <v>0</v>
      </c>
      <c r="R74" s="170">
        <f>IFERROR(__xludf.DUMMYFUNCTION("IFERROR(Q74 * (1 + AVERAGE(Filter('Inflation Data'!$C:$C,'Inflation Data'!$A:$A = R$1))) + 'Fund YTD Contributions'!R74,'Fund YTD Contributions'!R74)"),0.0)</f>
        <v>0</v>
      </c>
      <c r="S74" s="170">
        <f>IFERROR(__xludf.DUMMYFUNCTION("IFERROR(R74 * (1 + AVERAGE(Filter('Inflation Data'!$C:$C,'Inflation Data'!$A:$A = S$1))) + 'Fund YTD Contributions'!S74,'Fund YTD Contributions'!S74)"),0.0)</f>
        <v>0</v>
      </c>
      <c r="T74" s="170">
        <f>IFERROR(__xludf.DUMMYFUNCTION("IFERROR(S74 * (1 + AVERAGE(Filter('Inflation Data'!$C:$C,'Inflation Data'!$A:$A = T$1))) + 'Fund YTD Contributions'!T74,'Fund YTD Contributions'!T74)"),0.0)</f>
        <v>0</v>
      </c>
      <c r="U74" s="170">
        <f>IFERROR(__xludf.DUMMYFUNCTION("IFERROR(T74 * (1 + AVERAGE(Filter('Inflation Data'!$C:$C,'Inflation Data'!$A:$A = U$1))) + 'Fund YTD Contributions'!U74,'Fund YTD Contributions'!U74)"),0.0)</f>
        <v>0</v>
      </c>
      <c r="V74" s="170">
        <f>IFERROR(__xludf.DUMMYFUNCTION("IFERROR(U74 * (1 + AVERAGE(Filter('Inflation Data'!$C:$C,'Inflation Data'!$A:$A = V$1))) + 'Fund YTD Contributions'!V74,'Fund YTD Contributions'!V74)"),0.0)</f>
        <v>0</v>
      </c>
      <c r="W74" s="170">
        <f>IFERROR(__xludf.DUMMYFUNCTION("IFERROR(V74 * (1 + AVERAGE(Filter('Inflation Data'!$C:$C,'Inflation Data'!$A:$A = W$1))) + 'Fund YTD Contributions'!W74,'Fund YTD Contributions'!W74)"),0.0)</f>
        <v>0</v>
      </c>
      <c r="X74" s="170">
        <f>IFERROR(__xludf.DUMMYFUNCTION("IFERROR(W74 * (1 + AVERAGE(Filter('Inflation Data'!$C:$C,'Inflation Data'!$A:$A = X$1))) + 'Fund YTD Contributions'!X74,'Fund YTD Contributions'!X74)"),0.0)</f>
        <v>0</v>
      </c>
      <c r="Y74" s="170">
        <f>IFERROR(__xludf.DUMMYFUNCTION("IFERROR(X74 * (1 + AVERAGE(Filter('Inflation Data'!$C:$C,'Inflation Data'!$A:$A = Y$1))) + 'Fund YTD Contributions'!Y74,'Fund YTD Contributions'!Y74)"),0.0)</f>
        <v>0</v>
      </c>
      <c r="Z74" s="170">
        <f>IFERROR(__xludf.DUMMYFUNCTION("IFERROR(Y74 * (1 + AVERAGE(Filter('Inflation Data'!$C:$C,'Inflation Data'!$A:$A = Z$1))) + 'Fund YTD Contributions'!Z74,'Fund YTD Contributions'!Z74)"),0.0)</f>
        <v>0</v>
      </c>
      <c r="AA74" s="170">
        <f>IFERROR(__xludf.DUMMYFUNCTION("IFERROR(Z74 * (1 + AVERAGE(Filter('Inflation Data'!$C:$C,'Inflation Data'!$A:$A = AA$1))) + 'Fund YTD Contributions'!AA74,'Fund YTD Contributions'!AA74)"),0.0)</f>
        <v>0</v>
      </c>
      <c r="AB74" s="170">
        <f>IFERROR(__xludf.DUMMYFUNCTION("IFERROR(AA74 * (1 + AVERAGE(Filter('Inflation Data'!$C:$C,'Inflation Data'!$A:$A = AB$1))) + 'Fund YTD Contributions'!AB74,'Fund YTD Contributions'!AB74)"),0.0)</f>
        <v>0</v>
      </c>
      <c r="AC74" s="170">
        <f>IFERROR(__xludf.DUMMYFUNCTION("IFERROR(AB74 * (1 + AVERAGE(Filter('Inflation Data'!$C:$C,'Inflation Data'!$A:$A = AC$1))) + 'Fund YTD Contributions'!AC74,'Fund YTD Contributions'!AC74)"),0.0)</f>
        <v>0</v>
      </c>
      <c r="AD74" s="170">
        <f>IFERROR(__xludf.DUMMYFUNCTION("IFERROR(AC74 * (1 + AVERAGE(Filter('Inflation Data'!$C:$C,'Inflation Data'!$A:$A = AD$1))) + 'Fund YTD Contributions'!AD74,'Fund YTD Contributions'!AD74)"),0.0)</f>
        <v>0</v>
      </c>
      <c r="AE74" s="170">
        <f>IFERROR(__xludf.DUMMYFUNCTION("IFERROR(AD74 * (1 + AVERAGE(Filter('Inflation Data'!$C:$C,'Inflation Data'!$A:$A = AE$1))) + 'Fund YTD Contributions'!AE74,'Fund YTD Contributions'!AE74)"),0.0)</f>
        <v>0</v>
      </c>
      <c r="AF74" s="170" t="str">
        <f>IFERROR(__xludf.DUMMYFUNCTION("IFERROR(AE74 * (1 + AVERAGE(Filter('Inflation Data'!$C:$C,'Inflation Data'!$A:$A = AF$1))) + 'Fund YTD Contributions'!AF74,'Fund YTD Contributions'!AF74)"),"")</f>
        <v/>
      </c>
    </row>
    <row r="75">
      <c r="A75" s="145" t="str">
        <f>'Endowed Funds'!B:B</f>
        <v/>
      </c>
      <c r="B75" s="170">
        <f>IFERROR(__xludf.DUMMYFUNCTION("IFERROR(A75 * (1 + AVERAGE(Filter('Inflation Data'!$C:$C,'Inflation Data'!$A:$A = B$1))) + 'Fund YTD Contributions'!B75,'Fund YTD Contributions'!B75)"),0.0)</f>
        <v>0</v>
      </c>
      <c r="C75" s="170">
        <f>IFERROR(__xludf.DUMMYFUNCTION("IFERROR(B75 * (1 + AVERAGE(Filter('Inflation Data'!$C:$C,'Inflation Data'!$A:$A = C$1))) + 'Fund YTD Contributions'!C75,'Fund YTD Contributions'!C75)"),0.0)</f>
        <v>0</v>
      </c>
      <c r="D75" s="170">
        <f>IFERROR(__xludf.DUMMYFUNCTION("IFERROR(C75 * (1 + AVERAGE(Filter('Inflation Data'!$C:$C,'Inflation Data'!$A:$A = D$1))) + 'Fund YTD Contributions'!D75,'Fund YTD Contributions'!D75)"),0.0)</f>
        <v>0</v>
      </c>
      <c r="E75" s="170">
        <f>IFERROR(__xludf.DUMMYFUNCTION("IFERROR(D75 * (1 + AVERAGE(Filter('Inflation Data'!$C:$C,'Inflation Data'!$A:$A = E$1))) + 'Fund YTD Contributions'!E75,'Fund YTD Contributions'!E75)"),0.0)</f>
        <v>0</v>
      </c>
      <c r="F75" s="170">
        <f>IFERROR(__xludf.DUMMYFUNCTION("IFERROR(E75 * (1 + AVERAGE(Filter('Inflation Data'!$C:$C,'Inflation Data'!$A:$A = F$1))) + 'Fund YTD Contributions'!F75,'Fund YTD Contributions'!F75)"),0.0)</f>
        <v>0</v>
      </c>
      <c r="G75" s="170">
        <f>IFERROR(__xludf.DUMMYFUNCTION("IFERROR(F75 * (1 + AVERAGE(Filter('Inflation Data'!$C:$C,'Inflation Data'!$A:$A = G$1))) + 'Fund YTD Contributions'!G75,'Fund YTD Contributions'!G75)"),0.0)</f>
        <v>0</v>
      </c>
      <c r="H75" s="170">
        <f>IFERROR(__xludf.DUMMYFUNCTION("IFERROR(G75 * (1 + AVERAGE(Filter('Inflation Data'!$C:$C,'Inflation Data'!$A:$A = H$1))) + 'Fund YTD Contributions'!H75,'Fund YTD Contributions'!H75)"),0.0)</f>
        <v>0</v>
      </c>
      <c r="I75" s="170">
        <f>IFERROR(__xludf.DUMMYFUNCTION("IFERROR(H75 * (1 + AVERAGE(Filter('Inflation Data'!$C:$C,'Inflation Data'!$A:$A = I$1))) + 'Fund YTD Contributions'!I75,'Fund YTD Contributions'!I75)"),0.0)</f>
        <v>0</v>
      </c>
      <c r="J75" s="170">
        <f>IFERROR(__xludf.DUMMYFUNCTION("IFERROR(I75 * (1 + AVERAGE(Filter('Inflation Data'!$C:$C,'Inflation Data'!$A:$A = J$1))) + 'Fund YTD Contributions'!J75,'Fund YTD Contributions'!J75)"),0.0)</f>
        <v>0</v>
      </c>
      <c r="K75" s="170">
        <f>IFERROR(__xludf.DUMMYFUNCTION("IFERROR(J75 * (1 + AVERAGE(Filter('Inflation Data'!$C:$C,'Inflation Data'!$A:$A = K$1))) + 'Fund YTD Contributions'!K75,'Fund YTD Contributions'!K75)"),0.0)</f>
        <v>0</v>
      </c>
      <c r="L75" s="170">
        <f>IFERROR(__xludf.DUMMYFUNCTION("IFERROR(K75 * (1 + AVERAGE(Filter('Inflation Data'!$C:$C,'Inflation Data'!$A:$A = L$1))) + 'Fund YTD Contributions'!L75,'Fund YTD Contributions'!L75)"),0.0)</f>
        <v>0</v>
      </c>
      <c r="M75" s="170">
        <f>IFERROR(__xludf.DUMMYFUNCTION("IFERROR(L75 * (1 + AVERAGE(Filter('Inflation Data'!$C:$C,'Inflation Data'!$A:$A = M$1))) + 'Fund YTD Contributions'!M75,'Fund YTD Contributions'!M75)"),0.0)</f>
        <v>0</v>
      </c>
      <c r="N75" s="170">
        <f>IFERROR(__xludf.DUMMYFUNCTION("IFERROR(M75 * (1 + AVERAGE(Filter('Inflation Data'!$C:$C,'Inflation Data'!$A:$A = N$1))) + 'Fund YTD Contributions'!N75,'Fund YTD Contributions'!N75)"),0.0)</f>
        <v>0</v>
      </c>
      <c r="O75" s="170">
        <f>IFERROR(__xludf.DUMMYFUNCTION("IFERROR(N75 * (1 + AVERAGE(Filter('Inflation Data'!$C:$C,'Inflation Data'!$A:$A = O$1))) + 'Fund YTD Contributions'!O75,'Fund YTD Contributions'!O75)"),0.0)</f>
        <v>0</v>
      </c>
      <c r="P75" s="170">
        <f>IFERROR(__xludf.DUMMYFUNCTION("IFERROR(O75 * (1 + AVERAGE(Filter('Inflation Data'!$C:$C,'Inflation Data'!$A:$A = P$1))) + 'Fund YTD Contributions'!P75,'Fund YTD Contributions'!P75)"),0.0)</f>
        <v>0</v>
      </c>
      <c r="Q75" s="170">
        <f>IFERROR(__xludf.DUMMYFUNCTION("IFERROR(P75 * (1 + AVERAGE(Filter('Inflation Data'!$C:$C,'Inflation Data'!$A:$A = Q$1))) + 'Fund YTD Contributions'!Q75,'Fund YTD Contributions'!Q75)"),0.0)</f>
        <v>0</v>
      </c>
      <c r="R75" s="170">
        <f>IFERROR(__xludf.DUMMYFUNCTION("IFERROR(Q75 * (1 + AVERAGE(Filter('Inflation Data'!$C:$C,'Inflation Data'!$A:$A = R$1))) + 'Fund YTD Contributions'!R75,'Fund YTD Contributions'!R75)"),0.0)</f>
        <v>0</v>
      </c>
      <c r="S75" s="170">
        <f>IFERROR(__xludf.DUMMYFUNCTION("IFERROR(R75 * (1 + AVERAGE(Filter('Inflation Data'!$C:$C,'Inflation Data'!$A:$A = S$1))) + 'Fund YTD Contributions'!S75,'Fund YTD Contributions'!S75)"),0.0)</f>
        <v>0</v>
      </c>
      <c r="T75" s="170">
        <f>IFERROR(__xludf.DUMMYFUNCTION("IFERROR(S75 * (1 + AVERAGE(Filter('Inflation Data'!$C:$C,'Inflation Data'!$A:$A = T$1))) + 'Fund YTD Contributions'!T75,'Fund YTD Contributions'!T75)"),0.0)</f>
        <v>0</v>
      </c>
      <c r="U75" s="170">
        <f>IFERROR(__xludf.DUMMYFUNCTION("IFERROR(T75 * (1 + AVERAGE(Filter('Inflation Data'!$C:$C,'Inflation Data'!$A:$A = U$1))) + 'Fund YTD Contributions'!U75,'Fund YTD Contributions'!U75)"),0.0)</f>
        <v>0</v>
      </c>
      <c r="V75" s="170">
        <f>IFERROR(__xludf.DUMMYFUNCTION("IFERROR(U75 * (1 + AVERAGE(Filter('Inflation Data'!$C:$C,'Inflation Data'!$A:$A = V$1))) + 'Fund YTD Contributions'!V75,'Fund YTD Contributions'!V75)"),0.0)</f>
        <v>0</v>
      </c>
      <c r="W75" s="170">
        <f>IFERROR(__xludf.DUMMYFUNCTION("IFERROR(V75 * (1 + AVERAGE(Filter('Inflation Data'!$C:$C,'Inflation Data'!$A:$A = W$1))) + 'Fund YTD Contributions'!W75,'Fund YTD Contributions'!W75)"),0.0)</f>
        <v>0</v>
      </c>
      <c r="X75" s="170">
        <f>IFERROR(__xludf.DUMMYFUNCTION("IFERROR(W75 * (1 + AVERAGE(Filter('Inflation Data'!$C:$C,'Inflation Data'!$A:$A = X$1))) + 'Fund YTD Contributions'!X75,'Fund YTD Contributions'!X75)"),0.0)</f>
        <v>0</v>
      </c>
      <c r="Y75" s="170">
        <f>IFERROR(__xludf.DUMMYFUNCTION("IFERROR(X75 * (1 + AVERAGE(Filter('Inflation Data'!$C:$C,'Inflation Data'!$A:$A = Y$1))) + 'Fund YTD Contributions'!Y75,'Fund YTD Contributions'!Y75)"),0.0)</f>
        <v>0</v>
      </c>
      <c r="Z75" s="170">
        <f>IFERROR(__xludf.DUMMYFUNCTION("IFERROR(Y75 * (1 + AVERAGE(Filter('Inflation Data'!$C:$C,'Inflation Data'!$A:$A = Z$1))) + 'Fund YTD Contributions'!Z75,'Fund YTD Contributions'!Z75)"),0.0)</f>
        <v>0</v>
      </c>
      <c r="AA75" s="170">
        <f>IFERROR(__xludf.DUMMYFUNCTION("IFERROR(Z75 * (1 + AVERAGE(Filter('Inflation Data'!$C:$C,'Inflation Data'!$A:$A = AA$1))) + 'Fund YTD Contributions'!AA75,'Fund YTD Contributions'!AA75)"),0.0)</f>
        <v>0</v>
      </c>
      <c r="AB75" s="170">
        <f>IFERROR(__xludf.DUMMYFUNCTION("IFERROR(AA75 * (1 + AVERAGE(Filter('Inflation Data'!$C:$C,'Inflation Data'!$A:$A = AB$1))) + 'Fund YTD Contributions'!AB75,'Fund YTD Contributions'!AB75)"),0.0)</f>
        <v>0</v>
      </c>
      <c r="AC75" s="170">
        <f>IFERROR(__xludf.DUMMYFUNCTION("IFERROR(AB75 * (1 + AVERAGE(Filter('Inflation Data'!$C:$C,'Inflation Data'!$A:$A = AC$1))) + 'Fund YTD Contributions'!AC75,'Fund YTD Contributions'!AC75)"),0.0)</f>
        <v>0</v>
      </c>
      <c r="AD75" s="170">
        <f>IFERROR(__xludf.DUMMYFUNCTION("IFERROR(AC75 * (1 + AVERAGE(Filter('Inflation Data'!$C:$C,'Inflation Data'!$A:$A = AD$1))) + 'Fund YTD Contributions'!AD75,'Fund YTD Contributions'!AD75)"),0.0)</f>
        <v>0</v>
      </c>
      <c r="AE75" s="170">
        <f>IFERROR(__xludf.DUMMYFUNCTION("IFERROR(AD75 * (1 + AVERAGE(Filter('Inflation Data'!$C:$C,'Inflation Data'!$A:$A = AE$1))) + 'Fund YTD Contributions'!AE75,'Fund YTD Contributions'!AE75)"),0.0)</f>
        <v>0</v>
      </c>
      <c r="AF75" s="170" t="str">
        <f>IFERROR(__xludf.DUMMYFUNCTION("IFERROR(AE75 * (1 + AVERAGE(Filter('Inflation Data'!$C:$C,'Inflation Data'!$A:$A = AF$1))) + 'Fund YTD Contributions'!AF75,'Fund YTD Contributions'!AF75)"),"")</f>
        <v/>
      </c>
    </row>
    <row r="76">
      <c r="A76" s="145" t="str">
        <f>'Endowed Funds'!B:B</f>
        <v/>
      </c>
      <c r="B76" s="170">
        <f>IFERROR(__xludf.DUMMYFUNCTION("IFERROR(A76 * (1 + AVERAGE(Filter('Inflation Data'!$C:$C,'Inflation Data'!$A:$A = B$1))) + 'Fund YTD Contributions'!B76,'Fund YTD Contributions'!B76)"),0.0)</f>
        <v>0</v>
      </c>
      <c r="C76" s="170">
        <f>IFERROR(__xludf.DUMMYFUNCTION("IFERROR(B76 * (1 + AVERAGE(Filter('Inflation Data'!$C:$C,'Inflation Data'!$A:$A = C$1))) + 'Fund YTD Contributions'!C76,'Fund YTD Contributions'!C76)"),0.0)</f>
        <v>0</v>
      </c>
      <c r="D76" s="170">
        <f>IFERROR(__xludf.DUMMYFUNCTION("IFERROR(C76 * (1 + AVERAGE(Filter('Inflation Data'!$C:$C,'Inflation Data'!$A:$A = D$1))) + 'Fund YTD Contributions'!D76,'Fund YTD Contributions'!D76)"),0.0)</f>
        <v>0</v>
      </c>
      <c r="E76" s="170">
        <f>IFERROR(__xludf.DUMMYFUNCTION("IFERROR(D76 * (1 + AVERAGE(Filter('Inflation Data'!$C:$C,'Inflation Data'!$A:$A = E$1))) + 'Fund YTD Contributions'!E76,'Fund YTD Contributions'!E76)"),0.0)</f>
        <v>0</v>
      </c>
      <c r="F76" s="170">
        <f>IFERROR(__xludf.DUMMYFUNCTION("IFERROR(E76 * (1 + AVERAGE(Filter('Inflation Data'!$C:$C,'Inflation Data'!$A:$A = F$1))) + 'Fund YTD Contributions'!F76,'Fund YTD Contributions'!F76)"),0.0)</f>
        <v>0</v>
      </c>
      <c r="G76" s="170">
        <f>IFERROR(__xludf.DUMMYFUNCTION("IFERROR(F76 * (1 + AVERAGE(Filter('Inflation Data'!$C:$C,'Inflation Data'!$A:$A = G$1))) + 'Fund YTD Contributions'!G76,'Fund YTD Contributions'!G76)"),0.0)</f>
        <v>0</v>
      </c>
      <c r="H76" s="170">
        <f>IFERROR(__xludf.DUMMYFUNCTION("IFERROR(G76 * (1 + AVERAGE(Filter('Inflation Data'!$C:$C,'Inflation Data'!$A:$A = H$1))) + 'Fund YTD Contributions'!H76,'Fund YTD Contributions'!H76)"),0.0)</f>
        <v>0</v>
      </c>
      <c r="I76" s="170">
        <f>IFERROR(__xludf.DUMMYFUNCTION("IFERROR(H76 * (1 + AVERAGE(Filter('Inflation Data'!$C:$C,'Inflation Data'!$A:$A = I$1))) + 'Fund YTD Contributions'!I76,'Fund YTD Contributions'!I76)"),0.0)</f>
        <v>0</v>
      </c>
      <c r="J76" s="170">
        <f>IFERROR(__xludf.DUMMYFUNCTION("IFERROR(I76 * (1 + AVERAGE(Filter('Inflation Data'!$C:$C,'Inflation Data'!$A:$A = J$1))) + 'Fund YTD Contributions'!J76,'Fund YTD Contributions'!J76)"),0.0)</f>
        <v>0</v>
      </c>
      <c r="K76" s="170">
        <f>IFERROR(__xludf.DUMMYFUNCTION("IFERROR(J76 * (1 + AVERAGE(Filter('Inflation Data'!$C:$C,'Inflation Data'!$A:$A = K$1))) + 'Fund YTD Contributions'!K76,'Fund YTD Contributions'!K76)"),0.0)</f>
        <v>0</v>
      </c>
      <c r="L76" s="170">
        <f>IFERROR(__xludf.DUMMYFUNCTION("IFERROR(K76 * (1 + AVERAGE(Filter('Inflation Data'!$C:$C,'Inflation Data'!$A:$A = L$1))) + 'Fund YTD Contributions'!L76,'Fund YTD Contributions'!L76)"),0.0)</f>
        <v>0</v>
      </c>
      <c r="M76" s="170">
        <f>IFERROR(__xludf.DUMMYFUNCTION("IFERROR(L76 * (1 + AVERAGE(Filter('Inflation Data'!$C:$C,'Inflation Data'!$A:$A = M$1))) + 'Fund YTD Contributions'!M76,'Fund YTD Contributions'!M76)"),0.0)</f>
        <v>0</v>
      </c>
      <c r="N76" s="170">
        <f>IFERROR(__xludf.DUMMYFUNCTION("IFERROR(M76 * (1 + AVERAGE(Filter('Inflation Data'!$C:$C,'Inflation Data'!$A:$A = N$1))) + 'Fund YTD Contributions'!N76,'Fund YTD Contributions'!N76)"),0.0)</f>
        <v>0</v>
      </c>
      <c r="O76" s="170">
        <f>IFERROR(__xludf.DUMMYFUNCTION("IFERROR(N76 * (1 + AVERAGE(Filter('Inflation Data'!$C:$C,'Inflation Data'!$A:$A = O$1))) + 'Fund YTD Contributions'!O76,'Fund YTD Contributions'!O76)"),0.0)</f>
        <v>0</v>
      </c>
      <c r="P76" s="170">
        <f>IFERROR(__xludf.DUMMYFUNCTION("IFERROR(O76 * (1 + AVERAGE(Filter('Inflation Data'!$C:$C,'Inflation Data'!$A:$A = P$1))) + 'Fund YTD Contributions'!P76,'Fund YTD Contributions'!P76)"),0.0)</f>
        <v>0</v>
      </c>
      <c r="Q76" s="170">
        <f>IFERROR(__xludf.DUMMYFUNCTION("IFERROR(P76 * (1 + AVERAGE(Filter('Inflation Data'!$C:$C,'Inflation Data'!$A:$A = Q$1))) + 'Fund YTD Contributions'!Q76,'Fund YTD Contributions'!Q76)"),0.0)</f>
        <v>0</v>
      </c>
      <c r="R76" s="170">
        <f>IFERROR(__xludf.DUMMYFUNCTION("IFERROR(Q76 * (1 + AVERAGE(Filter('Inflation Data'!$C:$C,'Inflation Data'!$A:$A = R$1))) + 'Fund YTD Contributions'!R76,'Fund YTD Contributions'!R76)"),0.0)</f>
        <v>0</v>
      </c>
      <c r="S76" s="170">
        <f>IFERROR(__xludf.DUMMYFUNCTION("IFERROR(R76 * (1 + AVERAGE(Filter('Inflation Data'!$C:$C,'Inflation Data'!$A:$A = S$1))) + 'Fund YTD Contributions'!S76,'Fund YTD Contributions'!S76)"),0.0)</f>
        <v>0</v>
      </c>
      <c r="T76" s="170">
        <f>IFERROR(__xludf.DUMMYFUNCTION("IFERROR(S76 * (1 + AVERAGE(Filter('Inflation Data'!$C:$C,'Inflation Data'!$A:$A = T$1))) + 'Fund YTD Contributions'!T76,'Fund YTD Contributions'!T76)"),0.0)</f>
        <v>0</v>
      </c>
      <c r="U76" s="170">
        <f>IFERROR(__xludf.DUMMYFUNCTION("IFERROR(T76 * (1 + AVERAGE(Filter('Inflation Data'!$C:$C,'Inflation Data'!$A:$A = U$1))) + 'Fund YTD Contributions'!U76,'Fund YTD Contributions'!U76)"),0.0)</f>
        <v>0</v>
      </c>
      <c r="V76" s="170">
        <f>IFERROR(__xludf.DUMMYFUNCTION("IFERROR(U76 * (1 + AVERAGE(Filter('Inflation Data'!$C:$C,'Inflation Data'!$A:$A = V$1))) + 'Fund YTD Contributions'!V76,'Fund YTD Contributions'!V76)"),0.0)</f>
        <v>0</v>
      </c>
      <c r="W76" s="170">
        <f>IFERROR(__xludf.DUMMYFUNCTION("IFERROR(V76 * (1 + AVERAGE(Filter('Inflation Data'!$C:$C,'Inflation Data'!$A:$A = W$1))) + 'Fund YTD Contributions'!W76,'Fund YTD Contributions'!W76)"),0.0)</f>
        <v>0</v>
      </c>
      <c r="X76" s="170">
        <f>IFERROR(__xludf.DUMMYFUNCTION("IFERROR(W76 * (1 + AVERAGE(Filter('Inflation Data'!$C:$C,'Inflation Data'!$A:$A = X$1))) + 'Fund YTD Contributions'!X76,'Fund YTD Contributions'!X76)"),0.0)</f>
        <v>0</v>
      </c>
      <c r="Y76" s="170">
        <f>IFERROR(__xludf.DUMMYFUNCTION("IFERROR(X76 * (1 + AVERAGE(Filter('Inflation Data'!$C:$C,'Inflation Data'!$A:$A = Y$1))) + 'Fund YTD Contributions'!Y76,'Fund YTD Contributions'!Y76)"),0.0)</f>
        <v>0</v>
      </c>
      <c r="Z76" s="170">
        <f>IFERROR(__xludf.DUMMYFUNCTION("IFERROR(Y76 * (1 + AVERAGE(Filter('Inflation Data'!$C:$C,'Inflation Data'!$A:$A = Z$1))) + 'Fund YTD Contributions'!Z76,'Fund YTD Contributions'!Z76)"),0.0)</f>
        <v>0</v>
      </c>
      <c r="AA76" s="170">
        <f>IFERROR(__xludf.DUMMYFUNCTION("IFERROR(Z76 * (1 + AVERAGE(Filter('Inflation Data'!$C:$C,'Inflation Data'!$A:$A = AA$1))) + 'Fund YTD Contributions'!AA76,'Fund YTD Contributions'!AA76)"),0.0)</f>
        <v>0</v>
      </c>
      <c r="AB76" s="170">
        <f>IFERROR(__xludf.DUMMYFUNCTION("IFERROR(AA76 * (1 + AVERAGE(Filter('Inflation Data'!$C:$C,'Inflation Data'!$A:$A = AB$1))) + 'Fund YTD Contributions'!AB76,'Fund YTD Contributions'!AB76)"),0.0)</f>
        <v>0</v>
      </c>
      <c r="AC76" s="170">
        <f>IFERROR(__xludf.DUMMYFUNCTION("IFERROR(AB76 * (1 + AVERAGE(Filter('Inflation Data'!$C:$C,'Inflation Data'!$A:$A = AC$1))) + 'Fund YTD Contributions'!AC76,'Fund YTD Contributions'!AC76)"),0.0)</f>
        <v>0</v>
      </c>
      <c r="AD76" s="170">
        <f>IFERROR(__xludf.DUMMYFUNCTION("IFERROR(AC76 * (1 + AVERAGE(Filter('Inflation Data'!$C:$C,'Inflation Data'!$A:$A = AD$1))) + 'Fund YTD Contributions'!AD76,'Fund YTD Contributions'!AD76)"),0.0)</f>
        <v>0</v>
      </c>
      <c r="AE76" s="170">
        <f>IFERROR(__xludf.DUMMYFUNCTION("IFERROR(AD76 * (1 + AVERAGE(Filter('Inflation Data'!$C:$C,'Inflation Data'!$A:$A = AE$1))) + 'Fund YTD Contributions'!AE76,'Fund YTD Contributions'!AE76)"),0.0)</f>
        <v>0</v>
      </c>
      <c r="AF76" s="170" t="str">
        <f>IFERROR(__xludf.DUMMYFUNCTION("IFERROR(AE76 * (1 + AVERAGE(Filter('Inflation Data'!$C:$C,'Inflation Data'!$A:$A = AF$1))) + 'Fund YTD Contributions'!AF76,'Fund YTD Contributions'!AF76)"),"")</f>
        <v/>
      </c>
    </row>
    <row r="77">
      <c r="A77" s="145" t="str">
        <f>'Endowed Funds'!B:B</f>
        <v/>
      </c>
      <c r="B77" s="170">
        <f>IFERROR(__xludf.DUMMYFUNCTION("IFERROR(A77 * (1 + AVERAGE(Filter('Inflation Data'!$C:$C,'Inflation Data'!$A:$A = B$1))) + 'Fund YTD Contributions'!B77,'Fund YTD Contributions'!B77)"),0.0)</f>
        <v>0</v>
      </c>
      <c r="C77" s="170">
        <f>IFERROR(__xludf.DUMMYFUNCTION("IFERROR(B77 * (1 + AVERAGE(Filter('Inflation Data'!$C:$C,'Inflation Data'!$A:$A = C$1))) + 'Fund YTD Contributions'!C77,'Fund YTD Contributions'!C77)"),0.0)</f>
        <v>0</v>
      </c>
      <c r="D77" s="170">
        <f>IFERROR(__xludf.DUMMYFUNCTION("IFERROR(C77 * (1 + AVERAGE(Filter('Inflation Data'!$C:$C,'Inflation Data'!$A:$A = D$1))) + 'Fund YTD Contributions'!D77,'Fund YTD Contributions'!D77)"),0.0)</f>
        <v>0</v>
      </c>
      <c r="E77" s="170">
        <f>IFERROR(__xludf.DUMMYFUNCTION("IFERROR(D77 * (1 + AVERAGE(Filter('Inflation Data'!$C:$C,'Inflation Data'!$A:$A = E$1))) + 'Fund YTD Contributions'!E77,'Fund YTD Contributions'!E77)"),0.0)</f>
        <v>0</v>
      </c>
      <c r="F77" s="170">
        <f>IFERROR(__xludf.DUMMYFUNCTION("IFERROR(E77 * (1 + AVERAGE(Filter('Inflation Data'!$C:$C,'Inflation Data'!$A:$A = F$1))) + 'Fund YTD Contributions'!F77,'Fund YTD Contributions'!F77)"),0.0)</f>
        <v>0</v>
      </c>
      <c r="G77" s="170">
        <f>IFERROR(__xludf.DUMMYFUNCTION("IFERROR(F77 * (1 + AVERAGE(Filter('Inflation Data'!$C:$C,'Inflation Data'!$A:$A = G$1))) + 'Fund YTD Contributions'!G77,'Fund YTD Contributions'!G77)"),0.0)</f>
        <v>0</v>
      </c>
      <c r="H77" s="170">
        <f>IFERROR(__xludf.DUMMYFUNCTION("IFERROR(G77 * (1 + AVERAGE(Filter('Inflation Data'!$C:$C,'Inflation Data'!$A:$A = H$1))) + 'Fund YTD Contributions'!H77,'Fund YTD Contributions'!H77)"),0.0)</f>
        <v>0</v>
      </c>
      <c r="I77" s="170">
        <f>IFERROR(__xludf.DUMMYFUNCTION("IFERROR(H77 * (1 + AVERAGE(Filter('Inflation Data'!$C:$C,'Inflation Data'!$A:$A = I$1))) + 'Fund YTD Contributions'!I77,'Fund YTD Contributions'!I77)"),0.0)</f>
        <v>0</v>
      </c>
      <c r="J77" s="170">
        <f>IFERROR(__xludf.DUMMYFUNCTION("IFERROR(I77 * (1 + AVERAGE(Filter('Inflation Data'!$C:$C,'Inflation Data'!$A:$A = J$1))) + 'Fund YTD Contributions'!J77,'Fund YTD Contributions'!J77)"),0.0)</f>
        <v>0</v>
      </c>
      <c r="K77" s="170">
        <f>IFERROR(__xludf.DUMMYFUNCTION("IFERROR(J77 * (1 + AVERAGE(Filter('Inflation Data'!$C:$C,'Inflation Data'!$A:$A = K$1))) + 'Fund YTD Contributions'!K77,'Fund YTD Contributions'!K77)"),0.0)</f>
        <v>0</v>
      </c>
      <c r="L77" s="170">
        <f>IFERROR(__xludf.DUMMYFUNCTION("IFERROR(K77 * (1 + AVERAGE(Filter('Inflation Data'!$C:$C,'Inflation Data'!$A:$A = L$1))) + 'Fund YTD Contributions'!L77,'Fund YTD Contributions'!L77)"),0.0)</f>
        <v>0</v>
      </c>
      <c r="M77" s="170">
        <f>IFERROR(__xludf.DUMMYFUNCTION("IFERROR(L77 * (1 + AVERAGE(Filter('Inflation Data'!$C:$C,'Inflation Data'!$A:$A = M$1))) + 'Fund YTD Contributions'!M77,'Fund YTD Contributions'!M77)"),0.0)</f>
        <v>0</v>
      </c>
      <c r="N77" s="170">
        <f>IFERROR(__xludf.DUMMYFUNCTION("IFERROR(M77 * (1 + AVERAGE(Filter('Inflation Data'!$C:$C,'Inflation Data'!$A:$A = N$1))) + 'Fund YTD Contributions'!N77,'Fund YTD Contributions'!N77)"),0.0)</f>
        <v>0</v>
      </c>
      <c r="O77" s="170">
        <f>IFERROR(__xludf.DUMMYFUNCTION("IFERROR(N77 * (1 + AVERAGE(Filter('Inflation Data'!$C:$C,'Inflation Data'!$A:$A = O$1))) + 'Fund YTD Contributions'!O77,'Fund YTD Contributions'!O77)"),0.0)</f>
        <v>0</v>
      </c>
      <c r="P77" s="170">
        <f>IFERROR(__xludf.DUMMYFUNCTION("IFERROR(O77 * (1 + AVERAGE(Filter('Inflation Data'!$C:$C,'Inflation Data'!$A:$A = P$1))) + 'Fund YTD Contributions'!P77,'Fund YTD Contributions'!P77)"),0.0)</f>
        <v>0</v>
      </c>
      <c r="Q77" s="170">
        <f>IFERROR(__xludf.DUMMYFUNCTION("IFERROR(P77 * (1 + AVERAGE(Filter('Inflation Data'!$C:$C,'Inflation Data'!$A:$A = Q$1))) + 'Fund YTD Contributions'!Q77,'Fund YTD Contributions'!Q77)"),0.0)</f>
        <v>0</v>
      </c>
      <c r="R77" s="170">
        <f>IFERROR(__xludf.DUMMYFUNCTION("IFERROR(Q77 * (1 + AVERAGE(Filter('Inflation Data'!$C:$C,'Inflation Data'!$A:$A = R$1))) + 'Fund YTD Contributions'!R77,'Fund YTD Contributions'!R77)"),0.0)</f>
        <v>0</v>
      </c>
      <c r="S77" s="170">
        <f>IFERROR(__xludf.DUMMYFUNCTION("IFERROR(R77 * (1 + AVERAGE(Filter('Inflation Data'!$C:$C,'Inflation Data'!$A:$A = S$1))) + 'Fund YTD Contributions'!S77,'Fund YTD Contributions'!S77)"),0.0)</f>
        <v>0</v>
      </c>
      <c r="T77" s="170">
        <f>IFERROR(__xludf.DUMMYFUNCTION("IFERROR(S77 * (1 + AVERAGE(Filter('Inflation Data'!$C:$C,'Inflation Data'!$A:$A = T$1))) + 'Fund YTD Contributions'!T77,'Fund YTD Contributions'!T77)"),0.0)</f>
        <v>0</v>
      </c>
      <c r="U77" s="170">
        <f>IFERROR(__xludf.DUMMYFUNCTION("IFERROR(T77 * (1 + AVERAGE(Filter('Inflation Data'!$C:$C,'Inflation Data'!$A:$A = U$1))) + 'Fund YTD Contributions'!U77,'Fund YTD Contributions'!U77)"),0.0)</f>
        <v>0</v>
      </c>
      <c r="V77" s="170">
        <f>IFERROR(__xludf.DUMMYFUNCTION("IFERROR(U77 * (1 + AVERAGE(Filter('Inflation Data'!$C:$C,'Inflation Data'!$A:$A = V$1))) + 'Fund YTD Contributions'!V77,'Fund YTD Contributions'!V77)"),0.0)</f>
        <v>0</v>
      </c>
      <c r="W77" s="170">
        <f>IFERROR(__xludf.DUMMYFUNCTION("IFERROR(V77 * (1 + AVERAGE(Filter('Inflation Data'!$C:$C,'Inflation Data'!$A:$A = W$1))) + 'Fund YTD Contributions'!W77,'Fund YTD Contributions'!W77)"),0.0)</f>
        <v>0</v>
      </c>
      <c r="X77" s="170">
        <f>IFERROR(__xludf.DUMMYFUNCTION("IFERROR(W77 * (1 + AVERAGE(Filter('Inflation Data'!$C:$C,'Inflation Data'!$A:$A = X$1))) + 'Fund YTD Contributions'!X77,'Fund YTD Contributions'!X77)"),0.0)</f>
        <v>0</v>
      </c>
      <c r="Y77" s="170">
        <f>IFERROR(__xludf.DUMMYFUNCTION("IFERROR(X77 * (1 + AVERAGE(Filter('Inflation Data'!$C:$C,'Inflation Data'!$A:$A = Y$1))) + 'Fund YTD Contributions'!Y77,'Fund YTD Contributions'!Y77)"),0.0)</f>
        <v>0</v>
      </c>
      <c r="Z77" s="170">
        <f>IFERROR(__xludf.DUMMYFUNCTION("IFERROR(Y77 * (1 + AVERAGE(Filter('Inflation Data'!$C:$C,'Inflation Data'!$A:$A = Z$1))) + 'Fund YTD Contributions'!Z77,'Fund YTD Contributions'!Z77)"),0.0)</f>
        <v>0</v>
      </c>
      <c r="AA77" s="170">
        <f>IFERROR(__xludf.DUMMYFUNCTION("IFERROR(Z77 * (1 + AVERAGE(Filter('Inflation Data'!$C:$C,'Inflation Data'!$A:$A = AA$1))) + 'Fund YTD Contributions'!AA77,'Fund YTD Contributions'!AA77)"),0.0)</f>
        <v>0</v>
      </c>
      <c r="AB77" s="170">
        <f>IFERROR(__xludf.DUMMYFUNCTION("IFERROR(AA77 * (1 + AVERAGE(Filter('Inflation Data'!$C:$C,'Inflation Data'!$A:$A = AB$1))) + 'Fund YTD Contributions'!AB77,'Fund YTD Contributions'!AB77)"),0.0)</f>
        <v>0</v>
      </c>
      <c r="AC77" s="170">
        <f>IFERROR(__xludf.DUMMYFUNCTION("IFERROR(AB77 * (1 + AVERAGE(Filter('Inflation Data'!$C:$C,'Inflation Data'!$A:$A = AC$1))) + 'Fund YTD Contributions'!AC77,'Fund YTD Contributions'!AC77)"),0.0)</f>
        <v>0</v>
      </c>
      <c r="AD77" s="170">
        <f>IFERROR(__xludf.DUMMYFUNCTION("IFERROR(AC77 * (1 + AVERAGE(Filter('Inflation Data'!$C:$C,'Inflation Data'!$A:$A = AD$1))) + 'Fund YTD Contributions'!AD77,'Fund YTD Contributions'!AD77)"),0.0)</f>
        <v>0</v>
      </c>
      <c r="AE77" s="170">
        <f>IFERROR(__xludf.DUMMYFUNCTION("IFERROR(AD77 * (1 + AVERAGE(Filter('Inflation Data'!$C:$C,'Inflation Data'!$A:$A = AE$1))) + 'Fund YTD Contributions'!AE77,'Fund YTD Contributions'!AE77)"),0.0)</f>
        <v>0</v>
      </c>
      <c r="AF77" s="170" t="str">
        <f>IFERROR(__xludf.DUMMYFUNCTION("IFERROR(AE77 * (1 + AVERAGE(Filter('Inflation Data'!$C:$C,'Inflation Data'!$A:$A = AF$1))) + 'Fund YTD Contributions'!AF77,'Fund YTD Contributions'!AF77)"),"")</f>
        <v/>
      </c>
    </row>
    <row r="78">
      <c r="A78" s="145" t="str">
        <f>'Endowed Funds'!B:B</f>
        <v/>
      </c>
      <c r="B78" s="170">
        <f>IFERROR(__xludf.DUMMYFUNCTION("IFERROR(A78 * (1 + AVERAGE(Filter('Inflation Data'!$C:$C,'Inflation Data'!$A:$A = B$1))) + 'Fund YTD Contributions'!B78,'Fund YTD Contributions'!B78)"),0.0)</f>
        <v>0</v>
      </c>
      <c r="C78" s="170">
        <f>IFERROR(__xludf.DUMMYFUNCTION("IFERROR(B78 * (1 + AVERAGE(Filter('Inflation Data'!$C:$C,'Inflation Data'!$A:$A = C$1))) + 'Fund YTD Contributions'!C78,'Fund YTD Contributions'!C78)"),0.0)</f>
        <v>0</v>
      </c>
      <c r="D78" s="170">
        <f>IFERROR(__xludf.DUMMYFUNCTION("IFERROR(C78 * (1 + AVERAGE(Filter('Inflation Data'!$C:$C,'Inflation Data'!$A:$A = D$1))) + 'Fund YTD Contributions'!D78,'Fund YTD Contributions'!D78)"),0.0)</f>
        <v>0</v>
      </c>
      <c r="E78" s="170">
        <f>IFERROR(__xludf.DUMMYFUNCTION("IFERROR(D78 * (1 + AVERAGE(Filter('Inflation Data'!$C:$C,'Inflation Data'!$A:$A = E$1))) + 'Fund YTD Contributions'!E78,'Fund YTD Contributions'!E78)"),0.0)</f>
        <v>0</v>
      </c>
      <c r="F78" s="170">
        <f>IFERROR(__xludf.DUMMYFUNCTION("IFERROR(E78 * (1 + AVERAGE(Filter('Inflation Data'!$C:$C,'Inflation Data'!$A:$A = F$1))) + 'Fund YTD Contributions'!F78,'Fund YTD Contributions'!F78)"),0.0)</f>
        <v>0</v>
      </c>
      <c r="G78" s="170">
        <f>IFERROR(__xludf.DUMMYFUNCTION("IFERROR(F78 * (1 + AVERAGE(Filter('Inflation Data'!$C:$C,'Inflation Data'!$A:$A = G$1))) + 'Fund YTD Contributions'!G78,'Fund YTD Contributions'!G78)"),0.0)</f>
        <v>0</v>
      </c>
      <c r="H78" s="170">
        <f>IFERROR(__xludf.DUMMYFUNCTION("IFERROR(G78 * (1 + AVERAGE(Filter('Inflation Data'!$C:$C,'Inflation Data'!$A:$A = H$1))) + 'Fund YTD Contributions'!H78,'Fund YTD Contributions'!H78)"),0.0)</f>
        <v>0</v>
      </c>
      <c r="I78" s="170">
        <f>IFERROR(__xludf.DUMMYFUNCTION("IFERROR(H78 * (1 + AVERAGE(Filter('Inflation Data'!$C:$C,'Inflation Data'!$A:$A = I$1))) + 'Fund YTD Contributions'!I78,'Fund YTD Contributions'!I78)"),0.0)</f>
        <v>0</v>
      </c>
      <c r="J78" s="170">
        <f>IFERROR(__xludf.DUMMYFUNCTION("IFERROR(I78 * (1 + AVERAGE(Filter('Inflation Data'!$C:$C,'Inflation Data'!$A:$A = J$1))) + 'Fund YTD Contributions'!J78,'Fund YTD Contributions'!J78)"),0.0)</f>
        <v>0</v>
      </c>
      <c r="K78" s="170">
        <f>IFERROR(__xludf.DUMMYFUNCTION("IFERROR(J78 * (1 + AVERAGE(Filter('Inflation Data'!$C:$C,'Inflation Data'!$A:$A = K$1))) + 'Fund YTD Contributions'!K78,'Fund YTD Contributions'!K78)"),0.0)</f>
        <v>0</v>
      </c>
      <c r="L78" s="170">
        <f>IFERROR(__xludf.DUMMYFUNCTION("IFERROR(K78 * (1 + AVERAGE(Filter('Inflation Data'!$C:$C,'Inflation Data'!$A:$A = L$1))) + 'Fund YTD Contributions'!L78,'Fund YTD Contributions'!L78)"),0.0)</f>
        <v>0</v>
      </c>
      <c r="M78" s="170">
        <f>IFERROR(__xludf.DUMMYFUNCTION("IFERROR(L78 * (1 + AVERAGE(Filter('Inflation Data'!$C:$C,'Inflation Data'!$A:$A = M$1))) + 'Fund YTD Contributions'!M78,'Fund YTD Contributions'!M78)"),0.0)</f>
        <v>0</v>
      </c>
      <c r="N78" s="170">
        <f>IFERROR(__xludf.DUMMYFUNCTION("IFERROR(M78 * (1 + AVERAGE(Filter('Inflation Data'!$C:$C,'Inflation Data'!$A:$A = N$1))) + 'Fund YTD Contributions'!N78,'Fund YTD Contributions'!N78)"),0.0)</f>
        <v>0</v>
      </c>
      <c r="O78" s="170">
        <f>IFERROR(__xludf.DUMMYFUNCTION("IFERROR(N78 * (1 + AVERAGE(Filter('Inflation Data'!$C:$C,'Inflation Data'!$A:$A = O$1))) + 'Fund YTD Contributions'!O78,'Fund YTD Contributions'!O78)"),0.0)</f>
        <v>0</v>
      </c>
      <c r="P78" s="170">
        <f>IFERROR(__xludf.DUMMYFUNCTION("IFERROR(O78 * (1 + AVERAGE(Filter('Inflation Data'!$C:$C,'Inflation Data'!$A:$A = P$1))) + 'Fund YTD Contributions'!P78,'Fund YTD Contributions'!P78)"),0.0)</f>
        <v>0</v>
      </c>
      <c r="Q78" s="170">
        <f>IFERROR(__xludf.DUMMYFUNCTION("IFERROR(P78 * (1 + AVERAGE(Filter('Inflation Data'!$C:$C,'Inflation Data'!$A:$A = Q$1))) + 'Fund YTD Contributions'!Q78,'Fund YTD Contributions'!Q78)"),0.0)</f>
        <v>0</v>
      </c>
      <c r="R78" s="170">
        <f>IFERROR(__xludf.DUMMYFUNCTION("IFERROR(Q78 * (1 + AVERAGE(Filter('Inflation Data'!$C:$C,'Inflation Data'!$A:$A = R$1))) + 'Fund YTD Contributions'!R78,'Fund YTD Contributions'!R78)"),0.0)</f>
        <v>0</v>
      </c>
      <c r="S78" s="170">
        <f>IFERROR(__xludf.DUMMYFUNCTION("IFERROR(R78 * (1 + AVERAGE(Filter('Inflation Data'!$C:$C,'Inflation Data'!$A:$A = S$1))) + 'Fund YTD Contributions'!S78,'Fund YTD Contributions'!S78)"),0.0)</f>
        <v>0</v>
      </c>
      <c r="T78" s="170">
        <f>IFERROR(__xludf.DUMMYFUNCTION("IFERROR(S78 * (1 + AVERAGE(Filter('Inflation Data'!$C:$C,'Inflation Data'!$A:$A = T$1))) + 'Fund YTD Contributions'!T78,'Fund YTD Contributions'!T78)"),0.0)</f>
        <v>0</v>
      </c>
      <c r="U78" s="170">
        <f>IFERROR(__xludf.DUMMYFUNCTION("IFERROR(T78 * (1 + AVERAGE(Filter('Inflation Data'!$C:$C,'Inflation Data'!$A:$A = U$1))) + 'Fund YTD Contributions'!U78,'Fund YTD Contributions'!U78)"),0.0)</f>
        <v>0</v>
      </c>
      <c r="V78" s="170">
        <f>IFERROR(__xludf.DUMMYFUNCTION("IFERROR(U78 * (1 + AVERAGE(Filter('Inflation Data'!$C:$C,'Inflation Data'!$A:$A = V$1))) + 'Fund YTD Contributions'!V78,'Fund YTD Contributions'!V78)"),0.0)</f>
        <v>0</v>
      </c>
      <c r="W78" s="170">
        <f>IFERROR(__xludf.DUMMYFUNCTION("IFERROR(V78 * (1 + AVERAGE(Filter('Inflation Data'!$C:$C,'Inflation Data'!$A:$A = W$1))) + 'Fund YTD Contributions'!W78,'Fund YTD Contributions'!W78)"),0.0)</f>
        <v>0</v>
      </c>
      <c r="X78" s="170">
        <f>IFERROR(__xludf.DUMMYFUNCTION("IFERROR(W78 * (1 + AVERAGE(Filter('Inflation Data'!$C:$C,'Inflation Data'!$A:$A = X$1))) + 'Fund YTD Contributions'!X78,'Fund YTD Contributions'!X78)"),0.0)</f>
        <v>0</v>
      </c>
      <c r="Y78" s="170">
        <f>IFERROR(__xludf.DUMMYFUNCTION("IFERROR(X78 * (1 + AVERAGE(Filter('Inflation Data'!$C:$C,'Inflation Data'!$A:$A = Y$1))) + 'Fund YTD Contributions'!Y78,'Fund YTD Contributions'!Y78)"),0.0)</f>
        <v>0</v>
      </c>
      <c r="Z78" s="170">
        <f>IFERROR(__xludf.DUMMYFUNCTION("IFERROR(Y78 * (1 + AVERAGE(Filter('Inflation Data'!$C:$C,'Inflation Data'!$A:$A = Z$1))) + 'Fund YTD Contributions'!Z78,'Fund YTD Contributions'!Z78)"),0.0)</f>
        <v>0</v>
      </c>
      <c r="AA78" s="170">
        <f>IFERROR(__xludf.DUMMYFUNCTION("IFERROR(Z78 * (1 + AVERAGE(Filter('Inflation Data'!$C:$C,'Inflation Data'!$A:$A = AA$1))) + 'Fund YTD Contributions'!AA78,'Fund YTD Contributions'!AA78)"),0.0)</f>
        <v>0</v>
      </c>
      <c r="AB78" s="170">
        <f>IFERROR(__xludf.DUMMYFUNCTION("IFERROR(AA78 * (1 + AVERAGE(Filter('Inflation Data'!$C:$C,'Inflation Data'!$A:$A = AB$1))) + 'Fund YTD Contributions'!AB78,'Fund YTD Contributions'!AB78)"),0.0)</f>
        <v>0</v>
      </c>
      <c r="AC78" s="170">
        <f>IFERROR(__xludf.DUMMYFUNCTION("IFERROR(AB78 * (1 + AVERAGE(Filter('Inflation Data'!$C:$C,'Inflation Data'!$A:$A = AC$1))) + 'Fund YTD Contributions'!AC78,'Fund YTD Contributions'!AC78)"),0.0)</f>
        <v>0</v>
      </c>
      <c r="AD78" s="170">
        <f>IFERROR(__xludf.DUMMYFUNCTION("IFERROR(AC78 * (1 + AVERAGE(Filter('Inflation Data'!$C:$C,'Inflation Data'!$A:$A = AD$1))) + 'Fund YTD Contributions'!AD78,'Fund YTD Contributions'!AD78)"),0.0)</f>
        <v>0</v>
      </c>
      <c r="AE78" s="170">
        <f>IFERROR(__xludf.DUMMYFUNCTION("IFERROR(AD78 * (1 + AVERAGE(Filter('Inflation Data'!$C:$C,'Inflation Data'!$A:$A = AE$1))) + 'Fund YTD Contributions'!AE78,'Fund YTD Contributions'!AE78)"),0.0)</f>
        <v>0</v>
      </c>
      <c r="AF78" s="170" t="str">
        <f>IFERROR(__xludf.DUMMYFUNCTION("IFERROR(AE78 * (1 + AVERAGE(Filter('Inflation Data'!$C:$C,'Inflation Data'!$A:$A = AF$1))) + 'Fund YTD Contributions'!AF78,'Fund YTD Contributions'!AF78)"),"")</f>
        <v/>
      </c>
    </row>
    <row r="79">
      <c r="A79" s="145" t="str">
        <f>'Endowed Funds'!B:B</f>
        <v/>
      </c>
      <c r="B79" s="170">
        <f>IFERROR(__xludf.DUMMYFUNCTION("IFERROR(A79 * (1 + AVERAGE(Filter('Inflation Data'!$C:$C,'Inflation Data'!$A:$A = B$1))) + 'Fund YTD Contributions'!B79,'Fund YTD Contributions'!B79)"),0.0)</f>
        <v>0</v>
      </c>
      <c r="C79" s="170">
        <f>IFERROR(__xludf.DUMMYFUNCTION("IFERROR(B79 * (1 + AVERAGE(Filter('Inflation Data'!$C:$C,'Inflation Data'!$A:$A = C$1))) + 'Fund YTD Contributions'!C79,'Fund YTD Contributions'!C79)"),0.0)</f>
        <v>0</v>
      </c>
      <c r="D79" s="170">
        <f>IFERROR(__xludf.DUMMYFUNCTION("IFERROR(C79 * (1 + AVERAGE(Filter('Inflation Data'!$C:$C,'Inflation Data'!$A:$A = D$1))) + 'Fund YTD Contributions'!D79,'Fund YTD Contributions'!D79)"),0.0)</f>
        <v>0</v>
      </c>
      <c r="E79" s="170">
        <f>IFERROR(__xludf.DUMMYFUNCTION("IFERROR(D79 * (1 + AVERAGE(Filter('Inflation Data'!$C:$C,'Inflation Data'!$A:$A = E$1))) + 'Fund YTD Contributions'!E79,'Fund YTD Contributions'!E79)"),0.0)</f>
        <v>0</v>
      </c>
      <c r="F79" s="170">
        <f>IFERROR(__xludf.DUMMYFUNCTION("IFERROR(E79 * (1 + AVERAGE(Filter('Inflation Data'!$C:$C,'Inflation Data'!$A:$A = F$1))) + 'Fund YTD Contributions'!F79,'Fund YTD Contributions'!F79)"),0.0)</f>
        <v>0</v>
      </c>
      <c r="G79" s="170">
        <f>IFERROR(__xludf.DUMMYFUNCTION("IFERROR(F79 * (1 + AVERAGE(Filter('Inflation Data'!$C:$C,'Inflation Data'!$A:$A = G$1))) + 'Fund YTD Contributions'!G79,'Fund YTD Contributions'!G79)"),0.0)</f>
        <v>0</v>
      </c>
      <c r="H79" s="170">
        <f>IFERROR(__xludf.DUMMYFUNCTION("IFERROR(G79 * (1 + AVERAGE(Filter('Inflation Data'!$C:$C,'Inflation Data'!$A:$A = H$1))) + 'Fund YTD Contributions'!H79,'Fund YTD Contributions'!H79)"),0.0)</f>
        <v>0</v>
      </c>
      <c r="I79" s="170">
        <f>IFERROR(__xludf.DUMMYFUNCTION("IFERROR(H79 * (1 + AVERAGE(Filter('Inflation Data'!$C:$C,'Inflation Data'!$A:$A = I$1))) + 'Fund YTD Contributions'!I79,'Fund YTD Contributions'!I79)"),0.0)</f>
        <v>0</v>
      </c>
      <c r="J79" s="170">
        <f>IFERROR(__xludf.DUMMYFUNCTION("IFERROR(I79 * (1 + AVERAGE(Filter('Inflation Data'!$C:$C,'Inflation Data'!$A:$A = J$1))) + 'Fund YTD Contributions'!J79,'Fund YTD Contributions'!J79)"),0.0)</f>
        <v>0</v>
      </c>
      <c r="K79" s="170">
        <f>IFERROR(__xludf.DUMMYFUNCTION("IFERROR(J79 * (1 + AVERAGE(Filter('Inflation Data'!$C:$C,'Inflation Data'!$A:$A = K$1))) + 'Fund YTD Contributions'!K79,'Fund YTD Contributions'!K79)"),0.0)</f>
        <v>0</v>
      </c>
      <c r="L79" s="170">
        <f>IFERROR(__xludf.DUMMYFUNCTION("IFERROR(K79 * (1 + AVERAGE(Filter('Inflation Data'!$C:$C,'Inflation Data'!$A:$A = L$1))) + 'Fund YTD Contributions'!L79,'Fund YTD Contributions'!L79)"),0.0)</f>
        <v>0</v>
      </c>
      <c r="M79" s="170">
        <f>IFERROR(__xludf.DUMMYFUNCTION("IFERROR(L79 * (1 + AVERAGE(Filter('Inflation Data'!$C:$C,'Inflation Data'!$A:$A = M$1))) + 'Fund YTD Contributions'!M79,'Fund YTD Contributions'!M79)"),0.0)</f>
        <v>0</v>
      </c>
      <c r="N79" s="170">
        <f>IFERROR(__xludf.DUMMYFUNCTION("IFERROR(M79 * (1 + AVERAGE(Filter('Inflation Data'!$C:$C,'Inflation Data'!$A:$A = N$1))) + 'Fund YTD Contributions'!N79,'Fund YTD Contributions'!N79)"),0.0)</f>
        <v>0</v>
      </c>
      <c r="O79" s="170">
        <f>IFERROR(__xludf.DUMMYFUNCTION("IFERROR(N79 * (1 + AVERAGE(Filter('Inflation Data'!$C:$C,'Inflation Data'!$A:$A = O$1))) + 'Fund YTD Contributions'!O79,'Fund YTD Contributions'!O79)"),0.0)</f>
        <v>0</v>
      </c>
      <c r="P79" s="170">
        <f>IFERROR(__xludf.DUMMYFUNCTION("IFERROR(O79 * (1 + AVERAGE(Filter('Inflation Data'!$C:$C,'Inflation Data'!$A:$A = P$1))) + 'Fund YTD Contributions'!P79,'Fund YTD Contributions'!P79)"),0.0)</f>
        <v>0</v>
      </c>
      <c r="Q79" s="170">
        <f>IFERROR(__xludf.DUMMYFUNCTION("IFERROR(P79 * (1 + AVERAGE(Filter('Inflation Data'!$C:$C,'Inflation Data'!$A:$A = Q$1))) + 'Fund YTD Contributions'!Q79,'Fund YTD Contributions'!Q79)"),0.0)</f>
        <v>0</v>
      </c>
      <c r="R79" s="170">
        <f>IFERROR(__xludf.DUMMYFUNCTION("IFERROR(Q79 * (1 + AVERAGE(Filter('Inflation Data'!$C:$C,'Inflation Data'!$A:$A = R$1))) + 'Fund YTD Contributions'!R79,'Fund YTD Contributions'!R79)"),0.0)</f>
        <v>0</v>
      </c>
      <c r="S79" s="170">
        <f>IFERROR(__xludf.DUMMYFUNCTION("IFERROR(R79 * (1 + AVERAGE(Filter('Inflation Data'!$C:$C,'Inflation Data'!$A:$A = S$1))) + 'Fund YTD Contributions'!S79,'Fund YTD Contributions'!S79)"),0.0)</f>
        <v>0</v>
      </c>
      <c r="T79" s="170">
        <f>IFERROR(__xludf.DUMMYFUNCTION("IFERROR(S79 * (1 + AVERAGE(Filter('Inflation Data'!$C:$C,'Inflation Data'!$A:$A = T$1))) + 'Fund YTD Contributions'!T79,'Fund YTD Contributions'!T79)"),0.0)</f>
        <v>0</v>
      </c>
      <c r="U79" s="170">
        <f>IFERROR(__xludf.DUMMYFUNCTION("IFERROR(T79 * (1 + AVERAGE(Filter('Inflation Data'!$C:$C,'Inflation Data'!$A:$A = U$1))) + 'Fund YTD Contributions'!U79,'Fund YTD Contributions'!U79)"),0.0)</f>
        <v>0</v>
      </c>
      <c r="V79" s="170">
        <f>IFERROR(__xludf.DUMMYFUNCTION("IFERROR(U79 * (1 + AVERAGE(Filter('Inflation Data'!$C:$C,'Inflation Data'!$A:$A = V$1))) + 'Fund YTD Contributions'!V79,'Fund YTD Contributions'!V79)"),0.0)</f>
        <v>0</v>
      </c>
      <c r="W79" s="170">
        <f>IFERROR(__xludf.DUMMYFUNCTION("IFERROR(V79 * (1 + AVERAGE(Filter('Inflation Data'!$C:$C,'Inflation Data'!$A:$A = W$1))) + 'Fund YTD Contributions'!W79,'Fund YTD Contributions'!W79)"),0.0)</f>
        <v>0</v>
      </c>
      <c r="X79" s="170">
        <f>IFERROR(__xludf.DUMMYFUNCTION("IFERROR(W79 * (1 + AVERAGE(Filter('Inflation Data'!$C:$C,'Inflation Data'!$A:$A = X$1))) + 'Fund YTD Contributions'!X79,'Fund YTD Contributions'!X79)"),0.0)</f>
        <v>0</v>
      </c>
      <c r="Y79" s="170">
        <f>IFERROR(__xludf.DUMMYFUNCTION("IFERROR(X79 * (1 + AVERAGE(Filter('Inflation Data'!$C:$C,'Inflation Data'!$A:$A = Y$1))) + 'Fund YTD Contributions'!Y79,'Fund YTD Contributions'!Y79)"),0.0)</f>
        <v>0</v>
      </c>
      <c r="Z79" s="170">
        <f>IFERROR(__xludf.DUMMYFUNCTION("IFERROR(Y79 * (1 + AVERAGE(Filter('Inflation Data'!$C:$C,'Inflation Data'!$A:$A = Z$1))) + 'Fund YTD Contributions'!Z79,'Fund YTD Contributions'!Z79)"),0.0)</f>
        <v>0</v>
      </c>
      <c r="AA79" s="170">
        <f>IFERROR(__xludf.DUMMYFUNCTION("IFERROR(Z79 * (1 + AVERAGE(Filter('Inflation Data'!$C:$C,'Inflation Data'!$A:$A = AA$1))) + 'Fund YTD Contributions'!AA79,'Fund YTD Contributions'!AA79)"),0.0)</f>
        <v>0</v>
      </c>
      <c r="AB79" s="170">
        <f>IFERROR(__xludf.DUMMYFUNCTION("IFERROR(AA79 * (1 + AVERAGE(Filter('Inflation Data'!$C:$C,'Inflation Data'!$A:$A = AB$1))) + 'Fund YTD Contributions'!AB79,'Fund YTD Contributions'!AB79)"),0.0)</f>
        <v>0</v>
      </c>
      <c r="AC79" s="170">
        <f>IFERROR(__xludf.DUMMYFUNCTION("IFERROR(AB79 * (1 + AVERAGE(Filter('Inflation Data'!$C:$C,'Inflation Data'!$A:$A = AC$1))) + 'Fund YTD Contributions'!AC79,'Fund YTD Contributions'!AC79)"),0.0)</f>
        <v>0</v>
      </c>
      <c r="AD79" s="170">
        <f>IFERROR(__xludf.DUMMYFUNCTION("IFERROR(AC79 * (1 + AVERAGE(Filter('Inflation Data'!$C:$C,'Inflation Data'!$A:$A = AD$1))) + 'Fund YTD Contributions'!AD79,'Fund YTD Contributions'!AD79)"),0.0)</f>
        <v>0</v>
      </c>
      <c r="AE79" s="170">
        <f>IFERROR(__xludf.DUMMYFUNCTION("IFERROR(AD79 * (1 + AVERAGE(Filter('Inflation Data'!$C:$C,'Inflation Data'!$A:$A = AE$1))) + 'Fund YTD Contributions'!AE79,'Fund YTD Contributions'!AE79)"),0.0)</f>
        <v>0</v>
      </c>
      <c r="AF79" s="170" t="str">
        <f>IFERROR(__xludf.DUMMYFUNCTION("IFERROR(AE79 * (1 + AVERAGE(Filter('Inflation Data'!$C:$C,'Inflation Data'!$A:$A = AF$1))) + 'Fund YTD Contributions'!AF79,'Fund YTD Contributions'!AF79)"),"")</f>
        <v/>
      </c>
    </row>
    <row r="80">
      <c r="A80" s="145" t="str">
        <f>'Endowed Funds'!B:B</f>
        <v/>
      </c>
      <c r="B80" s="170">
        <f>IFERROR(__xludf.DUMMYFUNCTION("IFERROR(A80 * (1 + AVERAGE(Filter('Inflation Data'!$C:$C,'Inflation Data'!$A:$A = B$1))) + 'Fund YTD Contributions'!B80,'Fund YTD Contributions'!B80)"),0.0)</f>
        <v>0</v>
      </c>
      <c r="C80" s="170">
        <f>IFERROR(__xludf.DUMMYFUNCTION("IFERROR(B80 * (1 + AVERAGE(Filter('Inflation Data'!$C:$C,'Inflation Data'!$A:$A = C$1))) + 'Fund YTD Contributions'!C80,'Fund YTD Contributions'!C80)"),0.0)</f>
        <v>0</v>
      </c>
      <c r="D80" s="170">
        <f>IFERROR(__xludf.DUMMYFUNCTION("IFERROR(C80 * (1 + AVERAGE(Filter('Inflation Data'!$C:$C,'Inflation Data'!$A:$A = D$1))) + 'Fund YTD Contributions'!D80,'Fund YTD Contributions'!D80)"),0.0)</f>
        <v>0</v>
      </c>
      <c r="E80" s="170">
        <f>IFERROR(__xludf.DUMMYFUNCTION("IFERROR(D80 * (1 + AVERAGE(Filter('Inflation Data'!$C:$C,'Inflation Data'!$A:$A = E$1))) + 'Fund YTD Contributions'!E80,'Fund YTD Contributions'!E80)"),0.0)</f>
        <v>0</v>
      </c>
      <c r="F80" s="170">
        <f>IFERROR(__xludf.DUMMYFUNCTION("IFERROR(E80 * (1 + AVERAGE(Filter('Inflation Data'!$C:$C,'Inflation Data'!$A:$A = F$1))) + 'Fund YTD Contributions'!F80,'Fund YTD Contributions'!F80)"),0.0)</f>
        <v>0</v>
      </c>
      <c r="G80" s="170">
        <f>IFERROR(__xludf.DUMMYFUNCTION("IFERROR(F80 * (1 + AVERAGE(Filter('Inflation Data'!$C:$C,'Inflation Data'!$A:$A = G$1))) + 'Fund YTD Contributions'!G80,'Fund YTD Contributions'!G80)"),0.0)</f>
        <v>0</v>
      </c>
      <c r="H80" s="170">
        <f>IFERROR(__xludf.DUMMYFUNCTION("IFERROR(G80 * (1 + AVERAGE(Filter('Inflation Data'!$C:$C,'Inflation Data'!$A:$A = H$1))) + 'Fund YTD Contributions'!H80,'Fund YTD Contributions'!H80)"),0.0)</f>
        <v>0</v>
      </c>
      <c r="I80" s="170">
        <f>IFERROR(__xludf.DUMMYFUNCTION("IFERROR(H80 * (1 + AVERAGE(Filter('Inflation Data'!$C:$C,'Inflation Data'!$A:$A = I$1))) + 'Fund YTD Contributions'!I80,'Fund YTD Contributions'!I80)"),0.0)</f>
        <v>0</v>
      </c>
      <c r="J80" s="170">
        <f>IFERROR(__xludf.DUMMYFUNCTION("IFERROR(I80 * (1 + AVERAGE(Filter('Inflation Data'!$C:$C,'Inflation Data'!$A:$A = J$1))) + 'Fund YTD Contributions'!J80,'Fund YTD Contributions'!J80)"),0.0)</f>
        <v>0</v>
      </c>
      <c r="K80" s="170">
        <f>IFERROR(__xludf.DUMMYFUNCTION("IFERROR(J80 * (1 + AVERAGE(Filter('Inflation Data'!$C:$C,'Inflation Data'!$A:$A = K$1))) + 'Fund YTD Contributions'!K80,'Fund YTD Contributions'!K80)"),0.0)</f>
        <v>0</v>
      </c>
      <c r="L80" s="170">
        <f>IFERROR(__xludf.DUMMYFUNCTION("IFERROR(K80 * (1 + AVERAGE(Filter('Inflation Data'!$C:$C,'Inflation Data'!$A:$A = L$1))) + 'Fund YTD Contributions'!L80,'Fund YTD Contributions'!L80)"),0.0)</f>
        <v>0</v>
      </c>
      <c r="M80" s="170">
        <f>IFERROR(__xludf.DUMMYFUNCTION("IFERROR(L80 * (1 + AVERAGE(Filter('Inflation Data'!$C:$C,'Inflation Data'!$A:$A = M$1))) + 'Fund YTD Contributions'!M80,'Fund YTD Contributions'!M80)"),0.0)</f>
        <v>0</v>
      </c>
      <c r="N80" s="170">
        <f>IFERROR(__xludf.DUMMYFUNCTION("IFERROR(M80 * (1 + AVERAGE(Filter('Inflation Data'!$C:$C,'Inflation Data'!$A:$A = N$1))) + 'Fund YTD Contributions'!N80,'Fund YTD Contributions'!N80)"),0.0)</f>
        <v>0</v>
      </c>
      <c r="O80" s="170">
        <f>IFERROR(__xludf.DUMMYFUNCTION("IFERROR(N80 * (1 + AVERAGE(Filter('Inflation Data'!$C:$C,'Inflation Data'!$A:$A = O$1))) + 'Fund YTD Contributions'!O80,'Fund YTD Contributions'!O80)"),0.0)</f>
        <v>0</v>
      </c>
      <c r="P80" s="170">
        <f>IFERROR(__xludf.DUMMYFUNCTION("IFERROR(O80 * (1 + AVERAGE(Filter('Inflation Data'!$C:$C,'Inflation Data'!$A:$A = P$1))) + 'Fund YTD Contributions'!P80,'Fund YTD Contributions'!P80)"),0.0)</f>
        <v>0</v>
      </c>
      <c r="Q80" s="170">
        <f>IFERROR(__xludf.DUMMYFUNCTION("IFERROR(P80 * (1 + AVERAGE(Filter('Inflation Data'!$C:$C,'Inflation Data'!$A:$A = Q$1))) + 'Fund YTD Contributions'!Q80,'Fund YTD Contributions'!Q80)"),0.0)</f>
        <v>0</v>
      </c>
      <c r="R80" s="170">
        <f>IFERROR(__xludf.DUMMYFUNCTION("IFERROR(Q80 * (1 + AVERAGE(Filter('Inflation Data'!$C:$C,'Inflation Data'!$A:$A = R$1))) + 'Fund YTD Contributions'!R80,'Fund YTD Contributions'!R80)"),0.0)</f>
        <v>0</v>
      </c>
      <c r="S80" s="170">
        <f>IFERROR(__xludf.DUMMYFUNCTION("IFERROR(R80 * (1 + AVERAGE(Filter('Inflation Data'!$C:$C,'Inflation Data'!$A:$A = S$1))) + 'Fund YTD Contributions'!S80,'Fund YTD Contributions'!S80)"),0.0)</f>
        <v>0</v>
      </c>
      <c r="T80" s="170">
        <f>IFERROR(__xludf.DUMMYFUNCTION("IFERROR(S80 * (1 + AVERAGE(Filter('Inflation Data'!$C:$C,'Inflation Data'!$A:$A = T$1))) + 'Fund YTD Contributions'!T80,'Fund YTD Contributions'!T80)"),0.0)</f>
        <v>0</v>
      </c>
      <c r="U80" s="170">
        <f>IFERROR(__xludf.DUMMYFUNCTION("IFERROR(T80 * (1 + AVERAGE(Filter('Inflation Data'!$C:$C,'Inflation Data'!$A:$A = U$1))) + 'Fund YTD Contributions'!U80,'Fund YTD Contributions'!U80)"),0.0)</f>
        <v>0</v>
      </c>
      <c r="V80" s="170">
        <f>IFERROR(__xludf.DUMMYFUNCTION("IFERROR(U80 * (1 + AVERAGE(Filter('Inflation Data'!$C:$C,'Inflation Data'!$A:$A = V$1))) + 'Fund YTD Contributions'!V80,'Fund YTD Contributions'!V80)"),0.0)</f>
        <v>0</v>
      </c>
      <c r="W80" s="170">
        <f>IFERROR(__xludf.DUMMYFUNCTION("IFERROR(V80 * (1 + AVERAGE(Filter('Inflation Data'!$C:$C,'Inflation Data'!$A:$A = W$1))) + 'Fund YTD Contributions'!W80,'Fund YTD Contributions'!W80)"),0.0)</f>
        <v>0</v>
      </c>
      <c r="X80" s="170">
        <f>IFERROR(__xludf.DUMMYFUNCTION("IFERROR(W80 * (1 + AVERAGE(Filter('Inflation Data'!$C:$C,'Inflation Data'!$A:$A = X$1))) + 'Fund YTD Contributions'!X80,'Fund YTD Contributions'!X80)"),0.0)</f>
        <v>0</v>
      </c>
      <c r="Y80" s="170">
        <f>IFERROR(__xludf.DUMMYFUNCTION("IFERROR(X80 * (1 + AVERAGE(Filter('Inflation Data'!$C:$C,'Inflation Data'!$A:$A = Y$1))) + 'Fund YTD Contributions'!Y80,'Fund YTD Contributions'!Y80)"),0.0)</f>
        <v>0</v>
      </c>
      <c r="Z80" s="170">
        <f>IFERROR(__xludf.DUMMYFUNCTION("IFERROR(Y80 * (1 + AVERAGE(Filter('Inflation Data'!$C:$C,'Inflation Data'!$A:$A = Z$1))) + 'Fund YTD Contributions'!Z80,'Fund YTD Contributions'!Z80)"),0.0)</f>
        <v>0</v>
      </c>
      <c r="AA80" s="170">
        <f>IFERROR(__xludf.DUMMYFUNCTION("IFERROR(Z80 * (1 + AVERAGE(Filter('Inflation Data'!$C:$C,'Inflation Data'!$A:$A = AA$1))) + 'Fund YTD Contributions'!AA80,'Fund YTD Contributions'!AA80)"),0.0)</f>
        <v>0</v>
      </c>
      <c r="AB80" s="170">
        <f>IFERROR(__xludf.DUMMYFUNCTION("IFERROR(AA80 * (1 + AVERAGE(Filter('Inflation Data'!$C:$C,'Inflation Data'!$A:$A = AB$1))) + 'Fund YTD Contributions'!AB80,'Fund YTD Contributions'!AB80)"),0.0)</f>
        <v>0</v>
      </c>
      <c r="AC80" s="170">
        <f>IFERROR(__xludf.DUMMYFUNCTION("IFERROR(AB80 * (1 + AVERAGE(Filter('Inflation Data'!$C:$C,'Inflation Data'!$A:$A = AC$1))) + 'Fund YTD Contributions'!AC80,'Fund YTD Contributions'!AC80)"),0.0)</f>
        <v>0</v>
      </c>
      <c r="AD80" s="170">
        <f>IFERROR(__xludf.DUMMYFUNCTION("IFERROR(AC80 * (1 + AVERAGE(Filter('Inflation Data'!$C:$C,'Inflation Data'!$A:$A = AD$1))) + 'Fund YTD Contributions'!AD80,'Fund YTD Contributions'!AD80)"),0.0)</f>
        <v>0</v>
      </c>
      <c r="AE80" s="170">
        <f>IFERROR(__xludf.DUMMYFUNCTION("IFERROR(AD80 * (1 + AVERAGE(Filter('Inflation Data'!$C:$C,'Inflation Data'!$A:$A = AE$1))) + 'Fund YTD Contributions'!AE80,'Fund YTD Contributions'!AE80)"),0.0)</f>
        <v>0</v>
      </c>
      <c r="AF80" s="170" t="str">
        <f>IFERROR(__xludf.DUMMYFUNCTION("IFERROR(AE80 * (1 + AVERAGE(Filter('Inflation Data'!$C:$C,'Inflation Data'!$A:$A = AF$1))) + 'Fund YTD Contributions'!AF80,'Fund YTD Contributions'!AF80)"),"")</f>
        <v/>
      </c>
    </row>
    <row r="81">
      <c r="A81" s="145" t="str">
        <f>'Endowed Funds'!B:B</f>
        <v/>
      </c>
      <c r="B81" s="170">
        <f>IFERROR(__xludf.DUMMYFUNCTION("IFERROR(A81 * (1 + AVERAGE(Filter('Inflation Data'!$C:$C,'Inflation Data'!$A:$A = B$1))) + 'Fund YTD Contributions'!B81,'Fund YTD Contributions'!B81)"),0.0)</f>
        <v>0</v>
      </c>
      <c r="C81" s="170">
        <f>IFERROR(__xludf.DUMMYFUNCTION("IFERROR(B81 * (1 + AVERAGE(Filter('Inflation Data'!$C:$C,'Inflation Data'!$A:$A = C$1))) + 'Fund YTD Contributions'!C81,'Fund YTD Contributions'!C81)"),0.0)</f>
        <v>0</v>
      </c>
      <c r="D81" s="170">
        <f>IFERROR(__xludf.DUMMYFUNCTION("IFERROR(C81 * (1 + AVERAGE(Filter('Inflation Data'!$C:$C,'Inflation Data'!$A:$A = D$1))) + 'Fund YTD Contributions'!D81,'Fund YTD Contributions'!D81)"),0.0)</f>
        <v>0</v>
      </c>
      <c r="E81" s="170">
        <f>IFERROR(__xludf.DUMMYFUNCTION("IFERROR(D81 * (1 + AVERAGE(Filter('Inflation Data'!$C:$C,'Inflation Data'!$A:$A = E$1))) + 'Fund YTD Contributions'!E81,'Fund YTD Contributions'!E81)"),0.0)</f>
        <v>0</v>
      </c>
      <c r="F81" s="170">
        <f>IFERROR(__xludf.DUMMYFUNCTION("IFERROR(E81 * (1 + AVERAGE(Filter('Inflation Data'!$C:$C,'Inflation Data'!$A:$A = F$1))) + 'Fund YTD Contributions'!F81,'Fund YTD Contributions'!F81)"),0.0)</f>
        <v>0</v>
      </c>
      <c r="G81" s="170">
        <f>IFERROR(__xludf.DUMMYFUNCTION("IFERROR(F81 * (1 + AVERAGE(Filter('Inflation Data'!$C:$C,'Inflation Data'!$A:$A = G$1))) + 'Fund YTD Contributions'!G81,'Fund YTD Contributions'!G81)"),0.0)</f>
        <v>0</v>
      </c>
      <c r="H81" s="170">
        <f>IFERROR(__xludf.DUMMYFUNCTION("IFERROR(G81 * (1 + AVERAGE(Filter('Inflation Data'!$C:$C,'Inflation Data'!$A:$A = H$1))) + 'Fund YTD Contributions'!H81,'Fund YTD Contributions'!H81)"),0.0)</f>
        <v>0</v>
      </c>
      <c r="I81" s="170">
        <f>IFERROR(__xludf.DUMMYFUNCTION("IFERROR(H81 * (1 + AVERAGE(Filter('Inflation Data'!$C:$C,'Inflation Data'!$A:$A = I$1))) + 'Fund YTD Contributions'!I81,'Fund YTD Contributions'!I81)"),0.0)</f>
        <v>0</v>
      </c>
      <c r="J81" s="170">
        <f>IFERROR(__xludf.DUMMYFUNCTION("IFERROR(I81 * (1 + AVERAGE(Filter('Inflation Data'!$C:$C,'Inflation Data'!$A:$A = J$1))) + 'Fund YTD Contributions'!J81,'Fund YTD Contributions'!J81)"),0.0)</f>
        <v>0</v>
      </c>
      <c r="K81" s="170">
        <f>IFERROR(__xludf.DUMMYFUNCTION("IFERROR(J81 * (1 + AVERAGE(Filter('Inflation Data'!$C:$C,'Inflation Data'!$A:$A = K$1))) + 'Fund YTD Contributions'!K81,'Fund YTD Contributions'!K81)"),0.0)</f>
        <v>0</v>
      </c>
      <c r="L81" s="170">
        <f>IFERROR(__xludf.DUMMYFUNCTION("IFERROR(K81 * (1 + AVERAGE(Filter('Inflation Data'!$C:$C,'Inflation Data'!$A:$A = L$1))) + 'Fund YTD Contributions'!L81,'Fund YTD Contributions'!L81)"),0.0)</f>
        <v>0</v>
      </c>
      <c r="M81" s="170">
        <f>IFERROR(__xludf.DUMMYFUNCTION("IFERROR(L81 * (1 + AVERAGE(Filter('Inflation Data'!$C:$C,'Inflation Data'!$A:$A = M$1))) + 'Fund YTD Contributions'!M81,'Fund YTD Contributions'!M81)"),0.0)</f>
        <v>0</v>
      </c>
      <c r="N81" s="170">
        <f>IFERROR(__xludf.DUMMYFUNCTION("IFERROR(M81 * (1 + AVERAGE(Filter('Inflation Data'!$C:$C,'Inflation Data'!$A:$A = N$1))) + 'Fund YTD Contributions'!N81,'Fund YTD Contributions'!N81)"),0.0)</f>
        <v>0</v>
      </c>
      <c r="O81" s="170">
        <f>IFERROR(__xludf.DUMMYFUNCTION("IFERROR(N81 * (1 + AVERAGE(Filter('Inflation Data'!$C:$C,'Inflation Data'!$A:$A = O$1))) + 'Fund YTD Contributions'!O81,'Fund YTD Contributions'!O81)"),0.0)</f>
        <v>0</v>
      </c>
      <c r="P81" s="170">
        <f>IFERROR(__xludf.DUMMYFUNCTION("IFERROR(O81 * (1 + AVERAGE(Filter('Inflation Data'!$C:$C,'Inflation Data'!$A:$A = P$1))) + 'Fund YTD Contributions'!P81,'Fund YTD Contributions'!P81)"),0.0)</f>
        <v>0</v>
      </c>
      <c r="Q81" s="170">
        <f>IFERROR(__xludf.DUMMYFUNCTION("IFERROR(P81 * (1 + AVERAGE(Filter('Inflation Data'!$C:$C,'Inflation Data'!$A:$A = Q$1))) + 'Fund YTD Contributions'!Q81,'Fund YTD Contributions'!Q81)"),0.0)</f>
        <v>0</v>
      </c>
      <c r="R81" s="170">
        <f>IFERROR(__xludf.DUMMYFUNCTION("IFERROR(Q81 * (1 + AVERAGE(Filter('Inflation Data'!$C:$C,'Inflation Data'!$A:$A = R$1))) + 'Fund YTD Contributions'!R81,'Fund YTD Contributions'!R81)"),0.0)</f>
        <v>0</v>
      </c>
      <c r="S81" s="170">
        <f>IFERROR(__xludf.DUMMYFUNCTION("IFERROR(R81 * (1 + AVERAGE(Filter('Inflation Data'!$C:$C,'Inflation Data'!$A:$A = S$1))) + 'Fund YTD Contributions'!S81,'Fund YTD Contributions'!S81)"),0.0)</f>
        <v>0</v>
      </c>
      <c r="T81" s="170">
        <f>IFERROR(__xludf.DUMMYFUNCTION("IFERROR(S81 * (1 + AVERAGE(Filter('Inflation Data'!$C:$C,'Inflation Data'!$A:$A = T$1))) + 'Fund YTD Contributions'!T81,'Fund YTD Contributions'!T81)"),0.0)</f>
        <v>0</v>
      </c>
      <c r="U81" s="170">
        <f>IFERROR(__xludf.DUMMYFUNCTION("IFERROR(T81 * (1 + AVERAGE(Filter('Inflation Data'!$C:$C,'Inflation Data'!$A:$A = U$1))) + 'Fund YTD Contributions'!U81,'Fund YTD Contributions'!U81)"),0.0)</f>
        <v>0</v>
      </c>
      <c r="V81" s="170">
        <f>IFERROR(__xludf.DUMMYFUNCTION("IFERROR(U81 * (1 + AVERAGE(Filter('Inflation Data'!$C:$C,'Inflation Data'!$A:$A = V$1))) + 'Fund YTD Contributions'!V81,'Fund YTD Contributions'!V81)"),0.0)</f>
        <v>0</v>
      </c>
      <c r="W81" s="170">
        <f>IFERROR(__xludf.DUMMYFUNCTION("IFERROR(V81 * (1 + AVERAGE(Filter('Inflation Data'!$C:$C,'Inflation Data'!$A:$A = W$1))) + 'Fund YTD Contributions'!W81,'Fund YTD Contributions'!W81)"),0.0)</f>
        <v>0</v>
      </c>
      <c r="X81" s="170">
        <f>IFERROR(__xludf.DUMMYFUNCTION("IFERROR(W81 * (1 + AVERAGE(Filter('Inflation Data'!$C:$C,'Inflation Data'!$A:$A = X$1))) + 'Fund YTD Contributions'!X81,'Fund YTD Contributions'!X81)"),0.0)</f>
        <v>0</v>
      </c>
      <c r="Y81" s="170">
        <f>IFERROR(__xludf.DUMMYFUNCTION("IFERROR(X81 * (1 + AVERAGE(Filter('Inflation Data'!$C:$C,'Inflation Data'!$A:$A = Y$1))) + 'Fund YTD Contributions'!Y81,'Fund YTD Contributions'!Y81)"),0.0)</f>
        <v>0</v>
      </c>
      <c r="Z81" s="170">
        <f>IFERROR(__xludf.DUMMYFUNCTION("IFERROR(Y81 * (1 + AVERAGE(Filter('Inflation Data'!$C:$C,'Inflation Data'!$A:$A = Z$1))) + 'Fund YTD Contributions'!Z81,'Fund YTD Contributions'!Z81)"),0.0)</f>
        <v>0</v>
      </c>
      <c r="AA81" s="170">
        <f>IFERROR(__xludf.DUMMYFUNCTION("IFERROR(Z81 * (1 + AVERAGE(Filter('Inflation Data'!$C:$C,'Inflation Data'!$A:$A = AA$1))) + 'Fund YTD Contributions'!AA81,'Fund YTD Contributions'!AA81)"),0.0)</f>
        <v>0</v>
      </c>
      <c r="AB81" s="170">
        <f>IFERROR(__xludf.DUMMYFUNCTION("IFERROR(AA81 * (1 + AVERAGE(Filter('Inflation Data'!$C:$C,'Inflation Data'!$A:$A = AB$1))) + 'Fund YTD Contributions'!AB81,'Fund YTD Contributions'!AB81)"),0.0)</f>
        <v>0</v>
      </c>
      <c r="AC81" s="170">
        <f>IFERROR(__xludf.DUMMYFUNCTION("IFERROR(AB81 * (1 + AVERAGE(Filter('Inflation Data'!$C:$C,'Inflation Data'!$A:$A = AC$1))) + 'Fund YTD Contributions'!AC81,'Fund YTD Contributions'!AC81)"),0.0)</f>
        <v>0</v>
      </c>
      <c r="AD81" s="170">
        <f>IFERROR(__xludf.DUMMYFUNCTION("IFERROR(AC81 * (1 + AVERAGE(Filter('Inflation Data'!$C:$C,'Inflation Data'!$A:$A = AD$1))) + 'Fund YTD Contributions'!AD81,'Fund YTD Contributions'!AD81)"),0.0)</f>
        <v>0</v>
      </c>
      <c r="AE81" s="170">
        <f>IFERROR(__xludf.DUMMYFUNCTION("IFERROR(AD81 * (1 + AVERAGE(Filter('Inflation Data'!$C:$C,'Inflation Data'!$A:$A = AE$1))) + 'Fund YTD Contributions'!AE81,'Fund YTD Contributions'!AE81)"),0.0)</f>
        <v>0</v>
      </c>
      <c r="AF81" s="170" t="str">
        <f>IFERROR(__xludf.DUMMYFUNCTION("IFERROR(AE81 * (1 + AVERAGE(Filter('Inflation Data'!$C:$C,'Inflation Data'!$A:$A = AF$1))) + 'Fund YTD Contributions'!AF81,'Fund YTD Contributions'!AF81)"),"")</f>
        <v/>
      </c>
    </row>
    <row r="82">
      <c r="A82" s="145" t="str">
        <f>'Endowed Funds'!B:B</f>
        <v/>
      </c>
      <c r="B82" s="170">
        <f>IFERROR(__xludf.DUMMYFUNCTION("IFERROR(A82 * (1 + AVERAGE(Filter('Inflation Data'!$C:$C,'Inflation Data'!$A:$A = B$1))) + 'Fund YTD Contributions'!B82,'Fund YTD Contributions'!B82)"),0.0)</f>
        <v>0</v>
      </c>
      <c r="C82" s="170">
        <f>IFERROR(__xludf.DUMMYFUNCTION("IFERROR(B82 * (1 + AVERAGE(Filter('Inflation Data'!$C:$C,'Inflation Data'!$A:$A = C$1))) + 'Fund YTD Contributions'!C82,'Fund YTD Contributions'!C82)"),0.0)</f>
        <v>0</v>
      </c>
      <c r="D82" s="170">
        <f>IFERROR(__xludf.DUMMYFUNCTION("IFERROR(C82 * (1 + AVERAGE(Filter('Inflation Data'!$C:$C,'Inflation Data'!$A:$A = D$1))) + 'Fund YTD Contributions'!D82,'Fund YTD Contributions'!D82)"),0.0)</f>
        <v>0</v>
      </c>
      <c r="E82" s="170">
        <f>IFERROR(__xludf.DUMMYFUNCTION("IFERROR(D82 * (1 + AVERAGE(Filter('Inflation Data'!$C:$C,'Inflation Data'!$A:$A = E$1))) + 'Fund YTD Contributions'!E82,'Fund YTD Contributions'!E82)"),0.0)</f>
        <v>0</v>
      </c>
      <c r="F82" s="170">
        <f>IFERROR(__xludf.DUMMYFUNCTION("IFERROR(E82 * (1 + AVERAGE(Filter('Inflation Data'!$C:$C,'Inflation Data'!$A:$A = F$1))) + 'Fund YTD Contributions'!F82,'Fund YTD Contributions'!F82)"),0.0)</f>
        <v>0</v>
      </c>
      <c r="G82" s="170">
        <f>IFERROR(__xludf.DUMMYFUNCTION("IFERROR(F82 * (1 + AVERAGE(Filter('Inflation Data'!$C:$C,'Inflation Data'!$A:$A = G$1))) + 'Fund YTD Contributions'!G82,'Fund YTD Contributions'!G82)"),0.0)</f>
        <v>0</v>
      </c>
      <c r="H82" s="170">
        <f>IFERROR(__xludf.DUMMYFUNCTION("IFERROR(G82 * (1 + AVERAGE(Filter('Inflation Data'!$C:$C,'Inflation Data'!$A:$A = H$1))) + 'Fund YTD Contributions'!H82,'Fund YTD Contributions'!H82)"),0.0)</f>
        <v>0</v>
      </c>
      <c r="I82" s="170">
        <f>IFERROR(__xludf.DUMMYFUNCTION("IFERROR(H82 * (1 + AVERAGE(Filter('Inflation Data'!$C:$C,'Inflation Data'!$A:$A = I$1))) + 'Fund YTD Contributions'!I82,'Fund YTD Contributions'!I82)"),0.0)</f>
        <v>0</v>
      </c>
      <c r="J82" s="170">
        <f>IFERROR(__xludf.DUMMYFUNCTION("IFERROR(I82 * (1 + AVERAGE(Filter('Inflation Data'!$C:$C,'Inflation Data'!$A:$A = J$1))) + 'Fund YTD Contributions'!J82,'Fund YTD Contributions'!J82)"),0.0)</f>
        <v>0</v>
      </c>
      <c r="K82" s="170">
        <f>IFERROR(__xludf.DUMMYFUNCTION("IFERROR(J82 * (1 + AVERAGE(Filter('Inflation Data'!$C:$C,'Inflation Data'!$A:$A = K$1))) + 'Fund YTD Contributions'!K82,'Fund YTD Contributions'!K82)"),0.0)</f>
        <v>0</v>
      </c>
      <c r="L82" s="170">
        <f>IFERROR(__xludf.DUMMYFUNCTION("IFERROR(K82 * (1 + AVERAGE(Filter('Inflation Data'!$C:$C,'Inflation Data'!$A:$A = L$1))) + 'Fund YTD Contributions'!L82,'Fund YTD Contributions'!L82)"),0.0)</f>
        <v>0</v>
      </c>
      <c r="M82" s="170">
        <f>IFERROR(__xludf.DUMMYFUNCTION("IFERROR(L82 * (1 + AVERAGE(Filter('Inflation Data'!$C:$C,'Inflation Data'!$A:$A = M$1))) + 'Fund YTD Contributions'!M82,'Fund YTD Contributions'!M82)"),0.0)</f>
        <v>0</v>
      </c>
      <c r="N82" s="170">
        <f>IFERROR(__xludf.DUMMYFUNCTION("IFERROR(M82 * (1 + AVERAGE(Filter('Inflation Data'!$C:$C,'Inflation Data'!$A:$A = N$1))) + 'Fund YTD Contributions'!N82,'Fund YTD Contributions'!N82)"),0.0)</f>
        <v>0</v>
      </c>
      <c r="O82" s="170">
        <f>IFERROR(__xludf.DUMMYFUNCTION("IFERROR(N82 * (1 + AVERAGE(Filter('Inflation Data'!$C:$C,'Inflation Data'!$A:$A = O$1))) + 'Fund YTD Contributions'!O82,'Fund YTD Contributions'!O82)"),0.0)</f>
        <v>0</v>
      </c>
      <c r="P82" s="170">
        <f>IFERROR(__xludf.DUMMYFUNCTION("IFERROR(O82 * (1 + AVERAGE(Filter('Inflation Data'!$C:$C,'Inflation Data'!$A:$A = P$1))) + 'Fund YTD Contributions'!P82,'Fund YTD Contributions'!P82)"),0.0)</f>
        <v>0</v>
      </c>
      <c r="Q82" s="170">
        <f>IFERROR(__xludf.DUMMYFUNCTION("IFERROR(P82 * (1 + AVERAGE(Filter('Inflation Data'!$C:$C,'Inflation Data'!$A:$A = Q$1))) + 'Fund YTD Contributions'!Q82,'Fund YTD Contributions'!Q82)"),0.0)</f>
        <v>0</v>
      </c>
      <c r="R82" s="170">
        <f>IFERROR(__xludf.DUMMYFUNCTION("IFERROR(Q82 * (1 + AVERAGE(Filter('Inflation Data'!$C:$C,'Inflation Data'!$A:$A = R$1))) + 'Fund YTD Contributions'!R82,'Fund YTD Contributions'!R82)"),0.0)</f>
        <v>0</v>
      </c>
      <c r="S82" s="170">
        <f>IFERROR(__xludf.DUMMYFUNCTION("IFERROR(R82 * (1 + AVERAGE(Filter('Inflation Data'!$C:$C,'Inflation Data'!$A:$A = S$1))) + 'Fund YTD Contributions'!S82,'Fund YTD Contributions'!S82)"),0.0)</f>
        <v>0</v>
      </c>
      <c r="T82" s="170">
        <f>IFERROR(__xludf.DUMMYFUNCTION("IFERROR(S82 * (1 + AVERAGE(Filter('Inflation Data'!$C:$C,'Inflation Data'!$A:$A = T$1))) + 'Fund YTD Contributions'!T82,'Fund YTD Contributions'!T82)"),0.0)</f>
        <v>0</v>
      </c>
      <c r="U82" s="170">
        <f>IFERROR(__xludf.DUMMYFUNCTION("IFERROR(T82 * (1 + AVERAGE(Filter('Inflation Data'!$C:$C,'Inflation Data'!$A:$A = U$1))) + 'Fund YTD Contributions'!U82,'Fund YTD Contributions'!U82)"),0.0)</f>
        <v>0</v>
      </c>
      <c r="V82" s="170">
        <f>IFERROR(__xludf.DUMMYFUNCTION("IFERROR(U82 * (1 + AVERAGE(Filter('Inflation Data'!$C:$C,'Inflation Data'!$A:$A = V$1))) + 'Fund YTD Contributions'!V82,'Fund YTD Contributions'!V82)"),0.0)</f>
        <v>0</v>
      </c>
      <c r="W82" s="170">
        <f>IFERROR(__xludf.DUMMYFUNCTION("IFERROR(V82 * (1 + AVERAGE(Filter('Inflation Data'!$C:$C,'Inflation Data'!$A:$A = W$1))) + 'Fund YTD Contributions'!W82,'Fund YTD Contributions'!W82)"),0.0)</f>
        <v>0</v>
      </c>
      <c r="X82" s="170">
        <f>IFERROR(__xludf.DUMMYFUNCTION("IFERROR(W82 * (1 + AVERAGE(Filter('Inflation Data'!$C:$C,'Inflation Data'!$A:$A = X$1))) + 'Fund YTD Contributions'!X82,'Fund YTD Contributions'!X82)"),0.0)</f>
        <v>0</v>
      </c>
      <c r="Y82" s="170">
        <f>IFERROR(__xludf.DUMMYFUNCTION("IFERROR(X82 * (1 + AVERAGE(Filter('Inflation Data'!$C:$C,'Inflation Data'!$A:$A = Y$1))) + 'Fund YTD Contributions'!Y82,'Fund YTD Contributions'!Y82)"),0.0)</f>
        <v>0</v>
      </c>
      <c r="Z82" s="170">
        <f>IFERROR(__xludf.DUMMYFUNCTION("IFERROR(Y82 * (1 + AVERAGE(Filter('Inflation Data'!$C:$C,'Inflation Data'!$A:$A = Z$1))) + 'Fund YTD Contributions'!Z82,'Fund YTD Contributions'!Z82)"),0.0)</f>
        <v>0</v>
      </c>
      <c r="AA82" s="170">
        <f>IFERROR(__xludf.DUMMYFUNCTION("IFERROR(Z82 * (1 + AVERAGE(Filter('Inflation Data'!$C:$C,'Inflation Data'!$A:$A = AA$1))) + 'Fund YTD Contributions'!AA82,'Fund YTD Contributions'!AA82)"),0.0)</f>
        <v>0</v>
      </c>
      <c r="AB82" s="170">
        <f>IFERROR(__xludf.DUMMYFUNCTION("IFERROR(AA82 * (1 + AVERAGE(Filter('Inflation Data'!$C:$C,'Inflation Data'!$A:$A = AB$1))) + 'Fund YTD Contributions'!AB82,'Fund YTD Contributions'!AB82)"),0.0)</f>
        <v>0</v>
      </c>
      <c r="AC82" s="170">
        <f>IFERROR(__xludf.DUMMYFUNCTION("IFERROR(AB82 * (1 + AVERAGE(Filter('Inflation Data'!$C:$C,'Inflation Data'!$A:$A = AC$1))) + 'Fund YTD Contributions'!AC82,'Fund YTD Contributions'!AC82)"),0.0)</f>
        <v>0</v>
      </c>
      <c r="AD82" s="170">
        <f>IFERROR(__xludf.DUMMYFUNCTION("IFERROR(AC82 * (1 + AVERAGE(Filter('Inflation Data'!$C:$C,'Inflation Data'!$A:$A = AD$1))) + 'Fund YTD Contributions'!AD82,'Fund YTD Contributions'!AD82)"),0.0)</f>
        <v>0</v>
      </c>
      <c r="AE82" s="170">
        <f>IFERROR(__xludf.DUMMYFUNCTION("IFERROR(AD82 * (1 + AVERAGE(Filter('Inflation Data'!$C:$C,'Inflation Data'!$A:$A = AE$1))) + 'Fund YTD Contributions'!AE82,'Fund YTD Contributions'!AE82)"),0.0)</f>
        <v>0</v>
      </c>
      <c r="AF82" s="170" t="str">
        <f>IFERROR(__xludf.DUMMYFUNCTION("IFERROR(AE82 * (1 + AVERAGE(Filter('Inflation Data'!$C:$C,'Inflation Data'!$A:$A = AF$1))) + 'Fund YTD Contributions'!AF82,'Fund YTD Contributions'!AF82)"),"")</f>
        <v/>
      </c>
    </row>
    <row r="83">
      <c r="A83" s="145" t="str">
        <f>'Endowed Funds'!B:B</f>
        <v/>
      </c>
      <c r="B83" s="170">
        <f>IFERROR(__xludf.DUMMYFUNCTION("IFERROR(A83 * (1 + AVERAGE(Filter('Inflation Data'!$C:$C,'Inflation Data'!$A:$A = B$1))) + 'Fund YTD Contributions'!B83,'Fund YTD Contributions'!B83)"),0.0)</f>
        <v>0</v>
      </c>
      <c r="C83" s="170">
        <f>IFERROR(__xludf.DUMMYFUNCTION("IFERROR(B83 * (1 + AVERAGE(Filter('Inflation Data'!$C:$C,'Inflation Data'!$A:$A = C$1))) + 'Fund YTD Contributions'!C83,'Fund YTD Contributions'!C83)"),0.0)</f>
        <v>0</v>
      </c>
      <c r="D83" s="170">
        <f>IFERROR(__xludf.DUMMYFUNCTION("IFERROR(C83 * (1 + AVERAGE(Filter('Inflation Data'!$C:$C,'Inflation Data'!$A:$A = D$1))) + 'Fund YTD Contributions'!D83,'Fund YTD Contributions'!D83)"),0.0)</f>
        <v>0</v>
      </c>
      <c r="E83" s="170">
        <f>IFERROR(__xludf.DUMMYFUNCTION("IFERROR(D83 * (1 + AVERAGE(Filter('Inflation Data'!$C:$C,'Inflation Data'!$A:$A = E$1))) + 'Fund YTD Contributions'!E83,'Fund YTD Contributions'!E83)"),0.0)</f>
        <v>0</v>
      </c>
      <c r="F83" s="170">
        <f>IFERROR(__xludf.DUMMYFUNCTION("IFERROR(E83 * (1 + AVERAGE(Filter('Inflation Data'!$C:$C,'Inflation Data'!$A:$A = F$1))) + 'Fund YTD Contributions'!F83,'Fund YTD Contributions'!F83)"),0.0)</f>
        <v>0</v>
      </c>
      <c r="G83" s="170">
        <f>IFERROR(__xludf.DUMMYFUNCTION("IFERROR(F83 * (1 + AVERAGE(Filter('Inflation Data'!$C:$C,'Inflation Data'!$A:$A = G$1))) + 'Fund YTD Contributions'!G83,'Fund YTD Contributions'!G83)"),0.0)</f>
        <v>0</v>
      </c>
      <c r="H83" s="170">
        <f>IFERROR(__xludf.DUMMYFUNCTION("IFERROR(G83 * (1 + AVERAGE(Filter('Inflation Data'!$C:$C,'Inflation Data'!$A:$A = H$1))) + 'Fund YTD Contributions'!H83,'Fund YTD Contributions'!H83)"),0.0)</f>
        <v>0</v>
      </c>
      <c r="I83" s="170">
        <f>IFERROR(__xludf.DUMMYFUNCTION("IFERROR(H83 * (1 + AVERAGE(Filter('Inflation Data'!$C:$C,'Inflation Data'!$A:$A = I$1))) + 'Fund YTD Contributions'!I83,'Fund YTD Contributions'!I83)"),0.0)</f>
        <v>0</v>
      </c>
      <c r="J83" s="170">
        <f>IFERROR(__xludf.DUMMYFUNCTION("IFERROR(I83 * (1 + AVERAGE(Filter('Inflation Data'!$C:$C,'Inflation Data'!$A:$A = J$1))) + 'Fund YTD Contributions'!J83,'Fund YTD Contributions'!J83)"),0.0)</f>
        <v>0</v>
      </c>
      <c r="K83" s="170">
        <f>IFERROR(__xludf.DUMMYFUNCTION("IFERROR(J83 * (1 + AVERAGE(Filter('Inflation Data'!$C:$C,'Inflation Data'!$A:$A = K$1))) + 'Fund YTD Contributions'!K83,'Fund YTD Contributions'!K83)"),0.0)</f>
        <v>0</v>
      </c>
      <c r="L83" s="170">
        <f>IFERROR(__xludf.DUMMYFUNCTION("IFERROR(K83 * (1 + AVERAGE(Filter('Inflation Data'!$C:$C,'Inflation Data'!$A:$A = L$1))) + 'Fund YTD Contributions'!L83,'Fund YTD Contributions'!L83)"),0.0)</f>
        <v>0</v>
      </c>
      <c r="M83" s="170">
        <f>IFERROR(__xludf.DUMMYFUNCTION("IFERROR(L83 * (1 + AVERAGE(Filter('Inflation Data'!$C:$C,'Inflation Data'!$A:$A = M$1))) + 'Fund YTD Contributions'!M83,'Fund YTD Contributions'!M83)"),0.0)</f>
        <v>0</v>
      </c>
      <c r="N83" s="170">
        <f>IFERROR(__xludf.DUMMYFUNCTION("IFERROR(M83 * (1 + AVERAGE(Filter('Inflation Data'!$C:$C,'Inflation Data'!$A:$A = N$1))) + 'Fund YTD Contributions'!N83,'Fund YTD Contributions'!N83)"),0.0)</f>
        <v>0</v>
      </c>
      <c r="O83" s="170">
        <f>IFERROR(__xludf.DUMMYFUNCTION("IFERROR(N83 * (1 + AVERAGE(Filter('Inflation Data'!$C:$C,'Inflation Data'!$A:$A = O$1))) + 'Fund YTD Contributions'!O83,'Fund YTD Contributions'!O83)"),0.0)</f>
        <v>0</v>
      </c>
      <c r="P83" s="170">
        <f>IFERROR(__xludf.DUMMYFUNCTION("IFERROR(O83 * (1 + AVERAGE(Filter('Inflation Data'!$C:$C,'Inflation Data'!$A:$A = P$1))) + 'Fund YTD Contributions'!P83,'Fund YTD Contributions'!P83)"),0.0)</f>
        <v>0</v>
      </c>
      <c r="Q83" s="170">
        <f>IFERROR(__xludf.DUMMYFUNCTION("IFERROR(P83 * (1 + AVERAGE(Filter('Inflation Data'!$C:$C,'Inflation Data'!$A:$A = Q$1))) + 'Fund YTD Contributions'!Q83,'Fund YTD Contributions'!Q83)"),0.0)</f>
        <v>0</v>
      </c>
      <c r="R83" s="170">
        <f>IFERROR(__xludf.DUMMYFUNCTION("IFERROR(Q83 * (1 + AVERAGE(Filter('Inflation Data'!$C:$C,'Inflation Data'!$A:$A = R$1))) + 'Fund YTD Contributions'!R83,'Fund YTD Contributions'!R83)"),0.0)</f>
        <v>0</v>
      </c>
      <c r="S83" s="170">
        <f>IFERROR(__xludf.DUMMYFUNCTION("IFERROR(R83 * (1 + AVERAGE(Filter('Inflation Data'!$C:$C,'Inflation Data'!$A:$A = S$1))) + 'Fund YTD Contributions'!S83,'Fund YTD Contributions'!S83)"),0.0)</f>
        <v>0</v>
      </c>
      <c r="T83" s="170">
        <f>IFERROR(__xludf.DUMMYFUNCTION("IFERROR(S83 * (1 + AVERAGE(Filter('Inflation Data'!$C:$C,'Inflation Data'!$A:$A = T$1))) + 'Fund YTD Contributions'!T83,'Fund YTD Contributions'!T83)"),0.0)</f>
        <v>0</v>
      </c>
      <c r="U83" s="170">
        <f>IFERROR(__xludf.DUMMYFUNCTION("IFERROR(T83 * (1 + AVERAGE(Filter('Inflation Data'!$C:$C,'Inflation Data'!$A:$A = U$1))) + 'Fund YTD Contributions'!U83,'Fund YTD Contributions'!U83)"),0.0)</f>
        <v>0</v>
      </c>
      <c r="V83" s="170">
        <f>IFERROR(__xludf.DUMMYFUNCTION("IFERROR(U83 * (1 + AVERAGE(Filter('Inflation Data'!$C:$C,'Inflation Data'!$A:$A = V$1))) + 'Fund YTD Contributions'!V83,'Fund YTD Contributions'!V83)"),0.0)</f>
        <v>0</v>
      </c>
      <c r="W83" s="170">
        <f>IFERROR(__xludf.DUMMYFUNCTION("IFERROR(V83 * (1 + AVERAGE(Filter('Inflation Data'!$C:$C,'Inflation Data'!$A:$A = W$1))) + 'Fund YTD Contributions'!W83,'Fund YTD Contributions'!W83)"),0.0)</f>
        <v>0</v>
      </c>
      <c r="X83" s="170">
        <f>IFERROR(__xludf.DUMMYFUNCTION("IFERROR(W83 * (1 + AVERAGE(Filter('Inflation Data'!$C:$C,'Inflation Data'!$A:$A = X$1))) + 'Fund YTD Contributions'!X83,'Fund YTD Contributions'!X83)"),0.0)</f>
        <v>0</v>
      </c>
      <c r="Y83" s="170">
        <f>IFERROR(__xludf.DUMMYFUNCTION("IFERROR(X83 * (1 + AVERAGE(Filter('Inflation Data'!$C:$C,'Inflation Data'!$A:$A = Y$1))) + 'Fund YTD Contributions'!Y83,'Fund YTD Contributions'!Y83)"),0.0)</f>
        <v>0</v>
      </c>
      <c r="Z83" s="170">
        <f>IFERROR(__xludf.DUMMYFUNCTION("IFERROR(Y83 * (1 + AVERAGE(Filter('Inflation Data'!$C:$C,'Inflation Data'!$A:$A = Z$1))) + 'Fund YTD Contributions'!Z83,'Fund YTD Contributions'!Z83)"),0.0)</f>
        <v>0</v>
      </c>
      <c r="AA83" s="170">
        <f>IFERROR(__xludf.DUMMYFUNCTION("IFERROR(Z83 * (1 + AVERAGE(Filter('Inflation Data'!$C:$C,'Inflation Data'!$A:$A = AA$1))) + 'Fund YTD Contributions'!AA83,'Fund YTD Contributions'!AA83)"),0.0)</f>
        <v>0</v>
      </c>
      <c r="AB83" s="170">
        <f>IFERROR(__xludf.DUMMYFUNCTION("IFERROR(AA83 * (1 + AVERAGE(Filter('Inflation Data'!$C:$C,'Inflation Data'!$A:$A = AB$1))) + 'Fund YTD Contributions'!AB83,'Fund YTD Contributions'!AB83)"),0.0)</f>
        <v>0</v>
      </c>
      <c r="AC83" s="170">
        <f>IFERROR(__xludf.DUMMYFUNCTION("IFERROR(AB83 * (1 + AVERAGE(Filter('Inflation Data'!$C:$C,'Inflation Data'!$A:$A = AC$1))) + 'Fund YTD Contributions'!AC83,'Fund YTD Contributions'!AC83)"),0.0)</f>
        <v>0</v>
      </c>
      <c r="AD83" s="170">
        <f>IFERROR(__xludf.DUMMYFUNCTION("IFERROR(AC83 * (1 + AVERAGE(Filter('Inflation Data'!$C:$C,'Inflation Data'!$A:$A = AD$1))) + 'Fund YTD Contributions'!AD83,'Fund YTD Contributions'!AD83)"),0.0)</f>
        <v>0</v>
      </c>
      <c r="AE83" s="170">
        <f>IFERROR(__xludf.DUMMYFUNCTION("IFERROR(AD83 * (1 + AVERAGE(Filter('Inflation Data'!$C:$C,'Inflation Data'!$A:$A = AE$1))) + 'Fund YTD Contributions'!AE83,'Fund YTD Contributions'!AE83)"),0.0)</f>
        <v>0</v>
      </c>
      <c r="AF83" s="170" t="str">
        <f>IFERROR(__xludf.DUMMYFUNCTION("IFERROR(AE83 * (1 + AVERAGE(Filter('Inflation Data'!$C:$C,'Inflation Data'!$A:$A = AF$1))) + 'Fund YTD Contributions'!AF83,'Fund YTD Contributions'!AF83)"),"")</f>
        <v/>
      </c>
    </row>
    <row r="84">
      <c r="A84" s="145" t="str">
        <f>'Endowed Funds'!B:B</f>
        <v/>
      </c>
      <c r="B84" s="170">
        <f>IFERROR(__xludf.DUMMYFUNCTION("IFERROR(A84 * (1 + AVERAGE(Filter('Inflation Data'!$C:$C,'Inflation Data'!$A:$A = B$1))) + 'Fund YTD Contributions'!B84,'Fund YTD Contributions'!B84)"),0.0)</f>
        <v>0</v>
      </c>
      <c r="C84" s="170">
        <f>IFERROR(__xludf.DUMMYFUNCTION("IFERROR(B84 * (1 + AVERAGE(Filter('Inflation Data'!$C:$C,'Inflation Data'!$A:$A = C$1))) + 'Fund YTD Contributions'!C84,'Fund YTD Contributions'!C84)"),0.0)</f>
        <v>0</v>
      </c>
      <c r="D84" s="170">
        <f>IFERROR(__xludf.DUMMYFUNCTION("IFERROR(C84 * (1 + AVERAGE(Filter('Inflation Data'!$C:$C,'Inflation Data'!$A:$A = D$1))) + 'Fund YTD Contributions'!D84,'Fund YTD Contributions'!D84)"),0.0)</f>
        <v>0</v>
      </c>
      <c r="E84" s="170">
        <f>IFERROR(__xludf.DUMMYFUNCTION("IFERROR(D84 * (1 + AVERAGE(Filter('Inflation Data'!$C:$C,'Inflation Data'!$A:$A = E$1))) + 'Fund YTD Contributions'!E84,'Fund YTD Contributions'!E84)"),0.0)</f>
        <v>0</v>
      </c>
      <c r="F84" s="170">
        <f>IFERROR(__xludf.DUMMYFUNCTION("IFERROR(E84 * (1 + AVERAGE(Filter('Inflation Data'!$C:$C,'Inflation Data'!$A:$A = F$1))) + 'Fund YTD Contributions'!F84,'Fund YTD Contributions'!F84)"),0.0)</f>
        <v>0</v>
      </c>
      <c r="G84" s="170">
        <f>IFERROR(__xludf.DUMMYFUNCTION("IFERROR(F84 * (1 + AVERAGE(Filter('Inflation Data'!$C:$C,'Inflation Data'!$A:$A = G$1))) + 'Fund YTD Contributions'!G84,'Fund YTD Contributions'!G84)"),0.0)</f>
        <v>0</v>
      </c>
      <c r="H84" s="170">
        <f>IFERROR(__xludf.DUMMYFUNCTION("IFERROR(G84 * (1 + AVERAGE(Filter('Inflation Data'!$C:$C,'Inflation Data'!$A:$A = H$1))) + 'Fund YTD Contributions'!H84,'Fund YTD Contributions'!H84)"),0.0)</f>
        <v>0</v>
      </c>
      <c r="I84" s="170">
        <f>IFERROR(__xludf.DUMMYFUNCTION("IFERROR(H84 * (1 + AVERAGE(Filter('Inflation Data'!$C:$C,'Inflation Data'!$A:$A = I$1))) + 'Fund YTD Contributions'!I84,'Fund YTD Contributions'!I84)"),0.0)</f>
        <v>0</v>
      </c>
      <c r="J84" s="170">
        <f>IFERROR(__xludf.DUMMYFUNCTION("IFERROR(I84 * (1 + AVERAGE(Filter('Inflation Data'!$C:$C,'Inflation Data'!$A:$A = J$1))) + 'Fund YTD Contributions'!J84,'Fund YTD Contributions'!J84)"),0.0)</f>
        <v>0</v>
      </c>
      <c r="K84" s="170">
        <f>IFERROR(__xludf.DUMMYFUNCTION("IFERROR(J84 * (1 + AVERAGE(Filter('Inflation Data'!$C:$C,'Inflation Data'!$A:$A = K$1))) + 'Fund YTD Contributions'!K84,'Fund YTD Contributions'!K84)"),0.0)</f>
        <v>0</v>
      </c>
      <c r="L84" s="170">
        <f>IFERROR(__xludf.DUMMYFUNCTION("IFERROR(K84 * (1 + AVERAGE(Filter('Inflation Data'!$C:$C,'Inflation Data'!$A:$A = L$1))) + 'Fund YTD Contributions'!L84,'Fund YTD Contributions'!L84)"),0.0)</f>
        <v>0</v>
      </c>
      <c r="M84" s="170">
        <f>IFERROR(__xludf.DUMMYFUNCTION("IFERROR(L84 * (1 + AVERAGE(Filter('Inflation Data'!$C:$C,'Inflation Data'!$A:$A = M$1))) + 'Fund YTD Contributions'!M84,'Fund YTD Contributions'!M84)"),0.0)</f>
        <v>0</v>
      </c>
      <c r="N84" s="170">
        <f>IFERROR(__xludf.DUMMYFUNCTION("IFERROR(M84 * (1 + AVERAGE(Filter('Inflation Data'!$C:$C,'Inflation Data'!$A:$A = N$1))) + 'Fund YTD Contributions'!N84,'Fund YTD Contributions'!N84)"),0.0)</f>
        <v>0</v>
      </c>
      <c r="O84" s="170">
        <f>IFERROR(__xludf.DUMMYFUNCTION("IFERROR(N84 * (1 + AVERAGE(Filter('Inflation Data'!$C:$C,'Inflation Data'!$A:$A = O$1))) + 'Fund YTD Contributions'!O84,'Fund YTD Contributions'!O84)"),0.0)</f>
        <v>0</v>
      </c>
      <c r="P84" s="170">
        <f>IFERROR(__xludf.DUMMYFUNCTION("IFERROR(O84 * (1 + AVERAGE(Filter('Inflation Data'!$C:$C,'Inflation Data'!$A:$A = P$1))) + 'Fund YTD Contributions'!P84,'Fund YTD Contributions'!P84)"),0.0)</f>
        <v>0</v>
      </c>
      <c r="Q84" s="170">
        <f>IFERROR(__xludf.DUMMYFUNCTION("IFERROR(P84 * (1 + AVERAGE(Filter('Inflation Data'!$C:$C,'Inflation Data'!$A:$A = Q$1))) + 'Fund YTD Contributions'!Q84,'Fund YTD Contributions'!Q84)"),0.0)</f>
        <v>0</v>
      </c>
      <c r="R84" s="170">
        <f>IFERROR(__xludf.DUMMYFUNCTION("IFERROR(Q84 * (1 + AVERAGE(Filter('Inflation Data'!$C:$C,'Inflation Data'!$A:$A = R$1))) + 'Fund YTD Contributions'!R84,'Fund YTD Contributions'!R84)"),0.0)</f>
        <v>0</v>
      </c>
      <c r="S84" s="170">
        <f>IFERROR(__xludf.DUMMYFUNCTION("IFERROR(R84 * (1 + AVERAGE(Filter('Inflation Data'!$C:$C,'Inflation Data'!$A:$A = S$1))) + 'Fund YTD Contributions'!S84,'Fund YTD Contributions'!S84)"),0.0)</f>
        <v>0</v>
      </c>
      <c r="T84" s="170">
        <f>IFERROR(__xludf.DUMMYFUNCTION("IFERROR(S84 * (1 + AVERAGE(Filter('Inflation Data'!$C:$C,'Inflation Data'!$A:$A = T$1))) + 'Fund YTD Contributions'!T84,'Fund YTD Contributions'!T84)"),0.0)</f>
        <v>0</v>
      </c>
      <c r="U84" s="170">
        <f>IFERROR(__xludf.DUMMYFUNCTION("IFERROR(T84 * (1 + AVERAGE(Filter('Inflation Data'!$C:$C,'Inflation Data'!$A:$A = U$1))) + 'Fund YTD Contributions'!U84,'Fund YTD Contributions'!U84)"),0.0)</f>
        <v>0</v>
      </c>
      <c r="V84" s="170">
        <f>IFERROR(__xludf.DUMMYFUNCTION("IFERROR(U84 * (1 + AVERAGE(Filter('Inflation Data'!$C:$C,'Inflation Data'!$A:$A = V$1))) + 'Fund YTD Contributions'!V84,'Fund YTD Contributions'!V84)"),0.0)</f>
        <v>0</v>
      </c>
      <c r="W84" s="170">
        <f>IFERROR(__xludf.DUMMYFUNCTION("IFERROR(V84 * (1 + AVERAGE(Filter('Inflation Data'!$C:$C,'Inflation Data'!$A:$A = W$1))) + 'Fund YTD Contributions'!W84,'Fund YTD Contributions'!W84)"),0.0)</f>
        <v>0</v>
      </c>
      <c r="X84" s="170">
        <f>IFERROR(__xludf.DUMMYFUNCTION("IFERROR(W84 * (1 + AVERAGE(Filter('Inflation Data'!$C:$C,'Inflation Data'!$A:$A = X$1))) + 'Fund YTD Contributions'!X84,'Fund YTD Contributions'!X84)"),0.0)</f>
        <v>0</v>
      </c>
      <c r="Y84" s="170">
        <f>IFERROR(__xludf.DUMMYFUNCTION("IFERROR(X84 * (1 + AVERAGE(Filter('Inflation Data'!$C:$C,'Inflation Data'!$A:$A = Y$1))) + 'Fund YTD Contributions'!Y84,'Fund YTD Contributions'!Y84)"),0.0)</f>
        <v>0</v>
      </c>
      <c r="Z84" s="170">
        <f>IFERROR(__xludf.DUMMYFUNCTION("IFERROR(Y84 * (1 + AVERAGE(Filter('Inflation Data'!$C:$C,'Inflation Data'!$A:$A = Z$1))) + 'Fund YTD Contributions'!Z84,'Fund YTD Contributions'!Z84)"),0.0)</f>
        <v>0</v>
      </c>
      <c r="AA84" s="170">
        <f>IFERROR(__xludf.DUMMYFUNCTION("IFERROR(Z84 * (1 + AVERAGE(Filter('Inflation Data'!$C:$C,'Inflation Data'!$A:$A = AA$1))) + 'Fund YTD Contributions'!AA84,'Fund YTD Contributions'!AA84)"),0.0)</f>
        <v>0</v>
      </c>
      <c r="AB84" s="170">
        <f>IFERROR(__xludf.DUMMYFUNCTION("IFERROR(AA84 * (1 + AVERAGE(Filter('Inflation Data'!$C:$C,'Inflation Data'!$A:$A = AB$1))) + 'Fund YTD Contributions'!AB84,'Fund YTD Contributions'!AB84)"),0.0)</f>
        <v>0</v>
      </c>
      <c r="AC84" s="170">
        <f>IFERROR(__xludf.DUMMYFUNCTION("IFERROR(AB84 * (1 + AVERAGE(Filter('Inflation Data'!$C:$C,'Inflation Data'!$A:$A = AC$1))) + 'Fund YTD Contributions'!AC84,'Fund YTD Contributions'!AC84)"),0.0)</f>
        <v>0</v>
      </c>
      <c r="AD84" s="170">
        <f>IFERROR(__xludf.DUMMYFUNCTION("IFERROR(AC84 * (1 + AVERAGE(Filter('Inflation Data'!$C:$C,'Inflation Data'!$A:$A = AD$1))) + 'Fund YTD Contributions'!AD84,'Fund YTD Contributions'!AD84)"),0.0)</f>
        <v>0</v>
      </c>
      <c r="AE84" s="170">
        <f>IFERROR(__xludf.DUMMYFUNCTION("IFERROR(AD84 * (1 + AVERAGE(Filter('Inflation Data'!$C:$C,'Inflation Data'!$A:$A = AE$1))) + 'Fund YTD Contributions'!AE84,'Fund YTD Contributions'!AE84)"),0.0)</f>
        <v>0</v>
      </c>
      <c r="AF84" s="170" t="str">
        <f>IFERROR(__xludf.DUMMYFUNCTION("IFERROR(AE84 * (1 + AVERAGE(Filter('Inflation Data'!$C:$C,'Inflation Data'!$A:$A = AF$1))) + 'Fund YTD Contributions'!AF84,'Fund YTD Contributions'!AF84)"),"")</f>
        <v/>
      </c>
    </row>
    <row r="85">
      <c r="A85" s="145" t="str">
        <f>'Endowed Funds'!B:B</f>
        <v/>
      </c>
      <c r="B85" s="170">
        <f>IFERROR(__xludf.DUMMYFUNCTION("IFERROR(A85 * (1 + AVERAGE(Filter('Inflation Data'!$C:$C,'Inflation Data'!$A:$A = B$1))) + 'Fund YTD Contributions'!B85,'Fund YTD Contributions'!B85)"),0.0)</f>
        <v>0</v>
      </c>
      <c r="C85" s="170">
        <f>IFERROR(__xludf.DUMMYFUNCTION("IFERROR(B85 * (1 + AVERAGE(Filter('Inflation Data'!$C:$C,'Inflation Data'!$A:$A = C$1))) + 'Fund YTD Contributions'!C85,'Fund YTD Contributions'!C85)"),0.0)</f>
        <v>0</v>
      </c>
      <c r="D85" s="170">
        <f>IFERROR(__xludf.DUMMYFUNCTION("IFERROR(C85 * (1 + AVERAGE(Filter('Inflation Data'!$C:$C,'Inflation Data'!$A:$A = D$1))) + 'Fund YTD Contributions'!D85,'Fund YTD Contributions'!D85)"),0.0)</f>
        <v>0</v>
      </c>
      <c r="E85" s="170">
        <f>IFERROR(__xludf.DUMMYFUNCTION("IFERROR(D85 * (1 + AVERAGE(Filter('Inflation Data'!$C:$C,'Inflation Data'!$A:$A = E$1))) + 'Fund YTD Contributions'!E85,'Fund YTD Contributions'!E85)"),0.0)</f>
        <v>0</v>
      </c>
      <c r="F85" s="170">
        <f>IFERROR(__xludf.DUMMYFUNCTION("IFERROR(E85 * (1 + AVERAGE(Filter('Inflation Data'!$C:$C,'Inflation Data'!$A:$A = F$1))) + 'Fund YTD Contributions'!F85,'Fund YTD Contributions'!F85)"),0.0)</f>
        <v>0</v>
      </c>
      <c r="G85" s="170">
        <f>IFERROR(__xludf.DUMMYFUNCTION("IFERROR(F85 * (1 + AVERAGE(Filter('Inflation Data'!$C:$C,'Inflation Data'!$A:$A = G$1))) + 'Fund YTD Contributions'!G85,'Fund YTD Contributions'!G85)"),0.0)</f>
        <v>0</v>
      </c>
      <c r="H85" s="170">
        <f>IFERROR(__xludf.DUMMYFUNCTION("IFERROR(G85 * (1 + AVERAGE(Filter('Inflation Data'!$C:$C,'Inflation Data'!$A:$A = H$1))) + 'Fund YTD Contributions'!H85,'Fund YTD Contributions'!H85)"),0.0)</f>
        <v>0</v>
      </c>
      <c r="I85" s="170">
        <f>IFERROR(__xludf.DUMMYFUNCTION("IFERROR(H85 * (1 + AVERAGE(Filter('Inflation Data'!$C:$C,'Inflation Data'!$A:$A = I$1))) + 'Fund YTD Contributions'!I85,'Fund YTD Contributions'!I85)"),0.0)</f>
        <v>0</v>
      </c>
      <c r="J85" s="170">
        <f>IFERROR(__xludf.DUMMYFUNCTION("IFERROR(I85 * (1 + AVERAGE(Filter('Inflation Data'!$C:$C,'Inflation Data'!$A:$A = J$1))) + 'Fund YTD Contributions'!J85,'Fund YTD Contributions'!J85)"),0.0)</f>
        <v>0</v>
      </c>
      <c r="K85" s="170">
        <f>IFERROR(__xludf.DUMMYFUNCTION("IFERROR(J85 * (1 + AVERAGE(Filter('Inflation Data'!$C:$C,'Inflation Data'!$A:$A = K$1))) + 'Fund YTD Contributions'!K85,'Fund YTD Contributions'!K85)"),0.0)</f>
        <v>0</v>
      </c>
      <c r="L85" s="170">
        <f>IFERROR(__xludf.DUMMYFUNCTION("IFERROR(K85 * (1 + AVERAGE(Filter('Inflation Data'!$C:$C,'Inflation Data'!$A:$A = L$1))) + 'Fund YTD Contributions'!L85,'Fund YTD Contributions'!L85)"),0.0)</f>
        <v>0</v>
      </c>
      <c r="M85" s="170">
        <f>IFERROR(__xludf.DUMMYFUNCTION("IFERROR(L85 * (1 + AVERAGE(Filter('Inflation Data'!$C:$C,'Inflation Data'!$A:$A = M$1))) + 'Fund YTD Contributions'!M85,'Fund YTD Contributions'!M85)"),0.0)</f>
        <v>0</v>
      </c>
      <c r="N85" s="170">
        <f>IFERROR(__xludf.DUMMYFUNCTION("IFERROR(M85 * (1 + AVERAGE(Filter('Inflation Data'!$C:$C,'Inflation Data'!$A:$A = N$1))) + 'Fund YTD Contributions'!N85,'Fund YTD Contributions'!N85)"),0.0)</f>
        <v>0</v>
      </c>
      <c r="O85" s="170">
        <f>IFERROR(__xludf.DUMMYFUNCTION("IFERROR(N85 * (1 + AVERAGE(Filter('Inflation Data'!$C:$C,'Inflation Data'!$A:$A = O$1))) + 'Fund YTD Contributions'!O85,'Fund YTD Contributions'!O85)"),0.0)</f>
        <v>0</v>
      </c>
      <c r="P85" s="170">
        <f>IFERROR(__xludf.DUMMYFUNCTION("IFERROR(O85 * (1 + AVERAGE(Filter('Inflation Data'!$C:$C,'Inflation Data'!$A:$A = P$1))) + 'Fund YTD Contributions'!P85,'Fund YTD Contributions'!P85)"),0.0)</f>
        <v>0</v>
      </c>
      <c r="Q85" s="170">
        <f>IFERROR(__xludf.DUMMYFUNCTION("IFERROR(P85 * (1 + AVERAGE(Filter('Inflation Data'!$C:$C,'Inflation Data'!$A:$A = Q$1))) + 'Fund YTD Contributions'!Q85,'Fund YTD Contributions'!Q85)"),0.0)</f>
        <v>0</v>
      </c>
      <c r="R85" s="170">
        <f>IFERROR(__xludf.DUMMYFUNCTION("IFERROR(Q85 * (1 + AVERAGE(Filter('Inflation Data'!$C:$C,'Inflation Data'!$A:$A = R$1))) + 'Fund YTD Contributions'!R85,'Fund YTD Contributions'!R85)"),0.0)</f>
        <v>0</v>
      </c>
      <c r="S85" s="170">
        <f>IFERROR(__xludf.DUMMYFUNCTION("IFERROR(R85 * (1 + AVERAGE(Filter('Inflation Data'!$C:$C,'Inflation Data'!$A:$A = S$1))) + 'Fund YTD Contributions'!S85,'Fund YTD Contributions'!S85)"),0.0)</f>
        <v>0</v>
      </c>
      <c r="T85" s="170">
        <f>IFERROR(__xludf.DUMMYFUNCTION("IFERROR(S85 * (1 + AVERAGE(Filter('Inflation Data'!$C:$C,'Inflation Data'!$A:$A = T$1))) + 'Fund YTD Contributions'!T85,'Fund YTD Contributions'!T85)"),0.0)</f>
        <v>0</v>
      </c>
      <c r="U85" s="170">
        <f>IFERROR(__xludf.DUMMYFUNCTION("IFERROR(T85 * (1 + AVERAGE(Filter('Inflation Data'!$C:$C,'Inflation Data'!$A:$A = U$1))) + 'Fund YTD Contributions'!U85,'Fund YTD Contributions'!U85)"),0.0)</f>
        <v>0</v>
      </c>
      <c r="V85" s="170">
        <f>IFERROR(__xludf.DUMMYFUNCTION("IFERROR(U85 * (1 + AVERAGE(Filter('Inflation Data'!$C:$C,'Inflation Data'!$A:$A = V$1))) + 'Fund YTD Contributions'!V85,'Fund YTD Contributions'!V85)"),0.0)</f>
        <v>0</v>
      </c>
      <c r="W85" s="170">
        <f>IFERROR(__xludf.DUMMYFUNCTION("IFERROR(V85 * (1 + AVERAGE(Filter('Inflation Data'!$C:$C,'Inflation Data'!$A:$A = W$1))) + 'Fund YTD Contributions'!W85,'Fund YTD Contributions'!W85)"),0.0)</f>
        <v>0</v>
      </c>
      <c r="X85" s="170">
        <f>IFERROR(__xludf.DUMMYFUNCTION("IFERROR(W85 * (1 + AVERAGE(Filter('Inflation Data'!$C:$C,'Inflation Data'!$A:$A = X$1))) + 'Fund YTD Contributions'!X85,'Fund YTD Contributions'!X85)"),0.0)</f>
        <v>0</v>
      </c>
      <c r="Y85" s="170">
        <f>IFERROR(__xludf.DUMMYFUNCTION("IFERROR(X85 * (1 + AVERAGE(Filter('Inflation Data'!$C:$C,'Inflation Data'!$A:$A = Y$1))) + 'Fund YTD Contributions'!Y85,'Fund YTD Contributions'!Y85)"),0.0)</f>
        <v>0</v>
      </c>
      <c r="Z85" s="170">
        <f>IFERROR(__xludf.DUMMYFUNCTION("IFERROR(Y85 * (1 + AVERAGE(Filter('Inflation Data'!$C:$C,'Inflation Data'!$A:$A = Z$1))) + 'Fund YTD Contributions'!Z85,'Fund YTD Contributions'!Z85)"),0.0)</f>
        <v>0</v>
      </c>
      <c r="AA85" s="170">
        <f>IFERROR(__xludf.DUMMYFUNCTION("IFERROR(Z85 * (1 + AVERAGE(Filter('Inflation Data'!$C:$C,'Inflation Data'!$A:$A = AA$1))) + 'Fund YTD Contributions'!AA85,'Fund YTD Contributions'!AA85)"),0.0)</f>
        <v>0</v>
      </c>
      <c r="AB85" s="170">
        <f>IFERROR(__xludf.DUMMYFUNCTION("IFERROR(AA85 * (1 + AVERAGE(Filter('Inflation Data'!$C:$C,'Inflation Data'!$A:$A = AB$1))) + 'Fund YTD Contributions'!AB85,'Fund YTD Contributions'!AB85)"),0.0)</f>
        <v>0</v>
      </c>
      <c r="AC85" s="170">
        <f>IFERROR(__xludf.DUMMYFUNCTION("IFERROR(AB85 * (1 + AVERAGE(Filter('Inflation Data'!$C:$C,'Inflation Data'!$A:$A = AC$1))) + 'Fund YTD Contributions'!AC85,'Fund YTD Contributions'!AC85)"),0.0)</f>
        <v>0</v>
      </c>
      <c r="AD85" s="170">
        <f>IFERROR(__xludf.DUMMYFUNCTION("IFERROR(AC85 * (1 + AVERAGE(Filter('Inflation Data'!$C:$C,'Inflation Data'!$A:$A = AD$1))) + 'Fund YTD Contributions'!AD85,'Fund YTD Contributions'!AD85)"),0.0)</f>
        <v>0</v>
      </c>
      <c r="AE85" s="170">
        <f>IFERROR(__xludf.DUMMYFUNCTION("IFERROR(AD85 * (1 + AVERAGE(Filter('Inflation Data'!$C:$C,'Inflation Data'!$A:$A = AE$1))) + 'Fund YTD Contributions'!AE85,'Fund YTD Contributions'!AE85)"),0.0)</f>
        <v>0</v>
      </c>
      <c r="AF85" s="170" t="str">
        <f>IFERROR(__xludf.DUMMYFUNCTION("IFERROR(AE85 * (1 + AVERAGE(Filter('Inflation Data'!$C:$C,'Inflation Data'!$A:$A = AF$1))) + 'Fund YTD Contributions'!AF85,'Fund YTD Contributions'!AF85)"),"")</f>
        <v/>
      </c>
    </row>
    <row r="86">
      <c r="A86" s="145" t="str">
        <f>'Endowed Funds'!B:B</f>
        <v/>
      </c>
      <c r="B86" s="170">
        <f>IFERROR(__xludf.DUMMYFUNCTION("IFERROR(A86 * (1 + AVERAGE(Filter('Inflation Data'!$C:$C,'Inflation Data'!$A:$A = B$1))) + 'Fund YTD Contributions'!B86,'Fund YTD Contributions'!B86)"),0.0)</f>
        <v>0</v>
      </c>
      <c r="C86" s="170">
        <f>IFERROR(__xludf.DUMMYFUNCTION("IFERROR(B86 * (1 + AVERAGE(Filter('Inflation Data'!$C:$C,'Inflation Data'!$A:$A = C$1))) + 'Fund YTD Contributions'!C86,'Fund YTD Contributions'!C86)"),0.0)</f>
        <v>0</v>
      </c>
      <c r="D86" s="170">
        <f>IFERROR(__xludf.DUMMYFUNCTION("IFERROR(C86 * (1 + AVERAGE(Filter('Inflation Data'!$C:$C,'Inflation Data'!$A:$A = D$1))) + 'Fund YTD Contributions'!D86,'Fund YTD Contributions'!D86)"),0.0)</f>
        <v>0</v>
      </c>
      <c r="E86" s="170">
        <f>IFERROR(__xludf.DUMMYFUNCTION("IFERROR(D86 * (1 + AVERAGE(Filter('Inflation Data'!$C:$C,'Inflation Data'!$A:$A = E$1))) + 'Fund YTD Contributions'!E86,'Fund YTD Contributions'!E86)"),0.0)</f>
        <v>0</v>
      </c>
      <c r="F86" s="170">
        <f>IFERROR(__xludf.DUMMYFUNCTION("IFERROR(E86 * (1 + AVERAGE(Filter('Inflation Data'!$C:$C,'Inflation Data'!$A:$A = F$1))) + 'Fund YTD Contributions'!F86,'Fund YTD Contributions'!F86)"),0.0)</f>
        <v>0</v>
      </c>
      <c r="G86" s="170">
        <f>IFERROR(__xludf.DUMMYFUNCTION("IFERROR(F86 * (1 + AVERAGE(Filter('Inflation Data'!$C:$C,'Inflation Data'!$A:$A = G$1))) + 'Fund YTD Contributions'!G86,'Fund YTD Contributions'!G86)"),0.0)</f>
        <v>0</v>
      </c>
      <c r="H86" s="170">
        <f>IFERROR(__xludf.DUMMYFUNCTION("IFERROR(G86 * (1 + AVERAGE(Filter('Inflation Data'!$C:$C,'Inflation Data'!$A:$A = H$1))) + 'Fund YTD Contributions'!H86,'Fund YTD Contributions'!H86)"),0.0)</f>
        <v>0</v>
      </c>
      <c r="I86" s="170">
        <f>IFERROR(__xludf.DUMMYFUNCTION("IFERROR(H86 * (1 + AVERAGE(Filter('Inflation Data'!$C:$C,'Inflation Data'!$A:$A = I$1))) + 'Fund YTD Contributions'!I86,'Fund YTD Contributions'!I86)"),0.0)</f>
        <v>0</v>
      </c>
      <c r="J86" s="170">
        <f>IFERROR(__xludf.DUMMYFUNCTION("IFERROR(I86 * (1 + AVERAGE(Filter('Inflation Data'!$C:$C,'Inflation Data'!$A:$A = J$1))) + 'Fund YTD Contributions'!J86,'Fund YTD Contributions'!J86)"),0.0)</f>
        <v>0</v>
      </c>
      <c r="K86" s="170">
        <f>IFERROR(__xludf.DUMMYFUNCTION("IFERROR(J86 * (1 + AVERAGE(Filter('Inflation Data'!$C:$C,'Inflation Data'!$A:$A = K$1))) + 'Fund YTD Contributions'!K86,'Fund YTD Contributions'!K86)"),0.0)</f>
        <v>0</v>
      </c>
      <c r="L86" s="170">
        <f>IFERROR(__xludf.DUMMYFUNCTION("IFERROR(K86 * (1 + AVERAGE(Filter('Inflation Data'!$C:$C,'Inflation Data'!$A:$A = L$1))) + 'Fund YTD Contributions'!L86,'Fund YTD Contributions'!L86)"),0.0)</f>
        <v>0</v>
      </c>
      <c r="M86" s="170">
        <f>IFERROR(__xludf.DUMMYFUNCTION("IFERROR(L86 * (1 + AVERAGE(Filter('Inflation Data'!$C:$C,'Inflation Data'!$A:$A = M$1))) + 'Fund YTD Contributions'!M86,'Fund YTD Contributions'!M86)"),0.0)</f>
        <v>0</v>
      </c>
      <c r="N86" s="170">
        <f>IFERROR(__xludf.DUMMYFUNCTION("IFERROR(M86 * (1 + AVERAGE(Filter('Inflation Data'!$C:$C,'Inflation Data'!$A:$A = N$1))) + 'Fund YTD Contributions'!N86,'Fund YTD Contributions'!N86)"),0.0)</f>
        <v>0</v>
      </c>
      <c r="O86" s="170">
        <f>IFERROR(__xludf.DUMMYFUNCTION("IFERROR(N86 * (1 + AVERAGE(Filter('Inflation Data'!$C:$C,'Inflation Data'!$A:$A = O$1))) + 'Fund YTD Contributions'!O86,'Fund YTD Contributions'!O86)"),0.0)</f>
        <v>0</v>
      </c>
      <c r="P86" s="170">
        <f>IFERROR(__xludf.DUMMYFUNCTION("IFERROR(O86 * (1 + AVERAGE(Filter('Inflation Data'!$C:$C,'Inflation Data'!$A:$A = P$1))) + 'Fund YTD Contributions'!P86,'Fund YTD Contributions'!P86)"),0.0)</f>
        <v>0</v>
      </c>
      <c r="Q86" s="170">
        <f>IFERROR(__xludf.DUMMYFUNCTION("IFERROR(P86 * (1 + AVERAGE(Filter('Inflation Data'!$C:$C,'Inflation Data'!$A:$A = Q$1))) + 'Fund YTD Contributions'!Q86,'Fund YTD Contributions'!Q86)"),0.0)</f>
        <v>0</v>
      </c>
      <c r="R86" s="170">
        <f>IFERROR(__xludf.DUMMYFUNCTION("IFERROR(Q86 * (1 + AVERAGE(Filter('Inflation Data'!$C:$C,'Inflation Data'!$A:$A = R$1))) + 'Fund YTD Contributions'!R86,'Fund YTD Contributions'!R86)"),0.0)</f>
        <v>0</v>
      </c>
      <c r="S86" s="170">
        <f>IFERROR(__xludf.DUMMYFUNCTION("IFERROR(R86 * (1 + AVERAGE(Filter('Inflation Data'!$C:$C,'Inflation Data'!$A:$A = S$1))) + 'Fund YTD Contributions'!S86,'Fund YTD Contributions'!S86)"),0.0)</f>
        <v>0</v>
      </c>
      <c r="T86" s="170">
        <f>IFERROR(__xludf.DUMMYFUNCTION("IFERROR(S86 * (1 + AVERAGE(Filter('Inflation Data'!$C:$C,'Inflation Data'!$A:$A = T$1))) + 'Fund YTD Contributions'!T86,'Fund YTD Contributions'!T86)"),0.0)</f>
        <v>0</v>
      </c>
      <c r="U86" s="170">
        <f>IFERROR(__xludf.DUMMYFUNCTION("IFERROR(T86 * (1 + AVERAGE(Filter('Inflation Data'!$C:$C,'Inflation Data'!$A:$A = U$1))) + 'Fund YTD Contributions'!U86,'Fund YTD Contributions'!U86)"),0.0)</f>
        <v>0</v>
      </c>
      <c r="V86" s="170">
        <f>IFERROR(__xludf.DUMMYFUNCTION("IFERROR(U86 * (1 + AVERAGE(Filter('Inflation Data'!$C:$C,'Inflation Data'!$A:$A = V$1))) + 'Fund YTD Contributions'!V86,'Fund YTD Contributions'!V86)"),0.0)</f>
        <v>0</v>
      </c>
      <c r="W86" s="170">
        <f>IFERROR(__xludf.DUMMYFUNCTION("IFERROR(V86 * (1 + AVERAGE(Filter('Inflation Data'!$C:$C,'Inflation Data'!$A:$A = W$1))) + 'Fund YTD Contributions'!W86,'Fund YTD Contributions'!W86)"),0.0)</f>
        <v>0</v>
      </c>
      <c r="X86" s="170">
        <f>IFERROR(__xludf.DUMMYFUNCTION("IFERROR(W86 * (1 + AVERAGE(Filter('Inflation Data'!$C:$C,'Inflation Data'!$A:$A = X$1))) + 'Fund YTD Contributions'!X86,'Fund YTD Contributions'!X86)"),0.0)</f>
        <v>0</v>
      </c>
      <c r="Y86" s="170">
        <f>IFERROR(__xludf.DUMMYFUNCTION("IFERROR(X86 * (1 + AVERAGE(Filter('Inflation Data'!$C:$C,'Inflation Data'!$A:$A = Y$1))) + 'Fund YTD Contributions'!Y86,'Fund YTD Contributions'!Y86)"),0.0)</f>
        <v>0</v>
      </c>
      <c r="Z86" s="170">
        <f>IFERROR(__xludf.DUMMYFUNCTION("IFERROR(Y86 * (1 + AVERAGE(Filter('Inflation Data'!$C:$C,'Inflation Data'!$A:$A = Z$1))) + 'Fund YTD Contributions'!Z86,'Fund YTD Contributions'!Z86)"),0.0)</f>
        <v>0</v>
      </c>
      <c r="AA86" s="170">
        <f>IFERROR(__xludf.DUMMYFUNCTION("IFERROR(Z86 * (1 + AVERAGE(Filter('Inflation Data'!$C:$C,'Inflation Data'!$A:$A = AA$1))) + 'Fund YTD Contributions'!AA86,'Fund YTD Contributions'!AA86)"),0.0)</f>
        <v>0</v>
      </c>
      <c r="AB86" s="170">
        <f>IFERROR(__xludf.DUMMYFUNCTION("IFERROR(AA86 * (1 + AVERAGE(Filter('Inflation Data'!$C:$C,'Inflation Data'!$A:$A = AB$1))) + 'Fund YTD Contributions'!AB86,'Fund YTD Contributions'!AB86)"),0.0)</f>
        <v>0</v>
      </c>
      <c r="AC86" s="170">
        <f>IFERROR(__xludf.DUMMYFUNCTION("IFERROR(AB86 * (1 + AVERAGE(Filter('Inflation Data'!$C:$C,'Inflation Data'!$A:$A = AC$1))) + 'Fund YTD Contributions'!AC86,'Fund YTD Contributions'!AC86)"),0.0)</f>
        <v>0</v>
      </c>
      <c r="AD86" s="170">
        <f>IFERROR(__xludf.DUMMYFUNCTION("IFERROR(AC86 * (1 + AVERAGE(Filter('Inflation Data'!$C:$C,'Inflation Data'!$A:$A = AD$1))) + 'Fund YTD Contributions'!AD86,'Fund YTD Contributions'!AD86)"),0.0)</f>
        <v>0</v>
      </c>
      <c r="AE86" s="170">
        <f>IFERROR(__xludf.DUMMYFUNCTION("IFERROR(AD86 * (1 + AVERAGE(Filter('Inflation Data'!$C:$C,'Inflation Data'!$A:$A = AE$1))) + 'Fund YTD Contributions'!AE86,'Fund YTD Contributions'!AE86)"),0.0)</f>
        <v>0</v>
      </c>
      <c r="AF86" s="170" t="str">
        <f>IFERROR(__xludf.DUMMYFUNCTION("IFERROR(AE86 * (1 + AVERAGE(Filter('Inflation Data'!$C:$C,'Inflation Data'!$A:$A = AF$1))) + 'Fund YTD Contributions'!AF86,'Fund YTD Contributions'!AF86)"),"")</f>
        <v/>
      </c>
    </row>
    <row r="87">
      <c r="A87" s="145" t="str">
        <f>'Endowed Funds'!B:B</f>
        <v/>
      </c>
      <c r="B87" s="170">
        <f>IFERROR(__xludf.DUMMYFUNCTION("IFERROR(A87 * (1 + AVERAGE(Filter('Inflation Data'!$C:$C,'Inflation Data'!$A:$A = B$1))) + 'Fund YTD Contributions'!B87,'Fund YTD Contributions'!B87)"),0.0)</f>
        <v>0</v>
      </c>
      <c r="C87" s="170">
        <f>IFERROR(__xludf.DUMMYFUNCTION("IFERROR(B87 * (1 + AVERAGE(Filter('Inflation Data'!$C:$C,'Inflation Data'!$A:$A = C$1))) + 'Fund YTD Contributions'!C87,'Fund YTD Contributions'!C87)"),0.0)</f>
        <v>0</v>
      </c>
      <c r="D87" s="170">
        <f>IFERROR(__xludf.DUMMYFUNCTION("IFERROR(C87 * (1 + AVERAGE(Filter('Inflation Data'!$C:$C,'Inflation Data'!$A:$A = D$1))) + 'Fund YTD Contributions'!D87,'Fund YTD Contributions'!D87)"),0.0)</f>
        <v>0</v>
      </c>
      <c r="E87" s="170">
        <f>IFERROR(__xludf.DUMMYFUNCTION("IFERROR(D87 * (1 + AVERAGE(Filter('Inflation Data'!$C:$C,'Inflation Data'!$A:$A = E$1))) + 'Fund YTD Contributions'!E87,'Fund YTD Contributions'!E87)"),0.0)</f>
        <v>0</v>
      </c>
      <c r="F87" s="170">
        <f>IFERROR(__xludf.DUMMYFUNCTION("IFERROR(E87 * (1 + AVERAGE(Filter('Inflation Data'!$C:$C,'Inflation Data'!$A:$A = F$1))) + 'Fund YTD Contributions'!F87,'Fund YTD Contributions'!F87)"),0.0)</f>
        <v>0</v>
      </c>
      <c r="G87" s="170">
        <f>IFERROR(__xludf.DUMMYFUNCTION("IFERROR(F87 * (1 + AVERAGE(Filter('Inflation Data'!$C:$C,'Inflation Data'!$A:$A = G$1))) + 'Fund YTD Contributions'!G87,'Fund YTD Contributions'!G87)"),0.0)</f>
        <v>0</v>
      </c>
      <c r="H87" s="170">
        <f>IFERROR(__xludf.DUMMYFUNCTION("IFERROR(G87 * (1 + AVERAGE(Filter('Inflation Data'!$C:$C,'Inflation Data'!$A:$A = H$1))) + 'Fund YTD Contributions'!H87,'Fund YTD Contributions'!H87)"),0.0)</f>
        <v>0</v>
      </c>
      <c r="I87" s="170">
        <f>IFERROR(__xludf.DUMMYFUNCTION("IFERROR(H87 * (1 + AVERAGE(Filter('Inflation Data'!$C:$C,'Inflation Data'!$A:$A = I$1))) + 'Fund YTD Contributions'!I87,'Fund YTD Contributions'!I87)"),0.0)</f>
        <v>0</v>
      </c>
      <c r="J87" s="170">
        <f>IFERROR(__xludf.DUMMYFUNCTION("IFERROR(I87 * (1 + AVERAGE(Filter('Inflation Data'!$C:$C,'Inflation Data'!$A:$A = J$1))) + 'Fund YTD Contributions'!J87,'Fund YTD Contributions'!J87)"),0.0)</f>
        <v>0</v>
      </c>
      <c r="K87" s="170">
        <f>IFERROR(__xludf.DUMMYFUNCTION("IFERROR(J87 * (1 + AVERAGE(Filter('Inflation Data'!$C:$C,'Inflation Data'!$A:$A = K$1))) + 'Fund YTD Contributions'!K87,'Fund YTD Contributions'!K87)"),0.0)</f>
        <v>0</v>
      </c>
      <c r="L87" s="170">
        <f>IFERROR(__xludf.DUMMYFUNCTION("IFERROR(K87 * (1 + AVERAGE(Filter('Inflation Data'!$C:$C,'Inflation Data'!$A:$A = L$1))) + 'Fund YTD Contributions'!L87,'Fund YTD Contributions'!L87)"),0.0)</f>
        <v>0</v>
      </c>
      <c r="M87" s="170">
        <f>IFERROR(__xludf.DUMMYFUNCTION("IFERROR(L87 * (1 + AVERAGE(Filter('Inflation Data'!$C:$C,'Inflation Data'!$A:$A = M$1))) + 'Fund YTD Contributions'!M87,'Fund YTD Contributions'!M87)"),0.0)</f>
        <v>0</v>
      </c>
      <c r="N87" s="170">
        <f>IFERROR(__xludf.DUMMYFUNCTION("IFERROR(M87 * (1 + AVERAGE(Filter('Inflation Data'!$C:$C,'Inflation Data'!$A:$A = N$1))) + 'Fund YTD Contributions'!N87,'Fund YTD Contributions'!N87)"),0.0)</f>
        <v>0</v>
      </c>
      <c r="O87" s="170">
        <f>IFERROR(__xludf.DUMMYFUNCTION("IFERROR(N87 * (1 + AVERAGE(Filter('Inflation Data'!$C:$C,'Inflation Data'!$A:$A = O$1))) + 'Fund YTD Contributions'!O87,'Fund YTD Contributions'!O87)"),0.0)</f>
        <v>0</v>
      </c>
      <c r="P87" s="170">
        <f>IFERROR(__xludf.DUMMYFUNCTION("IFERROR(O87 * (1 + AVERAGE(Filter('Inflation Data'!$C:$C,'Inflation Data'!$A:$A = P$1))) + 'Fund YTD Contributions'!P87,'Fund YTD Contributions'!P87)"),0.0)</f>
        <v>0</v>
      </c>
      <c r="Q87" s="170">
        <f>IFERROR(__xludf.DUMMYFUNCTION("IFERROR(P87 * (1 + AVERAGE(Filter('Inflation Data'!$C:$C,'Inflation Data'!$A:$A = Q$1))) + 'Fund YTD Contributions'!Q87,'Fund YTD Contributions'!Q87)"),0.0)</f>
        <v>0</v>
      </c>
      <c r="R87" s="170">
        <f>IFERROR(__xludf.DUMMYFUNCTION("IFERROR(Q87 * (1 + AVERAGE(Filter('Inflation Data'!$C:$C,'Inflation Data'!$A:$A = R$1))) + 'Fund YTD Contributions'!R87,'Fund YTD Contributions'!R87)"),0.0)</f>
        <v>0</v>
      </c>
      <c r="S87" s="170">
        <f>IFERROR(__xludf.DUMMYFUNCTION("IFERROR(R87 * (1 + AVERAGE(Filter('Inflation Data'!$C:$C,'Inflation Data'!$A:$A = S$1))) + 'Fund YTD Contributions'!S87,'Fund YTD Contributions'!S87)"),0.0)</f>
        <v>0</v>
      </c>
      <c r="T87" s="170">
        <f>IFERROR(__xludf.DUMMYFUNCTION("IFERROR(S87 * (1 + AVERAGE(Filter('Inflation Data'!$C:$C,'Inflation Data'!$A:$A = T$1))) + 'Fund YTD Contributions'!T87,'Fund YTD Contributions'!T87)"),0.0)</f>
        <v>0</v>
      </c>
      <c r="U87" s="170">
        <f>IFERROR(__xludf.DUMMYFUNCTION("IFERROR(T87 * (1 + AVERAGE(Filter('Inflation Data'!$C:$C,'Inflation Data'!$A:$A = U$1))) + 'Fund YTD Contributions'!U87,'Fund YTD Contributions'!U87)"),0.0)</f>
        <v>0</v>
      </c>
      <c r="V87" s="170">
        <f>IFERROR(__xludf.DUMMYFUNCTION("IFERROR(U87 * (1 + AVERAGE(Filter('Inflation Data'!$C:$C,'Inflation Data'!$A:$A = V$1))) + 'Fund YTD Contributions'!V87,'Fund YTD Contributions'!V87)"),0.0)</f>
        <v>0</v>
      </c>
      <c r="W87" s="170">
        <f>IFERROR(__xludf.DUMMYFUNCTION("IFERROR(V87 * (1 + AVERAGE(Filter('Inflation Data'!$C:$C,'Inflation Data'!$A:$A = W$1))) + 'Fund YTD Contributions'!W87,'Fund YTD Contributions'!W87)"),0.0)</f>
        <v>0</v>
      </c>
      <c r="X87" s="170">
        <f>IFERROR(__xludf.DUMMYFUNCTION("IFERROR(W87 * (1 + AVERAGE(Filter('Inflation Data'!$C:$C,'Inflation Data'!$A:$A = X$1))) + 'Fund YTD Contributions'!X87,'Fund YTD Contributions'!X87)"),0.0)</f>
        <v>0</v>
      </c>
      <c r="Y87" s="170">
        <f>IFERROR(__xludf.DUMMYFUNCTION("IFERROR(X87 * (1 + AVERAGE(Filter('Inflation Data'!$C:$C,'Inflation Data'!$A:$A = Y$1))) + 'Fund YTD Contributions'!Y87,'Fund YTD Contributions'!Y87)"),0.0)</f>
        <v>0</v>
      </c>
      <c r="Z87" s="170">
        <f>IFERROR(__xludf.DUMMYFUNCTION("IFERROR(Y87 * (1 + AVERAGE(Filter('Inflation Data'!$C:$C,'Inflation Data'!$A:$A = Z$1))) + 'Fund YTD Contributions'!Z87,'Fund YTD Contributions'!Z87)"),0.0)</f>
        <v>0</v>
      </c>
      <c r="AA87" s="170">
        <f>IFERROR(__xludf.DUMMYFUNCTION("IFERROR(Z87 * (1 + AVERAGE(Filter('Inflation Data'!$C:$C,'Inflation Data'!$A:$A = AA$1))) + 'Fund YTD Contributions'!AA87,'Fund YTD Contributions'!AA87)"),0.0)</f>
        <v>0</v>
      </c>
      <c r="AB87" s="170">
        <f>IFERROR(__xludf.DUMMYFUNCTION("IFERROR(AA87 * (1 + AVERAGE(Filter('Inflation Data'!$C:$C,'Inflation Data'!$A:$A = AB$1))) + 'Fund YTD Contributions'!AB87,'Fund YTD Contributions'!AB87)"),0.0)</f>
        <v>0</v>
      </c>
      <c r="AC87" s="170">
        <f>IFERROR(__xludf.DUMMYFUNCTION("IFERROR(AB87 * (1 + AVERAGE(Filter('Inflation Data'!$C:$C,'Inflation Data'!$A:$A = AC$1))) + 'Fund YTD Contributions'!AC87,'Fund YTD Contributions'!AC87)"),0.0)</f>
        <v>0</v>
      </c>
      <c r="AD87" s="170">
        <f>IFERROR(__xludf.DUMMYFUNCTION("IFERROR(AC87 * (1 + AVERAGE(Filter('Inflation Data'!$C:$C,'Inflation Data'!$A:$A = AD$1))) + 'Fund YTD Contributions'!AD87,'Fund YTD Contributions'!AD87)"),0.0)</f>
        <v>0</v>
      </c>
      <c r="AE87" s="170">
        <f>IFERROR(__xludf.DUMMYFUNCTION("IFERROR(AD87 * (1 + AVERAGE(Filter('Inflation Data'!$C:$C,'Inflation Data'!$A:$A = AE$1))) + 'Fund YTD Contributions'!AE87,'Fund YTD Contributions'!AE87)"),0.0)</f>
        <v>0</v>
      </c>
      <c r="AF87" s="170" t="str">
        <f>IFERROR(__xludf.DUMMYFUNCTION("IFERROR(AE87 * (1 + AVERAGE(Filter('Inflation Data'!$C:$C,'Inflation Data'!$A:$A = AF$1))) + 'Fund YTD Contributions'!AF87,'Fund YTD Contributions'!AF87)"),"")</f>
        <v/>
      </c>
    </row>
    <row r="88">
      <c r="A88" s="145" t="str">
        <f>'Endowed Funds'!B:B</f>
        <v/>
      </c>
      <c r="B88" s="170">
        <f>IFERROR(__xludf.DUMMYFUNCTION("IFERROR(A88 * (1 + AVERAGE(Filter('Inflation Data'!$C:$C,'Inflation Data'!$A:$A = B$1))) + 'Fund YTD Contributions'!B88,'Fund YTD Contributions'!B88)"),0.0)</f>
        <v>0</v>
      </c>
      <c r="C88" s="170">
        <f>IFERROR(__xludf.DUMMYFUNCTION("IFERROR(B88 * (1 + AVERAGE(Filter('Inflation Data'!$C:$C,'Inflation Data'!$A:$A = C$1))) + 'Fund YTD Contributions'!C88,'Fund YTD Contributions'!C88)"),0.0)</f>
        <v>0</v>
      </c>
      <c r="D88" s="170">
        <f>IFERROR(__xludf.DUMMYFUNCTION("IFERROR(C88 * (1 + AVERAGE(Filter('Inflation Data'!$C:$C,'Inflation Data'!$A:$A = D$1))) + 'Fund YTD Contributions'!D88,'Fund YTD Contributions'!D88)"),0.0)</f>
        <v>0</v>
      </c>
      <c r="E88" s="170">
        <f>IFERROR(__xludf.DUMMYFUNCTION("IFERROR(D88 * (1 + AVERAGE(Filter('Inflation Data'!$C:$C,'Inflation Data'!$A:$A = E$1))) + 'Fund YTD Contributions'!E88,'Fund YTD Contributions'!E88)"),0.0)</f>
        <v>0</v>
      </c>
      <c r="F88" s="170">
        <f>IFERROR(__xludf.DUMMYFUNCTION("IFERROR(E88 * (1 + AVERAGE(Filter('Inflation Data'!$C:$C,'Inflation Data'!$A:$A = F$1))) + 'Fund YTD Contributions'!F88,'Fund YTD Contributions'!F88)"),0.0)</f>
        <v>0</v>
      </c>
      <c r="G88" s="170">
        <f>IFERROR(__xludf.DUMMYFUNCTION("IFERROR(F88 * (1 + AVERAGE(Filter('Inflation Data'!$C:$C,'Inflation Data'!$A:$A = G$1))) + 'Fund YTD Contributions'!G88,'Fund YTD Contributions'!G88)"),0.0)</f>
        <v>0</v>
      </c>
      <c r="H88" s="170">
        <f>IFERROR(__xludf.DUMMYFUNCTION("IFERROR(G88 * (1 + AVERAGE(Filter('Inflation Data'!$C:$C,'Inflation Data'!$A:$A = H$1))) + 'Fund YTD Contributions'!H88,'Fund YTD Contributions'!H88)"),0.0)</f>
        <v>0</v>
      </c>
      <c r="I88" s="170">
        <f>IFERROR(__xludf.DUMMYFUNCTION("IFERROR(H88 * (1 + AVERAGE(Filter('Inflation Data'!$C:$C,'Inflation Data'!$A:$A = I$1))) + 'Fund YTD Contributions'!I88,'Fund YTD Contributions'!I88)"),0.0)</f>
        <v>0</v>
      </c>
      <c r="J88" s="170">
        <f>IFERROR(__xludf.DUMMYFUNCTION("IFERROR(I88 * (1 + AVERAGE(Filter('Inflation Data'!$C:$C,'Inflation Data'!$A:$A = J$1))) + 'Fund YTD Contributions'!J88,'Fund YTD Contributions'!J88)"),0.0)</f>
        <v>0</v>
      </c>
      <c r="K88" s="170">
        <f>IFERROR(__xludf.DUMMYFUNCTION("IFERROR(J88 * (1 + AVERAGE(Filter('Inflation Data'!$C:$C,'Inflation Data'!$A:$A = K$1))) + 'Fund YTD Contributions'!K88,'Fund YTD Contributions'!K88)"),0.0)</f>
        <v>0</v>
      </c>
      <c r="L88" s="170">
        <f>IFERROR(__xludf.DUMMYFUNCTION("IFERROR(K88 * (1 + AVERAGE(Filter('Inflation Data'!$C:$C,'Inflation Data'!$A:$A = L$1))) + 'Fund YTD Contributions'!L88,'Fund YTD Contributions'!L88)"),0.0)</f>
        <v>0</v>
      </c>
      <c r="M88" s="170">
        <f>IFERROR(__xludf.DUMMYFUNCTION("IFERROR(L88 * (1 + AVERAGE(Filter('Inflation Data'!$C:$C,'Inflation Data'!$A:$A = M$1))) + 'Fund YTD Contributions'!M88,'Fund YTD Contributions'!M88)"),0.0)</f>
        <v>0</v>
      </c>
      <c r="N88" s="170">
        <f>IFERROR(__xludf.DUMMYFUNCTION("IFERROR(M88 * (1 + AVERAGE(Filter('Inflation Data'!$C:$C,'Inflation Data'!$A:$A = N$1))) + 'Fund YTD Contributions'!N88,'Fund YTD Contributions'!N88)"),0.0)</f>
        <v>0</v>
      </c>
      <c r="O88" s="170">
        <f>IFERROR(__xludf.DUMMYFUNCTION("IFERROR(N88 * (1 + AVERAGE(Filter('Inflation Data'!$C:$C,'Inflation Data'!$A:$A = O$1))) + 'Fund YTD Contributions'!O88,'Fund YTD Contributions'!O88)"),0.0)</f>
        <v>0</v>
      </c>
      <c r="P88" s="170">
        <f>IFERROR(__xludf.DUMMYFUNCTION("IFERROR(O88 * (1 + AVERAGE(Filter('Inflation Data'!$C:$C,'Inflation Data'!$A:$A = P$1))) + 'Fund YTD Contributions'!P88,'Fund YTD Contributions'!P88)"),0.0)</f>
        <v>0</v>
      </c>
      <c r="Q88" s="170">
        <f>IFERROR(__xludf.DUMMYFUNCTION("IFERROR(P88 * (1 + AVERAGE(Filter('Inflation Data'!$C:$C,'Inflation Data'!$A:$A = Q$1))) + 'Fund YTD Contributions'!Q88,'Fund YTD Contributions'!Q88)"),0.0)</f>
        <v>0</v>
      </c>
      <c r="R88" s="170">
        <f>IFERROR(__xludf.DUMMYFUNCTION("IFERROR(Q88 * (1 + AVERAGE(Filter('Inflation Data'!$C:$C,'Inflation Data'!$A:$A = R$1))) + 'Fund YTD Contributions'!R88,'Fund YTD Contributions'!R88)"),0.0)</f>
        <v>0</v>
      </c>
      <c r="S88" s="170">
        <f>IFERROR(__xludf.DUMMYFUNCTION("IFERROR(R88 * (1 + AVERAGE(Filter('Inflation Data'!$C:$C,'Inflation Data'!$A:$A = S$1))) + 'Fund YTD Contributions'!S88,'Fund YTD Contributions'!S88)"),0.0)</f>
        <v>0</v>
      </c>
      <c r="T88" s="170">
        <f>IFERROR(__xludf.DUMMYFUNCTION("IFERROR(S88 * (1 + AVERAGE(Filter('Inflation Data'!$C:$C,'Inflation Data'!$A:$A = T$1))) + 'Fund YTD Contributions'!T88,'Fund YTD Contributions'!T88)"),0.0)</f>
        <v>0</v>
      </c>
      <c r="U88" s="170">
        <f>IFERROR(__xludf.DUMMYFUNCTION("IFERROR(T88 * (1 + AVERAGE(Filter('Inflation Data'!$C:$C,'Inflation Data'!$A:$A = U$1))) + 'Fund YTD Contributions'!U88,'Fund YTD Contributions'!U88)"),0.0)</f>
        <v>0</v>
      </c>
      <c r="V88" s="170">
        <f>IFERROR(__xludf.DUMMYFUNCTION("IFERROR(U88 * (1 + AVERAGE(Filter('Inflation Data'!$C:$C,'Inflation Data'!$A:$A = V$1))) + 'Fund YTD Contributions'!V88,'Fund YTD Contributions'!V88)"),0.0)</f>
        <v>0</v>
      </c>
      <c r="W88" s="170">
        <f>IFERROR(__xludf.DUMMYFUNCTION("IFERROR(V88 * (1 + AVERAGE(Filter('Inflation Data'!$C:$C,'Inflation Data'!$A:$A = W$1))) + 'Fund YTD Contributions'!W88,'Fund YTD Contributions'!W88)"),0.0)</f>
        <v>0</v>
      </c>
      <c r="X88" s="170">
        <f>IFERROR(__xludf.DUMMYFUNCTION("IFERROR(W88 * (1 + AVERAGE(Filter('Inflation Data'!$C:$C,'Inflation Data'!$A:$A = X$1))) + 'Fund YTD Contributions'!X88,'Fund YTD Contributions'!X88)"),0.0)</f>
        <v>0</v>
      </c>
      <c r="Y88" s="170">
        <f>IFERROR(__xludf.DUMMYFUNCTION("IFERROR(X88 * (1 + AVERAGE(Filter('Inflation Data'!$C:$C,'Inflation Data'!$A:$A = Y$1))) + 'Fund YTD Contributions'!Y88,'Fund YTD Contributions'!Y88)"),0.0)</f>
        <v>0</v>
      </c>
      <c r="Z88" s="170">
        <f>IFERROR(__xludf.DUMMYFUNCTION("IFERROR(Y88 * (1 + AVERAGE(Filter('Inflation Data'!$C:$C,'Inflation Data'!$A:$A = Z$1))) + 'Fund YTD Contributions'!Z88,'Fund YTD Contributions'!Z88)"),0.0)</f>
        <v>0</v>
      </c>
      <c r="AA88" s="170">
        <f>IFERROR(__xludf.DUMMYFUNCTION("IFERROR(Z88 * (1 + AVERAGE(Filter('Inflation Data'!$C:$C,'Inflation Data'!$A:$A = AA$1))) + 'Fund YTD Contributions'!AA88,'Fund YTD Contributions'!AA88)"),0.0)</f>
        <v>0</v>
      </c>
      <c r="AB88" s="170">
        <f>IFERROR(__xludf.DUMMYFUNCTION("IFERROR(AA88 * (1 + AVERAGE(Filter('Inflation Data'!$C:$C,'Inflation Data'!$A:$A = AB$1))) + 'Fund YTD Contributions'!AB88,'Fund YTD Contributions'!AB88)"),0.0)</f>
        <v>0</v>
      </c>
      <c r="AC88" s="170">
        <f>IFERROR(__xludf.DUMMYFUNCTION("IFERROR(AB88 * (1 + AVERAGE(Filter('Inflation Data'!$C:$C,'Inflation Data'!$A:$A = AC$1))) + 'Fund YTD Contributions'!AC88,'Fund YTD Contributions'!AC88)"),0.0)</f>
        <v>0</v>
      </c>
      <c r="AD88" s="170">
        <f>IFERROR(__xludf.DUMMYFUNCTION("IFERROR(AC88 * (1 + AVERAGE(Filter('Inflation Data'!$C:$C,'Inflation Data'!$A:$A = AD$1))) + 'Fund YTD Contributions'!AD88,'Fund YTD Contributions'!AD88)"),0.0)</f>
        <v>0</v>
      </c>
      <c r="AE88" s="170">
        <f>IFERROR(__xludf.DUMMYFUNCTION("IFERROR(AD88 * (1 + AVERAGE(Filter('Inflation Data'!$C:$C,'Inflation Data'!$A:$A = AE$1))) + 'Fund YTD Contributions'!AE88,'Fund YTD Contributions'!AE88)"),0.0)</f>
        <v>0</v>
      </c>
      <c r="AF88" s="170" t="str">
        <f>IFERROR(__xludf.DUMMYFUNCTION("IFERROR(AE88 * (1 + AVERAGE(Filter('Inflation Data'!$C:$C,'Inflation Data'!$A:$A = AF$1))) + 'Fund YTD Contributions'!AF88,'Fund YTD Contributions'!AF88)"),"")</f>
        <v/>
      </c>
    </row>
    <row r="89">
      <c r="A89" s="145" t="str">
        <f>'Endowed Funds'!B:B</f>
        <v/>
      </c>
      <c r="B89" s="170">
        <f>IFERROR(__xludf.DUMMYFUNCTION("IFERROR(A89 * (1 + AVERAGE(Filter('Inflation Data'!$C:$C,'Inflation Data'!$A:$A = B$1))) + 'Fund YTD Contributions'!B89,'Fund YTD Contributions'!B89)"),0.0)</f>
        <v>0</v>
      </c>
      <c r="C89" s="170">
        <f>IFERROR(__xludf.DUMMYFUNCTION("IFERROR(B89 * (1 + AVERAGE(Filter('Inflation Data'!$C:$C,'Inflation Data'!$A:$A = C$1))) + 'Fund YTD Contributions'!C89,'Fund YTD Contributions'!C89)"),0.0)</f>
        <v>0</v>
      </c>
      <c r="D89" s="170">
        <f>IFERROR(__xludf.DUMMYFUNCTION("IFERROR(C89 * (1 + AVERAGE(Filter('Inflation Data'!$C:$C,'Inflation Data'!$A:$A = D$1))) + 'Fund YTD Contributions'!D89,'Fund YTD Contributions'!D89)"),0.0)</f>
        <v>0</v>
      </c>
      <c r="E89" s="170">
        <f>IFERROR(__xludf.DUMMYFUNCTION("IFERROR(D89 * (1 + AVERAGE(Filter('Inflation Data'!$C:$C,'Inflation Data'!$A:$A = E$1))) + 'Fund YTD Contributions'!E89,'Fund YTD Contributions'!E89)"),0.0)</f>
        <v>0</v>
      </c>
      <c r="F89" s="170">
        <f>IFERROR(__xludf.DUMMYFUNCTION("IFERROR(E89 * (1 + AVERAGE(Filter('Inflation Data'!$C:$C,'Inflation Data'!$A:$A = F$1))) + 'Fund YTD Contributions'!F89,'Fund YTD Contributions'!F89)"),0.0)</f>
        <v>0</v>
      </c>
      <c r="G89" s="170">
        <f>IFERROR(__xludf.DUMMYFUNCTION("IFERROR(F89 * (1 + AVERAGE(Filter('Inflation Data'!$C:$C,'Inflation Data'!$A:$A = G$1))) + 'Fund YTD Contributions'!G89,'Fund YTD Contributions'!G89)"),0.0)</f>
        <v>0</v>
      </c>
      <c r="H89" s="170">
        <f>IFERROR(__xludf.DUMMYFUNCTION("IFERROR(G89 * (1 + AVERAGE(Filter('Inflation Data'!$C:$C,'Inflation Data'!$A:$A = H$1))) + 'Fund YTD Contributions'!H89,'Fund YTD Contributions'!H89)"),0.0)</f>
        <v>0</v>
      </c>
      <c r="I89" s="170">
        <f>IFERROR(__xludf.DUMMYFUNCTION("IFERROR(H89 * (1 + AVERAGE(Filter('Inflation Data'!$C:$C,'Inflation Data'!$A:$A = I$1))) + 'Fund YTD Contributions'!I89,'Fund YTD Contributions'!I89)"),0.0)</f>
        <v>0</v>
      </c>
      <c r="J89" s="170">
        <f>IFERROR(__xludf.DUMMYFUNCTION("IFERROR(I89 * (1 + AVERAGE(Filter('Inflation Data'!$C:$C,'Inflation Data'!$A:$A = J$1))) + 'Fund YTD Contributions'!J89,'Fund YTD Contributions'!J89)"),0.0)</f>
        <v>0</v>
      </c>
      <c r="K89" s="170">
        <f>IFERROR(__xludf.DUMMYFUNCTION("IFERROR(J89 * (1 + AVERAGE(Filter('Inflation Data'!$C:$C,'Inflation Data'!$A:$A = K$1))) + 'Fund YTD Contributions'!K89,'Fund YTD Contributions'!K89)"),0.0)</f>
        <v>0</v>
      </c>
      <c r="L89" s="170">
        <f>IFERROR(__xludf.DUMMYFUNCTION("IFERROR(K89 * (1 + AVERAGE(Filter('Inflation Data'!$C:$C,'Inflation Data'!$A:$A = L$1))) + 'Fund YTD Contributions'!L89,'Fund YTD Contributions'!L89)"),0.0)</f>
        <v>0</v>
      </c>
      <c r="M89" s="170">
        <f>IFERROR(__xludf.DUMMYFUNCTION("IFERROR(L89 * (1 + AVERAGE(Filter('Inflation Data'!$C:$C,'Inflation Data'!$A:$A = M$1))) + 'Fund YTD Contributions'!M89,'Fund YTD Contributions'!M89)"),0.0)</f>
        <v>0</v>
      </c>
      <c r="N89" s="170">
        <f>IFERROR(__xludf.DUMMYFUNCTION("IFERROR(M89 * (1 + AVERAGE(Filter('Inflation Data'!$C:$C,'Inflation Data'!$A:$A = N$1))) + 'Fund YTD Contributions'!N89,'Fund YTD Contributions'!N89)"),0.0)</f>
        <v>0</v>
      </c>
      <c r="O89" s="170">
        <f>IFERROR(__xludf.DUMMYFUNCTION("IFERROR(N89 * (1 + AVERAGE(Filter('Inflation Data'!$C:$C,'Inflation Data'!$A:$A = O$1))) + 'Fund YTD Contributions'!O89,'Fund YTD Contributions'!O89)"),0.0)</f>
        <v>0</v>
      </c>
      <c r="P89" s="170">
        <f>IFERROR(__xludf.DUMMYFUNCTION("IFERROR(O89 * (1 + AVERAGE(Filter('Inflation Data'!$C:$C,'Inflation Data'!$A:$A = P$1))) + 'Fund YTD Contributions'!P89,'Fund YTD Contributions'!P89)"),0.0)</f>
        <v>0</v>
      </c>
      <c r="Q89" s="170">
        <f>IFERROR(__xludf.DUMMYFUNCTION("IFERROR(P89 * (1 + AVERAGE(Filter('Inflation Data'!$C:$C,'Inflation Data'!$A:$A = Q$1))) + 'Fund YTD Contributions'!Q89,'Fund YTD Contributions'!Q89)"),0.0)</f>
        <v>0</v>
      </c>
      <c r="R89" s="170">
        <f>IFERROR(__xludf.DUMMYFUNCTION("IFERROR(Q89 * (1 + AVERAGE(Filter('Inflation Data'!$C:$C,'Inflation Data'!$A:$A = R$1))) + 'Fund YTD Contributions'!R89,'Fund YTD Contributions'!R89)"),0.0)</f>
        <v>0</v>
      </c>
      <c r="S89" s="170">
        <f>IFERROR(__xludf.DUMMYFUNCTION("IFERROR(R89 * (1 + AVERAGE(Filter('Inflation Data'!$C:$C,'Inflation Data'!$A:$A = S$1))) + 'Fund YTD Contributions'!S89,'Fund YTD Contributions'!S89)"),0.0)</f>
        <v>0</v>
      </c>
      <c r="T89" s="170">
        <f>IFERROR(__xludf.DUMMYFUNCTION("IFERROR(S89 * (1 + AVERAGE(Filter('Inflation Data'!$C:$C,'Inflation Data'!$A:$A = T$1))) + 'Fund YTD Contributions'!T89,'Fund YTD Contributions'!T89)"),0.0)</f>
        <v>0</v>
      </c>
      <c r="U89" s="170">
        <f>IFERROR(__xludf.DUMMYFUNCTION("IFERROR(T89 * (1 + AVERAGE(Filter('Inflation Data'!$C:$C,'Inflation Data'!$A:$A = U$1))) + 'Fund YTD Contributions'!U89,'Fund YTD Contributions'!U89)"),0.0)</f>
        <v>0</v>
      </c>
      <c r="V89" s="170">
        <f>IFERROR(__xludf.DUMMYFUNCTION("IFERROR(U89 * (1 + AVERAGE(Filter('Inflation Data'!$C:$C,'Inflation Data'!$A:$A = V$1))) + 'Fund YTD Contributions'!V89,'Fund YTD Contributions'!V89)"),0.0)</f>
        <v>0</v>
      </c>
      <c r="W89" s="170">
        <f>IFERROR(__xludf.DUMMYFUNCTION("IFERROR(V89 * (1 + AVERAGE(Filter('Inflation Data'!$C:$C,'Inflation Data'!$A:$A = W$1))) + 'Fund YTD Contributions'!W89,'Fund YTD Contributions'!W89)"),0.0)</f>
        <v>0</v>
      </c>
      <c r="X89" s="170">
        <f>IFERROR(__xludf.DUMMYFUNCTION("IFERROR(W89 * (1 + AVERAGE(Filter('Inflation Data'!$C:$C,'Inflation Data'!$A:$A = X$1))) + 'Fund YTD Contributions'!X89,'Fund YTD Contributions'!X89)"),0.0)</f>
        <v>0</v>
      </c>
      <c r="Y89" s="170">
        <f>IFERROR(__xludf.DUMMYFUNCTION("IFERROR(X89 * (1 + AVERAGE(Filter('Inflation Data'!$C:$C,'Inflation Data'!$A:$A = Y$1))) + 'Fund YTD Contributions'!Y89,'Fund YTD Contributions'!Y89)"),0.0)</f>
        <v>0</v>
      </c>
      <c r="Z89" s="170">
        <f>IFERROR(__xludf.DUMMYFUNCTION("IFERROR(Y89 * (1 + AVERAGE(Filter('Inflation Data'!$C:$C,'Inflation Data'!$A:$A = Z$1))) + 'Fund YTD Contributions'!Z89,'Fund YTD Contributions'!Z89)"),0.0)</f>
        <v>0</v>
      </c>
      <c r="AA89" s="170">
        <f>IFERROR(__xludf.DUMMYFUNCTION("IFERROR(Z89 * (1 + AVERAGE(Filter('Inflation Data'!$C:$C,'Inflation Data'!$A:$A = AA$1))) + 'Fund YTD Contributions'!AA89,'Fund YTD Contributions'!AA89)"),0.0)</f>
        <v>0</v>
      </c>
      <c r="AB89" s="170">
        <f>IFERROR(__xludf.DUMMYFUNCTION("IFERROR(AA89 * (1 + AVERAGE(Filter('Inflation Data'!$C:$C,'Inflation Data'!$A:$A = AB$1))) + 'Fund YTD Contributions'!AB89,'Fund YTD Contributions'!AB89)"),0.0)</f>
        <v>0</v>
      </c>
      <c r="AC89" s="170">
        <f>IFERROR(__xludf.DUMMYFUNCTION("IFERROR(AB89 * (1 + AVERAGE(Filter('Inflation Data'!$C:$C,'Inflation Data'!$A:$A = AC$1))) + 'Fund YTD Contributions'!AC89,'Fund YTD Contributions'!AC89)"),0.0)</f>
        <v>0</v>
      </c>
      <c r="AD89" s="170">
        <f>IFERROR(__xludf.DUMMYFUNCTION("IFERROR(AC89 * (1 + AVERAGE(Filter('Inflation Data'!$C:$C,'Inflation Data'!$A:$A = AD$1))) + 'Fund YTD Contributions'!AD89,'Fund YTD Contributions'!AD89)"),0.0)</f>
        <v>0</v>
      </c>
      <c r="AE89" s="170">
        <f>IFERROR(__xludf.DUMMYFUNCTION("IFERROR(AD89 * (1 + AVERAGE(Filter('Inflation Data'!$C:$C,'Inflation Data'!$A:$A = AE$1))) + 'Fund YTD Contributions'!AE89,'Fund YTD Contributions'!AE89)"),0.0)</f>
        <v>0</v>
      </c>
      <c r="AF89" s="170" t="str">
        <f>IFERROR(__xludf.DUMMYFUNCTION("IFERROR(AE89 * (1 + AVERAGE(Filter('Inflation Data'!$C:$C,'Inflation Data'!$A:$A = AF$1))) + 'Fund YTD Contributions'!AF89,'Fund YTD Contributions'!AF89)"),"")</f>
        <v/>
      </c>
    </row>
    <row r="90">
      <c r="A90" s="145" t="str">
        <f>'Endowed Funds'!B:B</f>
        <v/>
      </c>
      <c r="B90" s="170">
        <f>IFERROR(__xludf.DUMMYFUNCTION("IFERROR(A90 * (1 + AVERAGE(Filter('Inflation Data'!$C:$C,'Inflation Data'!$A:$A = B$1))) + 'Fund YTD Contributions'!B90,'Fund YTD Contributions'!B90)"),0.0)</f>
        <v>0</v>
      </c>
      <c r="C90" s="170">
        <f>IFERROR(__xludf.DUMMYFUNCTION("IFERROR(B90 * (1 + AVERAGE(Filter('Inflation Data'!$C:$C,'Inflation Data'!$A:$A = C$1))) + 'Fund YTD Contributions'!C90,'Fund YTD Contributions'!C90)"),0.0)</f>
        <v>0</v>
      </c>
      <c r="D90" s="170">
        <f>IFERROR(__xludf.DUMMYFUNCTION("IFERROR(C90 * (1 + AVERAGE(Filter('Inflation Data'!$C:$C,'Inflation Data'!$A:$A = D$1))) + 'Fund YTD Contributions'!D90,'Fund YTD Contributions'!D90)"),0.0)</f>
        <v>0</v>
      </c>
      <c r="E90" s="170">
        <f>IFERROR(__xludf.DUMMYFUNCTION("IFERROR(D90 * (1 + AVERAGE(Filter('Inflation Data'!$C:$C,'Inflation Data'!$A:$A = E$1))) + 'Fund YTD Contributions'!E90,'Fund YTD Contributions'!E90)"),0.0)</f>
        <v>0</v>
      </c>
      <c r="F90" s="170">
        <f>IFERROR(__xludf.DUMMYFUNCTION("IFERROR(E90 * (1 + AVERAGE(Filter('Inflation Data'!$C:$C,'Inflation Data'!$A:$A = F$1))) + 'Fund YTD Contributions'!F90,'Fund YTD Contributions'!F90)"),0.0)</f>
        <v>0</v>
      </c>
      <c r="G90" s="170">
        <f>IFERROR(__xludf.DUMMYFUNCTION("IFERROR(F90 * (1 + AVERAGE(Filter('Inflation Data'!$C:$C,'Inflation Data'!$A:$A = G$1))) + 'Fund YTD Contributions'!G90,'Fund YTD Contributions'!G90)"),0.0)</f>
        <v>0</v>
      </c>
      <c r="H90" s="170">
        <f>IFERROR(__xludf.DUMMYFUNCTION("IFERROR(G90 * (1 + AVERAGE(Filter('Inflation Data'!$C:$C,'Inflation Data'!$A:$A = H$1))) + 'Fund YTD Contributions'!H90,'Fund YTD Contributions'!H90)"),0.0)</f>
        <v>0</v>
      </c>
      <c r="I90" s="170">
        <f>IFERROR(__xludf.DUMMYFUNCTION("IFERROR(H90 * (1 + AVERAGE(Filter('Inflation Data'!$C:$C,'Inflation Data'!$A:$A = I$1))) + 'Fund YTD Contributions'!I90,'Fund YTD Contributions'!I90)"),0.0)</f>
        <v>0</v>
      </c>
      <c r="J90" s="170">
        <f>IFERROR(__xludf.DUMMYFUNCTION("IFERROR(I90 * (1 + AVERAGE(Filter('Inflation Data'!$C:$C,'Inflation Data'!$A:$A = J$1))) + 'Fund YTD Contributions'!J90,'Fund YTD Contributions'!J90)"),0.0)</f>
        <v>0</v>
      </c>
      <c r="K90" s="170">
        <f>IFERROR(__xludf.DUMMYFUNCTION("IFERROR(J90 * (1 + AVERAGE(Filter('Inflation Data'!$C:$C,'Inflation Data'!$A:$A = K$1))) + 'Fund YTD Contributions'!K90,'Fund YTD Contributions'!K90)"),0.0)</f>
        <v>0</v>
      </c>
      <c r="L90" s="170">
        <f>IFERROR(__xludf.DUMMYFUNCTION("IFERROR(K90 * (1 + AVERAGE(Filter('Inflation Data'!$C:$C,'Inflation Data'!$A:$A = L$1))) + 'Fund YTD Contributions'!L90,'Fund YTD Contributions'!L90)"),0.0)</f>
        <v>0</v>
      </c>
      <c r="M90" s="170">
        <f>IFERROR(__xludf.DUMMYFUNCTION("IFERROR(L90 * (1 + AVERAGE(Filter('Inflation Data'!$C:$C,'Inflation Data'!$A:$A = M$1))) + 'Fund YTD Contributions'!M90,'Fund YTD Contributions'!M90)"),0.0)</f>
        <v>0</v>
      </c>
      <c r="N90" s="170">
        <f>IFERROR(__xludf.DUMMYFUNCTION("IFERROR(M90 * (1 + AVERAGE(Filter('Inflation Data'!$C:$C,'Inflation Data'!$A:$A = N$1))) + 'Fund YTD Contributions'!N90,'Fund YTD Contributions'!N90)"),0.0)</f>
        <v>0</v>
      </c>
      <c r="O90" s="170">
        <f>IFERROR(__xludf.DUMMYFUNCTION("IFERROR(N90 * (1 + AVERAGE(Filter('Inflation Data'!$C:$C,'Inflation Data'!$A:$A = O$1))) + 'Fund YTD Contributions'!O90,'Fund YTD Contributions'!O90)"),0.0)</f>
        <v>0</v>
      </c>
      <c r="P90" s="170">
        <f>IFERROR(__xludf.DUMMYFUNCTION("IFERROR(O90 * (1 + AVERAGE(Filter('Inflation Data'!$C:$C,'Inflation Data'!$A:$A = P$1))) + 'Fund YTD Contributions'!P90,'Fund YTD Contributions'!P90)"),0.0)</f>
        <v>0</v>
      </c>
      <c r="Q90" s="170">
        <f>IFERROR(__xludf.DUMMYFUNCTION("IFERROR(P90 * (1 + AVERAGE(Filter('Inflation Data'!$C:$C,'Inflation Data'!$A:$A = Q$1))) + 'Fund YTD Contributions'!Q90,'Fund YTD Contributions'!Q90)"),0.0)</f>
        <v>0</v>
      </c>
      <c r="R90" s="170">
        <f>IFERROR(__xludf.DUMMYFUNCTION("IFERROR(Q90 * (1 + AVERAGE(Filter('Inflation Data'!$C:$C,'Inflation Data'!$A:$A = R$1))) + 'Fund YTD Contributions'!R90,'Fund YTD Contributions'!R90)"),0.0)</f>
        <v>0</v>
      </c>
      <c r="S90" s="170">
        <f>IFERROR(__xludf.DUMMYFUNCTION("IFERROR(R90 * (1 + AVERAGE(Filter('Inflation Data'!$C:$C,'Inflation Data'!$A:$A = S$1))) + 'Fund YTD Contributions'!S90,'Fund YTD Contributions'!S90)"),0.0)</f>
        <v>0</v>
      </c>
      <c r="T90" s="170">
        <f>IFERROR(__xludf.DUMMYFUNCTION("IFERROR(S90 * (1 + AVERAGE(Filter('Inflation Data'!$C:$C,'Inflation Data'!$A:$A = T$1))) + 'Fund YTD Contributions'!T90,'Fund YTD Contributions'!T90)"),0.0)</f>
        <v>0</v>
      </c>
      <c r="U90" s="170">
        <f>IFERROR(__xludf.DUMMYFUNCTION("IFERROR(T90 * (1 + AVERAGE(Filter('Inflation Data'!$C:$C,'Inflation Data'!$A:$A = U$1))) + 'Fund YTD Contributions'!U90,'Fund YTD Contributions'!U90)"),0.0)</f>
        <v>0</v>
      </c>
      <c r="V90" s="170">
        <f>IFERROR(__xludf.DUMMYFUNCTION("IFERROR(U90 * (1 + AVERAGE(Filter('Inflation Data'!$C:$C,'Inflation Data'!$A:$A = V$1))) + 'Fund YTD Contributions'!V90,'Fund YTD Contributions'!V90)"),0.0)</f>
        <v>0</v>
      </c>
      <c r="W90" s="170">
        <f>IFERROR(__xludf.DUMMYFUNCTION("IFERROR(V90 * (1 + AVERAGE(Filter('Inflation Data'!$C:$C,'Inflation Data'!$A:$A = W$1))) + 'Fund YTD Contributions'!W90,'Fund YTD Contributions'!W90)"),0.0)</f>
        <v>0</v>
      </c>
      <c r="X90" s="170">
        <f>IFERROR(__xludf.DUMMYFUNCTION("IFERROR(W90 * (1 + AVERAGE(Filter('Inflation Data'!$C:$C,'Inflation Data'!$A:$A = X$1))) + 'Fund YTD Contributions'!X90,'Fund YTD Contributions'!X90)"),0.0)</f>
        <v>0</v>
      </c>
      <c r="Y90" s="170">
        <f>IFERROR(__xludf.DUMMYFUNCTION("IFERROR(X90 * (1 + AVERAGE(Filter('Inflation Data'!$C:$C,'Inflation Data'!$A:$A = Y$1))) + 'Fund YTD Contributions'!Y90,'Fund YTD Contributions'!Y90)"),0.0)</f>
        <v>0</v>
      </c>
      <c r="Z90" s="170">
        <f>IFERROR(__xludf.DUMMYFUNCTION("IFERROR(Y90 * (1 + AVERAGE(Filter('Inflation Data'!$C:$C,'Inflation Data'!$A:$A = Z$1))) + 'Fund YTD Contributions'!Z90,'Fund YTD Contributions'!Z90)"),0.0)</f>
        <v>0</v>
      </c>
      <c r="AA90" s="170">
        <f>IFERROR(__xludf.DUMMYFUNCTION("IFERROR(Z90 * (1 + AVERAGE(Filter('Inflation Data'!$C:$C,'Inflation Data'!$A:$A = AA$1))) + 'Fund YTD Contributions'!AA90,'Fund YTD Contributions'!AA90)"),0.0)</f>
        <v>0</v>
      </c>
      <c r="AB90" s="170">
        <f>IFERROR(__xludf.DUMMYFUNCTION("IFERROR(AA90 * (1 + AVERAGE(Filter('Inflation Data'!$C:$C,'Inflation Data'!$A:$A = AB$1))) + 'Fund YTD Contributions'!AB90,'Fund YTD Contributions'!AB90)"),0.0)</f>
        <v>0</v>
      </c>
      <c r="AC90" s="170">
        <f>IFERROR(__xludf.DUMMYFUNCTION("IFERROR(AB90 * (1 + AVERAGE(Filter('Inflation Data'!$C:$C,'Inflation Data'!$A:$A = AC$1))) + 'Fund YTD Contributions'!AC90,'Fund YTD Contributions'!AC90)"),0.0)</f>
        <v>0</v>
      </c>
      <c r="AD90" s="170">
        <f>IFERROR(__xludf.DUMMYFUNCTION("IFERROR(AC90 * (1 + AVERAGE(Filter('Inflation Data'!$C:$C,'Inflation Data'!$A:$A = AD$1))) + 'Fund YTD Contributions'!AD90,'Fund YTD Contributions'!AD90)"),0.0)</f>
        <v>0</v>
      </c>
      <c r="AE90" s="170">
        <f>IFERROR(__xludf.DUMMYFUNCTION("IFERROR(AD90 * (1 + AVERAGE(Filter('Inflation Data'!$C:$C,'Inflation Data'!$A:$A = AE$1))) + 'Fund YTD Contributions'!AE90,'Fund YTD Contributions'!AE90)"),0.0)</f>
        <v>0</v>
      </c>
      <c r="AF90" s="170" t="str">
        <f>IFERROR(__xludf.DUMMYFUNCTION("IFERROR(AE90 * (1 + AVERAGE(Filter('Inflation Data'!$C:$C,'Inflation Data'!$A:$A = AF$1))) + 'Fund YTD Contributions'!AF90,'Fund YTD Contributions'!AF90)"),"")</f>
        <v/>
      </c>
    </row>
    <row r="91">
      <c r="A91" s="145" t="str">
        <f>'Endowed Funds'!B:B</f>
        <v/>
      </c>
      <c r="B91" s="170">
        <f>IFERROR(__xludf.DUMMYFUNCTION("IFERROR(A91 * (1 + AVERAGE(Filter('Inflation Data'!$C:$C,'Inflation Data'!$A:$A = B$1))) + 'Fund YTD Contributions'!B91,'Fund YTD Contributions'!B91)"),0.0)</f>
        <v>0</v>
      </c>
      <c r="C91" s="170">
        <f>IFERROR(__xludf.DUMMYFUNCTION("IFERROR(B91 * (1 + AVERAGE(Filter('Inflation Data'!$C:$C,'Inflation Data'!$A:$A = C$1))) + 'Fund YTD Contributions'!C91,'Fund YTD Contributions'!C91)"),0.0)</f>
        <v>0</v>
      </c>
      <c r="D91" s="170">
        <f>IFERROR(__xludf.DUMMYFUNCTION("IFERROR(C91 * (1 + AVERAGE(Filter('Inflation Data'!$C:$C,'Inflation Data'!$A:$A = D$1))) + 'Fund YTD Contributions'!D91,'Fund YTD Contributions'!D91)"),0.0)</f>
        <v>0</v>
      </c>
      <c r="E91" s="170">
        <f>IFERROR(__xludf.DUMMYFUNCTION("IFERROR(D91 * (1 + AVERAGE(Filter('Inflation Data'!$C:$C,'Inflation Data'!$A:$A = E$1))) + 'Fund YTD Contributions'!E91,'Fund YTD Contributions'!E91)"),0.0)</f>
        <v>0</v>
      </c>
      <c r="F91" s="170">
        <f>IFERROR(__xludf.DUMMYFUNCTION("IFERROR(E91 * (1 + AVERAGE(Filter('Inflation Data'!$C:$C,'Inflation Data'!$A:$A = F$1))) + 'Fund YTD Contributions'!F91,'Fund YTD Contributions'!F91)"),0.0)</f>
        <v>0</v>
      </c>
      <c r="G91" s="170">
        <f>IFERROR(__xludf.DUMMYFUNCTION("IFERROR(F91 * (1 + AVERAGE(Filter('Inflation Data'!$C:$C,'Inflation Data'!$A:$A = G$1))) + 'Fund YTD Contributions'!G91,'Fund YTD Contributions'!G91)"),0.0)</f>
        <v>0</v>
      </c>
      <c r="H91" s="170">
        <f>IFERROR(__xludf.DUMMYFUNCTION("IFERROR(G91 * (1 + AVERAGE(Filter('Inflation Data'!$C:$C,'Inflation Data'!$A:$A = H$1))) + 'Fund YTD Contributions'!H91,'Fund YTD Contributions'!H91)"),0.0)</f>
        <v>0</v>
      </c>
      <c r="I91" s="170">
        <f>IFERROR(__xludf.DUMMYFUNCTION("IFERROR(H91 * (1 + AVERAGE(Filter('Inflation Data'!$C:$C,'Inflation Data'!$A:$A = I$1))) + 'Fund YTD Contributions'!I91,'Fund YTD Contributions'!I91)"),0.0)</f>
        <v>0</v>
      </c>
      <c r="J91" s="170">
        <f>IFERROR(__xludf.DUMMYFUNCTION("IFERROR(I91 * (1 + AVERAGE(Filter('Inflation Data'!$C:$C,'Inflation Data'!$A:$A = J$1))) + 'Fund YTD Contributions'!J91,'Fund YTD Contributions'!J91)"),0.0)</f>
        <v>0</v>
      </c>
      <c r="K91" s="170">
        <f>IFERROR(__xludf.DUMMYFUNCTION("IFERROR(J91 * (1 + AVERAGE(Filter('Inflation Data'!$C:$C,'Inflation Data'!$A:$A = K$1))) + 'Fund YTD Contributions'!K91,'Fund YTD Contributions'!K91)"),0.0)</f>
        <v>0</v>
      </c>
      <c r="L91" s="170">
        <f>IFERROR(__xludf.DUMMYFUNCTION("IFERROR(K91 * (1 + AVERAGE(Filter('Inflation Data'!$C:$C,'Inflation Data'!$A:$A = L$1))) + 'Fund YTD Contributions'!L91,'Fund YTD Contributions'!L91)"),0.0)</f>
        <v>0</v>
      </c>
      <c r="M91" s="170">
        <f>IFERROR(__xludf.DUMMYFUNCTION("IFERROR(L91 * (1 + AVERAGE(Filter('Inflation Data'!$C:$C,'Inflation Data'!$A:$A = M$1))) + 'Fund YTD Contributions'!M91,'Fund YTD Contributions'!M91)"),0.0)</f>
        <v>0</v>
      </c>
      <c r="N91" s="170">
        <f>IFERROR(__xludf.DUMMYFUNCTION("IFERROR(M91 * (1 + AVERAGE(Filter('Inflation Data'!$C:$C,'Inflation Data'!$A:$A = N$1))) + 'Fund YTD Contributions'!N91,'Fund YTD Contributions'!N91)"),0.0)</f>
        <v>0</v>
      </c>
      <c r="O91" s="170">
        <f>IFERROR(__xludf.DUMMYFUNCTION("IFERROR(N91 * (1 + AVERAGE(Filter('Inflation Data'!$C:$C,'Inflation Data'!$A:$A = O$1))) + 'Fund YTD Contributions'!O91,'Fund YTD Contributions'!O91)"),0.0)</f>
        <v>0</v>
      </c>
      <c r="P91" s="170">
        <f>IFERROR(__xludf.DUMMYFUNCTION("IFERROR(O91 * (1 + AVERAGE(Filter('Inflation Data'!$C:$C,'Inflation Data'!$A:$A = P$1))) + 'Fund YTD Contributions'!P91,'Fund YTD Contributions'!P91)"),0.0)</f>
        <v>0</v>
      </c>
      <c r="Q91" s="170">
        <f>IFERROR(__xludf.DUMMYFUNCTION("IFERROR(P91 * (1 + AVERAGE(Filter('Inflation Data'!$C:$C,'Inflation Data'!$A:$A = Q$1))) + 'Fund YTD Contributions'!Q91,'Fund YTD Contributions'!Q91)"),0.0)</f>
        <v>0</v>
      </c>
      <c r="R91" s="170">
        <f>IFERROR(__xludf.DUMMYFUNCTION("IFERROR(Q91 * (1 + AVERAGE(Filter('Inflation Data'!$C:$C,'Inflation Data'!$A:$A = R$1))) + 'Fund YTD Contributions'!R91,'Fund YTD Contributions'!R91)"),0.0)</f>
        <v>0</v>
      </c>
      <c r="S91" s="170">
        <f>IFERROR(__xludf.DUMMYFUNCTION("IFERROR(R91 * (1 + AVERAGE(Filter('Inflation Data'!$C:$C,'Inflation Data'!$A:$A = S$1))) + 'Fund YTD Contributions'!S91,'Fund YTD Contributions'!S91)"),0.0)</f>
        <v>0</v>
      </c>
      <c r="T91" s="170">
        <f>IFERROR(__xludf.DUMMYFUNCTION("IFERROR(S91 * (1 + AVERAGE(Filter('Inflation Data'!$C:$C,'Inflation Data'!$A:$A = T$1))) + 'Fund YTD Contributions'!T91,'Fund YTD Contributions'!T91)"),0.0)</f>
        <v>0</v>
      </c>
      <c r="U91" s="170">
        <f>IFERROR(__xludf.DUMMYFUNCTION("IFERROR(T91 * (1 + AVERAGE(Filter('Inflation Data'!$C:$C,'Inflation Data'!$A:$A = U$1))) + 'Fund YTD Contributions'!U91,'Fund YTD Contributions'!U91)"),0.0)</f>
        <v>0</v>
      </c>
      <c r="V91" s="170">
        <f>IFERROR(__xludf.DUMMYFUNCTION("IFERROR(U91 * (1 + AVERAGE(Filter('Inflation Data'!$C:$C,'Inflation Data'!$A:$A = V$1))) + 'Fund YTD Contributions'!V91,'Fund YTD Contributions'!V91)"),0.0)</f>
        <v>0</v>
      </c>
      <c r="W91" s="170">
        <f>IFERROR(__xludf.DUMMYFUNCTION("IFERROR(V91 * (1 + AVERAGE(Filter('Inflation Data'!$C:$C,'Inflation Data'!$A:$A = W$1))) + 'Fund YTD Contributions'!W91,'Fund YTD Contributions'!W91)"),0.0)</f>
        <v>0</v>
      </c>
      <c r="X91" s="170">
        <f>IFERROR(__xludf.DUMMYFUNCTION("IFERROR(W91 * (1 + AVERAGE(Filter('Inflation Data'!$C:$C,'Inflation Data'!$A:$A = X$1))) + 'Fund YTD Contributions'!X91,'Fund YTD Contributions'!X91)"),0.0)</f>
        <v>0</v>
      </c>
      <c r="Y91" s="170">
        <f>IFERROR(__xludf.DUMMYFUNCTION("IFERROR(X91 * (1 + AVERAGE(Filter('Inflation Data'!$C:$C,'Inflation Data'!$A:$A = Y$1))) + 'Fund YTD Contributions'!Y91,'Fund YTD Contributions'!Y91)"),0.0)</f>
        <v>0</v>
      </c>
      <c r="Z91" s="170">
        <f>IFERROR(__xludf.DUMMYFUNCTION("IFERROR(Y91 * (1 + AVERAGE(Filter('Inflation Data'!$C:$C,'Inflation Data'!$A:$A = Z$1))) + 'Fund YTD Contributions'!Z91,'Fund YTD Contributions'!Z91)"),0.0)</f>
        <v>0</v>
      </c>
      <c r="AA91" s="170">
        <f>IFERROR(__xludf.DUMMYFUNCTION("IFERROR(Z91 * (1 + AVERAGE(Filter('Inflation Data'!$C:$C,'Inflation Data'!$A:$A = AA$1))) + 'Fund YTD Contributions'!AA91,'Fund YTD Contributions'!AA91)"),0.0)</f>
        <v>0</v>
      </c>
      <c r="AB91" s="170">
        <f>IFERROR(__xludf.DUMMYFUNCTION("IFERROR(AA91 * (1 + AVERAGE(Filter('Inflation Data'!$C:$C,'Inflation Data'!$A:$A = AB$1))) + 'Fund YTD Contributions'!AB91,'Fund YTD Contributions'!AB91)"),0.0)</f>
        <v>0</v>
      </c>
      <c r="AC91" s="170">
        <f>IFERROR(__xludf.DUMMYFUNCTION("IFERROR(AB91 * (1 + AVERAGE(Filter('Inflation Data'!$C:$C,'Inflation Data'!$A:$A = AC$1))) + 'Fund YTD Contributions'!AC91,'Fund YTD Contributions'!AC91)"),0.0)</f>
        <v>0</v>
      </c>
      <c r="AD91" s="170">
        <f>IFERROR(__xludf.DUMMYFUNCTION("IFERROR(AC91 * (1 + AVERAGE(Filter('Inflation Data'!$C:$C,'Inflation Data'!$A:$A = AD$1))) + 'Fund YTD Contributions'!AD91,'Fund YTD Contributions'!AD91)"),0.0)</f>
        <v>0</v>
      </c>
      <c r="AE91" s="170">
        <f>IFERROR(__xludf.DUMMYFUNCTION("IFERROR(AD91 * (1 + AVERAGE(Filter('Inflation Data'!$C:$C,'Inflation Data'!$A:$A = AE$1))) + 'Fund YTD Contributions'!AE91,'Fund YTD Contributions'!AE91)"),0.0)</f>
        <v>0</v>
      </c>
      <c r="AF91" s="170" t="str">
        <f>IFERROR(__xludf.DUMMYFUNCTION("IFERROR(AE91 * (1 + AVERAGE(Filter('Inflation Data'!$C:$C,'Inflation Data'!$A:$A = AF$1))) + 'Fund YTD Contributions'!AF91,'Fund YTD Contributions'!AF91)"),"")</f>
        <v/>
      </c>
    </row>
    <row r="92">
      <c r="A92" s="145" t="str">
        <f>'Endowed Funds'!B:B</f>
        <v/>
      </c>
      <c r="B92" s="170">
        <f>IFERROR(__xludf.DUMMYFUNCTION("IFERROR(A92 * (1 + AVERAGE(Filter('Inflation Data'!$C:$C,'Inflation Data'!$A:$A = B$1))) + 'Fund YTD Contributions'!B92,'Fund YTD Contributions'!B92)"),0.0)</f>
        <v>0</v>
      </c>
      <c r="C92" s="170">
        <f>IFERROR(__xludf.DUMMYFUNCTION("IFERROR(B92 * (1 + AVERAGE(Filter('Inflation Data'!$C:$C,'Inflation Data'!$A:$A = C$1))) + 'Fund YTD Contributions'!C92,'Fund YTD Contributions'!C92)"),0.0)</f>
        <v>0</v>
      </c>
      <c r="D92" s="170">
        <f>IFERROR(__xludf.DUMMYFUNCTION("IFERROR(C92 * (1 + AVERAGE(Filter('Inflation Data'!$C:$C,'Inflation Data'!$A:$A = D$1))) + 'Fund YTD Contributions'!D92,'Fund YTD Contributions'!D92)"),0.0)</f>
        <v>0</v>
      </c>
      <c r="E92" s="170">
        <f>IFERROR(__xludf.DUMMYFUNCTION("IFERROR(D92 * (1 + AVERAGE(Filter('Inflation Data'!$C:$C,'Inflation Data'!$A:$A = E$1))) + 'Fund YTD Contributions'!E92,'Fund YTD Contributions'!E92)"),0.0)</f>
        <v>0</v>
      </c>
      <c r="F92" s="170">
        <f>IFERROR(__xludf.DUMMYFUNCTION("IFERROR(E92 * (1 + AVERAGE(Filter('Inflation Data'!$C:$C,'Inflation Data'!$A:$A = F$1))) + 'Fund YTD Contributions'!F92,'Fund YTD Contributions'!F92)"),0.0)</f>
        <v>0</v>
      </c>
      <c r="G92" s="170">
        <f>IFERROR(__xludf.DUMMYFUNCTION("IFERROR(F92 * (1 + AVERAGE(Filter('Inflation Data'!$C:$C,'Inflation Data'!$A:$A = G$1))) + 'Fund YTD Contributions'!G92,'Fund YTD Contributions'!G92)"),0.0)</f>
        <v>0</v>
      </c>
      <c r="H92" s="170">
        <f>IFERROR(__xludf.DUMMYFUNCTION("IFERROR(G92 * (1 + AVERAGE(Filter('Inflation Data'!$C:$C,'Inflation Data'!$A:$A = H$1))) + 'Fund YTD Contributions'!H92,'Fund YTD Contributions'!H92)"),0.0)</f>
        <v>0</v>
      </c>
      <c r="I92" s="170">
        <f>IFERROR(__xludf.DUMMYFUNCTION("IFERROR(H92 * (1 + AVERAGE(Filter('Inflation Data'!$C:$C,'Inflation Data'!$A:$A = I$1))) + 'Fund YTD Contributions'!I92,'Fund YTD Contributions'!I92)"),0.0)</f>
        <v>0</v>
      </c>
      <c r="J92" s="170">
        <f>IFERROR(__xludf.DUMMYFUNCTION("IFERROR(I92 * (1 + AVERAGE(Filter('Inflation Data'!$C:$C,'Inflation Data'!$A:$A = J$1))) + 'Fund YTD Contributions'!J92,'Fund YTD Contributions'!J92)"),0.0)</f>
        <v>0</v>
      </c>
      <c r="K92" s="170">
        <f>IFERROR(__xludf.DUMMYFUNCTION("IFERROR(J92 * (1 + AVERAGE(Filter('Inflation Data'!$C:$C,'Inflation Data'!$A:$A = K$1))) + 'Fund YTD Contributions'!K92,'Fund YTD Contributions'!K92)"),0.0)</f>
        <v>0</v>
      </c>
      <c r="L92" s="170">
        <f>IFERROR(__xludf.DUMMYFUNCTION("IFERROR(K92 * (1 + AVERAGE(Filter('Inflation Data'!$C:$C,'Inflation Data'!$A:$A = L$1))) + 'Fund YTD Contributions'!L92,'Fund YTD Contributions'!L92)"),0.0)</f>
        <v>0</v>
      </c>
      <c r="M92" s="170">
        <f>IFERROR(__xludf.DUMMYFUNCTION("IFERROR(L92 * (1 + AVERAGE(Filter('Inflation Data'!$C:$C,'Inflation Data'!$A:$A = M$1))) + 'Fund YTD Contributions'!M92,'Fund YTD Contributions'!M92)"),0.0)</f>
        <v>0</v>
      </c>
      <c r="N92" s="170">
        <f>IFERROR(__xludf.DUMMYFUNCTION("IFERROR(M92 * (1 + AVERAGE(Filter('Inflation Data'!$C:$C,'Inflation Data'!$A:$A = N$1))) + 'Fund YTD Contributions'!N92,'Fund YTD Contributions'!N92)"),0.0)</f>
        <v>0</v>
      </c>
      <c r="O92" s="170">
        <f>IFERROR(__xludf.DUMMYFUNCTION("IFERROR(N92 * (1 + AVERAGE(Filter('Inflation Data'!$C:$C,'Inflation Data'!$A:$A = O$1))) + 'Fund YTD Contributions'!O92,'Fund YTD Contributions'!O92)"),0.0)</f>
        <v>0</v>
      </c>
      <c r="P92" s="170">
        <f>IFERROR(__xludf.DUMMYFUNCTION("IFERROR(O92 * (1 + AVERAGE(Filter('Inflation Data'!$C:$C,'Inflation Data'!$A:$A = P$1))) + 'Fund YTD Contributions'!P92,'Fund YTD Contributions'!P92)"),0.0)</f>
        <v>0</v>
      </c>
      <c r="Q92" s="170">
        <f>IFERROR(__xludf.DUMMYFUNCTION("IFERROR(P92 * (1 + AVERAGE(Filter('Inflation Data'!$C:$C,'Inflation Data'!$A:$A = Q$1))) + 'Fund YTD Contributions'!Q92,'Fund YTD Contributions'!Q92)"),0.0)</f>
        <v>0</v>
      </c>
      <c r="R92" s="170">
        <f>IFERROR(__xludf.DUMMYFUNCTION("IFERROR(Q92 * (1 + AVERAGE(Filter('Inflation Data'!$C:$C,'Inflation Data'!$A:$A = R$1))) + 'Fund YTD Contributions'!R92,'Fund YTD Contributions'!R92)"),0.0)</f>
        <v>0</v>
      </c>
      <c r="S92" s="170">
        <f>IFERROR(__xludf.DUMMYFUNCTION("IFERROR(R92 * (1 + AVERAGE(Filter('Inflation Data'!$C:$C,'Inflation Data'!$A:$A = S$1))) + 'Fund YTD Contributions'!S92,'Fund YTD Contributions'!S92)"),0.0)</f>
        <v>0</v>
      </c>
      <c r="T92" s="170">
        <f>IFERROR(__xludf.DUMMYFUNCTION("IFERROR(S92 * (1 + AVERAGE(Filter('Inflation Data'!$C:$C,'Inflation Data'!$A:$A = T$1))) + 'Fund YTD Contributions'!T92,'Fund YTD Contributions'!T92)"),0.0)</f>
        <v>0</v>
      </c>
      <c r="U92" s="170">
        <f>IFERROR(__xludf.DUMMYFUNCTION("IFERROR(T92 * (1 + AVERAGE(Filter('Inflation Data'!$C:$C,'Inflation Data'!$A:$A = U$1))) + 'Fund YTD Contributions'!U92,'Fund YTD Contributions'!U92)"),0.0)</f>
        <v>0</v>
      </c>
      <c r="V92" s="170">
        <f>IFERROR(__xludf.DUMMYFUNCTION("IFERROR(U92 * (1 + AVERAGE(Filter('Inflation Data'!$C:$C,'Inflation Data'!$A:$A = V$1))) + 'Fund YTD Contributions'!V92,'Fund YTD Contributions'!V92)"),0.0)</f>
        <v>0</v>
      </c>
      <c r="W92" s="170">
        <f>IFERROR(__xludf.DUMMYFUNCTION("IFERROR(V92 * (1 + AVERAGE(Filter('Inflation Data'!$C:$C,'Inflation Data'!$A:$A = W$1))) + 'Fund YTD Contributions'!W92,'Fund YTD Contributions'!W92)"),0.0)</f>
        <v>0</v>
      </c>
      <c r="X92" s="170">
        <f>IFERROR(__xludf.DUMMYFUNCTION("IFERROR(W92 * (1 + AVERAGE(Filter('Inflation Data'!$C:$C,'Inflation Data'!$A:$A = X$1))) + 'Fund YTD Contributions'!X92,'Fund YTD Contributions'!X92)"),0.0)</f>
        <v>0</v>
      </c>
      <c r="Y92" s="170">
        <f>IFERROR(__xludf.DUMMYFUNCTION("IFERROR(X92 * (1 + AVERAGE(Filter('Inflation Data'!$C:$C,'Inflation Data'!$A:$A = Y$1))) + 'Fund YTD Contributions'!Y92,'Fund YTD Contributions'!Y92)"),0.0)</f>
        <v>0</v>
      </c>
      <c r="Z92" s="170">
        <f>IFERROR(__xludf.DUMMYFUNCTION("IFERROR(Y92 * (1 + AVERAGE(Filter('Inflation Data'!$C:$C,'Inflation Data'!$A:$A = Z$1))) + 'Fund YTD Contributions'!Z92,'Fund YTD Contributions'!Z92)"),0.0)</f>
        <v>0</v>
      </c>
      <c r="AA92" s="170">
        <f>IFERROR(__xludf.DUMMYFUNCTION("IFERROR(Z92 * (1 + AVERAGE(Filter('Inflation Data'!$C:$C,'Inflation Data'!$A:$A = AA$1))) + 'Fund YTD Contributions'!AA92,'Fund YTD Contributions'!AA92)"),0.0)</f>
        <v>0</v>
      </c>
      <c r="AB92" s="170">
        <f>IFERROR(__xludf.DUMMYFUNCTION("IFERROR(AA92 * (1 + AVERAGE(Filter('Inflation Data'!$C:$C,'Inflation Data'!$A:$A = AB$1))) + 'Fund YTD Contributions'!AB92,'Fund YTD Contributions'!AB92)"),0.0)</f>
        <v>0</v>
      </c>
      <c r="AC92" s="170">
        <f>IFERROR(__xludf.DUMMYFUNCTION("IFERROR(AB92 * (1 + AVERAGE(Filter('Inflation Data'!$C:$C,'Inflation Data'!$A:$A = AC$1))) + 'Fund YTD Contributions'!AC92,'Fund YTD Contributions'!AC92)"),0.0)</f>
        <v>0</v>
      </c>
      <c r="AD92" s="170">
        <f>IFERROR(__xludf.DUMMYFUNCTION("IFERROR(AC92 * (1 + AVERAGE(Filter('Inflation Data'!$C:$C,'Inflation Data'!$A:$A = AD$1))) + 'Fund YTD Contributions'!AD92,'Fund YTD Contributions'!AD92)"),0.0)</f>
        <v>0</v>
      </c>
      <c r="AE92" s="170">
        <f>IFERROR(__xludf.DUMMYFUNCTION("IFERROR(AD92 * (1 + AVERAGE(Filter('Inflation Data'!$C:$C,'Inflation Data'!$A:$A = AE$1))) + 'Fund YTD Contributions'!AE92,'Fund YTD Contributions'!AE92)"),0.0)</f>
        <v>0</v>
      </c>
      <c r="AF92" s="170" t="str">
        <f>IFERROR(__xludf.DUMMYFUNCTION("IFERROR(AE92 * (1 + AVERAGE(Filter('Inflation Data'!$C:$C,'Inflation Data'!$A:$A = AF$1))) + 'Fund YTD Contributions'!AF92,'Fund YTD Contributions'!AF92)"),"")</f>
        <v/>
      </c>
    </row>
    <row r="93">
      <c r="A93" s="145" t="str">
        <f>'Endowed Funds'!B:B</f>
        <v/>
      </c>
      <c r="B93" s="170">
        <f>IFERROR(__xludf.DUMMYFUNCTION("IFERROR(A93 * (1 + AVERAGE(Filter('Inflation Data'!$C:$C,'Inflation Data'!$A:$A = B$1))) + 'Fund YTD Contributions'!B93,'Fund YTD Contributions'!B93)"),0.0)</f>
        <v>0</v>
      </c>
      <c r="C93" s="170">
        <f>IFERROR(__xludf.DUMMYFUNCTION("IFERROR(B93 * (1 + AVERAGE(Filter('Inflation Data'!$C:$C,'Inflation Data'!$A:$A = C$1))) + 'Fund YTD Contributions'!C93,'Fund YTD Contributions'!C93)"),0.0)</f>
        <v>0</v>
      </c>
      <c r="D93" s="170">
        <f>IFERROR(__xludf.DUMMYFUNCTION("IFERROR(C93 * (1 + AVERAGE(Filter('Inflation Data'!$C:$C,'Inflation Data'!$A:$A = D$1))) + 'Fund YTD Contributions'!D93,'Fund YTD Contributions'!D93)"),0.0)</f>
        <v>0</v>
      </c>
      <c r="E93" s="170">
        <f>IFERROR(__xludf.DUMMYFUNCTION("IFERROR(D93 * (1 + AVERAGE(Filter('Inflation Data'!$C:$C,'Inflation Data'!$A:$A = E$1))) + 'Fund YTD Contributions'!E93,'Fund YTD Contributions'!E93)"),0.0)</f>
        <v>0</v>
      </c>
      <c r="F93" s="170">
        <f>IFERROR(__xludf.DUMMYFUNCTION("IFERROR(E93 * (1 + AVERAGE(Filter('Inflation Data'!$C:$C,'Inflation Data'!$A:$A = F$1))) + 'Fund YTD Contributions'!F93,'Fund YTD Contributions'!F93)"),0.0)</f>
        <v>0</v>
      </c>
      <c r="G93" s="170">
        <f>IFERROR(__xludf.DUMMYFUNCTION("IFERROR(F93 * (1 + AVERAGE(Filter('Inflation Data'!$C:$C,'Inflation Data'!$A:$A = G$1))) + 'Fund YTD Contributions'!G93,'Fund YTD Contributions'!G93)"),0.0)</f>
        <v>0</v>
      </c>
      <c r="H93" s="170">
        <f>IFERROR(__xludf.DUMMYFUNCTION("IFERROR(G93 * (1 + AVERAGE(Filter('Inflation Data'!$C:$C,'Inflation Data'!$A:$A = H$1))) + 'Fund YTD Contributions'!H93,'Fund YTD Contributions'!H93)"),0.0)</f>
        <v>0</v>
      </c>
      <c r="I93" s="170">
        <f>IFERROR(__xludf.DUMMYFUNCTION("IFERROR(H93 * (1 + AVERAGE(Filter('Inflation Data'!$C:$C,'Inflation Data'!$A:$A = I$1))) + 'Fund YTD Contributions'!I93,'Fund YTD Contributions'!I93)"),0.0)</f>
        <v>0</v>
      </c>
      <c r="J93" s="170">
        <f>IFERROR(__xludf.DUMMYFUNCTION("IFERROR(I93 * (1 + AVERAGE(Filter('Inflation Data'!$C:$C,'Inflation Data'!$A:$A = J$1))) + 'Fund YTD Contributions'!J93,'Fund YTD Contributions'!J93)"),0.0)</f>
        <v>0</v>
      </c>
      <c r="K93" s="170">
        <f>IFERROR(__xludf.DUMMYFUNCTION("IFERROR(J93 * (1 + AVERAGE(Filter('Inflation Data'!$C:$C,'Inflation Data'!$A:$A = K$1))) + 'Fund YTD Contributions'!K93,'Fund YTD Contributions'!K93)"),0.0)</f>
        <v>0</v>
      </c>
      <c r="L93" s="170">
        <f>IFERROR(__xludf.DUMMYFUNCTION("IFERROR(K93 * (1 + AVERAGE(Filter('Inflation Data'!$C:$C,'Inflation Data'!$A:$A = L$1))) + 'Fund YTD Contributions'!L93,'Fund YTD Contributions'!L93)"),0.0)</f>
        <v>0</v>
      </c>
      <c r="M93" s="170">
        <f>IFERROR(__xludf.DUMMYFUNCTION("IFERROR(L93 * (1 + AVERAGE(Filter('Inflation Data'!$C:$C,'Inflation Data'!$A:$A = M$1))) + 'Fund YTD Contributions'!M93,'Fund YTD Contributions'!M93)"),0.0)</f>
        <v>0</v>
      </c>
      <c r="N93" s="170">
        <f>IFERROR(__xludf.DUMMYFUNCTION("IFERROR(M93 * (1 + AVERAGE(Filter('Inflation Data'!$C:$C,'Inflation Data'!$A:$A = N$1))) + 'Fund YTD Contributions'!N93,'Fund YTD Contributions'!N93)"),0.0)</f>
        <v>0</v>
      </c>
      <c r="O93" s="170">
        <f>IFERROR(__xludf.DUMMYFUNCTION("IFERROR(N93 * (1 + AVERAGE(Filter('Inflation Data'!$C:$C,'Inflation Data'!$A:$A = O$1))) + 'Fund YTD Contributions'!O93,'Fund YTD Contributions'!O93)"),0.0)</f>
        <v>0</v>
      </c>
      <c r="P93" s="170">
        <f>IFERROR(__xludf.DUMMYFUNCTION("IFERROR(O93 * (1 + AVERAGE(Filter('Inflation Data'!$C:$C,'Inflation Data'!$A:$A = P$1))) + 'Fund YTD Contributions'!P93,'Fund YTD Contributions'!P93)"),0.0)</f>
        <v>0</v>
      </c>
      <c r="Q93" s="170">
        <f>IFERROR(__xludf.DUMMYFUNCTION("IFERROR(P93 * (1 + AVERAGE(Filter('Inflation Data'!$C:$C,'Inflation Data'!$A:$A = Q$1))) + 'Fund YTD Contributions'!Q93,'Fund YTD Contributions'!Q93)"),0.0)</f>
        <v>0</v>
      </c>
      <c r="R93" s="170">
        <f>IFERROR(__xludf.DUMMYFUNCTION("IFERROR(Q93 * (1 + AVERAGE(Filter('Inflation Data'!$C:$C,'Inflation Data'!$A:$A = R$1))) + 'Fund YTD Contributions'!R93,'Fund YTD Contributions'!R93)"),0.0)</f>
        <v>0</v>
      </c>
      <c r="S93" s="170">
        <f>IFERROR(__xludf.DUMMYFUNCTION("IFERROR(R93 * (1 + AVERAGE(Filter('Inflation Data'!$C:$C,'Inflation Data'!$A:$A = S$1))) + 'Fund YTD Contributions'!S93,'Fund YTD Contributions'!S93)"),0.0)</f>
        <v>0</v>
      </c>
      <c r="T93" s="170">
        <f>IFERROR(__xludf.DUMMYFUNCTION("IFERROR(S93 * (1 + AVERAGE(Filter('Inflation Data'!$C:$C,'Inflation Data'!$A:$A = T$1))) + 'Fund YTD Contributions'!T93,'Fund YTD Contributions'!T93)"),0.0)</f>
        <v>0</v>
      </c>
      <c r="U93" s="170">
        <f>IFERROR(__xludf.DUMMYFUNCTION("IFERROR(T93 * (1 + AVERAGE(Filter('Inflation Data'!$C:$C,'Inflation Data'!$A:$A = U$1))) + 'Fund YTD Contributions'!U93,'Fund YTD Contributions'!U93)"),0.0)</f>
        <v>0</v>
      </c>
      <c r="V93" s="170">
        <f>IFERROR(__xludf.DUMMYFUNCTION("IFERROR(U93 * (1 + AVERAGE(Filter('Inflation Data'!$C:$C,'Inflation Data'!$A:$A = V$1))) + 'Fund YTD Contributions'!V93,'Fund YTD Contributions'!V93)"),0.0)</f>
        <v>0</v>
      </c>
      <c r="W93" s="170">
        <f>IFERROR(__xludf.DUMMYFUNCTION("IFERROR(V93 * (1 + AVERAGE(Filter('Inflation Data'!$C:$C,'Inflation Data'!$A:$A = W$1))) + 'Fund YTD Contributions'!W93,'Fund YTD Contributions'!W93)"),0.0)</f>
        <v>0</v>
      </c>
      <c r="X93" s="170">
        <f>IFERROR(__xludf.DUMMYFUNCTION("IFERROR(W93 * (1 + AVERAGE(Filter('Inflation Data'!$C:$C,'Inflation Data'!$A:$A = X$1))) + 'Fund YTD Contributions'!X93,'Fund YTD Contributions'!X93)"),0.0)</f>
        <v>0</v>
      </c>
      <c r="Y93" s="170">
        <f>IFERROR(__xludf.DUMMYFUNCTION("IFERROR(X93 * (1 + AVERAGE(Filter('Inflation Data'!$C:$C,'Inflation Data'!$A:$A = Y$1))) + 'Fund YTD Contributions'!Y93,'Fund YTD Contributions'!Y93)"),0.0)</f>
        <v>0</v>
      </c>
      <c r="Z93" s="170">
        <f>IFERROR(__xludf.DUMMYFUNCTION("IFERROR(Y93 * (1 + AVERAGE(Filter('Inflation Data'!$C:$C,'Inflation Data'!$A:$A = Z$1))) + 'Fund YTD Contributions'!Z93,'Fund YTD Contributions'!Z93)"),0.0)</f>
        <v>0</v>
      </c>
      <c r="AA93" s="170">
        <f>IFERROR(__xludf.DUMMYFUNCTION("IFERROR(Z93 * (1 + AVERAGE(Filter('Inflation Data'!$C:$C,'Inflation Data'!$A:$A = AA$1))) + 'Fund YTD Contributions'!AA93,'Fund YTD Contributions'!AA93)"),0.0)</f>
        <v>0</v>
      </c>
      <c r="AB93" s="170">
        <f>IFERROR(__xludf.DUMMYFUNCTION("IFERROR(AA93 * (1 + AVERAGE(Filter('Inflation Data'!$C:$C,'Inflation Data'!$A:$A = AB$1))) + 'Fund YTD Contributions'!AB93,'Fund YTD Contributions'!AB93)"),0.0)</f>
        <v>0</v>
      </c>
      <c r="AC93" s="170">
        <f>IFERROR(__xludf.DUMMYFUNCTION("IFERROR(AB93 * (1 + AVERAGE(Filter('Inflation Data'!$C:$C,'Inflation Data'!$A:$A = AC$1))) + 'Fund YTD Contributions'!AC93,'Fund YTD Contributions'!AC93)"),0.0)</f>
        <v>0</v>
      </c>
      <c r="AD93" s="170">
        <f>IFERROR(__xludf.DUMMYFUNCTION("IFERROR(AC93 * (1 + AVERAGE(Filter('Inflation Data'!$C:$C,'Inflation Data'!$A:$A = AD$1))) + 'Fund YTD Contributions'!AD93,'Fund YTD Contributions'!AD93)"),0.0)</f>
        <v>0</v>
      </c>
      <c r="AE93" s="170">
        <f>IFERROR(__xludf.DUMMYFUNCTION("IFERROR(AD93 * (1 + AVERAGE(Filter('Inflation Data'!$C:$C,'Inflation Data'!$A:$A = AE$1))) + 'Fund YTD Contributions'!AE93,'Fund YTD Contributions'!AE93)"),0.0)</f>
        <v>0</v>
      </c>
      <c r="AF93" s="170" t="str">
        <f>IFERROR(__xludf.DUMMYFUNCTION("IFERROR(AE93 * (1 + AVERAGE(Filter('Inflation Data'!$C:$C,'Inflation Data'!$A:$A = AF$1))) + 'Fund YTD Contributions'!AF93,'Fund YTD Contributions'!AF93)"),"")</f>
        <v/>
      </c>
    </row>
    <row r="94">
      <c r="A94" s="145" t="str">
        <f>'Endowed Funds'!B:B</f>
        <v/>
      </c>
      <c r="B94" s="170">
        <f>IFERROR(__xludf.DUMMYFUNCTION("IFERROR(A94 * (1 + AVERAGE(Filter('Inflation Data'!$C:$C,'Inflation Data'!$A:$A = B$1))) + 'Fund YTD Contributions'!B94,'Fund YTD Contributions'!B94)"),0.0)</f>
        <v>0</v>
      </c>
      <c r="C94" s="170">
        <f>IFERROR(__xludf.DUMMYFUNCTION("IFERROR(B94 * (1 + AVERAGE(Filter('Inflation Data'!$C:$C,'Inflation Data'!$A:$A = C$1))) + 'Fund YTD Contributions'!C94,'Fund YTD Contributions'!C94)"),0.0)</f>
        <v>0</v>
      </c>
      <c r="D94" s="170">
        <f>IFERROR(__xludf.DUMMYFUNCTION("IFERROR(C94 * (1 + AVERAGE(Filter('Inflation Data'!$C:$C,'Inflation Data'!$A:$A = D$1))) + 'Fund YTD Contributions'!D94,'Fund YTD Contributions'!D94)"),0.0)</f>
        <v>0</v>
      </c>
      <c r="E94" s="170">
        <f>IFERROR(__xludf.DUMMYFUNCTION("IFERROR(D94 * (1 + AVERAGE(Filter('Inflation Data'!$C:$C,'Inflation Data'!$A:$A = E$1))) + 'Fund YTD Contributions'!E94,'Fund YTD Contributions'!E94)"),0.0)</f>
        <v>0</v>
      </c>
      <c r="F94" s="170">
        <f>IFERROR(__xludf.DUMMYFUNCTION("IFERROR(E94 * (1 + AVERAGE(Filter('Inflation Data'!$C:$C,'Inflation Data'!$A:$A = F$1))) + 'Fund YTD Contributions'!F94,'Fund YTD Contributions'!F94)"),0.0)</f>
        <v>0</v>
      </c>
      <c r="G94" s="170">
        <f>IFERROR(__xludf.DUMMYFUNCTION("IFERROR(F94 * (1 + AVERAGE(Filter('Inflation Data'!$C:$C,'Inflation Data'!$A:$A = G$1))) + 'Fund YTD Contributions'!G94,'Fund YTD Contributions'!G94)"),0.0)</f>
        <v>0</v>
      </c>
      <c r="H94" s="170">
        <f>IFERROR(__xludf.DUMMYFUNCTION("IFERROR(G94 * (1 + AVERAGE(Filter('Inflation Data'!$C:$C,'Inflation Data'!$A:$A = H$1))) + 'Fund YTD Contributions'!H94,'Fund YTD Contributions'!H94)"),0.0)</f>
        <v>0</v>
      </c>
      <c r="I94" s="170">
        <f>IFERROR(__xludf.DUMMYFUNCTION("IFERROR(H94 * (1 + AVERAGE(Filter('Inflation Data'!$C:$C,'Inflation Data'!$A:$A = I$1))) + 'Fund YTD Contributions'!I94,'Fund YTD Contributions'!I94)"),0.0)</f>
        <v>0</v>
      </c>
      <c r="J94" s="170">
        <f>IFERROR(__xludf.DUMMYFUNCTION("IFERROR(I94 * (1 + AVERAGE(Filter('Inflation Data'!$C:$C,'Inflation Data'!$A:$A = J$1))) + 'Fund YTD Contributions'!J94,'Fund YTD Contributions'!J94)"),0.0)</f>
        <v>0</v>
      </c>
      <c r="K94" s="170">
        <f>IFERROR(__xludf.DUMMYFUNCTION("IFERROR(J94 * (1 + AVERAGE(Filter('Inflation Data'!$C:$C,'Inflation Data'!$A:$A = K$1))) + 'Fund YTD Contributions'!K94,'Fund YTD Contributions'!K94)"),0.0)</f>
        <v>0</v>
      </c>
      <c r="L94" s="170">
        <f>IFERROR(__xludf.DUMMYFUNCTION("IFERROR(K94 * (1 + AVERAGE(Filter('Inflation Data'!$C:$C,'Inflation Data'!$A:$A = L$1))) + 'Fund YTD Contributions'!L94,'Fund YTD Contributions'!L94)"),0.0)</f>
        <v>0</v>
      </c>
      <c r="M94" s="170">
        <f>IFERROR(__xludf.DUMMYFUNCTION("IFERROR(L94 * (1 + AVERAGE(Filter('Inflation Data'!$C:$C,'Inflation Data'!$A:$A = M$1))) + 'Fund YTD Contributions'!M94,'Fund YTD Contributions'!M94)"),0.0)</f>
        <v>0</v>
      </c>
      <c r="N94" s="170">
        <f>IFERROR(__xludf.DUMMYFUNCTION("IFERROR(M94 * (1 + AVERAGE(Filter('Inflation Data'!$C:$C,'Inflation Data'!$A:$A = N$1))) + 'Fund YTD Contributions'!N94,'Fund YTD Contributions'!N94)"),0.0)</f>
        <v>0</v>
      </c>
      <c r="O94" s="170">
        <f>IFERROR(__xludf.DUMMYFUNCTION("IFERROR(N94 * (1 + AVERAGE(Filter('Inflation Data'!$C:$C,'Inflation Data'!$A:$A = O$1))) + 'Fund YTD Contributions'!O94,'Fund YTD Contributions'!O94)"),0.0)</f>
        <v>0</v>
      </c>
      <c r="P94" s="170">
        <f>IFERROR(__xludf.DUMMYFUNCTION("IFERROR(O94 * (1 + AVERAGE(Filter('Inflation Data'!$C:$C,'Inflation Data'!$A:$A = P$1))) + 'Fund YTD Contributions'!P94,'Fund YTD Contributions'!P94)"),0.0)</f>
        <v>0</v>
      </c>
      <c r="Q94" s="170">
        <f>IFERROR(__xludf.DUMMYFUNCTION("IFERROR(P94 * (1 + AVERAGE(Filter('Inflation Data'!$C:$C,'Inflation Data'!$A:$A = Q$1))) + 'Fund YTD Contributions'!Q94,'Fund YTD Contributions'!Q94)"),0.0)</f>
        <v>0</v>
      </c>
      <c r="R94" s="170">
        <f>IFERROR(__xludf.DUMMYFUNCTION("IFERROR(Q94 * (1 + AVERAGE(Filter('Inflation Data'!$C:$C,'Inflation Data'!$A:$A = R$1))) + 'Fund YTD Contributions'!R94,'Fund YTD Contributions'!R94)"),0.0)</f>
        <v>0</v>
      </c>
      <c r="S94" s="170">
        <f>IFERROR(__xludf.DUMMYFUNCTION("IFERROR(R94 * (1 + AVERAGE(Filter('Inflation Data'!$C:$C,'Inflation Data'!$A:$A = S$1))) + 'Fund YTD Contributions'!S94,'Fund YTD Contributions'!S94)"),0.0)</f>
        <v>0</v>
      </c>
      <c r="T94" s="170">
        <f>IFERROR(__xludf.DUMMYFUNCTION("IFERROR(S94 * (1 + AVERAGE(Filter('Inflation Data'!$C:$C,'Inflation Data'!$A:$A = T$1))) + 'Fund YTD Contributions'!T94,'Fund YTD Contributions'!T94)"),0.0)</f>
        <v>0</v>
      </c>
      <c r="U94" s="170">
        <f>IFERROR(__xludf.DUMMYFUNCTION("IFERROR(T94 * (1 + AVERAGE(Filter('Inflation Data'!$C:$C,'Inflation Data'!$A:$A = U$1))) + 'Fund YTD Contributions'!U94,'Fund YTD Contributions'!U94)"),0.0)</f>
        <v>0</v>
      </c>
      <c r="V94" s="170">
        <f>IFERROR(__xludf.DUMMYFUNCTION("IFERROR(U94 * (1 + AVERAGE(Filter('Inflation Data'!$C:$C,'Inflation Data'!$A:$A = V$1))) + 'Fund YTD Contributions'!V94,'Fund YTD Contributions'!V94)"),0.0)</f>
        <v>0</v>
      </c>
      <c r="W94" s="170">
        <f>IFERROR(__xludf.DUMMYFUNCTION("IFERROR(V94 * (1 + AVERAGE(Filter('Inflation Data'!$C:$C,'Inflation Data'!$A:$A = W$1))) + 'Fund YTD Contributions'!W94,'Fund YTD Contributions'!W94)"),0.0)</f>
        <v>0</v>
      </c>
      <c r="X94" s="170">
        <f>IFERROR(__xludf.DUMMYFUNCTION("IFERROR(W94 * (1 + AVERAGE(Filter('Inflation Data'!$C:$C,'Inflation Data'!$A:$A = X$1))) + 'Fund YTD Contributions'!X94,'Fund YTD Contributions'!X94)"),0.0)</f>
        <v>0</v>
      </c>
      <c r="Y94" s="170">
        <f>IFERROR(__xludf.DUMMYFUNCTION("IFERROR(X94 * (1 + AVERAGE(Filter('Inflation Data'!$C:$C,'Inflation Data'!$A:$A = Y$1))) + 'Fund YTD Contributions'!Y94,'Fund YTD Contributions'!Y94)"),0.0)</f>
        <v>0</v>
      </c>
      <c r="Z94" s="170">
        <f>IFERROR(__xludf.DUMMYFUNCTION("IFERROR(Y94 * (1 + AVERAGE(Filter('Inflation Data'!$C:$C,'Inflation Data'!$A:$A = Z$1))) + 'Fund YTD Contributions'!Z94,'Fund YTD Contributions'!Z94)"),0.0)</f>
        <v>0</v>
      </c>
      <c r="AA94" s="170">
        <f>IFERROR(__xludf.DUMMYFUNCTION("IFERROR(Z94 * (1 + AVERAGE(Filter('Inflation Data'!$C:$C,'Inflation Data'!$A:$A = AA$1))) + 'Fund YTD Contributions'!AA94,'Fund YTD Contributions'!AA94)"),0.0)</f>
        <v>0</v>
      </c>
      <c r="AB94" s="170">
        <f>IFERROR(__xludf.DUMMYFUNCTION("IFERROR(AA94 * (1 + AVERAGE(Filter('Inflation Data'!$C:$C,'Inflation Data'!$A:$A = AB$1))) + 'Fund YTD Contributions'!AB94,'Fund YTD Contributions'!AB94)"),0.0)</f>
        <v>0</v>
      </c>
      <c r="AC94" s="170">
        <f>IFERROR(__xludf.DUMMYFUNCTION("IFERROR(AB94 * (1 + AVERAGE(Filter('Inflation Data'!$C:$C,'Inflation Data'!$A:$A = AC$1))) + 'Fund YTD Contributions'!AC94,'Fund YTD Contributions'!AC94)"),0.0)</f>
        <v>0</v>
      </c>
      <c r="AD94" s="170">
        <f>IFERROR(__xludf.DUMMYFUNCTION("IFERROR(AC94 * (1 + AVERAGE(Filter('Inflation Data'!$C:$C,'Inflation Data'!$A:$A = AD$1))) + 'Fund YTD Contributions'!AD94,'Fund YTD Contributions'!AD94)"),0.0)</f>
        <v>0</v>
      </c>
      <c r="AE94" s="170">
        <f>IFERROR(__xludf.DUMMYFUNCTION("IFERROR(AD94 * (1 + AVERAGE(Filter('Inflation Data'!$C:$C,'Inflation Data'!$A:$A = AE$1))) + 'Fund YTD Contributions'!AE94,'Fund YTD Contributions'!AE94)"),0.0)</f>
        <v>0</v>
      </c>
      <c r="AF94" s="170" t="str">
        <f>IFERROR(__xludf.DUMMYFUNCTION("IFERROR(AE94 * (1 + AVERAGE(Filter('Inflation Data'!$C:$C,'Inflation Data'!$A:$A = AF$1))) + 'Fund YTD Contributions'!AF94,'Fund YTD Contributions'!AF94)"),"")</f>
        <v/>
      </c>
    </row>
    <row r="95">
      <c r="A95" s="145" t="str">
        <f>'Endowed Funds'!B:B</f>
        <v/>
      </c>
      <c r="B95" s="170">
        <f>IFERROR(__xludf.DUMMYFUNCTION("IFERROR(A95 * (1 + AVERAGE(Filter('Inflation Data'!$C:$C,'Inflation Data'!$A:$A = B$1))) + 'Fund YTD Contributions'!B95,'Fund YTD Contributions'!B95)"),0.0)</f>
        <v>0</v>
      </c>
      <c r="C95" s="170">
        <f>IFERROR(__xludf.DUMMYFUNCTION("IFERROR(B95 * (1 + AVERAGE(Filter('Inflation Data'!$C:$C,'Inflation Data'!$A:$A = C$1))) + 'Fund YTD Contributions'!C95,'Fund YTD Contributions'!C95)"),0.0)</f>
        <v>0</v>
      </c>
      <c r="D95" s="170">
        <f>IFERROR(__xludf.DUMMYFUNCTION("IFERROR(C95 * (1 + AVERAGE(Filter('Inflation Data'!$C:$C,'Inflation Data'!$A:$A = D$1))) + 'Fund YTD Contributions'!D95,'Fund YTD Contributions'!D95)"),0.0)</f>
        <v>0</v>
      </c>
      <c r="E95" s="170">
        <f>IFERROR(__xludf.DUMMYFUNCTION("IFERROR(D95 * (1 + AVERAGE(Filter('Inflation Data'!$C:$C,'Inflation Data'!$A:$A = E$1))) + 'Fund YTD Contributions'!E95,'Fund YTD Contributions'!E95)"),0.0)</f>
        <v>0</v>
      </c>
      <c r="F95" s="170">
        <f>IFERROR(__xludf.DUMMYFUNCTION("IFERROR(E95 * (1 + AVERAGE(Filter('Inflation Data'!$C:$C,'Inflation Data'!$A:$A = F$1))) + 'Fund YTD Contributions'!F95,'Fund YTD Contributions'!F95)"),0.0)</f>
        <v>0</v>
      </c>
      <c r="G95" s="170">
        <f>IFERROR(__xludf.DUMMYFUNCTION("IFERROR(F95 * (1 + AVERAGE(Filter('Inflation Data'!$C:$C,'Inflation Data'!$A:$A = G$1))) + 'Fund YTD Contributions'!G95,'Fund YTD Contributions'!G95)"),0.0)</f>
        <v>0</v>
      </c>
      <c r="H95" s="170">
        <f>IFERROR(__xludf.DUMMYFUNCTION("IFERROR(G95 * (1 + AVERAGE(Filter('Inflation Data'!$C:$C,'Inflation Data'!$A:$A = H$1))) + 'Fund YTD Contributions'!H95,'Fund YTD Contributions'!H95)"),0.0)</f>
        <v>0</v>
      </c>
      <c r="I95" s="170">
        <f>IFERROR(__xludf.DUMMYFUNCTION("IFERROR(H95 * (1 + AVERAGE(Filter('Inflation Data'!$C:$C,'Inflation Data'!$A:$A = I$1))) + 'Fund YTD Contributions'!I95,'Fund YTD Contributions'!I95)"),0.0)</f>
        <v>0</v>
      </c>
      <c r="J95" s="170">
        <f>IFERROR(__xludf.DUMMYFUNCTION("IFERROR(I95 * (1 + AVERAGE(Filter('Inflation Data'!$C:$C,'Inflation Data'!$A:$A = J$1))) + 'Fund YTD Contributions'!J95,'Fund YTD Contributions'!J95)"),0.0)</f>
        <v>0</v>
      </c>
      <c r="K95" s="170">
        <f>IFERROR(__xludf.DUMMYFUNCTION("IFERROR(J95 * (1 + AVERAGE(Filter('Inflation Data'!$C:$C,'Inflation Data'!$A:$A = K$1))) + 'Fund YTD Contributions'!K95,'Fund YTD Contributions'!K95)"),0.0)</f>
        <v>0</v>
      </c>
      <c r="L95" s="170">
        <f>IFERROR(__xludf.DUMMYFUNCTION("IFERROR(K95 * (1 + AVERAGE(Filter('Inflation Data'!$C:$C,'Inflation Data'!$A:$A = L$1))) + 'Fund YTD Contributions'!L95,'Fund YTD Contributions'!L95)"),0.0)</f>
        <v>0</v>
      </c>
      <c r="M95" s="170">
        <f>IFERROR(__xludf.DUMMYFUNCTION("IFERROR(L95 * (1 + AVERAGE(Filter('Inflation Data'!$C:$C,'Inflation Data'!$A:$A = M$1))) + 'Fund YTD Contributions'!M95,'Fund YTD Contributions'!M95)"),0.0)</f>
        <v>0</v>
      </c>
      <c r="N95" s="170">
        <f>IFERROR(__xludf.DUMMYFUNCTION("IFERROR(M95 * (1 + AVERAGE(Filter('Inflation Data'!$C:$C,'Inflation Data'!$A:$A = N$1))) + 'Fund YTD Contributions'!N95,'Fund YTD Contributions'!N95)"),0.0)</f>
        <v>0</v>
      </c>
      <c r="O95" s="170">
        <f>IFERROR(__xludf.DUMMYFUNCTION("IFERROR(N95 * (1 + AVERAGE(Filter('Inflation Data'!$C:$C,'Inflation Data'!$A:$A = O$1))) + 'Fund YTD Contributions'!O95,'Fund YTD Contributions'!O95)"),0.0)</f>
        <v>0</v>
      </c>
      <c r="P95" s="170">
        <f>IFERROR(__xludf.DUMMYFUNCTION("IFERROR(O95 * (1 + AVERAGE(Filter('Inflation Data'!$C:$C,'Inflation Data'!$A:$A = P$1))) + 'Fund YTD Contributions'!P95,'Fund YTD Contributions'!P95)"),0.0)</f>
        <v>0</v>
      </c>
      <c r="Q95" s="170">
        <f>IFERROR(__xludf.DUMMYFUNCTION("IFERROR(P95 * (1 + AVERAGE(Filter('Inflation Data'!$C:$C,'Inflation Data'!$A:$A = Q$1))) + 'Fund YTD Contributions'!Q95,'Fund YTD Contributions'!Q95)"),0.0)</f>
        <v>0</v>
      </c>
      <c r="R95" s="170">
        <f>IFERROR(__xludf.DUMMYFUNCTION("IFERROR(Q95 * (1 + AVERAGE(Filter('Inflation Data'!$C:$C,'Inflation Data'!$A:$A = R$1))) + 'Fund YTD Contributions'!R95,'Fund YTD Contributions'!R95)"),0.0)</f>
        <v>0</v>
      </c>
      <c r="S95" s="170">
        <f>IFERROR(__xludf.DUMMYFUNCTION("IFERROR(R95 * (1 + AVERAGE(Filter('Inflation Data'!$C:$C,'Inflation Data'!$A:$A = S$1))) + 'Fund YTD Contributions'!S95,'Fund YTD Contributions'!S95)"),0.0)</f>
        <v>0</v>
      </c>
      <c r="T95" s="170">
        <f>IFERROR(__xludf.DUMMYFUNCTION("IFERROR(S95 * (1 + AVERAGE(Filter('Inflation Data'!$C:$C,'Inflation Data'!$A:$A = T$1))) + 'Fund YTD Contributions'!T95,'Fund YTD Contributions'!T95)"),0.0)</f>
        <v>0</v>
      </c>
      <c r="U95" s="170">
        <f>IFERROR(__xludf.DUMMYFUNCTION("IFERROR(T95 * (1 + AVERAGE(Filter('Inflation Data'!$C:$C,'Inflation Data'!$A:$A = U$1))) + 'Fund YTD Contributions'!U95,'Fund YTD Contributions'!U95)"),0.0)</f>
        <v>0</v>
      </c>
      <c r="V95" s="170">
        <f>IFERROR(__xludf.DUMMYFUNCTION("IFERROR(U95 * (1 + AVERAGE(Filter('Inflation Data'!$C:$C,'Inflation Data'!$A:$A = V$1))) + 'Fund YTD Contributions'!V95,'Fund YTD Contributions'!V95)"),0.0)</f>
        <v>0</v>
      </c>
      <c r="W95" s="170">
        <f>IFERROR(__xludf.DUMMYFUNCTION("IFERROR(V95 * (1 + AVERAGE(Filter('Inflation Data'!$C:$C,'Inflation Data'!$A:$A = W$1))) + 'Fund YTD Contributions'!W95,'Fund YTD Contributions'!W95)"),0.0)</f>
        <v>0</v>
      </c>
      <c r="X95" s="170">
        <f>IFERROR(__xludf.DUMMYFUNCTION("IFERROR(W95 * (1 + AVERAGE(Filter('Inflation Data'!$C:$C,'Inflation Data'!$A:$A = X$1))) + 'Fund YTD Contributions'!X95,'Fund YTD Contributions'!X95)"),0.0)</f>
        <v>0</v>
      </c>
      <c r="Y95" s="170">
        <f>IFERROR(__xludf.DUMMYFUNCTION("IFERROR(X95 * (1 + AVERAGE(Filter('Inflation Data'!$C:$C,'Inflation Data'!$A:$A = Y$1))) + 'Fund YTD Contributions'!Y95,'Fund YTD Contributions'!Y95)"),0.0)</f>
        <v>0</v>
      </c>
      <c r="Z95" s="170">
        <f>IFERROR(__xludf.DUMMYFUNCTION("IFERROR(Y95 * (1 + AVERAGE(Filter('Inflation Data'!$C:$C,'Inflation Data'!$A:$A = Z$1))) + 'Fund YTD Contributions'!Z95,'Fund YTD Contributions'!Z95)"),0.0)</f>
        <v>0</v>
      </c>
      <c r="AA95" s="170">
        <f>IFERROR(__xludf.DUMMYFUNCTION("IFERROR(Z95 * (1 + AVERAGE(Filter('Inflation Data'!$C:$C,'Inflation Data'!$A:$A = AA$1))) + 'Fund YTD Contributions'!AA95,'Fund YTD Contributions'!AA95)"),0.0)</f>
        <v>0</v>
      </c>
      <c r="AB95" s="170">
        <f>IFERROR(__xludf.DUMMYFUNCTION("IFERROR(AA95 * (1 + AVERAGE(Filter('Inflation Data'!$C:$C,'Inflation Data'!$A:$A = AB$1))) + 'Fund YTD Contributions'!AB95,'Fund YTD Contributions'!AB95)"),0.0)</f>
        <v>0</v>
      </c>
      <c r="AC95" s="170">
        <f>IFERROR(__xludf.DUMMYFUNCTION("IFERROR(AB95 * (1 + AVERAGE(Filter('Inflation Data'!$C:$C,'Inflation Data'!$A:$A = AC$1))) + 'Fund YTD Contributions'!AC95,'Fund YTD Contributions'!AC95)"),0.0)</f>
        <v>0</v>
      </c>
      <c r="AD95" s="170">
        <f>IFERROR(__xludf.DUMMYFUNCTION("IFERROR(AC95 * (1 + AVERAGE(Filter('Inflation Data'!$C:$C,'Inflation Data'!$A:$A = AD$1))) + 'Fund YTD Contributions'!AD95,'Fund YTD Contributions'!AD95)"),0.0)</f>
        <v>0</v>
      </c>
      <c r="AE95" s="170">
        <f>IFERROR(__xludf.DUMMYFUNCTION("IFERROR(AD95 * (1 + AVERAGE(Filter('Inflation Data'!$C:$C,'Inflation Data'!$A:$A = AE$1))) + 'Fund YTD Contributions'!AE95,'Fund YTD Contributions'!AE95)"),0.0)</f>
        <v>0</v>
      </c>
      <c r="AF95" s="170" t="str">
        <f>IFERROR(__xludf.DUMMYFUNCTION("IFERROR(AE95 * (1 + AVERAGE(Filter('Inflation Data'!$C:$C,'Inflation Data'!$A:$A = AF$1))) + 'Fund YTD Contributions'!AF95,'Fund YTD Contributions'!AF95)"),"")</f>
        <v/>
      </c>
    </row>
    <row r="96">
      <c r="A96" s="145" t="str">
        <f>'Endowed Funds'!B:B</f>
        <v/>
      </c>
      <c r="B96" s="170">
        <f>IFERROR(__xludf.DUMMYFUNCTION("IFERROR(A96 * (1 + AVERAGE(Filter('Inflation Data'!$C:$C,'Inflation Data'!$A:$A = B$1))) + 'Fund YTD Contributions'!B96,'Fund YTD Contributions'!B96)"),0.0)</f>
        <v>0</v>
      </c>
      <c r="C96" s="170">
        <f>IFERROR(__xludf.DUMMYFUNCTION("IFERROR(B96 * (1 + AVERAGE(Filter('Inflation Data'!$C:$C,'Inflation Data'!$A:$A = C$1))) + 'Fund YTD Contributions'!C96,'Fund YTD Contributions'!C96)"),0.0)</f>
        <v>0</v>
      </c>
      <c r="D96" s="170">
        <f>IFERROR(__xludf.DUMMYFUNCTION("IFERROR(C96 * (1 + AVERAGE(Filter('Inflation Data'!$C:$C,'Inflation Data'!$A:$A = D$1))) + 'Fund YTD Contributions'!D96,'Fund YTD Contributions'!D96)"),0.0)</f>
        <v>0</v>
      </c>
      <c r="E96" s="170">
        <f>IFERROR(__xludf.DUMMYFUNCTION("IFERROR(D96 * (1 + AVERAGE(Filter('Inflation Data'!$C:$C,'Inflation Data'!$A:$A = E$1))) + 'Fund YTD Contributions'!E96,'Fund YTD Contributions'!E96)"),0.0)</f>
        <v>0</v>
      </c>
      <c r="F96" s="170">
        <f>IFERROR(__xludf.DUMMYFUNCTION("IFERROR(E96 * (1 + AVERAGE(Filter('Inflation Data'!$C:$C,'Inflation Data'!$A:$A = F$1))) + 'Fund YTD Contributions'!F96,'Fund YTD Contributions'!F96)"),0.0)</f>
        <v>0</v>
      </c>
      <c r="G96" s="170">
        <f>IFERROR(__xludf.DUMMYFUNCTION("IFERROR(F96 * (1 + AVERAGE(Filter('Inflation Data'!$C:$C,'Inflation Data'!$A:$A = G$1))) + 'Fund YTD Contributions'!G96,'Fund YTD Contributions'!G96)"),0.0)</f>
        <v>0</v>
      </c>
      <c r="H96" s="170">
        <f>IFERROR(__xludf.DUMMYFUNCTION("IFERROR(G96 * (1 + AVERAGE(Filter('Inflation Data'!$C:$C,'Inflation Data'!$A:$A = H$1))) + 'Fund YTD Contributions'!H96,'Fund YTD Contributions'!H96)"),0.0)</f>
        <v>0</v>
      </c>
      <c r="I96" s="170">
        <f>IFERROR(__xludf.DUMMYFUNCTION("IFERROR(H96 * (1 + AVERAGE(Filter('Inflation Data'!$C:$C,'Inflation Data'!$A:$A = I$1))) + 'Fund YTD Contributions'!I96,'Fund YTD Contributions'!I96)"),0.0)</f>
        <v>0</v>
      </c>
      <c r="J96" s="170">
        <f>IFERROR(__xludf.DUMMYFUNCTION("IFERROR(I96 * (1 + AVERAGE(Filter('Inflation Data'!$C:$C,'Inflation Data'!$A:$A = J$1))) + 'Fund YTD Contributions'!J96,'Fund YTD Contributions'!J96)"),0.0)</f>
        <v>0</v>
      </c>
      <c r="K96" s="170">
        <f>IFERROR(__xludf.DUMMYFUNCTION("IFERROR(J96 * (1 + AVERAGE(Filter('Inflation Data'!$C:$C,'Inflation Data'!$A:$A = K$1))) + 'Fund YTD Contributions'!K96,'Fund YTD Contributions'!K96)"),0.0)</f>
        <v>0</v>
      </c>
      <c r="L96" s="170">
        <f>IFERROR(__xludf.DUMMYFUNCTION("IFERROR(K96 * (1 + AVERAGE(Filter('Inflation Data'!$C:$C,'Inflation Data'!$A:$A = L$1))) + 'Fund YTD Contributions'!L96,'Fund YTD Contributions'!L96)"),0.0)</f>
        <v>0</v>
      </c>
      <c r="M96" s="170">
        <f>IFERROR(__xludf.DUMMYFUNCTION("IFERROR(L96 * (1 + AVERAGE(Filter('Inflation Data'!$C:$C,'Inflation Data'!$A:$A = M$1))) + 'Fund YTD Contributions'!M96,'Fund YTD Contributions'!M96)"),0.0)</f>
        <v>0</v>
      </c>
      <c r="N96" s="170">
        <f>IFERROR(__xludf.DUMMYFUNCTION("IFERROR(M96 * (1 + AVERAGE(Filter('Inflation Data'!$C:$C,'Inflation Data'!$A:$A = N$1))) + 'Fund YTD Contributions'!N96,'Fund YTD Contributions'!N96)"),0.0)</f>
        <v>0</v>
      </c>
      <c r="O96" s="170">
        <f>IFERROR(__xludf.DUMMYFUNCTION("IFERROR(N96 * (1 + AVERAGE(Filter('Inflation Data'!$C:$C,'Inflation Data'!$A:$A = O$1))) + 'Fund YTD Contributions'!O96,'Fund YTD Contributions'!O96)"),0.0)</f>
        <v>0</v>
      </c>
      <c r="P96" s="170">
        <f>IFERROR(__xludf.DUMMYFUNCTION("IFERROR(O96 * (1 + AVERAGE(Filter('Inflation Data'!$C:$C,'Inflation Data'!$A:$A = P$1))) + 'Fund YTD Contributions'!P96,'Fund YTD Contributions'!P96)"),0.0)</f>
        <v>0</v>
      </c>
      <c r="Q96" s="170">
        <f>IFERROR(__xludf.DUMMYFUNCTION("IFERROR(P96 * (1 + AVERAGE(Filter('Inflation Data'!$C:$C,'Inflation Data'!$A:$A = Q$1))) + 'Fund YTD Contributions'!Q96,'Fund YTD Contributions'!Q96)"),0.0)</f>
        <v>0</v>
      </c>
      <c r="R96" s="170">
        <f>IFERROR(__xludf.DUMMYFUNCTION("IFERROR(Q96 * (1 + AVERAGE(Filter('Inflation Data'!$C:$C,'Inflation Data'!$A:$A = R$1))) + 'Fund YTD Contributions'!R96,'Fund YTD Contributions'!R96)"),0.0)</f>
        <v>0</v>
      </c>
      <c r="S96" s="170">
        <f>IFERROR(__xludf.DUMMYFUNCTION("IFERROR(R96 * (1 + AVERAGE(Filter('Inflation Data'!$C:$C,'Inflation Data'!$A:$A = S$1))) + 'Fund YTD Contributions'!S96,'Fund YTD Contributions'!S96)"),0.0)</f>
        <v>0</v>
      </c>
      <c r="T96" s="170">
        <f>IFERROR(__xludf.DUMMYFUNCTION("IFERROR(S96 * (1 + AVERAGE(Filter('Inflation Data'!$C:$C,'Inflation Data'!$A:$A = T$1))) + 'Fund YTD Contributions'!T96,'Fund YTD Contributions'!T96)"),0.0)</f>
        <v>0</v>
      </c>
      <c r="U96" s="170">
        <f>IFERROR(__xludf.DUMMYFUNCTION("IFERROR(T96 * (1 + AVERAGE(Filter('Inflation Data'!$C:$C,'Inflation Data'!$A:$A = U$1))) + 'Fund YTD Contributions'!U96,'Fund YTD Contributions'!U96)"),0.0)</f>
        <v>0</v>
      </c>
      <c r="V96" s="170">
        <f>IFERROR(__xludf.DUMMYFUNCTION("IFERROR(U96 * (1 + AVERAGE(Filter('Inflation Data'!$C:$C,'Inflation Data'!$A:$A = V$1))) + 'Fund YTD Contributions'!V96,'Fund YTD Contributions'!V96)"),0.0)</f>
        <v>0</v>
      </c>
      <c r="W96" s="170">
        <f>IFERROR(__xludf.DUMMYFUNCTION("IFERROR(V96 * (1 + AVERAGE(Filter('Inflation Data'!$C:$C,'Inflation Data'!$A:$A = W$1))) + 'Fund YTD Contributions'!W96,'Fund YTD Contributions'!W96)"),0.0)</f>
        <v>0</v>
      </c>
      <c r="X96" s="170">
        <f>IFERROR(__xludf.DUMMYFUNCTION("IFERROR(W96 * (1 + AVERAGE(Filter('Inflation Data'!$C:$C,'Inflation Data'!$A:$A = X$1))) + 'Fund YTD Contributions'!X96,'Fund YTD Contributions'!X96)"),0.0)</f>
        <v>0</v>
      </c>
      <c r="Y96" s="170">
        <f>IFERROR(__xludf.DUMMYFUNCTION("IFERROR(X96 * (1 + AVERAGE(Filter('Inflation Data'!$C:$C,'Inflation Data'!$A:$A = Y$1))) + 'Fund YTD Contributions'!Y96,'Fund YTD Contributions'!Y96)"),0.0)</f>
        <v>0</v>
      </c>
      <c r="Z96" s="170">
        <f>IFERROR(__xludf.DUMMYFUNCTION("IFERROR(Y96 * (1 + AVERAGE(Filter('Inflation Data'!$C:$C,'Inflation Data'!$A:$A = Z$1))) + 'Fund YTD Contributions'!Z96,'Fund YTD Contributions'!Z96)"),0.0)</f>
        <v>0</v>
      </c>
      <c r="AA96" s="170">
        <f>IFERROR(__xludf.DUMMYFUNCTION("IFERROR(Z96 * (1 + AVERAGE(Filter('Inflation Data'!$C:$C,'Inflation Data'!$A:$A = AA$1))) + 'Fund YTD Contributions'!AA96,'Fund YTD Contributions'!AA96)"),0.0)</f>
        <v>0</v>
      </c>
      <c r="AB96" s="170">
        <f>IFERROR(__xludf.DUMMYFUNCTION("IFERROR(AA96 * (1 + AVERAGE(Filter('Inflation Data'!$C:$C,'Inflation Data'!$A:$A = AB$1))) + 'Fund YTD Contributions'!AB96,'Fund YTD Contributions'!AB96)"),0.0)</f>
        <v>0</v>
      </c>
      <c r="AC96" s="170">
        <f>IFERROR(__xludf.DUMMYFUNCTION("IFERROR(AB96 * (1 + AVERAGE(Filter('Inflation Data'!$C:$C,'Inflation Data'!$A:$A = AC$1))) + 'Fund YTD Contributions'!AC96,'Fund YTD Contributions'!AC96)"),0.0)</f>
        <v>0</v>
      </c>
      <c r="AD96" s="170">
        <f>IFERROR(__xludf.DUMMYFUNCTION("IFERROR(AC96 * (1 + AVERAGE(Filter('Inflation Data'!$C:$C,'Inflation Data'!$A:$A = AD$1))) + 'Fund YTD Contributions'!AD96,'Fund YTD Contributions'!AD96)"),0.0)</f>
        <v>0</v>
      </c>
      <c r="AE96" s="170">
        <f>IFERROR(__xludf.DUMMYFUNCTION("IFERROR(AD96 * (1 + AVERAGE(Filter('Inflation Data'!$C:$C,'Inflation Data'!$A:$A = AE$1))) + 'Fund YTD Contributions'!AE96,'Fund YTD Contributions'!AE96)"),0.0)</f>
        <v>0</v>
      </c>
      <c r="AF96" s="170" t="str">
        <f>IFERROR(__xludf.DUMMYFUNCTION("IFERROR(AE96 * (1 + AVERAGE(Filter('Inflation Data'!$C:$C,'Inflation Data'!$A:$A = AF$1))) + 'Fund YTD Contributions'!AF96,'Fund YTD Contributions'!AF96)"),"")</f>
        <v/>
      </c>
    </row>
    <row r="97">
      <c r="A97" s="145" t="str">
        <f>'Endowed Funds'!B:B</f>
        <v/>
      </c>
      <c r="B97" s="170">
        <f>IFERROR(__xludf.DUMMYFUNCTION("IFERROR(A97 * (1 + AVERAGE(Filter('Inflation Data'!$C:$C,'Inflation Data'!$A:$A = B$1))) + 'Fund YTD Contributions'!B97,'Fund YTD Contributions'!B97)"),0.0)</f>
        <v>0</v>
      </c>
      <c r="C97" s="170">
        <f>IFERROR(__xludf.DUMMYFUNCTION("IFERROR(B97 * (1 + AVERAGE(Filter('Inflation Data'!$C:$C,'Inflation Data'!$A:$A = C$1))) + 'Fund YTD Contributions'!C97,'Fund YTD Contributions'!C97)"),0.0)</f>
        <v>0</v>
      </c>
      <c r="D97" s="170">
        <f>IFERROR(__xludf.DUMMYFUNCTION("IFERROR(C97 * (1 + AVERAGE(Filter('Inflation Data'!$C:$C,'Inflation Data'!$A:$A = D$1))) + 'Fund YTD Contributions'!D97,'Fund YTD Contributions'!D97)"),0.0)</f>
        <v>0</v>
      </c>
      <c r="E97" s="170">
        <f>IFERROR(__xludf.DUMMYFUNCTION("IFERROR(D97 * (1 + AVERAGE(Filter('Inflation Data'!$C:$C,'Inflation Data'!$A:$A = E$1))) + 'Fund YTD Contributions'!E97,'Fund YTD Contributions'!E97)"),0.0)</f>
        <v>0</v>
      </c>
      <c r="F97" s="170">
        <f>IFERROR(__xludf.DUMMYFUNCTION("IFERROR(E97 * (1 + AVERAGE(Filter('Inflation Data'!$C:$C,'Inflation Data'!$A:$A = F$1))) + 'Fund YTD Contributions'!F97,'Fund YTD Contributions'!F97)"),0.0)</f>
        <v>0</v>
      </c>
      <c r="G97" s="170">
        <f>IFERROR(__xludf.DUMMYFUNCTION("IFERROR(F97 * (1 + AVERAGE(Filter('Inflation Data'!$C:$C,'Inflation Data'!$A:$A = G$1))) + 'Fund YTD Contributions'!G97,'Fund YTD Contributions'!G97)"),0.0)</f>
        <v>0</v>
      </c>
      <c r="H97" s="170">
        <f>IFERROR(__xludf.DUMMYFUNCTION("IFERROR(G97 * (1 + AVERAGE(Filter('Inflation Data'!$C:$C,'Inflation Data'!$A:$A = H$1))) + 'Fund YTD Contributions'!H97,'Fund YTD Contributions'!H97)"),0.0)</f>
        <v>0</v>
      </c>
      <c r="I97" s="170">
        <f>IFERROR(__xludf.DUMMYFUNCTION("IFERROR(H97 * (1 + AVERAGE(Filter('Inflation Data'!$C:$C,'Inflation Data'!$A:$A = I$1))) + 'Fund YTD Contributions'!I97,'Fund YTD Contributions'!I97)"),0.0)</f>
        <v>0</v>
      </c>
      <c r="J97" s="170">
        <f>IFERROR(__xludf.DUMMYFUNCTION("IFERROR(I97 * (1 + AVERAGE(Filter('Inflation Data'!$C:$C,'Inflation Data'!$A:$A = J$1))) + 'Fund YTD Contributions'!J97,'Fund YTD Contributions'!J97)"),0.0)</f>
        <v>0</v>
      </c>
      <c r="K97" s="170">
        <f>IFERROR(__xludf.DUMMYFUNCTION("IFERROR(J97 * (1 + AVERAGE(Filter('Inflation Data'!$C:$C,'Inflation Data'!$A:$A = K$1))) + 'Fund YTD Contributions'!K97,'Fund YTD Contributions'!K97)"),0.0)</f>
        <v>0</v>
      </c>
      <c r="L97" s="170">
        <f>IFERROR(__xludf.DUMMYFUNCTION("IFERROR(K97 * (1 + AVERAGE(Filter('Inflation Data'!$C:$C,'Inflation Data'!$A:$A = L$1))) + 'Fund YTD Contributions'!L97,'Fund YTD Contributions'!L97)"),0.0)</f>
        <v>0</v>
      </c>
      <c r="M97" s="170">
        <f>IFERROR(__xludf.DUMMYFUNCTION("IFERROR(L97 * (1 + AVERAGE(Filter('Inflation Data'!$C:$C,'Inflation Data'!$A:$A = M$1))) + 'Fund YTD Contributions'!M97,'Fund YTD Contributions'!M97)"),0.0)</f>
        <v>0</v>
      </c>
      <c r="N97" s="170">
        <f>IFERROR(__xludf.DUMMYFUNCTION("IFERROR(M97 * (1 + AVERAGE(Filter('Inflation Data'!$C:$C,'Inflation Data'!$A:$A = N$1))) + 'Fund YTD Contributions'!N97,'Fund YTD Contributions'!N97)"),0.0)</f>
        <v>0</v>
      </c>
      <c r="O97" s="170">
        <f>IFERROR(__xludf.DUMMYFUNCTION("IFERROR(N97 * (1 + AVERAGE(Filter('Inflation Data'!$C:$C,'Inflation Data'!$A:$A = O$1))) + 'Fund YTD Contributions'!O97,'Fund YTD Contributions'!O97)"),0.0)</f>
        <v>0</v>
      </c>
      <c r="P97" s="170">
        <f>IFERROR(__xludf.DUMMYFUNCTION("IFERROR(O97 * (1 + AVERAGE(Filter('Inflation Data'!$C:$C,'Inflation Data'!$A:$A = P$1))) + 'Fund YTD Contributions'!P97,'Fund YTD Contributions'!P97)"),0.0)</f>
        <v>0</v>
      </c>
      <c r="Q97" s="170">
        <f>IFERROR(__xludf.DUMMYFUNCTION("IFERROR(P97 * (1 + AVERAGE(Filter('Inflation Data'!$C:$C,'Inflation Data'!$A:$A = Q$1))) + 'Fund YTD Contributions'!Q97,'Fund YTD Contributions'!Q97)"),0.0)</f>
        <v>0</v>
      </c>
      <c r="R97" s="170">
        <f>IFERROR(__xludf.DUMMYFUNCTION("IFERROR(Q97 * (1 + AVERAGE(Filter('Inflation Data'!$C:$C,'Inflation Data'!$A:$A = R$1))) + 'Fund YTD Contributions'!R97,'Fund YTD Contributions'!R97)"),0.0)</f>
        <v>0</v>
      </c>
      <c r="S97" s="170">
        <f>IFERROR(__xludf.DUMMYFUNCTION("IFERROR(R97 * (1 + AVERAGE(Filter('Inflation Data'!$C:$C,'Inflation Data'!$A:$A = S$1))) + 'Fund YTD Contributions'!S97,'Fund YTD Contributions'!S97)"),0.0)</f>
        <v>0</v>
      </c>
      <c r="T97" s="170">
        <f>IFERROR(__xludf.DUMMYFUNCTION("IFERROR(S97 * (1 + AVERAGE(Filter('Inflation Data'!$C:$C,'Inflation Data'!$A:$A = T$1))) + 'Fund YTD Contributions'!T97,'Fund YTD Contributions'!T97)"),0.0)</f>
        <v>0</v>
      </c>
      <c r="U97" s="170">
        <f>IFERROR(__xludf.DUMMYFUNCTION("IFERROR(T97 * (1 + AVERAGE(Filter('Inflation Data'!$C:$C,'Inflation Data'!$A:$A = U$1))) + 'Fund YTD Contributions'!U97,'Fund YTD Contributions'!U97)"),0.0)</f>
        <v>0</v>
      </c>
      <c r="V97" s="170">
        <f>IFERROR(__xludf.DUMMYFUNCTION("IFERROR(U97 * (1 + AVERAGE(Filter('Inflation Data'!$C:$C,'Inflation Data'!$A:$A = V$1))) + 'Fund YTD Contributions'!V97,'Fund YTD Contributions'!V97)"),0.0)</f>
        <v>0</v>
      </c>
      <c r="W97" s="170">
        <f>IFERROR(__xludf.DUMMYFUNCTION("IFERROR(V97 * (1 + AVERAGE(Filter('Inflation Data'!$C:$C,'Inflation Data'!$A:$A = W$1))) + 'Fund YTD Contributions'!W97,'Fund YTD Contributions'!W97)"),0.0)</f>
        <v>0</v>
      </c>
      <c r="X97" s="170">
        <f>IFERROR(__xludf.DUMMYFUNCTION("IFERROR(W97 * (1 + AVERAGE(Filter('Inflation Data'!$C:$C,'Inflation Data'!$A:$A = X$1))) + 'Fund YTD Contributions'!X97,'Fund YTD Contributions'!X97)"),0.0)</f>
        <v>0</v>
      </c>
      <c r="Y97" s="170">
        <f>IFERROR(__xludf.DUMMYFUNCTION("IFERROR(X97 * (1 + AVERAGE(Filter('Inflation Data'!$C:$C,'Inflation Data'!$A:$A = Y$1))) + 'Fund YTD Contributions'!Y97,'Fund YTD Contributions'!Y97)"),0.0)</f>
        <v>0</v>
      </c>
      <c r="Z97" s="170">
        <f>IFERROR(__xludf.DUMMYFUNCTION("IFERROR(Y97 * (1 + AVERAGE(Filter('Inflation Data'!$C:$C,'Inflation Data'!$A:$A = Z$1))) + 'Fund YTD Contributions'!Z97,'Fund YTD Contributions'!Z97)"),0.0)</f>
        <v>0</v>
      </c>
      <c r="AA97" s="170">
        <f>IFERROR(__xludf.DUMMYFUNCTION("IFERROR(Z97 * (1 + AVERAGE(Filter('Inflation Data'!$C:$C,'Inflation Data'!$A:$A = AA$1))) + 'Fund YTD Contributions'!AA97,'Fund YTD Contributions'!AA97)"),0.0)</f>
        <v>0</v>
      </c>
      <c r="AB97" s="170">
        <f>IFERROR(__xludf.DUMMYFUNCTION("IFERROR(AA97 * (1 + AVERAGE(Filter('Inflation Data'!$C:$C,'Inflation Data'!$A:$A = AB$1))) + 'Fund YTD Contributions'!AB97,'Fund YTD Contributions'!AB97)"),0.0)</f>
        <v>0</v>
      </c>
      <c r="AC97" s="170">
        <f>IFERROR(__xludf.DUMMYFUNCTION("IFERROR(AB97 * (1 + AVERAGE(Filter('Inflation Data'!$C:$C,'Inflation Data'!$A:$A = AC$1))) + 'Fund YTD Contributions'!AC97,'Fund YTD Contributions'!AC97)"),0.0)</f>
        <v>0</v>
      </c>
      <c r="AD97" s="170">
        <f>IFERROR(__xludf.DUMMYFUNCTION("IFERROR(AC97 * (1 + AVERAGE(Filter('Inflation Data'!$C:$C,'Inflation Data'!$A:$A = AD$1))) + 'Fund YTD Contributions'!AD97,'Fund YTD Contributions'!AD97)"),0.0)</f>
        <v>0</v>
      </c>
      <c r="AE97" s="170">
        <f>IFERROR(__xludf.DUMMYFUNCTION("IFERROR(AD97 * (1 + AVERAGE(Filter('Inflation Data'!$C:$C,'Inflation Data'!$A:$A = AE$1))) + 'Fund YTD Contributions'!AE97,'Fund YTD Contributions'!AE97)"),0.0)</f>
        <v>0</v>
      </c>
      <c r="AF97" s="170" t="str">
        <f>IFERROR(__xludf.DUMMYFUNCTION("IFERROR(AE97 * (1 + AVERAGE(Filter('Inflation Data'!$C:$C,'Inflation Data'!$A:$A = AF$1))) + 'Fund YTD Contributions'!AF97,'Fund YTD Contributions'!AF97)"),"")</f>
        <v/>
      </c>
    </row>
    <row r="98">
      <c r="A98" s="145" t="str">
        <f>'Endowed Funds'!B:B</f>
        <v/>
      </c>
      <c r="B98" s="170">
        <f>IFERROR(__xludf.DUMMYFUNCTION("IFERROR(A98 * (1 + AVERAGE(Filter('Inflation Data'!$C:$C,'Inflation Data'!$A:$A = B$1))) + 'Fund YTD Contributions'!B98,'Fund YTD Contributions'!B98)"),0.0)</f>
        <v>0</v>
      </c>
      <c r="C98" s="170">
        <f>IFERROR(__xludf.DUMMYFUNCTION("IFERROR(B98 * (1 + AVERAGE(Filter('Inflation Data'!$C:$C,'Inflation Data'!$A:$A = C$1))) + 'Fund YTD Contributions'!C98,'Fund YTD Contributions'!C98)"),0.0)</f>
        <v>0</v>
      </c>
      <c r="D98" s="170">
        <f>IFERROR(__xludf.DUMMYFUNCTION("IFERROR(C98 * (1 + AVERAGE(Filter('Inflation Data'!$C:$C,'Inflation Data'!$A:$A = D$1))) + 'Fund YTD Contributions'!D98,'Fund YTD Contributions'!D98)"),0.0)</f>
        <v>0</v>
      </c>
      <c r="E98" s="170">
        <f>IFERROR(__xludf.DUMMYFUNCTION("IFERROR(D98 * (1 + AVERAGE(Filter('Inflation Data'!$C:$C,'Inflation Data'!$A:$A = E$1))) + 'Fund YTD Contributions'!E98,'Fund YTD Contributions'!E98)"),0.0)</f>
        <v>0</v>
      </c>
      <c r="F98" s="170">
        <f>IFERROR(__xludf.DUMMYFUNCTION("IFERROR(E98 * (1 + AVERAGE(Filter('Inflation Data'!$C:$C,'Inflation Data'!$A:$A = F$1))) + 'Fund YTD Contributions'!F98,'Fund YTD Contributions'!F98)"),0.0)</f>
        <v>0</v>
      </c>
      <c r="G98" s="170">
        <f>IFERROR(__xludf.DUMMYFUNCTION("IFERROR(F98 * (1 + AVERAGE(Filter('Inflation Data'!$C:$C,'Inflation Data'!$A:$A = G$1))) + 'Fund YTD Contributions'!G98,'Fund YTD Contributions'!G98)"),0.0)</f>
        <v>0</v>
      </c>
      <c r="H98" s="170">
        <f>IFERROR(__xludf.DUMMYFUNCTION("IFERROR(G98 * (1 + AVERAGE(Filter('Inflation Data'!$C:$C,'Inflation Data'!$A:$A = H$1))) + 'Fund YTD Contributions'!H98,'Fund YTD Contributions'!H98)"),0.0)</f>
        <v>0</v>
      </c>
      <c r="I98" s="170">
        <f>IFERROR(__xludf.DUMMYFUNCTION("IFERROR(H98 * (1 + AVERAGE(Filter('Inflation Data'!$C:$C,'Inflation Data'!$A:$A = I$1))) + 'Fund YTD Contributions'!I98,'Fund YTD Contributions'!I98)"),0.0)</f>
        <v>0</v>
      </c>
      <c r="J98" s="170">
        <f>IFERROR(__xludf.DUMMYFUNCTION("IFERROR(I98 * (1 + AVERAGE(Filter('Inflation Data'!$C:$C,'Inflation Data'!$A:$A = J$1))) + 'Fund YTD Contributions'!J98,'Fund YTD Contributions'!J98)"),0.0)</f>
        <v>0</v>
      </c>
      <c r="K98" s="170">
        <f>IFERROR(__xludf.DUMMYFUNCTION("IFERROR(J98 * (1 + AVERAGE(Filter('Inflation Data'!$C:$C,'Inflation Data'!$A:$A = K$1))) + 'Fund YTD Contributions'!K98,'Fund YTD Contributions'!K98)"),0.0)</f>
        <v>0</v>
      </c>
      <c r="L98" s="170">
        <f>IFERROR(__xludf.DUMMYFUNCTION("IFERROR(K98 * (1 + AVERAGE(Filter('Inflation Data'!$C:$C,'Inflation Data'!$A:$A = L$1))) + 'Fund YTD Contributions'!L98,'Fund YTD Contributions'!L98)"),0.0)</f>
        <v>0</v>
      </c>
      <c r="M98" s="170">
        <f>IFERROR(__xludf.DUMMYFUNCTION("IFERROR(L98 * (1 + AVERAGE(Filter('Inflation Data'!$C:$C,'Inflation Data'!$A:$A = M$1))) + 'Fund YTD Contributions'!M98,'Fund YTD Contributions'!M98)"),0.0)</f>
        <v>0</v>
      </c>
      <c r="N98" s="170">
        <f>IFERROR(__xludf.DUMMYFUNCTION("IFERROR(M98 * (1 + AVERAGE(Filter('Inflation Data'!$C:$C,'Inflation Data'!$A:$A = N$1))) + 'Fund YTD Contributions'!N98,'Fund YTD Contributions'!N98)"),0.0)</f>
        <v>0</v>
      </c>
      <c r="O98" s="170">
        <f>IFERROR(__xludf.DUMMYFUNCTION("IFERROR(N98 * (1 + AVERAGE(Filter('Inflation Data'!$C:$C,'Inflation Data'!$A:$A = O$1))) + 'Fund YTD Contributions'!O98,'Fund YTD Contributions'!O98)"),0.0)</f>
        <v>0</v>
      </c>
      <c r="P98" s="170">
        <f>IFERROR(__xludf.DUMMYFUNCTION("IFERROR(O98 * (1 + AVERAGE(Filter('Inflation Data'!$C:$C,'Inflation Data'!$A:$A = P$1))) + 'Fund YTD Contributions'!P98,'Fund YTD Contributions'!P98)"),0.0)</f>
        <v>0</v>
      </c>
      <c r="Q98" s="170">
        <f>IFERROR(__xludf.DUMMYFUNCTION("IFERROR(P98 * (1 + AVERAGE(Filter('Inflation Data'!$C:$C,'Inflation Data'!$A:$A = Q$1))) + 'Fund YTD Contributions'!Q98,'Fund YTD Contributions'!Q98)"),0.0)</f>
        <v>0</v>
      </c>
      <c r="R98" s="170">
        <f>IFERROR(__xludf.DUMMYFUNCTION("IFERROR(Q98 * (1 + AVERAGE(Filter('Inflation Data'!$C:$C,'Inflation Data'!$A:$A = R$1))) + 'Fund YTD Contributions'!R98,'Fund YTD Contributions'!R98)"),0.0)</f>
        <v>0</v>
      </c>
      <c r="S98" s="170">
        <f>IFERROR(__xludf.DUMMYFUNCTION("IFERROR(R98 * (1 + AVERAGE(Filter('Inflation Data'!$C:$C,'Inflation Data'!$A:$A = S$1))) + 'Fund YTD Contributions'!S98,'Fund YTD Contributions'!S98)"),0.0)</f>
        <v>0</v>
      </c>
      <c r="T98" s="170">
        <f>IFERROR(__xludf.DUMMYFUNCTION("IFERROR(S98 * (1 + AVERAGE(Filter('Inflation Data'!$C:$C,'Inflation Data'!$A:$A = T$1))) + 'Fund YTD Contributions'!T98,'Fund YTD Contributions'!T98)"),0.0)</f>
        <v>0</v>
      </c>
      <c r="U98" s="170">
        <f>IFERROR(__xludf.DUMMYFUNCTION("IFERROR(T98 * (1 + AVERAGE(Filter('Inflation Data'!$C:$C,'Inflation Data'!$A:$A = U$1))) + 'Fund YTD Contributions'!U98,'Fund YTD Contributions'!U98)"),0.0)</f>
        <v>0</v>
      </c>
      <c r="V98" s="170">
        <f>IFERROR(__xludf.DUMMYFUNCTION("IFERROR(U98 * (1 + AVERAGE(Filter('Inflation Data'!$C:$C,'Inflation Data'!$A:$A = V$1))) + 'Fund YTD Contributions'!V98,'Fund YTD Contributions'!V98)"),0.0)</f>
        <v>0</v>
      </c>
      <c r="W98" s="170">
        <f>IFERROR(__xludf.DUMMYFUNCTION("IFERROR(V98 * (1 + AVERAGE(Filter('Inflation Data'!$C:$C,'Inflation Data'!$A:$A = W$1))) + 'Fund YTD Contributions'!W98,'Fund YTD Contributions'!W98)"),0.0)</f>
        <v>0</v>
      </c>
      <c r="X98" s="170">
        <f>IFERROR(__xludf.DUMMYFUNCTION("IFERROR(W98 * (1 + AVERAGE(Filter('Inflation Data'!$C:$C,'Inflation Data'!$A:$A = X$1))) + 'Fund YTD Contributions'!X98,'Fund YTD Contributions'!X98)"),0.0)</f>
        <v>0</v>
      </c>
      <c r="Y98" s="170">
        <f>IFERROR(__xludf.DUMMYFUNCTION("IFERROR(X98 * (1 + AVERAGE(Filter('Inflation Data'!$C:$C,'Inflation Data'!$A:$A = Y$1))) + 'Fund YTD Contributions'!Y98,'Fund YTD Contributions'!Y98)"),0.0)</f>
        <v>0</v>
      </c>
      <c r="Z98" s="170">
        <f>IFERROR(__xludf.DUMMYFUNCTION("IFERROR(Y98 * (1 + AVERAGE(Filter('Inflation Data'!$C:$C,'Inflation Data'!$A:$A = Z$1))) + 'Fund YTD Contributions'!Z98,'Fund YTD Contributions'!Z98)"),0.0)</f>
        <v>0</v>
      </c>
      <c r="AA98" s="170">
        <f>IFERROR(__xludf.DUMMYFUNCTION("IFERROR(Z98 * (1 + AVERAGE(Filter('Inflation Data'!$C:$C,'Inflation Data'!$A:$A = AA$1))) + 'Fund YTD Contributions'!AA98,'Fund YTD Contributions'!AA98)"),0.0)</f>
        <v>0</v>
      </c>
      <c r="AB98" s="170">
        <f>IFERROR(__xludf.DUMMYFUNCTION("IFERROR(AA98 * (1 + AVERAGE(Filter('Inflation Data'!$C:$C,'Inflation Data'!$A:$A = AB$1))) + 'Fund YTD Contributions'!AB98,'Fund YTD Contributions'!AB98)"),0.0)</f>
        <v>0</v>
      </c>
      <c r="AC98" s="170">
        <f>IFERROR(__xludf.DUMMYFUNCTION("IFERROR(AB98 * (1 + AVERAGE(Filter('Inflation Data'!$C:$C,'Inflation Data'!$A:$A = AC$1))) + 'Fund YTD Contributions'!AC98,'Fund YTD Contributions'!AC98)"),0.0)</f>
        <v>0</v>
      </c>
      <c r="AD98" s="170">
        <f>IFERROR(__xludf.DUMMYFUNCTION("IFERROR(AC98 * (1 + AVERAGE(Filter('Inflation Data'!$C:$C,'Inflation Data'!$A:$A = AD$1))) + 'Fund YTD Contributions'!AD98,'Fund YTD Contributions'!AD98)"),0.0)</f>
        <v>0</v>
      </c>
      <c r="AE98" s="170">
        <f>IFERROR(__xludf.DUMMYFUNCTION("IFERROR(AD98 * (1 + AVERAGE(Filter('Inflation Data'!$C:$C,'Inflation Data'!$A:$A = AE$1))) + 'Fund YTD Contributions'!AE98,'Fund YTD Contributions'!AE98)"),0.0)</f>
        <v>0</v>
      </c>
      <c r="AF98" s="170" t="str">
        <f>IFERROR(__xludf.DUMMYFUNCTION("IFERROR(AE98 * (1 + AVERAGE(Filter('Inflation Data'!$C:$C,'Inflation Data'!$A:$A = AF$1))) + 'Fund YTD Contributions'!AF98,'Fund YTD Contributions'!AF98)"),"")</f>
        <v/>
      </c>
    </row>
    <row r="99">
      <c r="A99" s="145" t="str">
        <f>'Endowed Funds'!B:B</f>
        <v/>
      </c>
      <c r="B99" s="170">
        <f>IFERROR(__xludf.DUMMYFUNCTION("IFERROR(A99 * (1 + AVERAGE(Filter('Inflation Data'!$C:$C,'Inflation Data'!$A:$A = B$1))) + 'Fund YTD Contributions'!B99,'Fund YTD Contributions'!B99)"),0.0)</f>
        <v>0</v>
      </c>
      <c r="C99" s="170">
        <f>IFERROR(__xludf.DUMMYFUNCTION("IFERROR(B99 * (1 + AVERAGE(Filter('Inflation Data'!$C:$C,'Inflation Data'!$A:$A = C$1))) + 'Fund YTD Contributions'!C99,'Fund YTD Contributions'!C99)"),0.0)</f>
        <v>0</v>
      </c>
      <c r="D99" s="170">
        <f>IFERROR(__xludf.DUMMYFUNCTION("IFERROR(C99 * (1 + AVERAGE(Filter('Inflation Data'!$C:$C,'Inflation Data'!$A:$A = D$1))) + 'Fund YTD Contributions'!D99,'Fund YTD Contributions'!D99)"),0.0)</f>
        <v>0</v>
      </c>
      <c r="E99" s="170">
        <f>IFERROR(__xludf.DUMMYFUNCTION("IFERROR(D99 * (1 + AVERAGE(Filter('Inflation Data'!$C:$C,'Inflation Data'!$A:$A = E$1))) + 'Fund YTD Contributions'!E99,'Fund YTD Contributions'!E99)"),0.0)</f>
        <v>0</v>
      </c>
      <c r="F99" s="170">
        <f>IFERROR(__xludf.DUMMYFUNCTION("IFERROR(E99 * (1 + AVERAGE(Filter('Inflation Data'!$C:$C,'Inflation Data'!$A:$A = F$1))) + 'Fund YTD Contributions'!F99,'Fund YTD Contributions'!F99)"),0.0)</f>
        <v>0</v>
      </c>
      <c r="G99" s="170">
        <f>IFERROR(__xludf.DUMMYFUNCTION("IFERROR(F99 * (1 + AVERAGE(Filter('Inflation Data'!$C:$C,'Inflation Data'!$A:$A = G$1))) + 'Fund YTD Contributions'!G99,'Fund YTD Contributions'!G99)"),0.0)</f>
        <v>0</v>
      </c>
      <c r="H99" s="170">
        <f>IFERROR(__xludf.DUMMYFUNCTION("IFERROR(G99 * (1 + AVERAGE(Filter('Inflation Data'!$C:$C,'Inflation Data'!$A:$A = H$1))) + 'Fund YTD Contributions'!H99,'Fund YTD Contributions'!H99)"),0.0)</f>
        <v>0</v>
      </c>
      <c r="I99" s="170">
        <f>IFERROR(__xludf.DUMMYFUNCTION("IFERROR(H99 * (1 + AVERAGE(Filter('Inflation Data'!$C:$C,'Inflation Data'!$A:$A = I$1))) + 'Fund YTD Contributions'!I99,'Fund YTD Contributions'!I99)"),0.0)</f>
        <v>0</v>
      </c>
      <c r="J99" s="170">
        <f>IFERROR(__xludf.DUMMYFUNCTION("IFERROR(I99 * (1 + AVERAGE(Filter('Inflation Data'!$C:$C,'Inflation Data'!$A:$A = J$1))) + 'Fund YTD Contributions'!J99,'Fund YTD Contributions'!J99)"),0.0)</f>
        <v>0</v>
      </c>
      <c r="K99" s="170">
        <f>IFERROR(__xludf.DUMMYFUNCTION("IFERROR(J99 * (1 + AVERAGE(Filter('Inflation Data'!$C:$C,'Inflation Data'!$A:$A = K$1))) + 'Fund YTD Contributions'!K99,'Fund YTD Contributions'!K99)"),0.0)</f>
        <v>0</v>
      </c>
      <c r="L99" s="170">
        <f>IFERROR(__xludf.DUMMYFUNCTION("IFERROR(K99 * (1 + AVERAGE(Filter('Inflation Data'!$C:$C,'Inflation Data'!$A:$A = L$1))) + 'Fund YTD Contributions'!L99,'Fund YTD Contributions'!L99)"),0.0)</f>
        <v>0</v>
      </c>
      <c r="M99" s="170">
        <f>IFERROR(__xludf.DUMMYFUNCTION("IFERROR(L99 * (1 + AVERAGE(Filter('Inflation Data'!$C:$C,'Inflation Data'!$A:$A = M$1))) + 'Fund YTD Contributions'!M99,'Fund YTD Contributions'!M99)"),0.0)</f>
        <v>0</v>
      </c>
      <c r="N99" s="170">
        <f>IFERROR(__xludf.DUMMYFUNCTION("IFERROR(M99 * (1 + AVERAGE(Filter('Inflation Data'!$C:$C,'Inflation Data'!$A:$A = N$1))) + 'Fund YTD Contributions'!N99,'Fund YTD Contributions'!N99)"),0.0)</f>
        <v>0</v>
      </c>
      <c r="O99" s="170">
        <f>IFERROR(__xludf.DUMMYFUNCTION("IFERROR(N99 * (1 + AVERAGE(Filter('Inflation Data'!$C:$C,'Inflation Data'!$A:$A = O$1))) + 'Fund YTD Contributions'!O99,'Fund YTD Contributions'!O99)"),0.0)</f>
        <v>0</v>
      </c>
      <c r="P99" s="170">
        <f>IFERROR(__xludf.DUMMYFUNCTION("IFERROR(O99 * (1 + AVERAGE(Filter('Inflation Data'!$C:$C,'Inflation Data'!$A:$A = P$1))) + 'Fund YTD Contributions'!P99,'Fund YTD Contributions'!P99)"),0.0)</f>
        <v>0</v>
      </c>
      <c r="Q99" s="170">
        <f>IFERROR(__xludf.DUMMYFUNCTION("IFERROR(P99 * (1 + AVERAGE(Filter('Inflation Data'!$C:$C,'Inflation Data'!$A:$A = Q$1))) + 'Fund YTD Contributions'!Q99,'Fund YTD Contributions'!Q99)"),0.0)</f>
        <v>0</v>
      </c>
      <c r="R99" s="170">
        <f>IFERROR(__xludf.DUMMYFUNCTION("IFERROR(Q99 * (1 + AVERAGE(Filter('Inflation Data'!$C:$C,'Inflation Data'!$A:$A = R$1))) + 'Fund YTD Contributions'!R99,'Fund YTD Contributions'!R99)"),0.0)</f>
        <v>0</v>
      </c>
      <c r="S99" s="170">
        <f>IFERROR(__xludf.DUMMYFUNCTION("IFERROR(R99 * (1 + AVERAGE(Filter('Inflation Data'!$C:$C,'Inflation Data'!$A:$A = S$1))) + 'Fund YTD Contributions'!S99,'Fund YTD Contributions'!S99)"),0.0)</f>
        <v>0</v>
      </c>
      <c r="T99" s="170">
        <f>IFERROR(__xludf.DUMMYFUNCTION("IFERROR(S99 * (1 + AVERAGE(Filter('Inflation Data'!$C:$C,'Inflation Data'!$A:$A = T$1))) + 'Fund YTD Contributions'!T99,'Fund YTD Contributions'!T99)"),0.0)</f>
        <v>0</v>
      </c>
      <c r="U99" s="170">
        <f>IFERROR(__xludf.DUMMYFUNCTION("IFERROR(T99 * (1 + AVERAGE(Filter('Inflation Data'!$C:$C,'Inflation Data'!$A:$A = U$1))) + 'Fund YTD Contributions'!U99,'Fund YTD Contributions'!U99)"),0.0)</f>
        <v>0</v>
      </c>
      <c r="V99" s="170">
        <f>IFERROR(__xludf.DUMMYFUNCTION("IFERROR(U99 * (1 + AVERAGE(Filter('Inflation Data'!$C:$C,'Inflation Data'!$A:$A = V$1))) + 'Fund YTD Contributions'!V99,'Fund YTD Contributions'!V99)"),0.0)</f>
        <v>0</v>
      </c>
      <c r="W99" s="170">
        <f>IFERROR(__xludf.DUMMYFUNCTION("IFERROR(V99 * (1 + AVERAGE(Filter('Inflation Data'!$C:$C,'Inflation Data'!$A:$A = W$1))) + 'Fund YTD Contributions'!W99,'Fund YTD Contributions'!W99)"),0.0)</f>
        <v>0</v>
      </c>
      <c r="X99" s="170">
        <f>IFERROR(__xludf.DUMMYFUNCTION("IFERROR(W99 * (1 + AVERAGE(Filter('Inflation Data'!$C:$C,'Inflation Data'!$A:$A = X$1))) + 'Fund YTD Contributions'!X99,'Fund YTD Contributions'!X99)"),0.0)</f>
        <v>0</v>
      </c>
      <c r="Y99" s="170">
        <f>IFERROR(__xludf.DUMMYFUNCTION("IFERROR(X99 * (1 + AVERAGE(Filter('Inflation Data'!$C:$C,'Inflation Data'!$A:$A = Y$1))) + 'Fund YTD Contributions'!Y99,'Fund YTD Contributions'!Y99)"),0.0)</f>
        <v>0</v>
      </c>
      <c r="Z99" s="170">
        <f>IFERROR(__xludf.DUMMYFUNCTION("IFERROR(Y99 * (1 + AVERAGE(Filter('Inflation Data'!$C:$C,'Inflation Data'!$A:$A = Z$1))) + 'Fund YTD Contributions'!Z99,'Fund YTD Contributions'!Z99)"),0.0)</f>
        <v>0</v>
      </c>
      <c r="AA99" s="170">
        <f>IFERROR(__xludf.DUMMYFUNCTION("IFERROR(Z99 * (1 + AVERAGE(Filter('Inflation Data'!$C:$C,'Inflation Data'!$A:$A = AA$1))) + 'Fund YTD Contributions'!AA99,'Fund YTD Contributions'!AA99)"),0.0)</f>
        <v>0</v>
      </c>
      <c r="AB99" s="170">
        <f>IFERROR(__xludf.DUMMYFUNCTION("IFERROR(AA99 * (1 + AVERAGE(Filter('Inflation Data'!$C:$C,'Inflation Data'!$A:$A = AB$1))) + 'Fund YTD Contributions'!AB99,'Fund YTD Contributions'!AB99)"),0.0)</f>
        <v>0</v>
      </c>
      <c r="AC99" s="170">
        <f>IFERROR(__xludf.DUMMYFUNCTION("IFERROR(AB99 * (1 + AVERAGE(Filter('Inflation Data'!$C:$C,'Inflation Data'!$A:$A = AC$1))) + 'Fund YTD Contributions'!AC99,'Fund YTD Contributions'!AC99)"),0.0)</f>
        <v>0</v>
      </c>
      <c r="AD99" s="170">
        <f>IFERROR(__xludf.DUMMYFUNCTION("IFERROR(AC99 * (1 + AVERAGE(Filter('Inflation Data'!$C:$C,'Inflation Data'!$A:$A = AD$1))) + 'Fund YTD Contributions'!AD99,'Fund YTD Contributions'!AD99)"),0.0)</f>
        <v>0</v>
      </c>
      <c r="AE99" s="170">
        <f>IFERROR(__xludf.DUMMYFUNCTION("IFERROR(AD99 * (1 + AVERAGE(Filter('Inflation Data'!$C:$C,'Inflation Data'!$A:$A = AE$1))) + 'Fund YTD Contributions'!AE99,'Fund YTD Contributions'!AE99)"),0.0)</f>
        <v>0</v>
      </c>
      <c r="AF99" s="170" t="str">
        <f>IFERROR(__xludf.DUMMYFUNCTION("IFERROR(AE99 * (1 + AVERAGE(Filter('Inflation Data'!$C:$C,'Inflation Data'!$A:$A = AF$1))) + 'Fund YTD Contributions'!AF99,'Fund YTD Contributions'!AF99)"),"")</f>
        <v/>
      </c>
    </row>
    <row r="100">
      <c r="A100" s="145" t="str">
        <f>'Endowed Funds'!B:B</f>
        <v/>
      </c>
      <c r="B100" s="170">
        <f>IFERROR(__xludf.DUMMYFUNCTION("IFERROR(A100 * (1 + AVERAGE(Filter('Inflation Data'!$C:$C,'Inflation Data'!$A:$A = B$1))) + 'Fund YTD Contributions'!B100,'Fund YTD Contributions'!B100)"),0.0)</f>
        <v>0</v>
      </c>
      <c r="C100" s="170">
        <f>IFERROR(__xludf.DUMMYFUNCTION("IFERROR(B100 * (1 + AVERAGE(Filter('Inflation Data'!$C:$C,'Inflation Data'!$A:$A = C$1))) + 'Fund YTD Contributions'!C100,'Fund YTD Contributions'!C100)"),0.0)</f>
        <v>0</v>
      </c>
      <c r="D100" s="170">
        <f>IFERROR(__xludf.DUMMYFUNCTION("IFERROR(C100 * (1 + AVERAGE(Filter('Inflation Data'!$C:$C,'Inflation Data'!$A:$A = D$1))) + 'Fund YTD Contributions'!D100,'Fund YTD Contributions'!D100)"),0.0)</f>
        <v>0</v>
      </c>
      <c r="E100" s="170">
        <f>IFERROR(__xludf.DUMMYFUNCTION("IFERROR(D100 * (1 + AVERAGE(Filter('Inflation Data'!$C:$C,'Inflation Data'!$A:$A = E$1))) + 'Fund YTD Contributions'!E100,'Fund YTD Contributions'!E100)"),0.0)</f>
        <v>0</v>
      </c>
      <c r="F100" s="170">
        <f>IFERROR(__xludf.DUMMYFUNCTION("IFERROR(E100 * (1 + AVERAGE(Filter('Inflation Data'!$C:$C,'Inflation Data'!$A:$A = F$1))) + 'Fund YTD Contributions'!F100,'Fund YTD Contributions'!F100)"),0.0)</f>
        <v>0</v>
      </c>
      <c r="G100" s="170">
        <f>IFERROR(__xludf.DUMMYFUNCTION("IFERROR(F100 * (1 + AVERAGE(Filter('Inflation Data'!$C:$C,'Inflation Data'!$A:$A = G$1))) + 'Fund YTD Contributions'!G100,'Fund YTD Contributions'!G100)"),0.0)</f>
        <v>0</v>
      </c>
      <c r="H100" s="170">
        <f>IFERROR(__xludf.DUMMYFUNCTION("IFERROR(G100 * (1 + AVERAGE(Filter('Inflation Data'!$C:$C,'Inflation Data'!$A:$A = H$1))) + 'Fund YTD Contributions'!H100,'Fund YTD Contributions'!H100)"),0.0)</f>
        <v>0</v>
      </c>
      <c r="I100" s="170">
        <f>IFERROR(__xludf.DUMMYFUNCTION("IFERROR(H100 * (1 + AVERAGE(Filter('Inflation Data'!$C:$C,'Inflation Data'!$A:$A = I$1))) + 'Fund YTD Contributions'!I100,'Fund YTD Contributions'!I100)"),0.0)</f>
        <v>0</v>
      </c>
      <c r="J100" s="170">
        <f>IFERROR(__xludf.DUMMYFUNCTION("IFERROR(I100 * (1 + AVERAGE(Filter('Inflation Data'!$C:$C,'Inflation Data'!$A:$A = J$1))) + 'Fund YTD Contributions'!J100,'Fund YTD Contributions'!J100)"),0.0)</f>
        <v>0</v>
      </c>
      <c r="K100" s="170">
        <f>IFERROR(__xludf.DUMMYFUNCTION("IFERROR(J100 * (1 + AVERAGE(Filter('Inflation Data'!$C:$C,'Inflation Data'!$A:$A = K$1))) + 'Fund YTD Contributions'!K100,'Fund YTD Contributions'!K100)"),0.0)</f>
        <v>0</v>
      </c>
      <c r="L100" s="170">
        <f>IFERROR(__xludf.DUMMYFUNCTION("IFERROR(K100 * (1 + AVERAGE(Filter('Inflation Data'!$C:$C,'Inflation Data'!$A:$A = L$1))) + 'Fund YTD Contributions'!L100,'Fund YTD Contributions'!L100)"),0.0)</f>
        <v>0</v>
      </c>
      <c r="M100" s="170">
        <f>IFERROR(__xludf.DUMMYFUNCTION("IFERROR(L100 * (1 + AVERAGE(Filter('Inflation Data'!$C:$C,'Inflation Data'!$A:$A = M$1))) + 'Fund YTD Contributions'!M100,'Fund YTD Contributions'!M100)"),0.0)</f>
        <v>0</v>
      </c>
      <c r="N100" s="170">
        <f>IFERROR(__xludf.DUMMYFUNCTION("IFERROR(M100 * (1 + AVERAGE(Filter('Inflation Data'!$C:$C,'Inflation Data'!$A:$A = N$1))) + 'Fund YTD Contributions'!N100,'Fund YTD Contributions'!N100)"),0.0)</f>
        <v>0</v>
      </c>
      <c r="O100" s="170">
        <f>IFERROR(__xludf.DUMMYFUNCTION("IFERROR(N100 * (1 + AVERAGE(Filter('Inflation Data'!$C:$C,'Inflation Data'!$A:$A = O$1))) + 'Fund YTD Contributions'!O100,'Fund YTD Contributions'!O100)"),0.0)</f>
        <v>0</v>
      </c>
      <c r="P100" s="170">
        <f>IFERROR(__xludf.DUMMYFUNCTION("IFERROR(O100 * (1 + AVERAGE(Filter('Inflation Data'!$C:$C,'Inflation Data'!$A:$A = P$1))) + 'Fund YTD Contributions'!P100,'Fund YTD Contributions'!P100)"),0.0)</f>
        <v>0</v>
      </c>
      <c r="Q100" s="170">
        <f>IFERROR(__xludf.DUMMYFUNCTION("IFERROR(P100 * (1 + AVERAGE(Filter('Inflation Data'!$C:$C,'Inflation Data'!$A:$A = Q$1))) + 'Fund YTD Contributions'!Q100,'Fund YTD Contributions'!Q100)"),0.0)</f>
        <v>0</v>
      </c>
      <c r="R100" s="170">
        <f>IFERROR(__xludf.DUMMYFUNCTION("IFERROR(Q100 * (1 + AVERAGE(Filter('Inflation Data'!$C:$C,'Inflation Data'!$A:$A = R$1))) + 'Fund YTD Contributions'!R100,'Fund YTD Contributions'!R100)"),0.0)</f>
        <v>0</v>
      </c>
      <c r="S100" s="170">
        <f>IFERROR(__xludf.DUMMYFUNCTION("IFERROR(R100 * (1 + AVERAGE(Filter('Inflation Data'!$C:$C,'Inflation Data'!$A:$A = S$1))) + 'Fund YTD Contributions'!S100,'Fund YTD Contributions'!S100)"),0.0)</f>
        <v>0</v>
      </c>
      <c r="T100" s="170">
        <f>IFERROR(__xludf.DUMMYFUNCTION("IFERROR(S100 * (1 + AVERAGE(Filter('Inflation Data'!$C:$C,'Inflation Data'!$A:$A = T$1))) + 'Fund YTD Contributions'!T100,'Fund YTD Contributions'!T100)"),0.0)</f>
        <v>0</v>
      </c>
      <c r="U100" s="170">
        <f>IFERROR(__xludf.DUMMYFUNCTION("IFERROR(T100 * (1 + AVERAGE(Filter('Inflation Data'!$C:$C,'Inflation Data'!$A:$A = U$1))) + 'Fund YTD Contributions'!U100,'Fund YTD Contributions'!U100)"),0.0)</f>
        <v>0</v>
      </c>
      <c r="V100" s="170">
        <f>IFERROR(__xludf.DUMMYFUNCTION("IFERROR(U100 * (1 + AVERAGE(Filter('Inflation Data'!$C:$C,'Inflation Data'!$A:$A = V$1))) + 'Fund YTD Contributions'!V100,'Fund YTD Contributions'!V100)"),0.0)</f>
        <v>0</v>
      </c>
      <c r="W100" s="170">
        <f>IFERROR(__xludf.DUMMYFUNCTION("IFERROR(V100 * (1 + AVERAGE(Filter('Inflation Data'!$C:$C,'Inflation Data'!$A:$A = W$1))) + 'Fund YTD Contributions'!W100,'Fund YTD Contributions'!W100)"),0.0)</f>
        <v>0</v>
      </c>
      <c r="X100" s="170">
        <f>IFERROR(__xludf.DUMMYFUNCTION("IFERROR(W100 * (1 + AVERAGE(Filter('Inflation Data'!$C:$C,'Inflation Data'!$A:$A = X$1))) + 'Fund YTD Contributions'!X100,'Fund YTD Contributions'!X100)"),0.0)</f>
        <v>0</v>
      </c>
      <c r="Y100" s="170">
        <f>IFERROR(__xludf.DUMMYFUNCTION("IFERROR(X100 * (1 + AVERAGE(Filter('Inflation Data'!$C:$C,'Inflation Data'!$A:$A = Y$1))) + 'Fund YTD Contributions'!Y100,'Fund YTD Contributions'!Y100)"),0.0)</f>
        <v>0</v>
      </c>
      <c r="Z100" s="170">
        <f>IFERROR(__xludf.DUMMYFUNCTION("IFERROR(Y100 * (1 + AVERAGE(Filter('Inflation Data'!$C:$C,'Inflation Data'!$A:$A = Z$1))) + 'Fund YTD Contributions'!Z100,'Fund YTD Contributions'!Z100)"),0.0)</f>
        <v>0</v>
      </c>
      <c r="AA100" s="170">
        <f>IFERROR(__xludf.DUMMYFUNCTION("IFERROR(Z100 * (1 + AVERAGE(Filter('Inflation Data'!$C:$C,'Inflation Data'!$A:$A = AA$1))) + 'Fund YTD Contributions'!AA100,'Fund YTD Contributions'!AA100)"),0.0)</f>
        <v>0</v>
      </c>
      <c r="AB100" s="170">
        <f>IFERROR(__xludf.DUMMYFUNCTION("IFERROR(AA100 * (1 + AVERAGE(Filter('Inflation Data'!$C:$C,'Inflation Data'!$A:$A = AB$1))) + 'Fund YTD Contributions'!AB100,'Fund YTD Contributions'!AB100)"),0.0)</f>
        <v>0</v>
      </c>
      <c r="AC100" s="170">
        <f>IFERROR(__xludf.DUMMYFUNCTION("IFERROR(AB100 * (1 + AVERAGE(Filter('Inflation Data'!$C:$C,'Inflation Data'!$A:$A = AC$1))) + 'Fund YTD Contributions'!AC100,'Fund YTD Contributions'!AC100)"),0.0)</f>
        <v>0</v>
      </c>
      <c r="AD100" s="170">
        <f>IFERROR(__xludf.DUMMYFUNCTION("IFERROR(AC100 * (1 + AVERAGE(Filter('Inflation Data'!$C:$C,'Inflation Data'!$A:$A = AD$1))) + 'Fund YTD Contributions'!AD100,'Fund YTD Contributions'!AD100)"),0.0)</f>
        <v>0</v>
      </c>
      <c r="AE100" s="170">
        <f>IFERROR(__xludf.DUMMYFUNCTION("IFERROR(AD100 * (1 + AVERAGE(Filter('Inflation Data'!$C:$C,'Inflation Data'!$A:$A = AE$1))) + 'Fund YTD Contributions'!AE100,'Fund YTD Contributions'!AE100)"),0.0)</f>
        <v>0</v>
      </c>
      <c r="AF100" s="170" t="str">
        <f>IFERROR(__xludf.DUMMYFUNCTION("IFERROR(AE100 * (1 + AVERAGE(Filter('Inflation Data'!$C:$C,'Inflation Data'!$A:$A = AF$1))) + 'Fund YTD Contributions'!AF100,'Fund YTD Contributions'!AF100)"),"")</f>
        <v/>
      </c>
    </row>
    <row r="101">
      <c r="A101" s="145" t="str">
        <f>'Endowed Funds'!B:B</f>
        <v/>
      </c>
      <c r="B101" s="170">
        <f>IFERROR(__xludf.DUMMYFUNCTION("IFERROR(A101 * (1 + AVERAGE(Filter('Inflation Data'!$C:$C,'Inflation Data'!$A:$A = B$1))) + 'Fund YTD Contributions'!B101,'Fund YTD Contributions'!B101)"),0.0)</f>
        <v>0</v>
      </c>
      <c r="C101" s="170">
        <f>IFERROR(__xludf.DUMMYFUNCTION("IFERROR(B101 * (1 + AVERAGE(Filter('Inflation Data'!$C:$C,'Inflation Data'!$A:$A = C$1))) + 'Fund YTD Contributions'!C101,'Fund YTD Contributions'!C101)"),0.0)</f>
        <v>0</v>
      </c>
      <c r="D101" s="170">
        <f>IFERROR(__xludf.DUMMYFUNCTION("IFERROR(C101 * (1 + AVERAGE(Filter('Inflation Data'!$C:$C,'Inflation Data'!$A:$A = D$1))) + 'Fund YTD Contributions'!D101,'Fund YTD Contributions'!D101)"),0.0)</f>
        <v>0</v>
      </c>
      <c r="E101" s="170">
        <f>IFERROR(__xludf.DUMMYFUNCTION("IFERROR(D101 * (1 + AVERAGE(Filter('Inflation Data'!$C:$C,'Inflation Data'!$A:$A = E$1))) + 'Fund YTD Contributions'!E101,'Fund YTD Contributions'!E101)"),0.0)</f>
        <v>0</v>
      </c>
      <c r="F101" s="170">
        <f>IFERROR(__xludf.DUMMYFUNCTION("IFERROR(E101 * (1 + AVERAGE(Filter('Inflation Data'!$C:$C,'Inflation Data'!$A:$A = F$1))) + 'Fund YTD Contributions'!F101,'Fund YTD Contributions'!F101)"),0.0)</f>
        <v>0</v>
      </c>
      <c r="G101" s="170">
        <f>IFERROR(__xludf.DUMMYFUNCTION("IFERROR(F101 * (1 + AVERAGE(Filter('Inflation Data'!$C:$C,'Inflation Data'!$A:$A = G$1))) + 'Fund YTD Contributions'!G101,'Fund YTD Contributions'!G101)"),0.0)</f>
        <v>0</v>
      </c>
      <c r="H101" s="170">
        <f>IFERROR(__xludf.DUMMYFUNCTION("IFERROR(G101 * (1 + AVERAGE(Filter('Inflation Data'!$C:$C,'Inflation Data'!$A:$A = H$1))) + 'Fund YTD Contributions'!H101,'Fund YTD Contributions'!H101)"),0.0)</f>
        <v>0</v>
      </c>
      <c r="I101" s="170">
        <f>IFERROR(__xludf.DUMMYFUNCTION("IFERROR(H101 * (1 + AVERAGE(Filter('Inflation Data'!$C:$C,'Inflation Data'!$A:$A = I$1))) + 'Fund YTD Contributions'!I101,'Fund YTD Contributions'!I101)"),0.0)</f>
        <v>0</v>
      </c>
      <c r="J101" s="170">
        <f>IFERROR(__xludf.DUMMYFUNCTION("IFERROR(I101 * (1 + AVERAGE(Filter('Inflation Data'!$C:$C,'Inflation Data'!$A:$A = J$1))) + 'Fund YTD Contributions'!J101,'Fund YTD Contributions'!J101)"),0.0)</f>
        <v>0</v>
      </c>
      <c r="K101" s="170">
        <f>IFERROR(__xludf.DUMMYFUNCTION("IFERROR(J101 * (1 + AVERAGE(Filter('Inflation Data'!$C:$C,'Inflation Data'!$A:$A = K$1))) + 'Fund YTD Contributions'!K101,'Fund YTD Contributions'!K101)"),0.0)</f>
        <v>0</v>
      </c>
      <c r="L101" s="170">
        <f>IFERROR(__xludf.DUMMYFUNCTION("IFERROR(K101 * (1 + AVERAGE(Filter('Inflation Data'!$C:$C,'Inflation Data'!$A:$A = L$1))) + 'Fund YTD Contributions'!L101,'Fund YTD Contributions'!L101)"),0.0)</f>
        <v>0</v>
      </c>
      <c r="M101" s="170">
        <f>IFERROR(__xludf.DUMMYFUNCTION("IFERROR(L101 * (1 + AVERAGE(Filter('Inflation Data'!$C:$C,'Inflation Data'!$A:$A = M$1))) + 'Fund YTD Contributions'!M101,'Fund YTD Contributions'!M101)"),0.0)</f>
        <v>0</v>
      </c>
      <c r="N101" s="170">
        <f>IFERROR(__xludf.DUMMYFUNCTION("IFERROR(M101 * (1 + AVERAGE(Filter('Inflation Data'!$C:$C,'Inflation Data'!$A:$A = N$1))) + 'Fund YTD Contributions'!N101,'Fund YTD Contributions'!N101)"),0.0)</f>
        <v>0</v>
      </c>
      <c r="O101" s="170">
        <f>IFERROR(__xludf.DUMMYFUNCTION("IFERROR(N101 * (1 + AVERAGE(Filter('Inflation Data'!$C:$C,'Inflation Data'!$A:$A = O$1))) + 'Fund YTD Contributions'!O101,'Fund YTD Contributions'!O101)"),0.0)</f>
        <v>0</v>
      </c>
      <c r="P101" s="170">
        <f>IFERROR(__xludf.DUMMYFUNCTION("IFERROR(O101 * (1 + AVERAGE(Filter('Inflation Data'!$C:$C,'Inflation Data'!$A:$A = P$1))) + 'Fund YTD Contributions'!P101,'Fund YTD Contributions'!P101)"),0.0)</f>
        <v>0</v>
      </c>
      <c r="Q101" s="170">
        <f>IFERROR(__xludf.DUMMYFUNCTION("IFERROR(P101 * (1 + AVERAGE(Filter('Inflation Data'!$C:$C,'Inflation Data'!$A:$A = Q$1))) + 'Fund YTD Contributions'!Q101,'Fund YTD Contributions'!Q101)"),0.0)</f>
        <v>0</v>
      </c>
      <c r="R101" s="170">
        <f>IFERROR(__xludf.DUMMYFUNCTION("IFERROR(Q101 * (1 + AVERAGE(Filter('Inflation Data'!$C:$C,'Inflation Data'!$A:$A = R$1))) + 'Fund YTD Contributions'!R101,'Fund YTD Contributions'!R101)"),0.0)</f>
        <v>0</v>
      </c>
      <c r="S101" s="170">
        <f>IFERROR(__xludf.DUMMYFUNCTION("IFERROR(R101 * (1 + AVERAGE(Filter('Inflation Data'!$C:$C,'Inflation Data'!$A:$A = S$1))) + 'Fund YTD Contributions'!S101,'Fund YTD Contributions'!S101)"),0.0)</f>
        <v>0</v>
      </c>
      <c r="T101" s="170">
        <f>IFERROR(__xludf.DUMMYFUNCTION("IFERROR(S101 * (1 + AVERAGE(Filter('Inflation Data'!$C:$C,'Inflation Data'!$A:$A = T$1))) + 'Fund YTD Contributions'!T101,'Fund YTD Contributions'!T101)"),0.0)</f>
        <v>0</v>
      </c>
      <c r="U101" s="170">
        <f>IFERROR(__xludf.DUMMYFUNCTION("IFERROR(T101 * (1 + AVERAGE(Filter('Inflation Data'!$C:$C,'Inflation Data'!$A:$A = U$1))) + 'Fund YTD Contributions'!U101,'Fund YTD Contributions'!U101)"),0.0)</f>
        <v>0</v>
      </c>
      <c r="V101" s="170">
        <f>IFERROR(__xludf.DUMMYFUNCTION("IFERROR(U101 * (1 + AVERAGE(Filter('Inflation Data'!$C:$C,'Inflation Data'!$A:$A = V$1))) + 'Fund YTD Contributions'!V101,'Fund YTD Contributions'!V101)"),0.0)</f>
        <v>0</v>
      </c>
      <c r="W101" s="170">
        <f>IFERROR(__xludf.DUMMYFUNCTION("IFERROR(V101 * (1 + AVERAGE(Filter('Inflation Data'!$C:$C,'Inflation Data'!$A:$A = W$1))) + 'Fund YTD Contributions'!W101,'Fund YTD Contributions'!W101)"),0.0)</f>
        <v>0</v>
      </c>
      <c r="X101" s="170">
        <f>IFERROR(__xludf.DUMMYFUNCTION("IFERROR(W101 * (1 + AVERAGE(Filter('Inflation Data'!$C:$C,'Inflation Data'!$A:$A = X$1))) + 'Fund YTD Contributions'!X101,'Fund YTD Contributions'!X101)"),0.0)</f>
        <v>0</v>
      </c>
      <c r="Y101" s="170">
        <f>IFERROR(__xludf.DUMMYFUNCTION("IFERROR(X101 * (1 + AVERAGE(Filter('Inflation Data'!$C:$C,'Inflation Data'!$A:$A = Y$1))) + 'Fund YTD Contributions'!Y101,'Fund YTD Contributions'!Y101)"),0.0)</f>
        <v>0</v>
      </c>
      <c r="Z101" s="170">
        <f>IFERROR(__xludf.DUMMYFUNCTION("IFERROR(Y101 * (1 + AVERAGE(Filter('Inflation Data'!$C:$C,'Inflation Data'!$A:$A = Z$1))) + 'Fund YTD Contributions'!Z101,'Fund YTD Contributions'!Z101)"),0.0)</f>
        <v>0</v>
      </c>
      <c r="AA101" s="170">
        <f>IFERROR(__xludf.DUMMYFUNCTION("IFERROR(Z101 * (1 + AVERAGE(Filter('Inflation Data'!$C:$C,'Inflation Data'!$A:$A = AA$1))) + 'Fund YTD Contributions'!AA101,'Fund YTD Contributions'!AA101)"),0.0)</f>
        <v>0</v>
      </c>
      <c r="AB101" s="170">
        <f>IFERROR(__xludf.DUMMYFUNCTION("IFERROR(AA101 * (1 + AVERAGE(Filter('Inflation Data'!$C:$C,'Inflation Data'!$A:$A = AB$1))) + 'Fund YTD Contributions'!AB101,'Fund YTD Contributions'!AB101)"),0.0)</f>
        <v>0</v>
      </c>
      <c r="AC101" s="170">
        <f>IFERROR(__xludf.DUMMYFUNCTION("IFERROR(AB101 * (1 + AVERAGE(Filter('Inflation Data'!$C:$C,'Inflation Data'!$A:$A = AC$1))) + 'Fund YTD Contributions'!AC101,'Fund YTD Contributions'!AC101)"),0.0)</f>
        <v>0</v>
      </c>
      <c r="AD101" s="170">
        <f>IFERROR(__xludf.DUMMYFUNCTION("IFERROR(AC101 * (1 + AVERAGE(Filter('Inflation Data'!$C:$C,'Inflation Data'!$A:$A = AD$1))) + 'Fund YTD Contributions'!AD101,'Fund YTD Contributions'!AD101)"),0.0)</f>
        <v>0</v>
      </c>
      <c r="AE101" s="170">
        <f>IFERROR(__xludf.DUMMYFUNCTION("IFERROR(AD101 * (1 + AVERAGE(Filter('Inflation Data'!$C:$C,'Inflation Data'!$A:$A = AE$1))) + 'Fund YTD Contributions'!AE101,'Fund YTD Contributions'!AE101)"),0.0)</f>
        <v>0</v>
      </c>
      <c r="AF101" s="170" t="str">
        <f>IFERROR(__xludf.DUMMYFUNCTION("IFERROR(AE101 * (1 + AVERAGE(Filter('Inflation Data'!$C:$C,'Inflation Data'!$A:$A = AF$1))) + 'Fund YTD Contributions'!AF101,'Fund YTD Contributions'!AF101)"),"")</f>
        <v/>
      </c>
    </row>
    <row r="102">
      <c r="A102" s="145" t="str">
        <f>'Endowed Funds'!B:B</f>
        <v/>
      </c>
      <c r="B102" s="170">
        <f>IFERROR(__xludf.DUMMYFUNCTION("IFERROR(A102 * (1 + AVERAGE(Filter('Inflation Data'!$C:$C,'Inflation Data'!$A:$A = B$1))) + 'Fund YTD Contributions'!B102,'Fund YTD Contributions'!B102)"),0.0)</f>
        <v>0</v>
      </c>
      <c r="C102" s="170">
        <f>IFERROR(__xludf.DUMMYFUNCTION("IFERROR(B102 * (1 + AVERAGE(Filter('Inflation Data'!$C:$C,'Inflation Data'!$A:$A = C$1))) + 'Fund YTD Contributions'!C102,'Fund YTD Contributions'!C102)"),0.0)</f>
        <v>0</v>
      </c>
      <c r="D102" s="170">
        <f>IFERROR(__xludf.DUMMYFUNCTION("IFERROR(C102 * (1 + AVERAGE(Filter('Inflation Data'!$C:$C,'Inflation Data'!$A:$A = D$1))) + 'Fund YTD Contributions'!D102,'Fund YTD Contributions'!D102)"),0.0)</f>
        <v>0</v>
      </c>
      <c r="E102" s="170">
        <f>IFERROR(__xludf.DUMMYFUNCTION("IFERROR(D102 * (1 + AVERAGE(Filter('Inflation Data'!$C:$C,'Inflation Data'!$A:$A = E$1))) + 'Fund YTD Contributions'!E102,'Fund YTD Contributions'!E102)"),0.0)</f>
        <v>0</v>
      </c>
      <c r="F102" s="170">
        <f>IFERROR(__xludf.DUMMYFUNCTION("IFERROR(E102 * (1 + AVERAGE(Filter('Inflation Data'!$C:$C,'Inflation Data'!$A:$A = F$1))) + 'Fund YTD Contributions'!F102,'Fund YTD Contributions'!F102)"),0.0)</f>
        <v>0</v>
      </c>
      <c r="G102" s="170">
        <f>IFERROR(__xludf.DUMMYFUNCTION("IFERROR(F102 * (1 + AVERAGE(Filter('Inflation Data'!$C:$C,'Inflation Data'!$A:$A = G$1))) + 'Fund YTD Contributions'!G102,'Fund YTD Contributions'!G102)"),0.0)</f>
        <v>0</v>
      </c>
      <c r="H102" s="170">
        <f>IFERROR(__xludf.DUMMYFUNCTION("IFERROR(G102 * (1 + AVERAGE(Filter('Inflation Data'!$C:$C,'Inflation Data'!$A:$A = H$1))) + 'Fund YTD Contributions'!H102,'Fund YTD Contributions'!H102)"),0.0)</f>
        <v>0</v>
      </c>
      <c r="I102" s="170">
        <f>IFERROR(__xludf.DUMMYFUNCTION("IFERROR(H102 * (1 + AVERAGE(Filter('Inflation Data'!$C:$C,'Inflation Data'!$A:$A = I$1))) + 'Fund YTD Contributions'!I102,'Fund YTD Contributions'!I102)"),0.0)</f>
        <v>0</v>
      </c>
      <c r="J102" s="170">
        <f>IFERROR(__xludf.DUMMYFUNCTION("IFERROR(I102 * (1 + AVERAGE(Filter('Inflation Data'!$C:$C,'Inflation Data'!$A:$A = J$1))) + 'Fund YTD Contributions'!J102,'Fund YTD Contributions'!J102)"),0.0)</f>
        <v>0</v>
      </c>
      <c r="K102" s="170">
        <f>IFERROR(__xludf.DUMMYFUNCTION("IFERROR(J102 * (1 + AVERAGE(Filter('Inflation Data'!$C:$C,'Inflation Data'!$A:$A = K$1))) + 'Fund YTD Contributions'!K102,'Fund YTD Contributions'!K102)"),0.0)</f>
        <v>0</v>
      </c>
      <c r="L102" s="170">
        <f>IFERROR(__xludf.DUMMYFUNCTION("IFERROR(K102 * (1 + AVERAGE(Filter('Inflation Data'!$C:$C,'Inflation Data'!$A:$A = L$1))) + 'Fund YTD Contributions'!L102,'Fund YTD Contributions'!L102)"),0.0)</f>
        <v>0</v>
      </c>
      <c r="M102" s="170">
        <f>IFERROR(__xludf.DUMMYFUNCTION("IFERROR(L102 * (1 + AVERAGE(Filter('Inflation Data'!$C:$C,'Inflation Data'!$A:$A = M$1))) + 'Fund YTD Contributions'!M102,'Fund YTD Contributions'!M102)"),0.0)</f>
        <v>0</v>
      </c>
      <c r="N102" s="170">
        <f>IFERROR(__xludf.DUMMYFUNCTION("IFERROR(M102 * (1 + AVERAGE(Filter('Inflation Data'!$C:$C,'Inflation Data'!$A:$A = N$1))) + 'Fund YTD Contributions'!N102,'Fund YTD Contributions'!N102)"),0.0)</f>
        <v>0</v>
      </c>
      <c r="O102" s="170">
        <f>IFERROR(__xludf.DUMMYFUNCTION("IFERROR(N102 * (1 + AVERAGE(Filter('Inflation Data'!$C:$C,'Inflation Data'!$A:$A = O$1))) + 'Fund YTD Contributions'!O102,'Fund YTD Contributions'!O102)"),0.0)</f>
        <v>0</v>
      </c>
      <c r="P102" s="170">
        <f>IFERROR(__xludf.DUMMYFUNCTION("IFERROR(O102 * (1 + AVERAGE(Filter('Inflation Data'!$C:$C,'Inflation Data'!$A:$A = P$1))) + 'Fund YTD Contributions'!P102,'Fund YTD Contributions'!P102)"),0.0)</f>
        <v>0</v>
      </c>
      <c r="Q102" s="170">
        <f>IFERROR(__xludf.DUMMYFUNCTION("IFERROR(P102 * (1 + AVERAGE(Filter('Inflation Data'!$C:$C,'Inflation Data'!$A:$A = Q$1))) + 'Fund YTD Contributions'!Q102,'Fund YTD Contributions'!Q102)"),0.0)</f>
        <v>0</v>
      </c>
      <c r="R102" s="170">
        <f>IFERROR(__xludf.DUMMYFUNCTION("IFERROR(Q102 * (1 + AVERAGE(Filter('Inflation Data'!$C:$C,'Inflation Data'!$A:$A = R$1))) + 'Fund YTD Contributions'!R102,'Fund YTD Contributions'!R102)"),0.0)</f>
        <v>0</v>
      </c>
      <c r="S102" s="170">
        <f>IFERROR(__xludf.DUMMYFUNCTION("IFERROR(R102 * (1 + AVERAGE(Filter('Inflation Data'!$C:$C,'Inflation Data'!$A:$A = S$1))) + 'Fund YTD Contributions'!S102,'Fund YTD Contributions'!S102)"),0.0)</f>
        <v>0</v>
      </c>
      <c r="T102" s="170">
        <f>IFERROR(__xludf.DUMMYFUNCTION("IFERROR(S102 * (1 + AVERAGE(Filter('Inflation Data'!$C:$C,'Inflation Data'!$A:$A = T$1))) + 'Fund YTD Contributions'!T102,'Fund YTD Contributions'!T102)"),0.0)</f>
        <v>0</v>
      </c>
      <c r="U102" s="170">
        <f>IFERROR(__xludf.DUMMYFUNCTION("IFERROR(T102 * (1 + AVERAGE(Filter('Inflation Data'!$C:$C,'Inflation Data'!$A:$A = U$1))) + 'Fund YTD Contributions'!U102,'Fund YTD Contributions'!U102)"),0.0)</f>
        <v>0</v>
      </c>
      <c r="V102" s="170">
        <f>IFERROR(__xludf.DUMMYFUNCTION("IFERROR(U102 * (1 + AVERAGE(Filter('Inflation Data'!$C:$C,'Inflation Data'!$A:$A = V$1))) + 'Fund YTD Contributions'!V102,'Fund YTD Contributions'!V102)"),0.0)</f>
        <v>0</v>
      </c>
      <c r="W102" s="170">
        <f>IFERROR(__xludf.DUMMYFUNCTION("IFERROR(V102 * (1 + AVERAGE(Filter('Inflation Data'!$C:$C,'Inflation Data'!$A:$A = W$1))) + 'Fund YTD Contributions'!W102,'Fund YTD Contributions'!W102)"),0.0)</f>
        <v>0</v>
      </c>
      <c r="X102" s="170">
        <f>IFERROR(__xludf.DUMMYFUNCTION("IFERROR(W102 * (1 + AVERAGE(Filter('Inflation Data'!$C:$C,'Inflation Data'!$A:$A = X$1))) + 'Fund YTD Contributions'!X102,'Fund YTD Contributions'!X102)"),0.0)</f>
        <v>0</v>
      </c>
      <c r="Y102" s="170">
        <f>IFERROR(__xludf.DUMMYFUNCTION("IFERROR(X102 * (1 + AVERAGE(Filter('Inflation Data'!$C:$C,'Inflation Data'!$A:$A = Y$1))) + 'Fund YTD Contributions'!Y102,'Fund YTD Contributions'!Y102)"),0.0)</f>
        <v>0</v>
      </c>
      <c r="Z102" s="170">
        <f>IFERROR(__xludf.DUMMYFUNCTION("IFERROR(Y102 * (1 + AVERAGE(Filter('Inflation Data'!$C:$C,'Inflation Data'!$A:$A = Z$1))) + 'Fund YTD Contributions'!Z102,'Fund YTD Contributions'!Z102)"),0.0)</f>
        <v>0</v>
      </c>
      <c r="AA102" s="170">
        <f>IFERROR(__xludf.DUMMYFUNCTION("IFERROR(Z102 * (1 + AVERAGE(Filter('Inflation Data'!$C:$C,'Inflation Data'!$A:$A = AA$1))) + 'Fund YTD Contributions'!AA102,'Fund YTD Contributions'!AA102)"),0.0)</f>
        <v>0</v>
      </c>
      <c r="AB102" s="170">
        <f>IFERROR(__xludf.DUMMYFUNCTION("IFERROR(AA102 * (1 + AVERAGE(Filter('Inflation Data'!$C:$C,'Inflation Data'!$A:$A = AB$1))) + 'Fund YTD Contributions'!AB102,'Fund YTD Contributions'!AB102)"),0.0)</f>
        <v>0</v>
      </c>
      <c r="AC102" s="170">
        <f>IFERROR(__xludf.DUMMYFUNCTION("IFERROR(AB102 * (1 + AVERAGE(Filter('Inflation Data'!$C:$C,'Inflation Data'!$A:$A = AC$1))) + 'Fund YTD Contributions'!AC102,'Fund YTD Contributions'!AC102)"),0.0)</f>
        <v>0</v>
      </c>
      <c r="AD102" s="170">
        <f>IFERROR(__xludf.DUMMYFUNCTION("IFERROR(AC102 * (1 + AVERAGE(Filter('Inflation Data'!$C:$C,'Inflation Data'!$A:$A = AD$1))) + 'Fund YTD Contributions'!AD102,'Fund YTD Contributions'!AD102)"),0.0)</f>
        <v>0</v>
      </c>
      <c r="AE102" s="170">
        <f>IFERROR(__xludf.DUMMYFUNCTION("IFERROR(AD102 * (1 + AVERAGE(Filter('Inflation Data'!$C:$C,'Inflation Data'!$A:$A = AE$1))) + 'Fund YTD Contributions'!AE102,'Fund YTD Contributions'!AE102)"),0.0)</f>
        <v>0</v>
      </c>
      <c r="AF102" s="170" t="str">
        <f>IFERROR(__xludf.DUMMYFUNCTION("IFERROR(AE102 * (1 + AVERAGE(Filter('Inflation Data'!$C:$C,'Inflation Data'!$A:$A = AF$1))) + 'Fund YTD Contributions'!AF102,'Fund YTD Contributions'!AF102)"),"")</f>
        <v/>
      </c>
    </row>
    <row r="103">
      <c r="A103" s="145" t="str">
        <f>'Endowed Funds'!B:B</f>
        <v/>
      </c>
      <c r="B103" s="170">
        <f>IFERROR(__xludf.DUMMYFUNCTION("IFERROR(A103 * (1 + AVERAGE(Filter('Inflation Data'!$C:$C,'Inflation Data'!$A:$A = B$1))) + 'Fund YTD Contributions'!B103,'Fund YTD Contributions'!B103)"),0.0)</f>
        <v>0</v>
      </c>
      <c r="C103" s="170">
        <f>IFERROR(__xludf.DUMMYFUNCTION("IFERROR(B103 * (1 + AVERAGE(Filter('Inflation Data'!$C:$C,'Inflation Data'!$A:$A = C$1))) + 'Fund YTD Contributions'!C103,'Fund YTD Contributions'!C103)"),0.0)</f>
        <v>0</v>
      </c>
      <c r="D103" s="170">
        <f>IFERROR(__xludf.DUMMYFUNCTION("IFERROR(C103 * (1 + AVERAGE(Filter('Inflation Data'!$C:$C,'Inflation Data'!$A:$A = D$1))) + 'Fund YTD Contributions'!D103,'Fund YTD Contributions'!D103)"),0.0)</f>
        <v>0</v>
      </c>
      <c r="E103" s="170">
        <f>IFERROR(__xludf.DUMMYFUNCTION("IFERROR(D103 * (1 + AVERAGE(Filter('Inflation Data'!$C:$C,'Inflation Data'!$A:$A = E$1))) + 'Fund YTD Contributions'!E103,'Fund YTD Contributions'!E103)"),0.0)</f>
        <v>0</v>
      </c>
      <c r="F103" s="170">
        <f>IFERROR(__xludf.DUMMYFUNCTION("IFERROR(E103 * (1 + AVERAGE(Filter('Inflation Data'!$C:$C,'Inflation Data'!$A:$A = F$1))) + 'Fund YTD Contributions'!F103,'Fund YTD Contributions'!F103)"),0.0)</f>
        <v>0</v>
      </c>
      <c r="G103" s="170">
        <f>IFERROR(__xludf.DUMMYFUNCTION("IFERROR(F103 * (1 + AVERAGE(Filter('Inflation Data'!$C:$C,'Inflation Data'!$A:$A = G$1))) + 'Fund YTD Contributions'!G103,'Fund YTD Contributions'!G103)"),0.0)</f>
        <v>0</v>
      </c>
      <c r="H103" s="170">
        <f>IFERROR(__xludf.DUMMYFUNCTION("IFERROR(G103 * (1 + AVERAGE(Filter('Inflation Data'!$C:$C,'Inflation Data'!$A:$A = H$1))) + 'Fund YTD Contributions'!H103,'Fund YTD Contributions'!H103)"),0.0)</f>
        <v>0</v>
      </c>
      <c r="I103" s="170">
        <f>IFERROR(__xludf.DUMMYFUNCTION("IFERROR(H103 * (1 + AVERAGE(Filter('Inflation Data'!$C:$C,'Inflation Data'!$A:$A = I$1))) + 'Fund YTD Contributions'!I103,'Fund YTD Contributions'!I103)"),0.0)</f>
        <v>0</v>
      </c>
      <c r="J103" s="170">
        <f>IFERROR(__xludf.DUMMYFUNCTION("IFERROR(I103 * (1 + AVERAGE(Filter('Inflation Data'!$C:$C,'Inflation Data'!$A:$A = J$1))) + 'Fund YTD Contributions'!J103,'Fund YTD Contributions'!J103)"),0.0)</f>
        <v>0</v>
      </c>
      <c r="K103" s="170">
        <f>IFERROR(__xludf.DUMMYFUNCTION("IFERROR(J103 * (1 + AVERAGE(Filter('Inflation Data'!$C:$C,'Inflation Data'!$A:$A = K$1))) + 'Fund YTD Contributions'!K103,'Fund YTD Contributions'!K103)"),0.0)</f>
        <v>0</v>
      </c>
      <c r="L103" s="170">
        <f>IFERROR(__xludf.DUMMYFUNCTION("IFERROR(K103 * (1 + AVERAGE(Filter('Inflation Data'!$C:$C,'Inflation Data'!$A:$A = L$1))) + 'Fund YTD Contributions'!L103,'Fund YTD Contributions'!L103)"),0.0)</f>
        <v>0</v>
      </c>
      <c r="M103" s="170">
        <f>IFERROR(__xludf.DUMMYFUNCTION("IFERROR(L103 * (1 + AVERAGE(Filter('Inflation Data'!$C:$C,'Inflation Data'!$A:$A = M$1))) + 'Fund YTD Contributions'!M103,'Fund YTD Contributions'!M103)"),0.0)</f>
        <v>0</v>
      </c>
      <c r="N103" s="170">
        <f>IFERROR(__xludf.DUMMYFUNCTION("IFERROR(M103 * (1 + AVERAGE(Filter('Inflation Data'!$C:$C,'Inflation Data'!$A:$A = N$1))) + 'Fund YTD Contributions'!N103,'Fund YTD Contributions'!N103)"),0.0)</f>
        <v>0</v>
      </c>
      <c r="O103" s="170">
        <f>IFERROR(__xludf.DUMMYFUNCTION("IFERROR(N103 * (1 + AVERAGE(Filter('Inflation Data'!$C:$C,'Inflation Data'!$A:$A = O$1))) + 'Fund YTD Contributions'!O103,'Fund YTD Contributions'!O103)"),0.0)</f>
        <v>0</v>
      </c>
      <c r="P103" s="170">
        <f>IFERROR(__xludf.DUMMYFUNCTION("IFERROR(O103 * (1 + AVERAGE(Filter('Inflation Data'!$C:$C,'Inflation Data'!$A:$A = P$1))) + 'Fund YTD Contributions'!P103,'Fund YTD Contributions'!P103)"),0.0)</f>
        <v>0</v>
      </c>
      <c r="Q103" s="170">
        <f>IFERROR(__xludf.DUMMYFUNCTION("IFERROR(P103 * (1 + AVERAGE(Filter('Inflation Data'!$C:$C,'Inflation Data'!$A:$A = Q$1))) + 'Fund YTD Contributions'!Q103,'Fund YTD Contributions'!Q103)"),0.0)</f>
        <v>0</v>
      </c>
      <c r="R103" s="170">
        <f>IFERROR(__xludf.DUMMYFUNCTION("IFERROR(Q103 * (1 + AVERAGE(Filter('Inflation Data'!$C:$C,'Inflation Data'!$A:$A = R$1))) + 'Fund YTD Contributions'!R103,'Fund YTD Contributions'!R103)"),0.0)</f>
        <v>0</v>
      </c>
      <c r="S103" s="170">
        <f>IFERROR(__xludf.DUMMYFUNCTION("IFERROR(R103 * (1 + AVERAGE(Filter('Inflation Data'!$C:$C,'Inflation Data'!$A:$A = S$1))) + 'Fund YTD Contributions'!S103,'Fund YTD Contributions'!S103)"),0.0)</f>
        <v>0</v>
      </c>
      <c r="T103" s="170">
        <f>IFERROR(__xludf.DUMMYFUNCTION("IFERROR(S103 * (1 + AVERAGE(Filter('Inflation Data'!$C:$C,'Inflation Data'!$A:$A = T$1))) + 'Fund YTD Contributions'!T103,'Fund YTD Contributions'!T103)"),0.0)</f>
        <v>0</v>
      </c>
      <c r="U103" s="170">
        <f>IFERROR(__xludf.DUMMYFUNCTION("IFERROR(T103 * (1 + AVERAGE(Filter('Inflation Data'!$C:$C,'Inflation Data'!$A:$A = U$1))) + 'Fund YTD Contributions'!U103,'Fund YTD Contributions'!U103)"),0.0)</f>
        <v>0</v>
      </c>
      <c r="V103" s="170">
        <f>IFERROR(__xludf.DUMMYFUNCTION("IFERROR(U103 * (1 + AVERAGE(Filter('Inflation Data'!$C:$C,'Inflation Data'!$A:$A = V$1))) + 'Fund YTD Contributions'!V103,'Fund YTD Contributions'!V103)"),0.0)</f>
        <v>0</v>
      </c>
      <c r="W103" s="170">
        <f>IFERROR(__xludf.DUMMYFUNCTION("IFERROR(V103 * (1 + AVERAGE(Filter('Inflation Data'!$C:$C,'Inflation Data'!$A:$A = W$1))) + 'Fund YTD Contributions'!W103,'Fund YTD Contributions'!W103)"),0.0)</f>
        <v>0</v>
      </c>
      <c r="X103" s="170">
        <f>IFERROR(__xludf.DUMMYFUNCTION("IFERROR(W103 * (1 + AVERAGE(Filter('Inflation Data'!$C:$C,'Inflation Data'!$A:$A = X$1))) + 'Fund YTD Contributions'!X103,'Fund YTD Contributions'!X103)"),0.0)</f>
        <v>0</v>
      </c>
      <c r="Y103" s="170">
        <f>IFERROR(__xludf.DUMMYFUNCTION("IFERROR(X103 * (1 + AVERAGE(Filter('Inflation Data'!$C:$C,'Inflation Data'!$A:$A = Y$1))) + 'Fund YTD Contributions'!Y103,'Fund YTD Contributions'!Y103)"),0.0)</f>
        <v>0</v>
      </c>
      <c r="Z103" s="170">
        <f>IFERROR(__xludf.DUMMYFUNCTION("IFERROR(Y103 * (1 + AVERAGE(Filter('Inflation Data'!$C:$C,'Inflation Data'!$A:$A = Z$1))) + 'Fund YTD Contributions'!Z103,'Fund YTD Contributions'!Z103)"),0.0)</f>
        <v>0</v>
      </c>
      <c r="AA103" s="170">
        <f>IFERROR(__xludf.DUMMYFUNCTION("IFERROR(Z103 * (1 + AVERAGE(Filter('Inflation Data'!$C:$C,'Inflation Data'!$A:$A = AA$1))) + 'Fund YTD Contributions'!AA103,'Fund YTD Contributions'!AA103)"),0.0)</f>
        <v>0</v>
      </c>
      <c r="AB103" s="170">
        <f>IFERROR(__xludf.DUMMYFUNCTION("IFERROR(AA103 * (1 + AVERAGE(Filter('Inflation Data'!$C:$C,'Inflation Data'!$A:$A = AB$1))) + 'Fund YTD Contributions'!AB103,'Fund YTD Contributions'!AB103)"),0.0)</f>
        <v>0</v>
      </c>
      <c r="AC103" s="170">
        <f>IFERROR(__xludf.DUMMYFUNCTION("IFERROR(AB103 * (1 + AVERAGE(Filter('Inflation Data'!$C:$C,'Inflation Data'!$A:$A = AC$1))) + 'Fund YTD Contributions'!AC103,'Fund YTD Contributions'!AC103)"),0.0)</f>
        <v>0</v>
      </c>
      <c r="AD103" s="170">
        <f>IFERROR(__xludf.DUMMYFUNCTION("IFERROR(AC103 * (1 + AVERAGE(Filter('Inflation Data'!$C:$C,'Inflation Data'!$A:$A = AD$1))) + 'Fund YTD Contributions'!AD103,'Fund YTD Contributions'!AD103)"),0.0)</f>
        <v>0</v>
      </c>
      <c r="AE103" s="170">
        <f>IFERROR(__xludf.DUMMYFUNCTION("IFERROR(AD103 * (1 + AVERAGE(Filter('Inflation Data'!$C:$C,'Inflation Data'!$A:$A = AE$1))) + 'Fund YTD Contributions'!AE103,'Fund YTD Contributions'!AE103)"),0.0)</f>
        <v>0</v>
      </c>
      <c r="AF103" s="170" t="str">
        <f>IFERROR(__xludf.DUMMYFUNCTION("IFERROR(AE103 * (1 + AVERAGE(Filter('Inflation Data'!$C:$C,'Inflation Data'!$A:$A = AF$1))) + 'Fund YTD Contributions'!AF103,'Fund YTD Contributions'!AF103)"),"")</f>
        <v/>
      </c>
    </row>
    <row r="104">
      <c r="A104" s="145" t="str">
        <f>'Endowed Funds'!B:B</f>
        <v/>
      </c>
      <c r="B104" s="170">
        <f>IFERROR(__xludf.DUMMYFUNCTION("IFERROR(A104 * (1 + AVERAGE(Filter('Inflation Data'!$C:$C,'Inflation Data'!$A:$A = B$1))) + 'Fund YTD Contributions'!B104,'Fund YTD Contributions'!B104)"),0.0)</f>
        <v>0</v>
      </c>
      <c r="C104" s="170">
        <f>IFERROR(__xludf.DUMMYFUNCTION("IFERROR(B104 * (1 + AVERAGE(Filter('Inflation Data'!$C:$C,'Inflation Data'!$A:$A = C$1))) + 'Fund YTD Contributions'!C104,'Fund YTD Contributions'!C104)"),0.0)</f>
        <v>0</v>
      </c>
      <c r="D104" s="170">
        <f>IFERROR(__xludf.DUMMYFUNCTION("IFERROR(C104 * (1 + AVERAGE(Filter('Inflation Data'!$C:$C,'Inflation Data'!$A:$A = D$1))) + 'Fund YTD Contributions'!D104,'Fund YTD Contributions'!D104)"),0.0)</f>
        <v>0</v>
      </c>
      <c r="E104" s="170">
        <f>IFERROR(__xludf.DUMMYFUNCTION("IFERROR(D104 * (1 + AVERAGE(Filter('Inflation Data'!$C:$C,'Inflation Data'!$A:$A = E$1))) + 'Fund YTD Contributions'!E104,'Fund YTD Contributions'!E104)"),0.0)</f>
        <v>0</v>
      </c>
      <c r="F104" s="170">
        <f>IFERROR(__xludf.DUMMYFUNCTION("IFERROR(E104 * (1 + AVERAGE(Filter('Inflation Data'!$C:$C,'Inflation Data'!$A:$A = F$1))) + 'Fund YTD Contributions'!F104,'Fund YTD Contributions'!F104)"),0.0)</f>
        <v>0</v>
      </c>
      <c r="G104" s="170">
        <f>IFERROR(__xludf.DUMMYFUNCTION("IFERROR(F104 * (1 + AVERAGE(Filter('Inflation Data'!$C:$C,'Inflation Data'!$A:$A = G$1))) + 'Fund YTD Contributions'!G104,'Fund YTD Contributions'!G104)"),0.0)</f>
        <v>0</v>
      </c>
      <c r="H104" s="170">
        <f>IFERROR(__xludf.DUMMYFUNCTION("IFERROR(G104 * (1 + AVERAGE(Filter('Inflation Data'!$C:$C,'Inflation Data'!$A:$A = H$1))) + 'Fund YTD Contributions'!H104,'Fund YTD Contributions'!H104)"),0.0)</f>
        <v>0</v>
      </c>
      <c r="I104" s="170">
        <f>IFERROR(__xludf.DUMMYFUNCTION("IFERROR(H104 * (1 + AVERAGE(Filter('Inflation Data'!$C:$C,'Inflation Data'!$A:$A = I$1))) + 'Fund YTD Contributions'!I104,'Fund YTD Contributions'!I104)"),0.0)</f>
        <v>0</v>
      </c>
      <c r="J104" s="170">
        <f>IFERROR(__xludf.DUMMYFUNCTION("IFERROR(I104 * (1 + AVERAGE(Filter('Inflation Data'!$C:$C,'Inflation Data'!$A:$A = J$1))) + 'Fund YTD Contributions'!J104,'Fund YTD Contributions'!J104)"),0.0)</f>
        <v>0</v>
      </c>
      <c r="K104" s="170">
        <f>IFERROR(__xludf.DUMMYFUNCTION("IFERROR(J104 * (1 + AVERAGE(Filter('Inflation Data'!$C:$C,'Inflation Data'!$A:$A = K$1))) + 'Fund YTD Contributions'!K104,'Fund YTD Contributions'!K104)"),0.0)</f>
        <v>0</v>
      </c>
      <c r="L104" s="170">
        <f>IFERROR(__xludf.DUMMYFUNCTION("IFERROR(K104 * (1 + AVERAGE(Filter('Inflation Data'!$C:$C,'Inflation Data'!$A:$A = L$1))) + 'Fund YTD Contributions'!L104,'Fund YTD Contributions'!L104)"),0.0)</f>
        <v>0</v>
      </c>
      <c r="M104" s="170">
        <f>IFERROR(__xludf.DUMMYFUNCTION("IFERROR(L104 * (1 + AVERAGE(Filter('Inflation Data'!$C:$C,'Inflation Data'!$A:$A = M$1))) + 'Fund YTD Contributions'!M104,'Fund YTD Contributions'!M104)"),0.0)</f>
        <v>0</v>
      </c>
      <c r="N104" s="170">
        <f>IFERROR(__xludf.DUMMYFUNCTION("IFERROR(M104 * (1 + AVERAGE(Filter('Inflation Data'!$C:$C,'Inflation Data'!$A:$A = N$1))) + 'Fund YTD Contributions'!N104,'Fund YTD Contributions'!N104)"),0.0)</f>
        <v>0</v>
      </c>
      <c r="O104" s="170">
        <f>IFERROR(__xludf.DUMMYFUNCTION("IFERROR(N104 * (1 + AVERAGE(Filter('Inflation Data'!$C:$C,'Inflation Data'!$A:$A = O$1))) + 'Fund YTD Contributions'!O104,'Fund YTD Contributions'!O104)"),0.0)</f>
        <v>0</v>
      </c>
      <c r="P104" s="170">
        <f>IFERROR(__xludf.DUMMYFUNCTION("IFERROR(O104 * (1 + AVERAGE(Filter('Inflation Data'!$C:$C,'Inflation Data'!$A:$A = P$1))) + 'Fund YTD Contributions'!P104,'Fund YTD Contributions'!P104)"),0.0)</f>
        <v>0</v>
      </c>
      <c r="Q104" s="170">
        <f>IFERROR(__xludf.DUMMYFUNCTION("IFERROR(P104 * (1 + AVERAGE(Filter('Inflation Data'!$C:$C,'Inflation Data'!$A:$A = Q$1))) + 'Fund YTD Contributions'!Q104,'Fund YTD Contributions'!Q104)"),0.0)</f>
        <v>0</v>
      </c>
      <c r="R104" s="170">
        <f>IFERROR(__xludf.DUMMYFUNCTION("IFERROR(Q104 * (1 + AVERAGE(Filter('Inflation Data'!$C:$C,'Inflation Data'!$A:$A = R$1))) + 'Fund YTD Contributions'!R104,'Fund YTD Contributions'!R104)"),0.0)</f>
        <v>0</v>
      </c>
      <c r="S104" s="170">
        <f>IFERROR(__xludf.DUMMYFUNCTION("IFERROR(R104 * (1 + AVERAGE(Filter('Inflation Data'!$C:$C,'Inflation Data'!$A:$A = S$1))) + 'Fund YTD Contributions'!S104,'Fund YTD Contributions'!S104)"),0.0)</f>
        <v>0</v>
      </c>
      <c r="T104" s="170">
        <f>IFERROR(__xludf.DUMMYFUNCTION("IFERROR(S104 * (1 + AVERAGE(Filter('Inflation Data'!$C:$C,'Inflation Data'!$A:$A = T$1))) + 'Fund YTD Contributions'!T104,'Fund YTD Contributions'!T104)"),0.0)</f>
        <v>0</v>
      </c>
      <c r="U104" s="170">
        <f>IFERROR(__xludf.DUMMYFUNCTION("IFERROR(T104 * (1 + AVERAGE(Filter('Inflation Data'!$C:$C,'Inflation Data'!$A:$A = U$1))) + 'Fund YTD Contributions'!U104,'Fund YTD Contributions'!U104)"),0.0)</f>
        <v>0</v>
      </c>
      <c r="V104" s="170">
        <f>IFERROR(__xludf.DUMMYFUNCTION("IFERROR(U104 * (1 + AVERAGE(Filter('Inflation Data'!$C:$C,'Inflation Data'!$A:$A = V$1))) + 'Fund YTD Contributions'!V104,'Fund YTD Contributions'!V104)"),0.0)</f>
        <v>0</v>
      </c>
      <c r="W104" s="170">
        <f>IFERROR(__xludf.DUMMYFUNCTION("IFERROR(V104 * (1 + AVERAGE(Filter('Inflation Data'!$C:$C,'Inflation Data'!$A:$A = W$1))) + 'Fund YTD Contributions'!W104,'Fund YTD Contributions'!W104)"),0.0)</f>
        <v>0</v>
      </c>
      <c r="X104" s="170">
        <f>IFERROR(__xludf.DUMMYFUNCTION("IFERROR(W104 * (1 + AVERAGE(Filter('Inflation Data'!$C:$C,'Inflation Data'!$A:$A = X$1))) + 'Fund YTD Contributions'!X104,'Fund YTD Contributions'!X104)"),0.0)</f>
        <v>0</v>
      </c>
      <c r="Y104" s="170">
        <f>IFERROR(__xludf.DUMMYFUNCTION("IFERROR(X104 * (1 + AVERAGE(Filter('Inflation Data'!$C:$C,'Inflation Data'!$A:$A = Y$1))) + 'Fund YTD Contributions'!Y104,'Fund YTD Contributions'!Y104)"),0.0)</f>
        <v>0</v>
      </c>
      <c r="Z104" s="170">
        <f>IFERROR(__xludf.DUMMYFUNCTION("IFERROR(Y104 * (1 + AVERAGE(Filter('Inflation Data'!$C:$C,'Inflation Data'!$A:$A = Z$1))) + 'Fund YTD Contributions'!Z104,'Fund YTD Contributions'!Z104)"),0.0)</f>
        <v>0</v>
      </c>
      <c r="AA104" s="170">
        <f>IFERROR(__xludf.DUMMYFUNCTION("IFERROR(Z104 * (1 + AVERAGE(Filter('Inflation Data'!$C:$C,'Inflation Data'!$A:$A = AA$1))) + 'Fund YTD Contributions'!AA104,'Fund YTD Contributions'!AA104)"),0.0)</f>
        <v>0</v>
      </c>
      <c r="AB104" s="170">
        <f>IFERROR(__xludf.DUMMYFUNCTION("IFERROR(AA104 * (1 + AVERAGE(Filter('Inflation Data'!$C:$C,'Inflation Data'!$A:$A = AB$1))) + 'Fund YTD Contributions'!AB104,'Fund YTD Contributions'!AB104)"),0.0)</f>
        <v>0</v>
      </c>
      <c r="AC104" s="170">
        <f>IFERROR(__xludf.DUMMYFUNCTION("IFERROR(AB104 * (1 + AVERAGE(Filter('Inflation Data'!$C:$C,'Inflation Data'!$A:$A = AC$1))) + 'Fund YTD Contributions'!AC104,'Fund YTD Contributions'!AC104)"),0.0)</f>
        <v>0</v>
      </c>
      <c r="AD104" s="170">
        <f>IFERROR(__xludf.DUMMYFUNCTION("IFERROR(AC104 * (1 + AVERAGE(Filter('Inflation Data'!$C:$C,'Inflation Data'!$A:$A = AD$1))) + 'Fund YTD Contributions'!AD104,'Fund YTD Contributions'!AD104)"),0.0)</f>
        <v>0</v>
      </c>
      <c r="AE104" s="170">
        <f>IFERROR(__xludf.DUMMYFUNCTION("IFERROR(AD104 * (1 + AVERAGE(Filter('Inflation Data'!$C:$C,'Inflation Data'!$A:$A = AE$1))) + 'Fund YTD Contributions'!AE104,'Fund YTD Contributions'!AE104)"),0.0)</f>
        <v>0</v>
      </c>
      <c r="AF104" s="170" t="str">
        <f>IFERROR(__xludf.DUMMYFUNCTION("IFERROR(AE104 * (1 + AVERAGE(Filter('Inflation Data'!$C:$C,'Inflation Data'!$A:$A = AF$1))) + 'Fund YTD Contributions'!AF104,'Fund YTD Contributions'!AF104)"),"")</f>
        <v/>
      </c>
    </row>
    <row r="105">
      <c r="A105" s="145" t="str">
        <f>'Endowed Funds'!B:B</f>
        <v/>
      </c>
      <c r="B105" s="170">
        <f>IFERROR(__xludf.DUMMYFUNCTION("IFERROR(A105 * (1 + AVERAGE(Filter('Inflation Data'!$C:$C,'Inflation Data'!$A:$A = B$1))) + 'Fund YTD Contributions'!B105,'Fund YTD Contributions'!B105)"),0.0)</f>
        <v>0</v>
      </c>
      <c r="C105" s="170">
        <f>IFERROR(__xludf.DUMMYFUNCTION("IFERROR(B105 * (1 + AVERAGE(Filter('Inflation Data'!$C:$C,'Inflation Data'!$A:$A = C$1))) + 'Fund YTD Contributions'!C105,'Fund YTD Contributions'!C105)"),0.0)</f>
        <v>0</v>
      </c>
      <c r="D105" s="170">
        <f>IFERROR(__xludf.DUMMYFUNCTION("IFERROR(C105 * (1 + AVERAGE(Filter('Inflation Data'!$C:$C,'Inflation Data'!$A:$A = D$1))) + 'Fund YTD Contributions'!D105,'Fund YTD Contributions'!D105)"),0.0)</f>
        <v>0</v>
      </c>
      <c r="E105" s="170">
        <f>IFERROR(__xludf.DUMMYFUNCTION("IFERROR(D105 * (1 + AVERAGE(Filter('Inflation Data'!$C:$C,'Inflation Data'!$A:$A = E$1))) + 'Fund YTD Contributions'!E105,'Fund YTD Contributions'!E105)"),0.0)</f>
        <v>0</v>
      </c>
      <c r="F105" s="170">
        <f>IFERROR(__xludf.DUMMYFUNCTION("IFERROR(E105 * (1 + AVERAGE(Filter('Inflation Data'!$C:$C,'Inflation Data'!$A:$A = F$1))) + 'Fund YTD Contributions'!F105,'Fund YTD Contributions'!F105)"),0.0)</f>
        <v>0</v>
      </c>
      <c r="G105" s="170">
        <f>IFERROR(__xludf.DUMMYFUNCTION("IFERROR(F105 * (1 + AVERAGE(Filter('Inflation Data'!$C:$C,'Inflation Data'!$A:$A = G$1))) + 'Fund YTD Contributions'!G105,'Fund YTD Contributions'!G105)"),0.0)</f>
        <v>0</v>
      </c>
      <c r="H105" s="170">
        <f>IFERROR(__xludf.DUMMYFUNCTION("IFERROR(G105 * (1 + AVERAGE(Filter('Inflation Data'!$C:$C,'Inflation Data'!$A:$A = H$1))) + 'Fund YTD Contributions'!H105,'Fund YTD Contributions'!H105)"),0.0)</f>
        <v>0</v>
      </c>
      <c r="I105" s="170">
        <f>IFERROR(__xludf.DUMMYFUNCTION("IFERROR(H105 * (1 + AVERAGE(Filter('Inflation Data'!$C:$C,'Inflation Data'!$A:$A = I$1))) + 'Fund YTD Contributions'!I105,'Fund YTD Contributions'!I105)"),0.0)</f>
        <v>0</v>
      </c>
      <c r="J105" s="170">
        <f>IFERROR(__xludf.DUMMYFUNCTION("IFERROR(I105 * (1 + AVERAGE(Filter('Inflation Data'!$C:$C,'Inflation Data'!$A:$A = J$1))) + 'Fund YTD Contributions'!J105,'Fund YTD Contributions'!J105)"),0.0)</f>
        <v>0</v>
      </c>
      <c r="K105" s="170">
        <f>IFERROR(__xludf.DUMMYFUNCTION("IFERROR(J105 * (1 + AVERAGE(Filter('Inflation Data'!$C:$C,'Inflation Data'!$A:$A = K$1))) + 'Fund YTD Contributions'!K105,'Fund YTD Contributions'!K105)"),0.0)</f>
        <v>0</v>
      </c>
      <c r="L105" s="170">
        <f>IFERROR(__xludf.DUMMYFUNCTION("IFERROR(K105 * (1 + AVERAGE(Filter('Inflation Data'!$C:$C,'Inflation Data'!$A:$A = L$1))) + 'Fund YTD Contributions'!L105,'Fund YTD Contributions'!L105)"),0.0)</f>
        <v>0</v>
      </c>
      <c r="M105" s="170">
        <f>IFERROR(__xludf.DUMMYFUNCTION("IFERROR(L105 * (1 + AVERAGE(Filter('Inflation Data'!$C:$C,'Inflation Data'!$A:$A = M$1))) + 'Fund YTD Contributions'!M105,'Fund YTD Contributions'!M105)"),0.0)</f>
        <v>0</v>
      </c>
      <c r="N105" s="170">
        <f>IFERROR(__xludf.DUMMYFUNCTION("IFERROR(M105 * (1 + AVERAGE(Filter('Inflation Data'!$C:$C,'Inflation Data'!$A:$A = N$1))) + 'Fund YTD Contributions'!N105,'Fund YTD Contributions'!N105)"),0.0)</f>
        <v>0</v>
      </c>
      <c r="O105" s="170">
        <f>IFERROR(__xludf.DUMMYFUNCTION("IFERROR(N105 * (1 + AVERAGE(Filter('Inflation Data'!$C:$C,'Inflation Data'!$A:$A = O$1))) + 'Fund YTD Contributions'!O105,'Fund YTD Contributions'!O105)"),0.0)</f>
        <v>0</v>
      </c>
      <c r="P105" s="170">
        <f>IFERROR(__xludf.DUMMYFUNCTION("IFERROR(O105 * (1 + AVERAGE(Filter('Inflation Data'!$C:$C,'Inflation Data'!$A:$A = P$1))) + 'Fund YTD Contributions'!P105,'Fund YTD Contributions'!P105)"),0.0)</f>
        <v>0</v>
      </c>
      <c r="Q105" s="170">
        <f>IFERROR(__xludf.DUMMYFUNCTION("IFERROR(P105 * (1 + AVERAGE(Filter('Inflation Data'!$C:$C,'Inflation Data'!$A:$A = Q$1))) + 'Fund YTD Contributions'!Q105,'Fund YTD Contributions'!Q105)"),0.0)</f>
        <v>0</v>
      </c>
      <c r="R105" s="170">
        <f>IFERROR(__xludf.DUMMYFUNCTION("IFERROR(Q105 * (1 + AVERAGE(Filter('Inflation Data'!$C:$C,'Inflation Data'!$A:$A = R$1))) + 'Fund YTD Contributions'!R105,'Fund YTD Contributions'!R105)"),0.0)</f>
        <v>0</v>
      </c>
      <c r="S105" s="170">
        <f>IFERROR(__xludf.DUMMYFUNCTION("IFERROR(R105 * (1 + AVERAGE(Filter('Inflation Data'!$C:$C,'Inflation Data'!$A:$A = S$1))) + 'Fund YTD Contributions'!S105,'Fund YTD Contributions'!S105)"),0.0)</f>
        <v>0</v>
      </c>
      <c r="T105" s="170">
        <f>IFERROR(__xludf.DUMMYFUNCTION("IFERROR(S105 * (1 + AVERAGE(Filter('Inflation Data'!$C:$C,'Inflation Data'!$A:$A = T$1))) + 'Fund YTD Contributions'!T105,'Fund YTD Contributions'!T105)"),0.0)</f>
        <v>0</v>
      </c>
      <c r="U105" s="170">
        <f>IFERROR(__xludf.DUMMYFUNCTION("IFERROR(T105 * (1 + AVERAGE(Filter('Inflation Data'!$C:$C,'Inflation Data'!$A:$A = U$1))) + 'Fund YTD Contributions'!U105,'Fund YTD Contributions'!U105)"),0.0)</f>
        <v>0</v>
      </c>
      <c r="V105" s="170">
        <f>IFERROR(__xludf.DUMMYFUNCTION("IFERROR(U105 * (1 + AVERAGE(Filter('Inflation Data'!$C:$C,'Inflation Data'!$A:$A = V$1))) + 'Fund YTD Contributions'!V105,'Fund YTD Contributions'!V105)"),0.0)</f>
        <v>0</v>
      </c>
      <c r="W105" s="170">
        <f>IFERROR(__xludf.DUMMYFUNCTION("IFERROR(V105 * (1 + AVERAGE(Filter('Inflation Data'!$C:$C,'Inflation Data'!$A:$A = W$1))) + 'Fund YTD Contributions'!W105,'Fund YTD Contributions'!W105)"),0.0)</f>
        <v>0</v>
      </c>
      <c r="X105" s="170">
        <f>IFERROR(__xludf.DUMMYFUNCTION("IFERROR(W105 * (1 + AVERAGE(Filter('Inflation Data'!$C:$C,'Inflation Data'!$A:$A = X$1))) + 'Fund YTD Contributions'!X105,'Fund YTD Contributions'!X105)"),0.0)</f>
        <v>0</v>
      </c>
      <c r="Y105" s="170">
        <f>IFERROR(__xludf.DUMMYFUNCTION("IFERROR(X105 * (1 + AVERAGE(Filter('Inflation Data'!$C:$C,'Inflation Data'!$A:$A = Y$1))) + 'Fund YTD Contributions'!Y105,'Fund YTD Contributions'!Y105)"),0.0)</f>
        <v>0</v>
      </c>
      <c r="Z105" s="170">
        <f>IFERROR(__xludf.DUMMYFUNCTION("IFERROR(Y105 * (1 + AVERAGE(Filter('Inflation Data'!$C:$C,'Inflation Data'!$A:$A = Z$1))) + 'Fund YTD Contributions'!Z105,'Fund YTD Contributions'!Z105)"),0.0)</f>
        <v>0</v>
      </c>
      <c r="AA105" s="170">
        <f>IFERROR(__xludf.DUMMYFUNCTION("IFERROR(Z105 * (1 + AVERAGE(Filter('Inflation Data'!$C:$C,'Inflation Data'!$A:$A = AA$1))) + 'Fund YTD Contributions'!AA105,'Fund YTD Contributions'!AA105)"),0.0)</f>
        <v>0</v>
      </c>
      <c r="AB105" s="170">
        <f>IFERROR(__xludf.DUMMYFUNCTION("IFERROR(AA105 * (1 + AVERAGE(Filter('Inflation Data'!$C:$C,'Inflation Data'!$A:$A = AB$1))) + 'Fund YTD Contributions'!AB105,'Fund YTD Contributions'!AB105)"),0.0)</f>
        <v>0</v>
      </c>
      <c r="AC105" s="170">
        <f>IFERROR(__xludf.DUMMYFUNCTION("IFERROR(AB105 * (1 + AVERAGE(Filter('Inflation Data'!$C:$C,'Inflation Data'!$A:$A = AC$1))) + 'Fund YTD Contributions'!AC105,'Fund YTD Contributions'!AC105)"),0.0)</f>
        <v>0</v>
      </c>
      <c r="AD105" s="170">
        <f>IFERROR(__xludf.DUMMYFUNCTION("IFERROR(AC105 * (1 + AVERAGE(Filter('Inflation Data'!$C:$C,'Inflation Data'!$A:$A = AD$1))) + 'Fund YTD Contributions'!AD105,'Fund YTD Contributions'!AD105)"),0.0)</f>
        <v>0</v>
      </c>
      <c r="AE105" s="170">
        <f>IFERROR(__xludf.DUMMYFUNCTION("IFERROR(AD105 * (1 + AVERAGE(Filter('Inflation Data'!$C:$C,'Inflation Data'!$A:$A = AE$1))) + 'Fund YTD Contributions'!AE105,'Fund YTD Contributions'!AE105)"),0.0)</f>
        <v>0</v>
      </c>
      <c r="AF105" s="170" t="str">
        <f>IFERROR(__xludf.DUMMYFUNCTION("IFERROR(AE105 * (1 + AVERAGE(Filter('Inflation Data'!$C:$C,'Inflation Data'!$A:$A = AF$1))) + 'Fund YTD Contributions'!AF105,'Fund YTD Contributions'!AF105)"),"")</f>
        <v/>
      </c>
    </row>
    <row r="106">
      <c r="A106" s="145" t="str">
        <f>'Endowed Funds'!B:B</f>
        <v/>
      </c>
      <c r="B106" s="170">
        <f>IFERROR(__xludf.DUMMYFUNCTION("IFERROR(A106 * (1 + AVERAGE(Filter('Inflation Data'!$C:$C,'Inflation Data'!$A:$A = B$1))) + 'Fund YTD Contributions'!B106,'Fund YTD Contributions'!B106)"),0.0)</f>
        <v>0</v>
      </c>
      <c r="C106" s="170">
        <f>IFERROR(__xludf.DUMMYFUNCTION("IFERROR(B106 * (1 + AVERAGE(Filter('Inflation Data'!$C:$C,'Inflation Data'!$A:$A = C$1))) + 'Fund YTD Contributions'!C106,'Fund YTD Contributions'!C106)"),0.0)</f>
        <v>0</v>
      </c>
      <c r="D106" s="170">
        <f>IFERROR(__xludf.DUMMYFUNCTION("IFERROR(C106 * (1 + AVERAGE(Filter('Inflation Data'!$C:$C,'Inflation Data'!$A:$A = D$1))) + 'Fund YTD Contributions'!D106,'Fund YTD Contributions'!D106)"),0.0)</f>
        <v>0</v>
      </c>
      <c r="E106" s="170">
        <f>IFERROR(__xludf.DUMMYFUNCTION("IFERROR(D106 * (1 + AVERAGE(Filter('Inflation Data'!$C:$C,'Inflation Data'!$A:$A = E$1))) + 'Fund YTD Contributions'!E106,'Fund YTD Contributions'!E106)"),0.0)</f>
        <v>0</v>
      </c>
      <c r="F106" s="170">
        <f>IFERROR(__xludf.DUMMYFUNCTION("IFERROR(E106 * (1 + AVERAGE(Filter('Inflation Data'!$C:$C,'Inflation Data'!$A:$A = F$1))) + 'Fund YTD Contributions'!F106,'Fund YTD Contributions'!F106)"),0.0)</f>
        <v>0</v>
      </c>
      <c r="G106" s="170">
        <f>IFERROR(__xludf.DUMMYFUNCTION("IFERROR(F106 * (1 + AVERAGE(Filter('Inflation Data'!$C:$C,'Inflation Data'!$A:$A = G$1))) + 'Fund YTD Contributions'!G106,'Fund YTD Contributions'!G106)"),0.0)</f>
        <v>0</v>
      </c>
      <c r="H106" s="170">
        <f>IFERROR(__xludf.DUMMYFUNCTION("IFERROR(G106 * (1 + AVERAGE(Filter('Inflation Data'!$C:$C,'Inflation Data'!$A:$A = H$1))) + 'Fund YTD Contributions'!H106,'Fund YTD Contributions'!H106)"),0.0)</f>
        <v>0</v>
      </c>
      <c r="I106" s="170">
        <f>IFERROR(__xludf.DUMMYFUNCTION("IFERROR(H106 * (1 + AVERAGE(Filter('Inflation Data'!$C:$C,'Inflation Data'!$A:$A = I$1))) + 'Fund YTD Contributions'!I106,'Fund YTD Contributions'!I106)"),0.0)</f>
        <v>0</v>
      </c>
      <c r="J106" s="170">
        <f>IFERROR(__xludf.DUMMYFUNCTION("IFERROR(I106 * (1 + AVERAGE(Filter('Inflation Data'!$C:$C,'Inflation Data'!$A:$A = J$1))) + 'Fund YTD Contributions'!J106,'Fund YTD Contributions'!J106)"),0.0)</f>
        <v>0</v>
      </c>
      <c r="K106" s="170">
        <f>IFERROR(__xludf.DUMMYFUNCTION("IFERROR(J106 * (1 + AVERAGE(Filter('Inflation Data'!$C:$C,'Inflation Data'!$A:$A = K$1))) + 'Fund YTD Contributions'!K106,'Fund YTD Contributions'!K106)"),0.0)</f>
        <v>0</v>
      </c>
      <c r="L106" s="170">
        <f>IFERROR(__xludf.DUMMYFUNCTION("IFERROR(K106 * (1 + AVERAGE(Filter('Inflation Data'!$C:$C,'Inflation Data'!$A:$A = L$1))) + 'Fund YTD Contributions'!L106,'Fund YTD Contributions'!L106)"),0.0)</f>
        <v>0</v>
      </c>
      <c r="M106" s="170">
        <f>IFERROR(__xludf.DUMMYFUNCTION("IFERROR(L106 * (1 + AVERAGE(Filter('Inflation Data'!$C:$C,'Inflation Data'!$A:$A = M$1))) + 'Fund YTD Contributions'!M106,'Fund YTD Contributions'!M106)"),0.0)</f>
        <v>0</v>
      </c>
      <c r="N106" s="170">
        <f>IFERROR(__xludf.DUMMYFUNCTION("IFERROR(M106 * (1 + AVERAGE(Filter('Inflation Data'!$C:$C,'Inflation Data'!$A:$A = N$1))) + 'Fund YTD Contributions'!N106,'Fund YTD Contributions'!N106)"),0.0)</f>
        <v>0</v>
      </c>
      <c r="O106" s="170">
        <f>IFERROR(__xludf.DUMMYFUNCTION("IFERROR(N106 * (1 + AVERAGE(Filter('Inflation Data'!$C:$C,'Inflation Data'!$A:$A = O$1))) + 'Fund YTD Contributions'!O106,'Fund YTD Contributions'!O106)"),0.0)</f>
        <v>0</v>
      </c>
      <c r="P106" s="170">
        <f>IFERROR(__xludf.DUMMYFUNCTION("IFERROR(O106 * (1 + AVERAGE(Filter('Inflation Data'!$C:$C,'Inflation Data'!$A:$A = P$1))) + 'Fund YTD Contributions'!P106,'Fund YTD Contributions'!P106)"),0.0)</f>
        <v>0</v>
      </c>
      <c r="Q106" s="170">
        <f>IFERROR(__xludf.DUMMYFUNCTION("IFERROR(P106 * (1 + AVERAGE(Filter('Inflation Data'!$C:$C,'Inflation Data'!$A:$A = Q$1))) + 'Fund YTD Contributions'!Q106,'Fund YTD Contributions'!Q106)"),0.0)</f>
        <v>0</v>
      </c>
      <c r="R106" s="170">
        <f>IFERROR(__xludf.DUMMYFUNCTION("IFERROR(Q106 * (1 + AVERAGE(Filter('Inflation Data'!$C:$C,'Inflation Data'!$A:$A = R$1))) + 'Fund YTD Contributions'!R106,'Fund YTD Contributions'!R106)"),0.0)</f>
        <v>0</v>
      </c>
      <c r="S106" s="170">
        <f>IFERROR(__xludf.DUMMYFUNCTION("IFERROR(R106 * (1 + AVERAGE(Filter('Inflation Data'!$C:$C,'Inflation Data'!$A:$A = S$1))) + 'Fund YTD Contributions'!S106,'Fund YTD Contributions'!S106)"),0.0)</f>
        <v>0</v>
      </c>
      <c r="T106" s="170">
        <f>IFERROR(__xludf.DUMMYFUNCTION("IFERROR(S106 * (1 + AVERAGE(Filter('Inflation Data'!$C:$C,'Inflation Data'!$A:$A = T$1))) + 'Fund YTD Contributions'!T106,'Fund YTD Contributions'!T106)"),0.0)</f>
        <v>0</v>
      </c>
      <c r="U106" s="170">
        <f>IFERROR(__xludf.DUMMYFUNCTION("IFERROR(T106 * (1 + AVERAGE(Filter('Inflation Data'!$C:$C,'Inflation Data'!$A:$A = U$1))) + 'Fund YTD Contributions'!U106,'Fund YTD Contributions'!U106)"),0.0)</f>
        <v>0</v>
      </c>
      <c r="V106" s="170">
        <f>IFERROR(__xludf.DUMMYFUNCTION("IFERROR(U106 * (1 + AVERAGE(Filter('Inflation Data'!$C:$C,'Inflation Data'!$A:$A = V$1))) + 'Fund YTD Contributions'!V106,'Fund YTD Contributions'!V106)"),0.0)</f>
        <v>0</v>
      </c>
      <c r="W106" s="170">
        <f>IFERROR(__xludf.DUMMYFUNCTION("IFERROR(V106 * (1 + AVERAGE(Filter('Inflation Data'!$C:$C,'Inflation Data'!$A:$A = W$1))) + 'Fund YTD Contributions'!W106,'Fund YTD Contributions'!W106)"),0.0)</f>
        <v>0</v>
      </c>
      <c r="X106" s="170">
        <f>IFERROR(__xludf.DUMMYFUNCTION("IFERROR(W106 * (1 + AVERAGE(Filter('Inflation Data'!$C:$C,'Inflation Data'!$A:$A = X$1))) + 'Fund YTD Contributions'!X106,'Fund YTD Contributions'!X106)"),0.0)</f>
        <v>0</v>
      </c>
      <c r="Y106" s="170">
        <f>IFERROR(__xludf.DUMMYFUNCTION("IFERROR(X106 * (1 + AVERAGE(Filter('Inflation Data'!$C:$C,'Inflation Data'!$A:$A = Y$1))) + 'Fund YTD Contributions'!Y106,'Fund YTD Contributions'!Y106)"),0.0)</f>
        <v>0</v>
      </c>
      <c r="Z106" s="170">
        <f>IFERROR(__xludf.DUMMYFUNCTION("IFERROR(Y106 * (1 + AVERAGE(Filter('Inflation Data'!$C:$C,'Inflation Data'!$A:$A = Z$1))) + 'Fund YTD Contributions'!Z106,'Fund YTD Contributions'!Z106)"),0.0)</f>
        <v>0</v>
      </c>
      <c r="AA106" s="170">
        <f>IFERROR(__xludf.DUMMYFUNCTION("IFERROR(Z106 * (1 + AVERAGE(Filter('Inflation Data'!$C:$C,'Inflation Data'!$A:$A = AA$1))) + 'Fund YTD Contributions'!AA106,'Fund YTD Contributions'!AA106)"),0.0)</f>
        <v>0</v>
      </c>
      <c r="AB106" s="170">
        <f>IFERROR(__xludf.DUMMYFUNCTION("IFERROR(AA106 * (1 + AVERAGE(Filter('Inflation Data'!$C:$C,'Inflation Data'!$A:$A = AB$1))) + 'Fund YTD Contributions'!AB106,'Fund YTD Contributions'!AB106)"),0.0)</f>
        <v>0</v>
      </c>
      <c r="AC106" s="170">
        <f>IFERROR(__xludf.DUMMYFUNCTION("IFERROR(AB106 * (1 + AVERAGE(Filter('Inflation Data'!$C:$C,'Inflation Data'!$A:$A = AC$1))) + 'Fund YTD Contributions'!AC106,'Fund YTD Contributions'!AC106)"),0.0)</f>
        <v>0</v>
      </c>
      <c r="AD106" s="170">
        <f>IFERROR(__xludf.DUMMYFUNCTION("IFERROR(AC106 * (1 + AVERAGE(Filter('Inflation Data'!$C:$C,'Inflation Data'!$A:$A = AD$1))) + 'Fund YTD Contributions'!AD106,'Fund YTD Contributions'!AD106)"),0.0)</f>
        <v>0</v>
      </c>
      <c r="AE106" s="170">
        <f>IFERROR(__xludf.DUMMYFUNCTION("IFERROR(AD106 * (1 + AVERAGE(Filter('Inflation Data'!$C:$C,'Inflation Data'!$A:$A = AE$1))) + 'Fund YTD Contributions'!AE106,'Fund YTD Contributions'!AE106)"),0.0)</f>
        <v>0</v>
      </c>
      <c r="AF106" s="170" t="str">
        <f>IFERROR(__xludf.DUMMYFUNCTION("IFERROR(AE106 * (1 + AVERAGE(Filter('Inflation Data'!$C:$C,'Inflation Data'!$A:$A = AF$1))) + 'Fund YTD Contributions'!AF106,'Fund YTD Contributions'!AF106)"),"")</f>
        <v/>
      </c>
    </row>
    <row r="107">
      <c r="A107" s="145" t="str">
        <f>'Endowed Funds'!B:B</f>
        <v/>
      </c>
      <c r="B107" s="170">
        <f>IFERROR(__xludf.DUMMYFUNCTION("IFERROR(A107 * (1 + AVERAGE(Filter('Inflation Data'!$C:$C,'Inflation Data'!$A:$A = B$1))) + 'Fund YTD Contributions'!B107,'Fund YTD Contributions'!B107)"),0.0)</f>
        <v>0</v>
      </c>
      <c r="C107" s="170">
        <f>IFERROR(__xludf.DUMMYFUNCTION("IFERROR(B107 * (1 + AVERAGE(Filter('Inflation Data'!$C:$C,'Inflation Data'!$A:$A = C$1))) + 'Fund YTD Contributions'!C107,'Fund YTD Contributions'!C107)"),0.0)</f>
        <v>0</v>
      </c>
      <c r="D107" s="170">
        <f>IFERROR(__xludf.DUMMYFUNCTION("IFERROR(C107 * (1 + AVERAGE(Filter('Inflation Data'!$C:$C,'Inflation Data'!$A:$A = D$1))) + 'Fund YTD Contributions'!D107,'Fund YTD Contributions'!D107)"),0.0)</f>
        <v>0</v>
      </c>
      <c r="E107" s="170">
        <f>IFERROR(__xludf.DUMMYFUNCTION("IFERROR(D107 * (1 + AVERAGE(Filter('Inflation Data'!$C:$C,'Inflation Data'!$A:$A = E$1))) + 'Fund YTD Contributions'!E107,'Fund YTD Contributions'!E107)"),0.0)</f>
        <v>0</v>
      </c>
      <c r="F107" s="170">
        <f>IFERROR(__xludf.DUMMYFUNCTION("IFERROR(E107 * (1 + AVERAGE(Filter('Inflation Data'!$C:$C,'Inflation Data'!$A:$A = F$1))) + 'Fund YTD Contributions'!F107,'Fund YTD Contributions'!F107)"),0.0)</f>
        <v>0</v>
      </c>
      <c r="G107" s="170">
        <f>IFERROR(__xludf.DUMMYFUNCTION("IFERROR(F107 * (1 + AVERAGE(Filter('Inflation Data'!$C:$C,'Inflation Data'!$A:$A = G$1))) + 'Fund YTD Contributions'!G107,'Fund YTD Contributions'!G107)"),0.0)</f>
        <v>0</v>
      </c>
      <c r="H107" s="170">
        <f>IFERROR(__xludf.DUMMYFUNCTION("IFERROR(G107 * (1 + AVERAGE(Filter('Inflation Data'!$C:$C,'Inflation Data'!$A:$A = H$1))) + 'Fund YTD Contributions'!H107,'Fund YTD Contributions'!H107)"),0.0)</f>
        <v>0</v>
      </c>
      <c r="I107" s="170">
        <f>IFERROR(__xludf.DUMMYFUNCTION("IFERROR(H107 * (1 + AVERAGE(Filter('Inflation Data'!$C:$C,'Inflation Data'!$A:$A = I$1))) + 'Fund YTD Contributions'!I107,'Fund YTD Contributions'!I107)"),0.0)</f>
        <v>0</v>
      </c>
      <c r="J107" s="170">
        <f>IFERROR(__xludf.DUMMYFUNCTION("IFERROR(I107 * (1 + AVERAGE(Filter('Inflation Data'!$C:$C,'Inflation Data'!$A:$A = J$1))) + 'Fund YTD Contributions'!J107,'Fund YTD Contributions'!J107)"),0.0)</f>
        <v>0</v>
      </c>
      <c r="K107" s="170">
        <f>IFERROR(__xludf.DUMMYFUNCTION("IFERROR(J107 * (1 + AVERAGE(Filter('Inflation Data'!$C:$C,'Inflation Data'!$A:$A = K$1))) + 'Fund YTD Contributions'!K107,'Fund YTD Contributions'!K107)"),0.0)</f>
        <v>0</v>
      </c>
      <c r="L107" s="170">
        <f>IFERROR(__xludf.DUMMYFUNCTION("IFERROR(K107 * (1 + AVERAGE(Filter('Inflation Data'!$C:$C,'Inflation Data'!$A:$A = L$1))) + 'Fund YTD Contributions'!L107,'Fund YTD Contributions'!L107)"),0.0)</f>
        <v>0</v>
      </c>
      <c r="M107" s="170">
        <f>IFERROR(__xludf.DUMMYFUNCTION("IFERROR(L107 * (1 + AVERAGE(Filter('Inflation Data'!$C:$C,'Inflation Data'!$A:$A = M$1))) + 'Fund YTD Contributions'!M107,'Fund YTD Contributions'!M107)"),0.0)</f>
        <v>0</v>
      </c>
      <c r="N107" s="170">
        <f>IFERROR(__xludf.DUMMYFUNCTION("IFERROR(M107 * (1 + AVERAGE(Filter('Inflation Data'!$C:$C,'Inflation Data'!$A:$A = N$1))) + 'Fund YTD Contributions'!N107,'Fund YTD Contributions'!N107)"),0.0)</f>
        <v>0</v>
      </c>
      <c r="O107" s="170">
        <f>IFERROR(__xludf.DUMMYFUNCTION("IFERROR(N107 * (1 + AVERAGE(Filter('Inflation Data'!$C:$C,'Inflation Data'!$A:$A = O$1))) + 'Fund YTD Contributions'!O107,'Fund YTD Contributions'!O107)"),0.0)</f>
        <v>0</v>
      </c>
      <c r="P107" s="170">
        <f>IFERROR(__xludf.DUMMYFUNCTION("IFERROR(O107 * (1 + AVERAGE(Filter('Inflation Data'!$C:$C,'Inflation Data'!$A:$A = P$1))) + 'Fund YTD Contributions'!P107,'Fund YTD Contributions'!P107)"),0.0)</f>
        <v>0</v>
      </c>
      <c r="Q107" s="170">
        <f>IFERROR(__xludf.DUMMYFUNCTION("IFERROR(P107 * (1 + AVERAGE(Filter('Inflation Data'!$C:$C,'Inflation Data'!$A:$A = Q$1))) + 'Fund YTD Contributions'!Q107,'Fund YTD Contributions'!Q107)"),0.0)</f>
        <v>0</v>
      </c>
      <c r="R107" s="170">
        <f>IFERROR(__xludf.DUMMYFUNCTION("IFERROR(Q107 * (1 + AVERAGE(Filter('Inflation Data'!$C:$C,'Inflation Data'!$A:$A = R$1))) + 'Fund YTD Contributions'!R107,'Fund YTD Contributions'!R107)"),0.0)</f>
        <v>0</v>
      </c>
      <c r="S107" s="170">
        <f>IFERROR(__xludf.DUMMYFUNCTION("IFERROR(R107 * (1 + AVERAGE(Filter('Inflation Data'!$C:$C,'Inflation Data'!$A:$A = S$1))) + 'Fund YTD Contributions'!S107,'Fund YTD Contributions'!S107)"),0.0)</f>
        <v>0</v>
      </c>
      <c r="T107" s="170">
        <f>IFERROR(__xludf.DUMMYFUNCTION("IFERROR(S107 * (1 + AVERAGE(Filter('Inflation Data'!$C:$C,'Inflation Data'!$A:$A = T$1))) + 'Fund YTD Contributions'!T107,'Fund YTD Contributions'!T107)"),0.0)</f>
        <v>0</v>
      </c>
      <c r="U107" s="170">
        <f>IFERROR(__xludf.DUMMYFUNCTION("IFERROR(T107 * (1 + AVERAGE(Filter('Inflation Data'!$C:$C,'Inflation Data'!$A:$A = U$1))) + 'Fund YTD Contributions'!U107,'Fund YTD Contributions'!U107)"),0.0)</f>
        <v>0</v>
      </c>
      <c r="V107" s="170">
        <f>IFERROR(__xludf.DUMMYFUNCTION("IFERROR(U107 * (1 + AVERAGE(Filter('Inflation Data'!$C:$C,'Inflation Data'!$A:$A = V$1))) + 'Fund YTD Contributions'!V107,'Fund YTD Contributions'!V107)"),0.0)</f>
        <v>0</v>
      </c>
      <c r="W107" s="170">
        <f>IFERROR(__xludf.DUMMYFUNCTION("IFERROR(V107 * (1 + AVERAGE(Filter('Inflation Data'!$C:$C,'Inflation Data'!$A:$A = W$1))) + 'Fund YTD Contributions'!W107,'Fund YTD Contributions'!W107)"),0.0)</f>
        <v>0</v>
      </c>
      <c r="X107" s="170">
        <f>IFERROR(__xludf.DUMMYFUNCTION("IFERROR(W107 * (1 + AVERAGE(Filter('Inflation Data'!$C:$C,'Inflation Data'!$A:$A = X$1))) + 'Fund YTD Contributions'!X107,'Fund YTD Contributions'!X107)"),0.0)</f>
        <v>0</v>
      </c>
      <c r="Y107" s="170">
        <f>IFERROR(__xludf.DUMMYFUNCTION("IFERROR(X107 * (1 + AVERAGE(Filter('Inflation Data'!$C:$C,'Inflation Data'!$A:$A = Y$1))) + 'Fund YTD Contributions'!Y107,'Fund YTD Contributions'!Y107)"),0.0)</f>
        <v>0</v>
      </c>
      <c r="Z107" s="170">
        <f>IFERROR(__xludf.DUMMYFUNCTION("IFERROR(Y107 * (1 + AVERAGE(Filter('Inflation Data'!$C:$C,'Inflation Data'!$A:$A = Z$1))) + 'Fund YTD Contributions'!Z107,'Fund YTD Contributions'!Z107)"),0.0)</f>
        <v>0</v>
      </c>
      <c r="AA107" s="170">
        <f>IFERROR(__xludf.DUMMYFUNCTION("IFERROR(Z107 * (1 + AVERAGE(Filter('Inflation Data'!$C:$C,'Inflation Data'!$A:$A = AA$1))) + 'Fund YTD Contributions'!AA107,'Fund YTD Contributions'!AA107)"),0.0)</f>
        <v>0</v>
      </c>
      <c r="AB107" s="170">
        <f>IFERROR(__xludf.DUMMYFUNCTION("IFERROR(AA107 * (1 + AVERAGE(Filter('Inflation Data'!$C:$C,'Inflation Data'!$A:$A = AB$1))) + 'Fund YTD Contributions'!AB107,'Fund YTD Contributions'!AB107)"),0.0)</f>
        <v>0</v>
      </c>
      <c r="AC107" s="170">
        <f>IFERROR(__xludf.DUMMYFUNCTION("IFERROR(AB107 * (1 + AVERAGE(Filter('Inflation Data'!$C:$C,'Inflation Data'!$A:$A = AC$1))) + 'Fund YTD Contributions'!AC107,'Fund YTD Contributions'!AC107)"),0.0)</f>
        <v>0</v>
      </c>
      <c r="AD107" s="170">
        <f>IFERROR(__xludf.DUMMYFUNCTION("IFERROR(AC107 * (1 + AVERAGE(Filter('Inflation Data'!$C:$C,'Inflation Data'!$A:$A = AD$1))) + 'Fund YTD Contributions'!AD107,'Fund YTD Contributions'!AD107)"),0.0)</f>
        <v>0</v>
      </c>
      <c r="AE107" s="170">
        <f>IFERROR(__xludf.DUMMYFUNCTION("IFERROR(AD107 * (1 + AVERAGE(Filter('Inflation Data'!$C:$C,'Inflation Data'!$A:$A = AE$1))) + 'Fund YTD Contributions'!AE107,'Fund YTD Contributions'!AE107)"),0.0)</f>
        <v>0</v>
      </c>
      <c r="AF107" s="170" t="str">
        <f>IFERROR(__xludf.DUMMYFUNCTION("IFERROR(AE107 * (1 + AVERAGE(Filter('Inflation Data'!$C:$C,'Inflation Data'!$A:$A = AF$1))) + 'Fund YTD Contributions'!AF107,'Fund YTD Contributions'!AF107)"),"")</f>
        <v/>
      </c>
    </row>
    <row r="108">
      <c r="A108" s="145" t="str">
        <f>'Endowed Funds'!B:B</f>
        <v/>
      </c>
      <c r="B108" s="170">
        <f>IFERROR(__xludf.DUMMYFUNCTION("IFERROR(A108 * (1 + AVERAGE(Filter('Inflation Data'!$C:$C,'Inflation Data'!$A:$A = B$1))) + 'Fund YTD Contributions'!B108,'Fund YTD Contributions'!B108)"),0.0)</f>
        <v>0</v>
      </c>
      <c r="C108" s="170">
        <f>IFERROR(__xludf.DUMMYFUNCTION("IFERROR(B108 * (1 + AVERAGE(Filter('Inflation Data'!$C:$C,'Inflation Data'!$A:$A = C$1))) + 'Fund YTD Contributions'!C108,'Fund YTD Contributions'!C108)"),0.0)</f>
        <v>0</v>
      </c>
      <c r="D108" s="170">
        <f>IFERROR(__xludf.DUMMYFUNCTION("IFERROR(C108 * (1 + AVERAGE(Filter('Inflation Data'!$C:$C,'Inflation Data'!$A:$A = D$1))) + 'Fund YTD Contributions'!D108,'Fund YTD Contributions'!D108)"),0.0)</f>
        <v>0</v>
      </c>
      <c r="E108" s="170">
        <f>IFERROR(__xludf.DUMMYFUNCTION("IFERROR(D108 * (1 + AVERAGE(Filter('Inflation Data'!$C:$C,'Inflation Data'!$A:$A = E$1))) + 'Fund YTD Contributions'!E108,'Fund YTD Contributions'!E108)"),0.0)</f>
        <v>0</v>
      </c>
      <c r="F108" s="170">
        <f>IFERROR(__xludf.DUMMYFUNCTION("IFERROR(E108 * (1 + AVERAGE(Filter('Inflation Data'!$C:$C,'Inflation Data'!$A:$A = F$1))) + 'Fund YTD Contributions'!F108,'Fund YTD Contributions'!F108)"),0.0)</f>
        <v>0</v>
      </c>
      <c r="G108" s="170">
        <f>IFERROR(__xludf.DUMMYFUNCTION("IFERROR(F108 * (1 + AVERAGE(Filter('Inflation Data'!$C:$C,'Inflation Data'!$A:$A = G$1))) + 'Fund YTD Contributions'!G108,'Fund YTD Contributions'!G108)"),0.0)</f>
        <v>0</v>
      </c>
      <c r="H108" s="170">
        <f>IFERROR(__xludf.DUMMYFUNCTION("IFERROR(G108 * (1 + AVERAGE(Filter('Inflation Data'!$C:$C,'Inflation Data'!$A:$A = H$1))) + 'Fund YTD Contributions'!H108,'Fund YTD Contributions'!H108)"),0.0)</f>
        <v>0</v>
      </c>
      <c r="I108" s="170">
        <f>IFERROR(__xludf.DUMMYFUNCTION("IFERROR(H108 * (1 + AVERAGE(Filter('Inflation Data'!$C:$C,'Inflation Data'!$A:$A = I$1))) + 'Fund YTD Contributions'!I108,'Fund YTD Contributions'!I108)"),0.0)</f>
        <v>0</v>
      </c>
      <c r="J108" s="170">
        <f>IFERROR(__xludf.DUMMYFUNCTION("IFERROR(I108 * (1 + AVERAGE(Filter('Inflation Data'!$C:$C,'Inflation Data'!$A:$A = J$1))) + 'Fund YTD Contributions'!J108,'Fund YTD Contributions'!J108)"),0.0)</f>
        <v>0</v>
      </c>
      <c r="K108" s="170">
        <f>IFERROR(__xludf.DUMMYFUNCTION("IFERROR(J108 * (1 + AVERAGE(Filter('Inflation Data'!$C:$C,'Inflation Data'!$A:$A = K$1))) + 'Fund YTD Contributions'!K108,'Fund YTD Contributions'!K108)"),0.0)</f>
        <v>0</v>
      </c>
      <c r="L108" s="170">
        <f>IFERROR(__xludf.DUMMYFUNCTION("IFERROR(K108 * (1 + AVERAGE(Filter('Inflation Data'!$C:$C,'Inflation Data'!$A:$A = L$1))) + 'Fund YTD Contributions'!L108,'Fund YTD Contributions'!L108)"),0.0)</f>
        <v>0</v>
      </c>
      <c r="M108" s="170">
        <f>IFERROR(__xludf.DUMMYFUNCTION("IFERROR(L108 * (1 + AVERAGE(Filter('Inflation Data'!$C:$C,'Inflation Data'!$A:$A = M$1))) + 'Fund YTD Contributions'!M108,'Fund YTD Contributions'!M108)"),0.0)</f>
        <v>0</v>
      </c>
      <c r="N108" s="170">
        <f>IFERROR(__xludf.DUMMYFUNCTION("IFERROR(M108 * (1 + AVERAGE(Filter('Inflation Data'!$C:$C,'Inflation Data'!$A:$A = N$1))) + 'Fund YTD Contributions'!N108,'Fund YTD Contributions'!N108)"),0.0)</f>
        <v>0</v>
      </c>
      <c r="O108" s="170">
        <f>IFERROR(__xludf.DUMMYFUNCTION("IFERROR(N108 * (1 + AVERAGE(Filter('Inflation Data'!$C:$C,'Inflation Data'!$A:$A = O$1))) + 'Fund YTD Contributions'!O108,'Fund YTD Contributions'!O108)"),0.0)</f>
        <v>0</v>
      </c>
      <c r="P108" s="170">
        <f>IFERROR(__xludf.DUMMYFUNCTION("IFERROR(O108 * (1 + AVERAGE(Filter('Inflation Data'!$C:$C,'Inflation Data'!$A:$A = P$1))) + 'Fund YTD Contributions'!P108,'Fund YTD Contributions'!P108)"),0.0)</f>
        <v>0</v>
      </c>
      <c r="Q108" s="170">
        <f>IFERROR(__xludf.DUMMYFUNCTION("IFERROR(P108 * (1 + AVERAGE(Filter('Inflation Data'!$C:$C,'Inflation Data'!$A:$A = Q$1))) + 'Fund YTD Contributions'!Q108,'Fund YTD Contributions'!Q108)"),0.0)</f>
        <v>0</v>
      </c>
      <c r="R108" s="170">
        <f>IFERROR(__xludf.DUMMYFUNCTION("IFERROR(Q108 * (1 + AVERAGE(Filter('Inflation Data'!$C:$C,'Inflation Data'!$A:$A = R$1))) + 'Fund YTD Contributions'!R108,'Fund YTD Contributions'!R108)"),0.0)</f>
        <v>0</v>
      </c>
      <c r="S108" s="170">
        <f>IFERROR(__xludf.DUMMYFUNCTION("IFERROR(R108 * (1 + AVERAGE(Filter('Inflation Data'!$C:$C,'Inflation Data'!$A:$A = S$1))) + 'Fund YTD Contributions'!S108,'Fund YTD Contributions'!S108)"),0.0)</f>
        <v>0</v>
      </c>
      <c r="T108" s="170">
        <f>IFERROR(__xludf.DUMMYFUNCTION("IFERROR(S108 * (1 + AVERAGE(Filter('Inflation Data'!$C:$C,'Inflation Data'!$A:$A = T$1))) + 'Fund YTD Contributions'!T108,'Fund YTD Contributions'!T108)"),0.0)</f>
        <v>0</v>
      </c>
      <c r="U108" s="170">
        <f>IFERROR(__xludf.DUMMYFUNCTION("IFERROR(T108 * (1 + AVERAGE(Filter('Inflation Data'!$C:$C,'Inflation Data'!$A:$A = U$1))) + 'Fund YTD Contributions'!U108,'Fund YTD Contributions'!U108)"),0.0)</f>
        <v>0</v>
      </c>
      <c r="V108" s="170">
        <f>IFERROR(__xludf.DUMMYFUNCTION("IFERROR(U108 * (1 + AVERAGE(Filter('Inflation Data'!$C:$C,'Inflation Data'!$A:$A = V$1))) + 'Fund YTD Contributions'!V108,'Fund YTD Contributions'!V108)"),0.0)</f>
        <v>0</v>
      </c>
      <c r="W108" s="170">
        <f>IFERROR(__xludf.DUMMYFUNCTION("IFERROR(V108 * (1 + AVERAGE(Filter('Inflation Data'!$C:$C,'Inflation Data'!$A:$A = W$1))) + 'Fund YTD Contributions'!W108,'Fund YTD Contributions'!W108)"),0.0)</f>
        <v>0</v>
      </c>
      <c r="X108" s="170">
        <f>IFERROR(__xludf.DUMMYFUNCTION("IFERROR(W108 * (1 + AVERAGE(Filter('Inflation Data'!$C:$C,'Inflation Data'!$A:$A = X$1))) + 'Fund YTD Contributions'!X108,'Fund YTD Contributions'!X108)"),0.0)</f>
        <v>0</v>
      </c>
      <c r="Y108" s="170">
        <f>IFERROR(__xludf.DUMMYFUNCTION("IFERROR(X108 * (1 + AVERAGE(Filter('Inflation Data'!$C:$C,'Inflation Data'!$A:$A = Y$1))) + 'Fund YTD Contributions'!Y108,'Fund YTD Contributions'!Y108)"),0.0)</f>
        <v>0</v>
      </c>
      <c r="Z108" s="170">
        <f>IFERROR(__xludf.DUMMYFUNCTION("IFERROR(Y108 * (1 + AVERAGE(Filter('Inflation Data'!$C:$C,'Inflation Data'!$A:$A = Z$1))) + 'Fund YTD Contributions'!Z108,'Fund YTD Contributions'!Z108)"),0.0)</f>
        <v>0</v>
      </c>
      <c r="AA108" s="170">
        <f>IFERROR(__xludf.DUMMYFUNCTION("IFERROR(Z108 * (1 + AVERAGE(Filter('Inflation Data'!$C:$C,'Inflation Data'!$A:$A = AA$1))) + 'Fund YTD Contributions'!AA108,'Fund YTD Contributions'!AA108)"),0.0)</f>
        <v>0</v>
      </c>
      <c r="AB108" s="170">
        <f>IFERROR(__xludf.DUMMYFUNCTION("IFERROR(AA108 * (1 + AVERAGE(Filter('Inflation Data'!$C:$C,'Inflation Data'!$A:$A = AB$1))) + 'Fund YTD Contributions'!AB108,'Fund YTD Contributions'!AB108)"),0.0)</f>
        <v>0</v>
      </c>
      <c r="AC108" s="170">
        <f>IFERROR(__xludf.DUMMYFUNCTION("IFERROR(AB108 * (1 + AVERAGE(Filter('Inflation Data'!$C:$C,'Inflation Data'!$A:$A = AC$1))) + 'Fund YTD Contributions'!AC108,'Fund YTD Contributions'!AC108)"),0.0)</f>
        <v>0</v>
      </c>
      <c r="AD108" s="170">
        <f>IFERROR(__xludf.DUMMYFUNCTION("IFERROR(AC108 * (1 + AVERAGE(Filter('Inflation Data'!$C:$C,'Inflation Data'!$A:$A = AD$1))) + 'Fund YTD Contributions'!AD108,'Fund YTD Contributions'!AD108)"),0.0)</f>
        <v>0</v>
      </c>
      <c r="AE108" s="170">
        <f>IFERROR(__xludf.DUMMYFUNCTION("IFERROR(AD108 * (1 + AVERAGE(Filter('Inflation Data'!$C:$C,'Inflation Data'!$A:$A = AE$1))) + 'Fund YTD Contributions'!AE108,'Fund YTD Contributions'!AE108)"),0.0)</f>
        <v>0</v>
      </c>
      <c r="AF108" s="170" t="str">
        <f>IFERROR(__xludf.DUMMYFUNCTION("IFERROR(AE108 * (1 + AVERAGE(Filter('Inflation Data'!$C:$C,'Inflation Data'!$A:$A = AF$1))) + 'Fund YTD Contributions'!AF108,'Fund YTD Contributions'!AF108)"),"")</f>
        <v/>
      </c>
    </row>
    <row r="109">
      <c r="A109" s="145" t="str">
        <f>'Endowed Funds'!B:B</f>
        <v/>
      </c>
      <c r="B109" s="170">
        <f>IFERROR(__xludf.DUMMYFUNCTION("IFERROR(A109 * (1 + AVERAGE(Filter('Inflation Data'!$C:$C,'Inflation Data'!$A:$A = B$1))) + 'Fund YTD Contributions'!B109,'Fund YTD Contributions'!B109)"),0.0)</f>
        <v>0</v>
      </c>
      <c r="C109" s="170">
        <f>IFERROR(__xludf.DUMMYFUNCTION("IFERROR(B109 * (1 + AVERAGE(Filter('Inflation Data'!$C:$C,'Inflation Data'!$A:$A = C$1))) + 'Fund YTD Contributions'!C109,'Fund YTD Contributions'!C109)"),0.0)</f>
        <v>0</v>
      </c>
      <c r="D109" s="170">
        <f>IFERROR(__xludf.DUMMYFUNCTION("IFERROR(C109 * (1 + AVERAGE(Filter('Inflation Data'!$C:$C,'Inflation Data'!$A:$A = D$1))) + 'Fund YTD Contributions'!D109,'Fund YTD Contributions'!D109)"),0.0)</f>
        <v>0</v>
      </c>
      <c r="E109" s="170">
        <f>IFERROR(__xludf.DUMMYFUNCTION("IFERROR(D109 * (1 + AVERAGE(Filter('Inflation Data'!$C:$C,'Inflation Data'!$A:$A = E$1))) + 'Fund YTD Contributions'!E109,'Fund YTD Contributions'!E109)"),0.0)</f>
        <v>0</v>
      </c>
      <c r="F109" s="170">
        <f>IFERROR(__xludf.DUMMYFUNCTION("IFERROR(E109 * (1 + AVERAGE(Filter('Inflation Data'!$C:$C,'Inflation Data'!$A:$A = F$1))) + 'Fund YTD Contributions'!F109,'Fund YTD Contributions'!F109)"),0.0)</f>
        <v>0</v>
      </c>
      <c r="G109" s="170">
        <f>IFERROR(__xludf.DUMMYFUNCTION("IFERROR(F109 * (1 + AVERAGE(Filter('Inflation Data'!$C:$C,'Inflation Data'!$A:$A = G$1))) + 'Fund YTD Contributions'!G109,'Fund YTD Contributions'!G109)"),0.0)</f>
        <v>0</v>
      </c>
      <c r="H109" s="170">
        <f>IFERROR(__xludf.DUMMYFUNCTION("IFERROR(G109 * (1 + AVERAGE(Filter('Inflation Data'!$C:$C,'Inflation Data'!$A:$A = H$1))) + 'Fund YTD Contributions'!H109,'Fund YTD Contributions'!H109)"),0.0)</f>
        <v>0</v>
      </c>
      <c r="I109" s="170">
        <f>IFERROR(__xludf.DUMMYFUNCTION("IFERROR(H109 * (1 + AVERAGE(Filter('Inflation Data'!$C:$C,'Inflation Data'!$A:$A = I$1))) + 'Fund YTD Contributions'!I109,'Fund YTD Contributions'!I109)"),0.0)</f>
        <v>0</v>
      </c>
      <c r="J109" s="170">
        <f>IFERROR(__xludf.DUMMYFUNCTION("IFERROR(I109 * (1 + AVERAGE(Filter('Inflation Data'!$C:$C,'Inflation Data'!$A:$A = J$1))) + 'Fund YTD Contributions'!J109,'Fund YTD Contributions'!J109)"),0.0)</f>
        <v>0</v>
      </c>
      <c r="K109" s="170">
        <f>IFERROR(__xludf.DUMMYFUNCTION("IFERROR(J109 * (1 + AVERAGE(Filter('Inflation Data'!$C:$C,'Inflation Data'!$A:$A = K$1))) + 'Fund YTD Contributions'!K109,'Fund YTD Contributions'!K109)"),0.0)</f>
        <v>0</v>
      </c>
      <c r="L109" s="170">
        <f>IFERROR(__xludf.DUMMYFUNCTION("IFERROR(K109 * (1 + AVERAGE(Filter('Inflation Data'!$C:$C,'Inflation Data'!$A:$A = L$1))) + 'Fund YTD Contributions'!L109,'Fund YTD Contributions'!L109)"),0.0)</f>
        <v>0</v>
      </c>
      <c r="M109" s="170">
        <f>IFERROR(__xludf.DUMMYFUNCTION("IFERROR(L109 * (1 + AVERAGE(Filter('Inflation Data'!$C:$C,'Inflation Data'!$A:$A = M$1))) + 'Fund YTD Contributions'!M109,'Fund YTD Contributions'!M109)"),0.0)</f>
        <v>0</v>
      </c>
      <c r="N109" s="170">
        <f>IFERROR(__xludf.DUMMYFUNCTION("IFERROR(M109 * (1 + AVERAGE(Filter('Inflation Data'!$C:$C,'Inflation Data'!$A:$A = N$1))) + 'Fund YTD Contributions'!N109,'Fund YTD Contributions'!N109)"),0.0)</f>
        <v>0</v>
      </c>
      <c r="O109" s="170">
        <f>IFERROR(__xludf.DUMMYFUNCTION("IFERROR(N109 * (1 + AVERAGE(Filter('Inflation Data'!$C:$C,'Inflation Data'!$A:$A = O$1))) + 'Fund YTD Contributions'!O109,'Fund YTD Contributions'!O109)"),0.0)</f>
        <v>0</v>
      </c>
      <c r="P109" s="170">
        <f>IFERROR(__xludf.DUMMYFUNCTION("IFERROR(O109 * (1 + AVERAGE(Filter('Inflation Data'!$C:$C,'Inflation Data'!$A:$A = P$1))) + 'Fund YTD Contributions'!P109,'Fund YTD Contributions'!P109)"),0.0)</f>
        <v>0</v>
      </c>
      <c r="Q109" s="170">
        <f>IFERROR(__xludf.DUMMYFUNCTION("IFERROR(P109 * (1 + AVERAGE(Filter('Inflation Data'!$C:$C,'Inflation Data'!$A:$A = Q$1))) + 'Fund YTD Contributions'!Q109,'Fund YTD Contributions'!Q109)"),0.0)</f>
        <v>0</v>
      </c>
      <c r="R109" s="170">
        <f>IFERROR(__xludf.DUMMYFUNCTION("IFERROR(Q109 * (1 + AVERAGE(Filter('Inflation Data'!$C:$C,'Inflation Data'!$A:$A = R$1))) + 'Fund YTD Contributions'!R109,'Fund YTD Contributions'!R109)"),0.0)</f>
        <v>0</v>
      </c>
      <c r="S109" s="170">
        <f>IFERROR(__xludf.DUMMYFUNCTION("IFERROR(R109 * (1 + AVERAGE(Filter('Inflation Data'!$C:$C,'Inflation Data'!$A:$A = S$1))) + 'Fund YTD Contributions'!S109,'Fund YTD Contributions'!S109)"),0.0)</f>
        <v>0</v>
      </c>
      <c r="T109" s="170">
        <f>IFERROR(__xludf.DUMMYFUNCTION("IFERROR(S109 * (1 + AVERAGE(Filter('Inflation Data'!$C:$C,'Inflation Data'!$A:$A = T$1))) + 'Fund YTD Contributions'!T109,'Fund YTD Contributions'!T109)"),0.0)</f>
        <v>0</v>
      </c>
      <c r="U109" s="170">
        <f>IFERROR(__xludf.DUMMYFUNCTION("IFERROR(T109 * (1 + AVERAGE(Filter('Inflation Data'!$C:$C,'Inflation Data'!$A:$A = U$1))) + 'Fund YTD Contributions'!U109,'Fund YTD Contributions'!U109)"),0.0)</f>
        <v>0</v>
      </c>
      <c r="V109" s="170">
        <f>IFERROR(__xludf.DUMMYFUNCTION("IFERROR(U109 * (1 + AVERAGE(Filter('Inflation Data'!$C:$C,'Inflation Data'!$A:$A = V$1))) + 'Fund YTD Contributions'!V109,'Fund YTD Contributions'!V109)"),0.0)</f>
        <v>0</v>
      </c>
      <c r="W109" s="170">
        <f>IFERROR(__xludf.DUMMYFUNCTION("IFERROR(V109 * (1 + AVERAGE(Filter('Inflation Data'!$C:$C,'Inflation Data'!$A:$A = W$1))) + 'Fund YTD Contributions'!W109,'Fund YTD Contributions'!W109)"),0.0)</f>
        <v>0</v>
      </c>
      <c r="X109" s="170">
        <f>IFERROR(__xludf.DUMMYFUNCTION("IFERROR(W109 * (1 + AVERAGE(Filter('Inflation Data'!$C:$C,'Inflation Data'!$A:$A = X$1))) + 'Fund YTD Contributions'!X109,'Fund YTD Contributions'!X109)"),0.0)</f>
        <v>0</v>
      </c>
      <c r="Y109" s="170">
        <f>IFERROR(__xludf.DUMMYFUNCTION("IFERROR(X109 * (1 + AVERAGE(Filter('Inflation Data'!$C:$C,'Inflation Data'!$A:$A = Y$1))) + 'Fund YTD Contributions'!Y109,'Fund YTD Contributions'!Y109)"),0.0)</f>
        <v>0</v>
      </c>
      <c r="Z109" s="170">
        <f>IFERROR(__xludf.DUMMYFUNCTION("IFERROR(Y109 * (1 + AVERAGE(Filter('Inflation Data'!$C:$C,'Inflation Data'!$A:$A = Z$1))) + 'Fund YTD Contributions'!Z109,'Fund YTD Contributions'!Z109)"),0.0)</f>
        <v>0</v>
      </c>
      <c r="AA109" s="170">
        <f>IFERROR(__xludf.DUMMYFUNCTION("IFERROR(Z109 * (1 + AVERAGE(Filter('Inflation Data'!$C:$C,'Inflation Data'!$A:$A = AA$1))) + 'Fund YTD Contributions'!AA109,'Fund YTD Contributions'!AA109)"),0.0)</f>
        <v>0</v>
      </c>
      <c r="AB109" s="170">
        <f>IFERROR(__xludf.DUMMYFUNCTION("IFERROR(AA109 * (1 + AVERAGE(Filter('Inflation Data'!$C:$C,'Inflation Data'!$A:$A = AB$1))) + 'Fund YTD Contributions'!AB109,'Fund YTD Contributions'!AB109)"),0.0)</f>
        <v>0</v>
      </c>
      <c r="AC109" s="170">
        <f>IFERROR(__xludf.DUMMYFUNCTION("IFERROR(AB109 * (1 + AVERAGE(Filter('Inflation Data'!$C:$C,'Inflation Data'!$A:$A = AC$1))) + 'Fund YTD Contributions'!AC109,'Fund YTD Contributions'!AC109)"),0.0)</f>
        <v>0</v>
      </c>
      <c r="AD109" s="170">
        <f>IFERROR(__xludf.DUMMYFUNCTION("IFERROR(AC109 * (1 + AVERAGE(Filter('Inflation Data'!$C:$C,'Inflation Data'!$A:$A = AD$1))) + 'Fund YTD Contributions'!AD109,'Fund YTD Contributions'!AD109)"),0.0)</f>
        <v>0</v>
      </c>
      <c r="AE109" s="170">
        <f>IFERROR(__xludf.DUMMYFUNCTION("IFERROR(AD109 * (1 + AVERAGE(Filter('Inflation Data'!$C:$C,'Inflation Data'!$A:$A = AE$1))) + 'Fund YTD Contributions'!AE109,'Fund YTD Contributions'!AE109)"),0.0)</f>
        <v>0</v>
      </c>
      <c r="AF109" s="170" t="str">
        <f>IFERROR(__xludf.DUMMYFUNCTION("IFERROR(AE109 * (1 + AVERAGE(Filter('Inflation Data'!$C:$C,'Inflation Data'!$A:$A = AF$1))) + 'Fund YTD Contributions'!AF109,'Fund YTD Contributions'!AF109)"),"")</f>
        <v/>
      </c>
    </row>
    <row r="110">
      <c r="A110" s="145" t="str">
        <f>'Endowed Funds'!B:B</f>
        <v/>
      </c>
      <c r="B110" s="170">
        <f>IFERROR(__xludf.DUMMYFUNCTION("IFERROR(A110 * (1 + AVERAGE(Filter('Inflation Data'!$C:$C,'Inflation Data'!$A:$A = B$1))) + 'Fund YTD Contributions'!B110,'Fund YTD Contributions'!B110)"),0.0)</f>
        <v>0</v>
      </c>
      <c r="C110" s="170">
        <f>IFERROR(__xludf.DUMMYFUNCTION("IFERROR(B110 * (1 + AVERAGE(Filter('Inflation Data'!$C:$C,'Inflation Data'!$A:$A = C$1))) + 'Fund YTD Contributions'!C110,'Fund YTD Contributions'!C110)"),0.0)</f>
        <v>0</v>
      </c>
      <c r="D110" s="170">
        <f>IFERROR(__xludf.DUMMYFUNCTION("IFERROR(C110 * (1 + AVERAGE(Filter('Inflation Data'!$C:$C,'Inflation Data'!$A:$A = D$1))) + 'Fund YTD Contributions'!D110,'Fund YTD Contributions'!D110)"),0.0)</f>
        <v>0</v>
      </c>
      <c r="E110" s="170">
        <f>IFERROR(__xludf.DUMMYFUNCTION("IFERROR(D110 * (1 + AVERAGE(Filter('Inflation Data'!$C:$C,'Inflation Data'!$A:$A = E$1))) + 'Fund YTD Contributions'!E110,'Fund YTD Contributions'!E110)"),0.0)</f>
        <v>0</v>
      </c>
      <c r="F110" s="170">
        <f>IFERROR(__xludf.DUMMYFUNCTION("IFERROR(E110 * (1 + AVERAGE(Filter('Inflation Data'!$C:$C,'Inflation Data'!$A:$A = F$1))) + 'Fund YTD Contributions'!F110,'Fund YTD Contributions'!F110)"),0.0)</f>
        <v>0</v>
      </c>
      <c r="G110" s="170">
        <f>IFERROR(__xludf.DUMMYFUNCTION("IFERROR(F110 * (1 + AVERAGE(Filter('Inflation Data'!$C:$C,'Inflation Data'!$A:$A = G$1))) + 'Fund YTD Contributions'!G110,'Fund YTD Contributions'!G110)"),0.0)</f>
        <v>0</v>
      </c>
      <c r="H110" s="170">
        <f>IFERROR(__xludf.DUMMYFUNCTION("IFERROR(G110 * (1 + AVERAGE(Filter('Inflation Data'!$C:$C,'Inflation Data'!$A:$A = H$1))) + 'Fund YTD Contributions'!H110,'Fund YTD Contributions'!H110)"),0.0)</f>
        <v>0</v>
      </c>
      <c r="I110" s="170">
        <f>IFERROR(__xludf.DUMMYFUNCTION("IFERROR(H110 * (1 + AVERAGE(Filter('Inflation Data'!$C:$C,'Inflation Data'!$A:$A = I$1))) + 'Fund YTD Contributions'!I110,'Fund YTD Contributions'!I110)"),0.0)</f>
        <v>0</v>
      </c>
      <c r="J110" s="170">
        <f>IFERROR(__xludf.DUMMYFUNCTION("IFERROR(I110 * (1 + AVERAGE(Filter('Inflation Data'!$C:$C,'Inflation Data'!$A:$A = J$1))) + 'Fund YTD Contributions'!J110,'Fund YTD Contributions'!J110)"),0.0)</f>
        <v>0</v>
      </c>
      <c r="K110" s="170">
        <f>IFERROR(__xludf.DUMMYFUNCTION("IFERROR(J110 * (1 + AVERAGE(Filter('Inflation Data'!$C:$C,'Inflation Data'!$A:$A = K$1))) + 'Fund YTD Contributions'!K110,'Fund YTD Contributions'!K110)"),0.0)</f>
        <v>0</v>
      </c>
      <c r="L110" s="170">
        <f>IFERROR(__xludf.DUMMYFUNCTION("IFERROR(K110 * (1 + AVERAGE(Filter('Inflation Data'!$C:$C,'Inflation Data'!$A:$A = L$1))) + 'Fund YTD Contributions'!L110,'Fund YTD Contributions'!L110)"),0.0)</f>
        <v>0</v>
      </c>
      <c r="M110" s="170">
        <f>IFERROR(__xludf.DUMMYFUNCTION("IFERROR(L110 * (1 + AVERAGE(Filter('Inflation Data'!$C:$C,'Inflation Data'!$A:$A = M$1))) + 'Fund YTD Contributions'!M110,'Fund YTD Contributions'!M110)"),0.0)</f>
        <v>0</v>
      </c>
      <c r="N110" s="170">
        <f>IFERROR(__xludf.DUMMYFUNCTION("IFERROR(M110 * (1 + AVERAGE(Filter('Inflation Data'!$C:$C,'Inflation Data'!$A:$A = N$1))) + 'Fund YTD Contributions'!N110,'Fund YTD Contributions'!N110)"),0.0)</f>
        <v>0</v>
      </c>
      <c r="O110" s="170">
        <f>IFERROR(__xludf.DUMMYFUNCTION("IFERROR(N110 * (1 + AVERAGE(Filter('Inflation Data'!$C:$C,'Inflation Data'!$A:$A = O$1))) + 'Fund YTD Contributions'!O110,'Fund YTD Contributions'!O110)"),0.0)</f>
        <v>0</v>
      </c>
      <c r="P110" s="170">
        <f>IFERROR(__xludf.DUMMYFUNCTION("IFERROR(O110 * (1 + AVERAGE(Filter('Inflation Data'!$C:$C,'Inflation Data'!$A:$A = P$1))) + 'Fund YTD Contributions'!P110,'Fund YTD Contributions'!P110)"),0.0)</f>
        <v>0</v>
      </c>
      <c r="Q110" s="170">
        <f>IFERROR(__xludf.DUMMYFUNCTION("IFERROR(P110 * (1 + AVERAGE(Filter('Inflation Data'!$C:$C,'Inflation Data'!$A:$A = Q$1))) + 'Fund YTD Contributions'!Q110,'Fund YTD Contributions'!Q110)"),0.0)</f>
        <v>0</v>
      </c>
      <c r="R110" s="170">
        <f>IFERROR(__xludf.DUMMYFUNCTION("IFERROR(Q110 * (1 + AVERAGE(Filter('Inflation Data'!$C:$C,'Inflation Data'!$A:$A = R$1))) + 'Fund YTD Contributions'!R110,'Fund YTD Contributions'!R110)"),0.0)</f>
        <v>0</v>
      </c>
      <c r="S110" s="170">
        <f>IFERROR(__xludf.DUMMYFUNCTION("IFERROR(R110 * (1 + AVERAGE(Filter('Inflation Data'!$C:$C,'Inflation Data'!$A:$A = S$1))) + 'Fund YTD Contributions'!S110,'Fund YTD Contributions'!S110)"),0.0)</f>
        <v>0</v>
      </c>
      <c r="T110" s="170">
        <f>IFERROR(__xludf.DUMMYFUNCTION("IFERROR(S110 * (1 + AVERAGE(Filter('Inflation Data'!$C:$C,'Inflation Data'!$A:$A = T$1))) + 'Fund YTD Contributions'!T110,'Fund YTD Contributions'!T110)"),0.0)</f>
        <v>0</v>
      </c>
      <c r="U110" s="170">
        <f>IFERROR(__xludf.DUMMYFUNCTION("IFERROR(T110 * (1 + AVERAGE(Filter('Inflation Data'!$C:$C,'Inflation Data'!$A:$A = U$1))) + 'Fund YTD Contributions'!U110,'Fund YTD Contributions'!U110)"),0.0)</f>
        <v>0</v>
      </c>
      <c r="V110" s="170">
        <f>IFERROR(__xludf.DUMMYFUNCTION("IFERROR(U110 * (1 + AVERAGE(Filter('Inflation Data'!$C:$C,'Inflation Data'!$A:$A = V$1))) + 'Fund YTD Contributions'!V110,'Fund YTD Contributions'!V110)"),0.0)</f>
        <v>0</v>
      </c>
      <c r="W110" s="170">
        <f>IFERROR(__xludf.DUMMYFUNCTION("IFERROR(V110 * (1 + AVERAGE(Filter('Inflation Data'!$C:$C,'Inflation Data'!$A:$A = W$1))) + 'Fund YTD Contributions'!W110,'Fund YTD Contributions'!W110)"),0.0)</f>
        <v>0</v>
      </c>
      <c r="X110" s="170">
        <f>IFERROR(__xludf.DUMMYFUNCTION("IFERROR(W110 * (1 + AVERAGE(Filter('Inflation Data'!$C:$C,'Inflation Data'!$A:$A = X$1))) + 'Fund YTD Contributions'!X110,'Fund YTD Contributions'!X110)"),0.0)</f>
        <v>0</v>
      </c>
      <c r="Y110" s="170">
        <f>IFERROR(__xludf.DUMMYFUNCTION("IFERROR(X110 * (1 + AVERAGE(Filter('Inflation Data'!$C:$C,'Inflation Data'!$A:$A = Y$1))) + 'Fund YTD Contributions'!Y110,'Fund YTD Contributions'!Y110)"),0.0)</f>
        <v>0</v>
      </c>
      <c r="Z110" s="170">
        <f>IFERROR(__xludf.DUMMYFUNCTION("IFERROR(Y110 * (1 + AVERAGE(Filter('Inflation Data'!$C:$C,'Inflation Data'!$A:$A = Z$1))) + 'Fund YTD Contributions'!Z110,'Fund YTD Contributions'!Z110)"),0.0)</f>
        <v>0</v>
      </c>
      <c r="AA110" s="170">
        <f>IFERROR(__xludf.DUMMYFUNCTION("IFERROR(Z110 * (1 + AVERAGE(Filter('Inflation Data'!$C:$C,'Inflation Data'!$A:$A = AA$1))) + 'Fund YTD Contributions'!AA110,'Fund YTD Contributions'!AA110)"),0.0)</f>
        <v>0</v>
      </c>
      <c r="AB110" s="170">
        <f>IFERROR(__xludf.DUMMYFUNCTION("IFERROR(AA110 * (1 + AVERAGE(Filter('Inflation Data'!$C:$C,'Inflation Data'!$A:$A = AB$1))) + 'Fund YTD Contributions'!AB110,'Fund YTD Contributions'!AB110)"),0.0)</f>
        <v>0</v>
      </c>
      <c r="AC110" s="170">
        <f>IFERROR(__xludf.DUMMYFUNCTION("IFERROR(AB110 * (1 + AVERAGE(Filter('Inflation Data'!$C:$C,'Inflation Data'!$A:$A = AC$1))) + 'Fund YTD Contributions'!AC110,'Fund YTD Contributions'!AC110)"),0.0)</f>
        <v>0</v>
      </c>
      <c r="AD110" s="170">
        <f>IFERROR(__xludf.DUMMYFUNCTION("IFERROR(AC110 * (1 + AVERAGE(Filter('Inflation Data'!$C:$C,'Inflation Data'!$A:$A = AD$1))) + 'Fund YTD Contributions'!AD110,'Fund YTD Contributions'!AD110)"),0.0)</f>
        <v>0</v>
      </c>
      <c r="AE110" s="170">
        <f>IFERROR(__xludf.DUMMYFUNCTION("IFERROR(AD110 * (1 + AVERAGE(Filter('Inflation Data'!$C:$C,'Inflation Data'!$A:$A = AE$1))) + 'Fund YTD Contributions'!AE110,'Fund YTD Contributions'!AE110)"),0.0)</f>
        <v>0</v>
      </c>
      <c r="AF110" s="170" t="str">
        <f>IFERROR(__xludf.DUMMYFUNCTION("IFERROR(AE110 * (1 + AVERAGE(Filter('Inflation Data'!$C:$C,'Inflation Data'!$A:$A = AF$1))) + 'Fund YTD Contributions'!AF110,'Fund YTD Contributions'!AF110)"),"")</f>
        <v/>
      </c>
    </row>
    <row r="111">
      <c r="A111" s="145" t="str">
        <f>'Endowed Funds'!B:B</f>
        <v/>
      </c>
      <c r="B111" s="170">
        <f>IFERROR(__xludf.DUMMYFUNCTION("IFERROR(A111 * (1 + AVERAGE(Filter('Inflation Data'!$C:$C,'Inflation Data'!$A:$A = B$1))) + 'Fund YTD Contributions'!B111,'Fund YTD Contributions'!B111)"),0.0)</f>
        <v>0</v>
      </c>
      <c r="C111" s="170">
        <f>IFERROR(__xludf.DUMMYFUNCTION("IFERROR(B111 * (1 + AVERAGE(Filter('Inflation Data'!$C:$C,'Inflation Data'!$A:$A = C$1))) + 'Fund YTD Contributions'!C111,'Fund YTD Contributions'!C111)"),0.0)</f>
        <v>0</v>
      </c>
      <c r="D111" s="170">
        <f>IFERROR(__xludf.DUMMYFUNCTION("IFERROR(C111 * (1 + AVERAGE(Filter('Inflation Data'!$C:$C,'Inflation Data'!$A:$A = D$1))) + 'Fund YTD Contributions'!D111,'Fund YTD Contributions'!D111)"),0.0)</f>
        <v>0</v>
      </c>
      <c r="E111" s="170">
        <f>IFERROR(__xludf.DUMMYFUNCTION("IFERROR(D111 * (1 + AVERAGE(Filter('Inflation Data'!$C:$C,'Inflation Data'!$A:$A = E$1))) + 'Fund YTD Contributions'!E111,'Fund YTD Contributions'!E111)"),0.0)</f>
        <v>0</v>
      </c>
      <c r="F111" s="170">
        <f>IFERROR(__xludf.DUMMYFUNCTION("IFERROR(E111 * (1 + AVERAGE(Filter('Inflation Data'!$C:$C,'Inflation Data'!$A:$A = F$1))) + 'Fund YTD Contributions'!F111,'Fund YTD Contributions'!F111)"),0.0)</f>
        <v>0</v>
      </c>
      <c r="G111" s="170">
        <f>IFERROR(__xludf.DUMMYFUNCTION("IFERROR(F111 * (1 + AVERAGE(Filter('Inflation Data'!$C:$C,'Inflation Data'!$A:$A = G$1))) + 'Fund YTD Contributions'!G111,'Fund YTD Contributions'!G111)"),0.0)</f>
        <v>0</v>
      </c>
      <c r="H111" s="170">
        <f>IFERROR(__xludf.DUMMYFUNCTION("IFERROR(G111 * (1 + AVERAGE(Filter('Inflation Data'!$C:$C,'Inflation Data'!$A:$A = H$1))) + 'Fund YTD Contributions'!H111,'Fund YTD Contributions'!H111)"),0.0)</f>
        <v>0</v>
      </c>
      <c r="I111" s="170">
        <f>IFERROR(__xludf.DUMMYFUNCTION("IFERROR(H111 * (1 + AVERAGE(Filter('Inflation Data'!$C:$C,'Inflation Data'!$A:$A = I$1))) + 'Fund YTD Contributions'!I111,'Fund YTD Contributions'!I111)"),0.0)</f>
        <v>0</v>
      </c>
      <c r="J111" s="170">
        <f>IFERROR(__xludf.DUMMYFUNCTION("IFERROR(I111 * (1 + AVERAGE(Filter('Inflation Data'!$C:$C,'Inflation Data'!$A:$A = J$1))) + 'Fund YTD Contributions'!J111,'Fund YTD Contributions'!J111)"),0.0)</f>
        <v>0</v>
      </c>
      <c r="K111" s="170">
        <f>IFERROR(__xludf.DUMMYFUNCTION("IFERROR(J111 * (1 + AVERAGE(Filter('Inflation Data'!$C:$C,'Inflation Data'!$A:$A = K$1))) + 'Fund YTD Contributions'!K111,'Fund YTD Contributions'!K111)"),0.0)</f>
        <v>0</v>
      </c>
      <c r="L111" s="170">
        <f>IFERROR(__xludf.DUMMYFUNCTION("IFERROR(K111 * (1 + AVERAGE(Filter('Inflation Data'!$C:$C,'Inflation Data'!$A:$A = L$1))) + 'Fund YTD Contributions'!L111,'Fund YTD Contributions'!L111)"),0.0)</f>
        <v>0</v>
      </c>
      <c r="M111" s="170">
        <f>IFERROR(__xludf.DUMMYFUNCTION("IFERROR(L111 * (1 + AVERAGE(Filter('Inflation Data'!$C:$C,'Inflation Data'!$A:$A = M$1))) + 'Fund YTD Contributions'!M111,'Fund YTD Contributions'!M111)"),0.0)</f>
        <v>0</v>
      </c>
      <c r="N111" s="170">
        <f>IFERROR(__xludf.DUMMYFUNCTION("IFERROR(M111 * (1 + AVERAGE(Filter('Inflation Data'!$C:$C,'Inflation Data'!$A:$A = N$1))) + 'Fund YTD Contributions'!N111,'Fund YTD Contributions'!N111)"),0.0)</f>
        <v>0</v>
      </c>
      <c r="O111" s="170">
        <f>IFERROR(__xludf.DUMMYFUNCTION("IFERROR(N111 * (1 + AVERAGE(Filter('Inflation Data'!$C:$C,'Inflation Data'!$A:$A = O$1))) + 'Fund YTD Contributions'!O111,'Fund YTD Contributions'!O111)"),0.0)</f>
        <v>0</v>
      </c>
      <c r="P111" s="170">
        <f>IFERROR(__xludf.DUMMYFUNCTION("IFERROR(O111 * (1 + AVERAGE(Filter('Inflation Data'!$C:$C,'Inflation Data'!$A:$A = P$1))) + 'Fund YTD Contributions'!P111,'Fund YTD Contributions'!P111)"),0.0)</f>
        <v>0</v>
      </c>
      <c r="Q111" s="170">
        <f>IFERROR(__xludf.DUMMYFUNCTION("IFERROR(P111 * (1 + AVERAGE(Filter('Inflation Data'!$C:$C,'Inflation Data'!$A:$A = Q$1))) + 'Fund YTD Contributions'!Q111,'Fund YTD Contributions'!Q111)"),0.0)</f>
        <v>0</v>
      </c>
      <c r="R111" s="170">
        <f>IFERROR(__xludf.DUMMYFUNCTION("IFERROR(Q111 * (1 + AVERAGE(Filter('Inflation Data'!$C:$C,'Inflation Data'!$A:$A = R$1))) + 'Fund YTD Contributions'!R111,'Fund YTD Contributions'!R111)"),0.0)</f>
        <v>0</v>
      </c>
      <c r="S111" s="170">
        <f>IFERROR(__xludf.DUMMYFUNCTION("IFERROR(R111 * (1 + AVERAGE(Filter('Inflation Data'!$C:$C,'Inflation Data'!$A:$A = S$1))) + 'Fund YTD Contributions'!S111,'Fund YTD Contributions'!S111)"),0.0)</f>
        <v>0</v>
      </c>
      <c r="T111" s="170">
        <f>IFERROR(__xludf.DUMMYFUNCTION("IFERROR(S111 * (1 + AVERAGE(Filter('Inflation Data'!$C:$C,'Inflation Data'!$A:$A = T$1))) + 'Fund YTD Contributions'!T111,'Fund YTD Contributions'!T111)"),0.0)</f>
        <v>0</v>
      </c>
      <c r="U111" s="170">
        <f>IFERROR(__xludf.DUMMYFUNCTION("IFERROR(T111 * (1 + AVERAGE(Filter('Inflation Data'!$C:$C,'Inflation Data'!$A:$A = U$1))) + 'Fund YTD Contributions'!U111,'Fund YTD Contributions'!U111)"),0.0)</f>
        <v>0</v>
      </c>
      <c r="V111" s="170">
        <f>IFERROR(__xludf.DUMMYFUNCTION("IFERROR(U111 * (1 + AVERAGE(Filter('Inflation Data'!$C:$C,'Inflation Data'!$A:$A = V$1))) + 'Fund YTD Contributions'!V111,'Fund YTD Contributions'!V111)"),0.0)</f>
        <v>0</v>
      </c>
      <c r="W111" s="170">
        <f>IFERROR(__xludf.DUMMYFUNCTION("IFERROR(V111 * (1 + AVERAGE(Filter('Inflation Data'!$C:$C,'Inflation Data'!$A:$A = W$1))) + 'Fund YTD Contributions'!W111,'Fund YTD Contributions'!W111)"),0.0)</f>
        <v>0</v>
      </c>
      <c r="X111" s="170">
        <f>IFERROR(__xludf.DUMMYFUNCTION("IFERROR(W111 * (1 + AVERAGE(Filter('Inflation Data'!$C:$C,'Inflation Data'!$A:$A = X$1))) + 'Fund YTD Contributions'!X111,'Fund YTD Contributions'!X111)"),0.0)</f>
        <v>0</v>
      </c>
      <c r="Y111" s="170">
        <f>IFERROR(__xludf.DUMMYFUNCTION("IFERROR(X111 * (1 + AVERAGE(Filter('Inflation Data'!$C:$C,'Inflation Data'!$A:$A = Y$1))) + 'Fund YTD Contributions'!Y111,'Fund YTD Contributions'!Y111)"),0.0)</f>
        <v>0</v>
      </c>
      <c r="Z111" s="170">
        <f>IFERROR(__xludf.DUMMYFUNCTION("IFERROR(Y111 * (1 + AVERAGE(Filter('Inflation Data'!$C:$C,'Inflation Data'!$A:$A = Z$1))) + 'Fund YTD Contributions'!Z111,'Fund YTD Contributions'!Z111)"),0.0)</f>
        <v>0</v>
      </c>
      <c r="AA111" s="170">
        <f>IFERROR(__xludf.DUMMYFUNCTION("IFERROR(Z111 * (1 + AVERAGE(Filter('Inflation Data'!$C:$C,'Inflation Data'!$A:$A = AA$1))) + 'Fund YTD Contributions'!AA111,'Fund YTD Contributions'!AA111)"),0.0)</f>
        <v>0</v>
      </c>
      <c r="AB111" s="170">
        <f>IFERROR(__xludf.DUMMYFUNCTION("IFERROR(AA111 * (1 + AVERAGE(Filter('Inflation Data'!$C:$C,'Inflation Data'!$A:$A = AB$1))) + 'Fund YTD Contributions'!AB111,'Fund YTD Contributions'!AB111)"),0.0)</f>
        <v>0</v>
      </c>
      <c r="AC111" s="170">
        <f>IFERROR(__xludf.DUMMYFUNCTION("IFERROR(AB111 * (1 + AVERAGE(Filter('Inflation Data'!$C:$C,'Inflation Data'!$A:$A = AC$1))) + 'Fund YTD Contributions'!AC111,'Fund YTD Contributions'!AC111)"),0.0)</f>
        <v>0</v>
      </c>
      <c r="AD111" s="170">
        <f>IFERROR(__xludf.DUMMYFUNCTION("IFERROR(AC111 * (1 + AVERAGE(Filter('Inflation Data'!$C:$C,'Inflation Data'!$A:$A = AD$1))) + 'Fund YTD Contributions'!AD111,'Fund YTD Contributions'!AD111)"),0.0)</f>
        <v>0</v>
      </c>
      <c r="AE111" s="170">
        <f>IFERROR(__xludf.DUMMYFUNCTION("IFERROR(AD111 * (1 + AVERAGE(Filter('Inflation Data'!$C:$C,'Inflation Data'!$A:$A = AE$1))) + 'Fund YTD Contributions'!AE111,'Fund YTD Contributions'!AE111)"),0.0)</f>
        <v>0</v>
      </c>
      <c r="AF111" s="170" t="str">
        <f>IFERROR(__xludf.DUMMYFUNCTION("IFERROR(AE111 * (1 + AVERAGE(Filter('Inflation Data'!$C:$C,'Inflation Data'!$A:$A = AF$1))) + 'Fund YTD Contributions'!AF111,'Fund YTD Contributions'!AF111)"),"")</f>
        <v/>
      </c>
    </row>
    <row r="112">
      <c r="A112" s="145" t="str">
        <f>'Endowed Funds'!B:B</f>
        <v/>
      </c>
      <c r="B112" s="170">
        <f>IFERROR(__xludf.DUMMYFUNCTION("IFERROR(A112 * (1 + AVERAGE(Filter('Inflation Data'!$C:$C,'Inflation Data'!$A:$A = B$1))) + 'Fund YTD Contributions'!B112,'Fund YTD Contributions'!B112)"),0.0)</f>
        <v>0</v>
      </c>
      <c r="C112" s="170">
        <f>IFERROR(__xludf.DUMMYFUNCTION("IFERROR(B112 * (1 + AVERAGE(Filter('Inflation Data'!$C:$C,'Inflation Data'!$A:$A = C$1))) + 'Fund YTD Contributions'!C112,'Fund YTD Contributions'!C112)"),0.0)</f>
        <v>0</v>
      </c>
      <c r="D112" s="170">
        <f>IFERROR(__xludf.DUMMYFUNCTION("IFERROR(C112 * (1 + AVERAGE(Filter('Inflation Data'!$C:$C,'Inflation Data'!$A:$A = D$1))) + 'Fund YTD Contributions'!D112,'Fund YTD Contributions'!D112)"),0.0)</f>
        <v>0</v>
      </c>
      <c r="E112" s="170">
        <f>IFERROR(__xludf.DUMMYFUNCTION("IFERROR(D112 * (1 + AVERAGE(Filter('Inflation Data'!$C:$C,'Inflation Data'!$A:$A = E$1))) + 'Fund YTD Contributions'!E112,'Fund YTD Contributions'!E112)"),0.0)</f>
        <v>0</v>
      </c>
      <c r="F112" s="170">
        <f>IFERROR(__xludf.DUMMYFUNCTION("IFERROR(E112 * (1 + AVERAGE(Filter('Inflation Data'!$C:$C,'Inflation Data'!$A:$A = F$1))) + 'Fund YTD Contributions'!F112,'Fund YTD Contributions'!F112)"),0.0)</f>
        <v>0</v>
      </c>
      <c r="G112" s="170">
        <f>IFERROR(__xludf.DUMMYFUNCTION("IFERROR(F112 * (1 + AVERAGE(Filter('Inflation Data'!$C:$C,'Inflation Data'!$A:$A = G$1))) + 'Fund YTD Contributions'!G112,'Fund YTD Contributions'!G112)"),0.0)</f>
        <v>0</v>
      </c>
      <c r="H112" s="170">
        <f>IFERROR(__xludf.DUMMYFUNCTION("IFERROR(G112 * (1 + AVERAGE(Filter('Inflation Data'!$C:$C,'Inflation Data'!$A:$A = H$1))) + 'Fund YTD Contributions'!H112,'Fund YTD Contributions'!H112)"),0.0)</f>
        <v>0</v>
      </c>
      <c r="I112" s="170">
        <f>IFERROR(__xludf.DUMMYFUNCTION("IFERROR(H112 * (1 + AVERAGE(Filter('Inflation Data'!$C:$C,'Inflation Data'!$A:$A = I$1))) + 'Fund YTD Contributions'!I112,'Fund YTD Contributions'!I112)"),0.0)</f>
        <v>0</v>
      </c>
      <c r="J112" s="170">
        <f>IFERROR(__xludf.DUMMYFUNCTION("IFERROR(I112 * (1 + AVERAGE(Filter('Inflation Data'!$C:$C,'Inflation Data'!$A:$A = J$1))) + 'Fund YTD Contributions'!J112,'Fund YTD Contributions'!J112)"),0.0)</f>
        <v>0</v>
      </c>
      <c r="K112" s="170">
        <f>IFERROR(__xludf.DUMMYFUNCTION("IFERROR(J112 * (1 + AVERAGE(Filter('Inflation Data'!$C:$C,'Inflation Data'!$A:$A = K$1))) + 'Fund YTD Contributions'!K112,'Fund YTD Contributions'!K112)"),0.0)</f>
        <v>0</v>
      </c>
      <c r="L112" s="170">
        <f>IFERROR(__xludf.DUMMYFUNCTION("IFERROR(K112 * (1 + AVERAGE(Filter('Inflation Data'!$C:$C,'Inflation Data'!$A:$A = L$1))) + 'Fund YTD Contributions'!L112,'Fund YTD Contributions'!L112)"),0.0)</f>
        <v>0</v>
      </c>
      <c r="M112" s="170">
        <f>IFERROR(__xludf.DUMMYFUNCTION("IFERROR(L112 * (1 + AVERAGE(Filter('Inflation Data'!$C:$C,'Inflation Data'!$A:$A = M$1))) + 'Fund YTD Contributions'!M112,'Fund YTD Contributions'!M112)"),0.0)</f>
        <v>0</v>
      </c>
      <c r="N112" s="170">
        <f>IFERROR(__xludf.DUMMYFUNCTION("IFERROR(M112 * (1 + AVERAGE(Filter('Inflation Data'!$C:$C,'Inflation Data'!$A:$A = N$1))) + 'Fund YTD Contributions'!N112,'Fund YTD Contributions'!N112)"),0.0)</f>
        <v>0</v>
      </c>
      <c r="O112" s="170">
        <f>IFERROR(__xludf.DUMMYFUNCTION("IFERROR(N112 * (1 + AVERAGE(Filter('Inflation Data'!$C:$C,'Inflation Data'!$A:$A = O$1))) + 'Fund YTD Contributions'!O112,'Fund YTD Contributions'!O112)"),0.0)</f>
        <v>0</v>
      </c>
      <c r="P112" s="170">
        <f>IFERROR(__xludf.DUMMYFUNCTION("IFERROR(O112 * (1 + AVERAGE(Filter('Inflation Data'!$C:$C,'Inflation Data'!$A:$A = P$1))) + 'Fund YTD Contributions'!P112,'Fund YTD Contributions'!P112)"),0.0)</f>
        <v>0</v>
      </c>
      <c r="Q112" s="170">
        <f>IFERROR(__xludf.DUMMYFUNCTION("IFERROR(P112 * (1 + AVERAGE(Filter('Inflation Data'!$C:$C,'Inflation Data'!$A:$A = Q$1))) + 'Fund YTD Contributions'!Q112,'Fund YTD Contributions'!Q112)"),0.0)</f>
        <v>0</v>
      </c>
      <c r="R112" s="170">
        <f>IFERROR(__xludf.DUMMYFUNCTION("IFERROR(Q112 * (1 + AVERAGE(Filter('Inflation Data'!$C:$C,'Inflation Data'!$A:$A = R$1))) + 'Fund YTD Contributions'!R112,'Fund YTD Contributions'!R112)"),0.0)</f>
        <v>0</v>
      </c>
      <c r="S112" s="170">
        <f>IFERROR(__xludf.DUMMYFUNCTION("IFERROR(R112 * (1 + AVERAGE(Filter('Inflation Data'!$C:$C,'Inflation Data'!$A:$A = S$1))) + 'Fund YTD Contributions'!S112,'Fund YTD Contributions'!S112)"),0.0)</f>
        <v>0</v>
      </c>
      <c r="T112" s="170">
        <f>IFERROR(__xludf.DUMMYFUNCTION("IFERROR(S112 * (1 + AVERAGE(Filter('Inflation Data'!$C:$C,'Inflation Data'!$A:$A = T$1))) + 'Fund YTD Contributions'!T112,'Fund YTD Contributions'!T112)"),0.0)</f>
        <v>0</v>
      </c>
      <c r="U112" s="170">
        <f>IFERROR(__xludf.DUMMYFUNCTION("IFERROR(T112 * (1 + AVERAGE(Filter('Inflation Data'!$C:$C,'Inflation Data'!$A:$A = U$1))) + 'Fund YTD Contributions'!U112,'Fund YTD Contributions'!U112)"),0.0)</f>
        <v>0</v>
      </c>
      <c r="V112" s="170">
        <f>IFERROR(__xludf.DUMMYFUNCTION("IFERROR(U112 * (1 + AVERAGE(Filter('Inflation Data'!$C:$C,'Inflation Data'!$A:$A = V$1))) + 'Fund YTD Contributions'!V112,'Fund YTD Contributions'!V112)"),0.0)</f>
        <v>0</v>
      </c>
      <c r="W112" s="170">
        <f>IFERROR(__xludf.DUMMYFUNCTION("IFERROR(V112 * (1 + AVERAGE(Filter('Inflation Data'!$C:$C,'Inflation Data'!$A:$A = W$1))) + 'Fund YTD Contributions'!W112,'Fund YTD Contributions'!W112)"),0.0)</f>
        <v>0</v>
      </c>
      <c r="X112" s="170">
        <f>IFERROR(__xludf.DUMMYFUNCTION("IFERROR(W112 * (1 + AVERAGE(Filter('Inflation Data'!$C:$C,'Inflation Data'!$A:$A = X$1))) + 'Fund YTD Contributions'!X112,'Fund YTD Contributions'!X112)"),0.0)</f>
        <v>0</v>
      </c>
      <c r="Y112" s="170">
        <f>IFERROR(__xludf.DUMMYFUNCTION("IFERROR(X112 * (1 + AVERAGE(Filter('Inflation Data'!$C:$C,'Inflation Data'!$A:$A = Y$1))) + 'Fund YTD Contributions'!Y112,'Fund YTD Contributions'!Y112)"),0.0)</f>
        <v>0</v>
      </c>
      <c r="Z112" s="170">
        <f>IFERROR(__xludf.DUMMYFUNCTION("IFERROR(Y112 * (1 + AVERAGE(Filter('Inflation Data'!$C:$C,'Inflation Data'!$A:$A = Z$1))) + 'Fund YTD Contributions'!Z112,'Fund YTD Contributions'!Z112)"),0.0)</f>
        <v>0</v>
      </c>
      <c r="AA112" s="170">
        <f>IFERROR(__xludf.DUMMYFUNCTION("IFERROR(Z112 * (1 + AVERAGE(Filter('Inflation Data'!$C:$C,'Inflation Data'!$A:$A = AA$1))) + 'Fund YTD Contributions'!AA112,'Fund YTD Contributions'!AA112)"),0.0)</f>
        <v>0</v>
      </c>
      <c r="AB112" s="170">
        <f>IFERROR(__xludf.DUMMYFUNCTION("IFERROR(AA112 * (1 + AVERAGE(Filter('Inflation Data'!$C:$C,'Inflation Data'!$A:$A = AB$1))) + 'Fund YTD Contributions'!AB112,'Fund YTD Contributions'!AB112)"),0.0)</f>
        <v>0</v>
      </c>
      <c r="AC112" s="170">
        <f>IFERROR(__xludf.DUMMYFUNCTION("IFERROR(AB112 * (1 + AVERAGE(Filter('Inflation Data'!$C:$C,'Inflation Data'!$A:$A = AC$1))) + 'Fund YTD Contributions'!AC112,'Fund YTD Contributions'!AC112)"),0.0)</f>
        <v>0</v>
      </c>
      <c r="AD112" s="170">
        <f>IFERROR(__xludf.DUMMYFUNCTION("IFERROR(AC112 * (1 + AVERAGE(Filter('Inflation Data'!$C:$C,'Inflation Data'!$A:$A = AD$1))) + 'Fund YTD Contributions'!AD112,'Fund YTD Contributions'!AD112)"),0.0)</f>
        <v>0</v>
      </c>
      <c r="AE112" s="170">
        <f>IFERROR(__xludf.DUMMYFUNCTION("IFERROR(AD112 * (1 + AVERAGE(Filter('Inflation Data'!$C:$C,'Inflation Data'!$A:$A = AE$1))) + 'Fund YTD Contributions'!AE112,'Fund YTD Contributions'!AE112)"),0.0)</f>
        <v>0</v>
      </c>
      <c r="AF112" s="170" t="str">
        <f>IFERROR(__xludf.DUMMYFUNCTION("IFERROR(AE112 * (1 + AVERAGE(Filter('Inflation Data'!$C:$C,'Inflation Data'!$A:$A = AF$1))) + 'Fund YTD Contributions'!AF112,'Fund YTD Contributions'!AF112)"),"")</f>
        <v/>
      </c>
    </row>
    <row r="113">
      <c r="A113" s="145" t="str">
        <f>'Endowed Funds'!B:B</f>
        <v/>
      </c>
      <c r="B113" s="170">
        <f>IFERROR(__xludf.DUMMYFUNCTION("IFERROR(A113 * (1 + AVERAGE(Filter('Inflation Data'!$C:$C,'Inflation Data'!$A:$A = B$1))) + 'Fund YTD Contributions'!B113,'Fund YTD Contributions'!B113)"),0.0)</f>
        <v>0</v>
      </c>
      <c r="C113" s="170">
        <f>IFERROR(__xludf.DUMMYFUNCTION("IFERROR(B113 * (1 + AVERAGE(Filter('Inflation Data'!$C:$C,'Inflation Data'!$A:$A = C$1))) + 'Fund YTD Contributions'!C113,'Fund YTD Contributions'!C113)"),0.0)</f>
        <v>0</v>
      </c>
      <c r="D113" s="170">
        <f>IFERROR(__xludf.DUMMYFUNCTION("IFERROR(C113 * (1 + AVERAGE(Filter('Inflation Data'!$C:$C,'Inflation Data'!$A:$A = D$1))) + 'Fund YTD Contributions'!D113,'Fund YTD Contributions'!D113)"),0.0)</f>
        <v>0</v>
      </c>
      <c r="E113" s="170">
        <f>IFERROR(__xludf.DUMMYFUNCTION("IFERROR(D113 * (1 + AVERAGE(Filter('Inflation Data'!$C:$C,'Inflation Data'!$A:$A = E$1))) + 'Fund YTD Contributions'!E113,'Fund YTD Contributions'!E113)"),0.0)</f>
        <v>0</v>
      </c>
      <c r="F113" s="170">
        <f>IFERROR(__xludf.DUMMYFUNCTION("IFERROR(E113 * (1 + AVERAGE(Filter('Inflation Data'!$C:$C,'Inflation Data'!$A:$A = F$1))) + 'Fund YTD Contributions'!F113,'Fund YTD Contributions'!F113)"),0.0)</f>
        <v>0</v>
      </c>
      <c r="G113" s="170">
        <f>IFERROR(__xludf.DUMMYFUNCTION("IFERROR(F113 * (1 + AVERAGE(Filter('Inflation Data'!$C:$C,'Inflation Data'!$A:$A = G$1))) + 'Fund YTD Contributions'!G113,'Fund YTD Contributions'!G113)"),0.0)</f>
        <v>0</v>
      </c>
      <c r="H113" s="170">
        <f>IFERROR(__xludf.DUMMYFUNCTION("IFERROR(G113 * (1 + AVERAGE(Filter('Inflation Data'!$C:$C,'Inflation Data'!$A:$A = H$1))) + 'Fund YTD Contributions'!H113,'Fund YTD Contributions'!H113)"),0.0)</f>
        <v>0</v>
      </c>
      <c r="I113" s="170">
        <f>IFERROR(__xludf.DUMMYFUNCTION("IFERROR(H113 * (1 + AVERAGE(Filter('Inflation Data'!$C:$C,'Inflation Data'!$A:$A = I$1))) + 'Fund YTD Contributions'!I113,'Fund YTD Contributions'!I113)"),0.0)</f>
        <v>0</v>
      </c>
      <c r="J113" s="170">
        <f>IFERROR(__xludf.DUMMYFUNCTION("IFERROR(I113 * (1 + AVERAGE(Filter('Inflation Data'!$C:$C,'Inflation Data'!$A:$A = J$1))) + 'Fund YTD Contributions'!J113,'Fund YTD Contributions'!J113)"),0.0)</f>
        <v>0</v>
      </c>
      <c r="K113" s="170">
        <f>IFERROR(__xludf.DUMMYFUNCTION("IFERROR(J113 * (1 + AVERAGE(Filter('Inflation Data'!$C:$C,'Inflation Data'!$A:$A = K$1))) + 'Fund YTD Contributions'!K113,'Fund YTD Contributions'!K113)"),0.0)</f>
        <v>0</v>
      </c>
      <c r="L113" s="170">
        <f>IFERROR(__xludf.DUMMYFUNCTION("IFERROR(K113 * (1 + AVERAGE(Filter('Inflation Data'!$C:$C,'Inflation Data'!$A:$A = L$1))) + 'Fund YTD Contributions'!L113,'Fund YTD Contributions'!L113)"),0.0)</f>
        <v>0</v>
      </c>
      <c r="M113" s="170">
        <f>IFERROR(__xludf.DUMMYFUNCTION("IFERROR(L113 * (1 + AVERAGE(Filter('Inflation Data'!$C:$C,'Inflation Data'!$A:$A = M$1))) + 'Fund YTD Contributions'!M113,'Fund YTD Contributions'!M113)"),0.0)</f>
        <v>0</v>
      </c>
      <c r="N113" s="170">
        <f>IFERROR(__xludf.DUMMYFUNCTION("IFERROR(M113 * (1 + AVERAGE(Filter('Inflation Data'!$C:$C,'Inflation Data'!$A:$A = N$1))) + 'Fund YTD Contributions'!N113,'Fund YTD Contributions'!N113)"),0.0)</f>
        <v>0</v>
      </c>
      <c r="O113" s="170">
        <f>IFERROR(__xludf.DUMMYFUNCTION("IFERROR(N113 * (1 + AVERAGE(Filter('Inflation Data'!$C:$C,'Inflation Data'!$A:$A = O$1))) + 'Fund YTD Contributions'!O113,'Fund YTD Contributions'!O113)"),0.0)</f>
        <v>0</v>
      </c>
      <c r="P113" s="170">
        <f>IFERROR(__xludf.DUMMYFUNCTION("IFERROR(O113 * (1 + AVERAGE(Filter('Inflation Data'!$C:$C,'Inflation Data'!$A:$A = P$1))) + 'Fund YTD Contributions'!P113,'Fund YTD Contributions'!P113)"),0.0)</f>
        <v>0</v>
      </c>
      <c r="Q113" s="170">
        <f>IFERROR(__xludf.DUMMYFUNCTION("IFERROR(P113 * (1 + AVERAGE(Filter('Inflation Data'!$C:$C,'Inflation Data'!$A:$A = Q$1))) + 'Fund YTD Contributions'!Q113,'Fund YTD Contributions'!Q113)"),0.0)</f>
        <v>0</v>
      </c>
      <c r="R113" s="170">
        <f>IFERROR(__xludf.DUMMYFUNCTION("IFERROR(Q113 * (1 + AVERAGE(Filter('Inflation Data'!$C:$C,'Inflation Data'!$A:$A = R$1))) + 'Fund YTD Contributions'!R113,'Fund YTD Contributions'!R113)"),0.0)</f>
        <v>0</v>
      </c>
      <c r="S113" s="170">
        <f>IFERROR(__xludf.DUMMYFUNCTION("IFERROR(R113 * (1 + AVERAGE(Filter('Inflation Data'!$C:$C,'Inflation Data'!$A:$A = S$1))) + 'Fund YTD Contributions'!S113,'Fund YTD Contributions'!S113)"),0.0)</f>
        <v>0</v>
      </c>
      <c r="T113" s="170">
        <f>IFERROR(__xludf.DUMMYFUNCTION("IFERROR(S113 * (1 + AVERAGE(Filter('Inflation Data'!$C:$C,'Inflation Data'!$A:$A = T$1))) + 'Fund YTD Contributions'!T113,'Fund YTD Contributions'!T113)"),0.0)</f>
        <v>0</v>
      </c>
      <c r="U113" s="170">
        <f>IFERROR(__xludf.DUMMYFUNCTION("IFERROR(T113 * (1 + AVERAGE(Filter('Inflation Data'!$C:$C,'Inflation Data'!$A:$A = U$1))) + 'Fund YTD Contributions'!U113,'Fund YTD Contributions'!U113)"),0.0)</f>
        <v>0</v>
      </c>
      <c r="V113" s="170">
        <f>IFERROR(__xludf.DUMMYFUNCTION("IFERROR(U113 * (1 + AVERAGE(Filter('Inflation Data'!$C:$C,'Inflation Data'!$A:$A = V$1))) + 'Fund YTD Contributions'!V113,'Fund YTD Contributions'!V113)"),0.0)</f>
        <v>0</v>
      </c>
      <c r="W113" s="170">
        <f>IFERROR(__xludf.DUMMYFUNCTION("IFERROR(V113 * (1 + AVERAGE(Filter('Inflation Data'!$C:$C,'Inflation Data'!$A:$A = W$1))) + 'Fund YTD Contributions'!W113,'Fund YTD Contributions'!W113)"),0.0)</f>
        <v>0</v>
      </c>
      <c r="X113" s="170">
        <f>IFERROR(__xludf.DUMMYFUNCTION("IFERROR(W113 * (1 + AVERAGE(Filter('Inflation Data'!$C:$C,'Inflation Data'!$A:$A = X$1))) + 'Fund YTD Contributions'!X113,'Fund YTD Contributions'!X113)"),0.0)</f>
        <v>0</v>
      </c>
      <c r="Y113" s="170">
        <f>IFERROR(__xludf.DUMMYFUNCTION("IFERROR(X113 * (1 + AVERAGE(Filter('Inflation Data'!$C:$C,'Inflation Data'!$A:$A = Y$1))) + 'Fund YTD Contributions'!Y113,'Fund YTD Contributions'!Y113)"),0.0)</f>
        <v>0</v>
      </c>
      <c r="Z113" s="170">
        <f>IFERROR(__xludf.DUMMYFUNCTION("IFERROR(Y113 * (1 + AVERAGE(Filter('Inflation Data'!$C:$C,'Inflation Data'!$A:$A = Z$1))) + 'Fund YTD Contributions'!Z113,'Fund YTD Contributions'!Z113)"),0.0)</f>
        <v>0</v>
      </c>
      <c r="AA113" s="170">
        <f>IFERROR(__xludf.DUMMYFUNCTION("IFERROR(Z113 * (1 + AVERAGE(Filter('Inflation Data'!$C:$C,'Inflation Data'!$A:$A = AA$1))) + 'Fund YTD Contributions'!AA113,'Fund YTD Contributions'!AA113)"),0.0)</f>
        <v>0</v>
      </c>
      <c r="AB113" s="170">
        <f>IFERROR(__xludf.DUMMYFUNCTION("IFERROR(AA113 * (1 + AVERAGE(Filter('Inflation Data'!$C:$C,'Inflation Data'!$A:$A = AB$1))) + 'Fund YTD Contributions'!AB113,'Fund YTD Contributions'!AB113)"),0.0)</f>
        <v>0</v>
      </c>
      <c r="AC113" s="170">
        <f>IFERROR(__xludf.DUMMYFUNCTION("IFERROR(AB113 * (1 + AVERAGE(Filter('Inflation Data'!$C:$C,'Inflation Data'!$A:$A = AC$1))) + 'Fund YTD Contributions'!AC113,'Fund YTD Contributions'!AC113)"),0.0)</f>
        <v>0</v>
      </c>
      <c r="AD113" s="170">
        <f>IFERROR(__xludf.DUMMYFUNCTION("IFERROR(AC113 * (1 + AVERAGE(Filter('Inflation Data'!$C:$C,'Inflation Data'!$A:$A = AD$1))) + 'Fund YTD Contributions'!AD113,'Fund YTD Contributions'!AD113)"),0.0)</f>
        <v>0</v>
      </c>
      <c r="AE113" s="170">
        <f>IFERROR(__xludf.DUMMYFUNCTION("IFERROR(AD113 * (1 + AVERAGE(Filter('Inflation Data'!$C:$C,'Inflation Data'!$A:$A = AE$1))) + 'Fund YTD Contributions'!AE113,'Fund YTD Contributions'!AE113)"),0.0)</f>
        <v>0</v>
      </c>
      <c r="AF113" s="170" t="str">
        <f>IFERROR(__xludf.DUMMYFUNCTION("IFERROR(AE113 * (1 + AVERAGE(Filter('Inflation Data'!$C:$C,'Inflation Data'!$A:$A = AF$1))) + 'Fund YTD Contributions'!AF113,'Fund YTD Contributions'!AF113)"),"")</f>
        <v/>
      </c>
    </row>
    <row r="114">
      <c r="A114" s="145" t="str">
        <f>'Endowed Funds'!B:B</f>
        <v/>
      </c>
      <c r="B114" s="170">
        <f>IFERROR(__xludf.DUMMYFUNCTION("IFERROR(A114 * (1 + AVERAGE(Filter('Inflation Data'!$C:$C,'Inflation Data'!$A:$A = B$1))) + 'Fund YTD Contributions'!B114,'Fund YTD Contributions'!B114)"),0.0)</f>
        <v>0</v>
      </c>
      <c r="C114" s="170">
        <f>IFERROR(__xludf.DUMMYFUNCTION("IFERROR(B114 * (1 + AVERAGE(Filter('Inflation Data'!$C:$C,'Inflation Data'!$A:$A = C$1))) + 'Fund YTD Contributions'!C114,'Fund YTD Contributions'!C114)"),0.0)</f>
        <v>0</v>
      </c>
      <c r="D114" s="170">
        <f>IFERROR(__xludf.DUMMYFUNCTION("IFERROR(C114 * (1 + AVERAGE(Filter('Inflation Data'!$C:$C,'Inflation Data'!$A:$A = D$1))) + 'Fund YTD Contributions'!D114,'Fund YTD Contributions'!D114)"),0.0)</f>
        <v>0</v>
      </c>
      <c r="E114" s="170">
        <f>IFERROR(__xludf.DUMMYFUNCTION("IFERROR(D114 * (1 + AVERAGE(Filter('Inflation Data'!$C:$C,'Inflation Data'!$A:$A = E$1))) + 'Fund YTD Contributions'!E114,'Fund YTD Contributions'!E114)"),0.0)</f>
        <v>0</v>
      </c>
      <c r="F114" s="170">
        <f>IFERROR(__xludf.DUMMYFUNCTION("IFERROR(E114 * (1 + AVERAGE(Filter('Inflation Data'!$C:$C,'Inflation Data'!$A:$A = F$1))) + 'Fund YTD Contributions'!F114,'Fund YTD Contributions'!F114)"),0.0)</f>
        <v>0</v>
      </c>
      <c r="G114" s="170">
        <f>IFERROR(__xludf.DUMMYFUNCTION("IFERROR(F114 * (1 + AVERAGE(Filter('Inflation Data'!$C:$C,'Inflation Data'!$A:$A = G$1))) + 'Fund YTD Contributions'!G114,'Fund YTD Contributions'!G114)"),0.0)</f>
        <v>0</v>
      </c>
      <c r="H114" s="170">
        <f>IFERROR(__xludf.DUMMYFUNCTION("IFERROR(G114 * (1 + AVERAGE(Filter('Inflation Data'!$C:$C,'Inflation Data'!$A:$A = H$1))) + 'Fund YTD Contributions'!H114,'Fund YTD Contributions'!H114)"),0.0)</f>
        <v>0</v>
      </c>
      <c r="I114" s="170">
        <f>IFERROR(__xludf.DUMMYFUNCTION("IFERROR(H114 * (1 + AVERAGE(Filter('Inflation Data'!$C:$C,'Inflation Data'!$A:$A = I$1))) + 'Fund YTD Contributions'!I114,'Fund YTD Contributions'!I114)"),0.0)</f>
        <v>0</v>
      </c>
      <c r="J114" s="170">
        <f>IFERROR(__xludf.DUMMYFUNCTION("IFERROR(I114 * (1 + AVERAGE(Filter('Inflation Data'!$C:$C,'Inflation Data'!$A:$A = J$1))) + 'Fund YTD Contributions'!J114,'Fund YTD Contributions'!J114)"),0.0)</f>
        <v>0</v>
      </c>
      <c r="K114" s="170">
        <f>IFERROR(__xludf.DUMMYFUNCTION("IFERROR(J114 * (1 + AVERAGE(Filter('Inflation Data'!$C:$C,'Inflation Data'!$A:$A = K$1))) + 'Fund YTD Contributions'!K114,'Fund YTD Contributions'!K114)"),0.0)</f>
        <v>0</v>
      </c>
      <c r="L114" s="170">
        <f>IFERROR(__xludf.DUMMYFUNCTION("IFERROR(K114 * (1 + AVERAGE(Filter('Inflation Data'!$C:$C,'Inflation Data'!$A:$A = L$1))) + 'Fund YTD Contributions'!L114,'Fund YTD Contributions'!L114)"),0.0)</f>
        <v>0</v>
      </c>
      <c r="M114" s="170">
        <f>IFERROR(__xludf.DUMMYFUNCTION("IFERROR(L114 * (1 + AVERAGE(Filter('Inflation Data'!$C:$C,'Inflation Data'!$A:$A = M$1))) + 'Fund YTD Contributions'!M114,'Fund YTD Contributions'!M114)"),0.0)</f>
        <v>0</v>
      </c>
      <c r="N114" s="170">
        <f>IFERROR(__xludf.DUMMYFUNCTION("IFERROR(M114 * (1 + AVERAGE(Filter('Inflation Data'!$C:$C,'Inflation Data'!$A:$A = N$1))) + 'Fund YTD Contributions'!N114,'Fund YTD Contributions'!N114)"),0.0)</f>
        <v>0</v>
      </c>
      <c r="O114" s="170">
        <f>IFERROR(__xludf.DUMMYFUNCTION("IFERROR(N114 * (1 + AVERAGE(Filter('Inflation Data'!$C:$C,'Inflation Data'!$A:$A = O$1))) + 'Fund YTD Contributions'!O114,'Fund YTD Contributions'!O114)"),0.0)</f>
        <v>0</v>
      </c>
      <c r="P114" s="170">
        <f>IFERROR(__xludf.DUMMYFUNCTION("IFERROR(O114 * (1 + AVERAGE(Filter('Inflation Data'!$C:$C,'Inflation Data'!$A:$A = P$1))) + 'Fund YTD Contributions'!P114,'Fund YTD Contributions'!P114)"),0.0)</f>
        <v>0</v>
      </c>
      <c r="Q114" s="170">
        <f>IFERROR(__xludf.DUMMYFUNCTION("IFERROR(P114 * (1 + AVERAGE(Filter('Inflation Data'!$C:$C,'Inflation Data'!$A:$A = Q$1))) + 'Fund YTD Contributions'!Q114,'Fund YTD Contributions'!Q114)"),0.0)</f>
        <v>0</v>
      </c>
      <c r="R114" s="170">
        <f>IFERROR(__xludf.DUMMYFUNCTION("IFERROR(Q114 * (1 + AVERAGE(Filter('Inflation Data'!$C:$C,'Inflation Data'!$A:$A = R$1))) + 'Fund YTD Contributions'!R114,'Fund YTD Contributions'!R114)"),0.0)</f>
        <v>0</v>
      </c>
      <c r="S114" s="170">
        <f>IFERROR(__xludf.DUMMYFUNCTION("IFERROR(R114 * (1 + AVERAGE(Filter('Inflation Data'!$C:$C,'Inflation Data'!$A:$A = S$1))) + 'Fund YTD Contributions'!S114,'Fund YTD Contributions'!S114)"),0.0)</f>
        <v>0</v>
      </c>
      <c r="T114" s="170">
        <f>IFERROR(__xludf.DUMMYFUNCTION("IFERROR(S114 * (1 + AVERAGE(Filter('Inflation Data'!$C:$C,'Inflation Data'!$A:$A = T$1))) + 'Fund YTD Contributions'!T114,'Fund YTD Contributions'!T114)"),0.0)</f>
        <v>0</v>
      </c>
      <c r="U114" s="170">
        <f>IFERROR(__xludf.DUMMYFUNCTION("IFERROR(T114 * (1 + AVERAGE(Filter('Inflation Data'!$C:$C,'Inflation Data'!$A:$A = U$1))) + 'Fund YTD Contributions'!U114,'Fund YTD Contributions'!U114)"),0.0)</f>
        <v>0</v>
      </c>
      <c r="V114" s="170">
        <f>IFERROR(__xludf.DUMMYFUNCTION("IFERROR(U114 * (1 + AVERAGE(Filter('Inflation Data'!$C:$C,'Inflation Data'!$A:$A = V$1))) + 'Fund YTD Contributions'!V114,'Fund YTD Contributions'!V114)"),0.0)</f>
        <v>0</v>
      </c>
      <c r="W114" s="170">
        <f>IFERROR(__xludf.DUMMYFUNCTION("IFERROR(V114 * (1 + AVERAGE(Filter('Inflation Data'!$C:$C,'Inflation Data'!$A:$A = W$1))) + 'Fund YTD Contributions'!W114,'Fund YTD Contributions'!W114)"),0.0)</f>
        <v>0</v>
      </c>
      <c r="X114" s="170">
        <f>IFERROR(__xludf.DUMMYFUNCTION("IFERROR(W114 * (1 + AVERAGE(Filter('Inflation Data'!$C:$C,'Inflation Data'!$A:$A = X$1))) + 'Fund YTD Contributions'!X114,'Fund YTD Contributions'!X114)"),0.0)</f>
        <v>0</v>
      </c>
      <c r="Y114" s="170">
        <f>IFERROR(__xludf.DUMMYFUNCTION("IFERROR(X114 * (1 + AVERAGE(Filter('Inflation Data'!$C:$C,'Inflation Data'!$A:$A = Y$1))) + 'Fund YTD Contributions'!Y114,'Fund YTD Contributions'!Y114)"),0.0)</f>
        <v>0</v>
      </c>
      <c r="Z114" s="170">
        <f>IFERROR(__xludf.DUMMYFUNCTION("IFERROR(Y114 * (1 + AVERAGE(Filter('Inflation Data'!$C:$C,'Inflation Data'!$A:$A = Z$1))) + 'Fund YTD Contributions'!Z114,'Fund YTD Contributions'!Z114)"),0.0)</f>
        <v>0</v>
      </c>
      <c r="AA114" s="170">
        <f>IFERROR(__xludf.DUMMYFUNCTION("IFERROR(Z114 * (1 + AVERAGE(Filter('Inflation Data'!$C:$C,'Inflation Data'!$A:$A = AA$1))) + 'Fund YTD Contributions'!AA114,'Fund YTD Contributions'!AA114)"),0.0)</f>
        <v>0</v>
      </c>
      <c r="AB114" s="170">
        <f>IFERROR(__xludf.DUMMYFUNCTION("IFERROR(AA114 * (1 + AVERAGE(Filter('Inflation Data'!$C:$C,'Inflation Data'!$A:$A = AB$1))) + 'Fund YTD Contributions'!AB114,'Fund YTD Contributions'!AB114)"),0.0)</f>
        <v>0</v>
      </c>
      <c r="AC114" s="170">
        <f>IFERROR(__xludf.DUMMYFUNCTION("IFERROR(AB114 * (1 + AVERAGE(Filter('Inflation Data'!$C:$C,'Inflation Data'!$A:$A = AC$1))) + 'Fund YTD Contributions'!AC114,'Fund YTD Contributions'!AC114)"),0.0)</f>
        <v>0</v>
      </c>
      <c r="AD114" s="170">
        <f>IFERROR(__xludf.DUMMYFUNCTION("IFERROR(AC114 * (1 + AVERAGE(Filter('Inflation Data'!$C:$C,'Inflation Data'!$A:$A = AD$1))) + 'Fund YTD Contributions'!AD114,'Fund YTD Contributions'!AD114)"),0.0)</f>
        <v>0</v>
      </c>
      <c r="AE114" s="170">
        <f>IFERROR(__xludf.DUMMYFUNCTION("IFERROR(AD114 * (1 + AVERAGE(Filter('Inflation Data'!$C:$C,'Inflation Data'!$A:$A = AE$1))) + 'Fund YTD Contributions'!AE114,'Fund YTD Contributions'!AE114)"),0.0)</f>
        <v>0</v>
      </c>
      <c r="AF114" s="170" t="str">
        <f>IFERROR(__xludf.DUMMYFUNCTION("IFERROR(AE114 * (1 + AVERAGE(Filter('Inflation Data'!$C:$C,'Inflation Data'!$A:$A = AF$1))) + 'Fund YTD Contributions'!AF114,'Fund YTD Contributions'!AF114)"),"")</f>
        <v/>
      </c>
    </row>
    <row r="115">
      <c r="A115" s="145" t="str">
        <f>'Endowed Funds'!B:B</f>
        <v/>
      </c>
      <c r="B115" s="170">
        <f>IFERROR(__xludf.DUMMYFUNCTION("IFERROR(A115 * (1 + AVERAGE(Filter('Inflation Data'!$C:$C,'Inflation Data'!$A:$A = B$1))) + 'Fund YTD Contributions'!B115,'Fund YTD Contributions'!B115)"),0.0)</f>
        <v>0</v>
      </c>
      <c r="C115" s="170">
        <f>IFERROR(__xludf.DUMMYFUNCTION("IFERROR(B115 * (1 + AVERAGE(Filter('Inflation Data'!$C:$C,'Inflation Data'!$A:$A = C$1))) + 'Fund YTD Contributions'!C115,'Fund YTD Contributions'!C115)"),0.0)</f>
        <v>0</v>
      </c>
      <c r="D115" s="170">
        <f>IFERROR(__xludf.DUMMYFUNCTION("IFERROR(C115 * (1 + AVERAGE(Filter('Inflation Data'!$C:$C,'Inflation Data'!$A:$A = D$1))) + 'Fund YTD Contributions'!D115,'Fund YTD Contributions'!D115)"),0.0)</f>
        <v>0</v>
      </c>
      <c r="E115" s="170">
        <f>IFERROR(__xludf.DUMMYFUNCTION("IFERROR(D115 * (1 + AVERAGE(Filter('Inflation Data'!$C:$C,'Inflation Data'!$A:$A = E$1))) + 'Fund YTD Contributions'!E115,'Fund YTD Contributions'!E115)"),0.0)</f>
        <v>0</v>
      </c>
      <c r="F115" s="170">
        <f>IFERROR(__xludf.DUMMYFUNCTION("IFERROR(E115 * (1 + AVERAGE(Filter('Inflation Data'!$C:$C,'Inflation Data'!$A:$A = F$1))) + 'Fund YTD Contributions'!F115,'Fund YTD Contributions'!F115)"),0.0)</f>
        <v>0</v>
      </c>
      <c r="G115" s="170">
        <f>IFERROR(__xludf.DUMMYFUNCTION("IFERROR(F115 * (1 + AVERAGE(Filter('Inflation Data'!$C:$C,'Inflation Data'!$A:$A = G$1))) + 'Fund YTD Contributions'!G115,'Fund YTD Contributions'!G115)"),0.0)</f>
        <v>0</v>
      </c>
      <c r="H115" s="170">
        <f>IFERROR(__xludf.DUMMYFUNCTION("IFERROR(G115 * (1 + AVERAGE(Filter('Inflation Data'!$C:$C,'Inflation Data'!$A:$A = H$1))) + 'Fund YTD Contributions'!H115,'Fund YTD Contributions'!H115)"),0.0)</f>
        <v>0</v>
      </c>
      <c r="I115" s="170">
        <f>IFERROR(__xludf.DUMMYFUNCTION("IFERROR(H115 * (1 + AVERAGE(Filter('Inflation Data'!$C:$C,'Inflation Data'!$A:$A = I$1))) + 'Fund YTD Contributions'!I115,'Fund YTD Contributions'!I115)"),0.0)</f>
        <v>0</v>
      </c>
      <c r="J115" s="170">
        <f>IFERROR(__xludf.DUMMYFUNCTION("IFERROR(I115 * (1 + AVERAGE(Filter('Inflation Data'!$C:$C,'Inflation Data'!$A:$A = J$1))) + 'Fund YTD Contributions'!J115,'Fund YTD Contributions'!J115)"),0.0)</f>
        <v>0</v>
      </c>
      <c r="K115" s="170">
        <f>IFERROR(__xludf.DUMMYFUNCTION("IFERROR(J115 * (1 + AVERAGE(Filter('Inflation Data'!$C:$C,'Inflation Data'!$A:$A = K$1))) + 'Fund YTD Contributions'!K115,'Fund YTD Contributions'!K115)"),0.0)</f>
        <v>0</v>
      </c>
      <c r="L115" s="170">
        <f>IFERROR(__xludf.DUMMYFUNCTION("IFERROR(K115 * (1 + AVERAGE(Filter('Inflation Data'!$C:$C,'Inflation Data'!$A:$A = L$1))) + 'Fund YTD Contributions'!L115,'Fund YTD Contributions'!L115)"),0.0)</f>
        <v>0</v>
      </c>
      <c r="M115" s="170">
        <f>IFERROR(__xludf.DUMMYFUNCTION("IFERROR(L115 * (1 + AVERAGE(Filter('Inflation Data'!$C:$C,'Inflation Data'!$A:$A = M$1))) + 'Fund YTD Contributions'!M115,'Fund YTD Contributions'!M115)"),0.0)</f>
        <v>0</v>
      </c>
      <c r="N115" s="170">
        <f>IFERROR(__xludf.DUMMYFUNCTION("IFERROR(M115 * (1 + AVERAGE(Filter('Inflation Data'!$C:$C,'Inflation Data'!$A:$A = N$1))) + 'Fund YTD Contributions'!N115,'Fund YTD Contributions'!N115)"),0.0)</f>
        <v>0</v>
      </c>
      <c r="O115" s="170">
        <f>IFERROR(__xludf.DUMMYFUNCTION("IFERROR(N115 * (1 + AVERAGE(Filter('Inflation Data'!$C:$C,'Inflation Data'!$A:$A = O$1))) + 'Fund YTD Contributions'!O115,'Fund YTD Contributions'!O115)"),0.0)</f>
        <v>0</v>
      </c>
      <c r="P115" s="170">
        <f>IFERROR(__xludf.DUMMYFUNCTION("IFERROR(O115 * (1 + AVERAGE(Filter('Inflation Data'!$C:$C,'Inflation Data'!$A:$A = P$1))) + 'Fund YTD Contributions'!P115,'Fund YTD Contributions'!P115)"),0.0)</f>
        <v>0</v>
      </c>
      <c r="Q115" s="170">
        <f>IFERROR(__xludf.DUMMYFUNCTION("IFERROR(P115 * (1 + AVERAGE(Filter('Inflation Data'!$C:$C,'Inflation Data'!$A:$A = Q$1))) + 'Fund YTD Contributions'!Q115,'Fund YTD Contributions'!Q115)"),0.0)</f>
        <v>0</v>
      </c>
      <c r="R115" s="170">
        <f>IFERROR(__xludf.DUMMYFUNCTION("IFERROR(Q115 * (1 + AVERAGE(Filter('Inflation Data'!$C:$C,'Inflation Data'!$A:$A = R$1))) + 'Fund YTD Contributions'!R115,'Fund YTD Contributions'!R115)"),0.0)</f>
        <v>0</v>
      </c>
      <c r="S115" s="170">
        <f>IFERROR(__xludf.DUMMYFUNCTION("IFERROR(R115 * (1 + AVERAGE(Filter('Inflation Data'!$C:$C,'Inflation Data'!$A:$A = S$1))) + 'Fund YTD Contributions'!S115,'Fund YTD Contributions'!S115)"),0.0)</f>
        <v>0</v>
      </c>
      <c r="T115" s="170">
        <f>IFERROR(__xludf.DUMMYFUNCTION("IFERROR(S115 * (1 + AVERAGE(Filter('Inflation Data'!$C:$C,'Inflation Data'!$A:$A = T$1))) + 'Fund YTD Contributions'!T115,'Fund YTD Contributions'!T115)"),0.0)</f>
        <v>0</v>
      </c>
      <c r="U115" s="170">
        <f>IFERROR(__xludf.DUMMYFUNCTION("IFERROR(T115 * (1 + AVERAGE(Filter('Inflation Data'!$C:$C,'Inflation Data'!$A:$A = U$1))) + 'Fund YTD Contributions'!U115,'Fund YTD Contributions'!U115)"),0.0)</f>
        <v>0</v>
      </c>
      <c r="V115" s="170">
        <f>IFERROR(__xludf.DUMMYFUNCTION("IFERROR(U115 * (1 + AVERAGE(Filter('Inflation Data'!$C:$C,'Inflation Data'!$A:$A = V$1))) + 'Fund YTD Contributions'!V115,'Fund YTD Contributions'!V115)"),0.0)</f>
        <v>0</v>
      </c>
      <c r="W115" s="170">
        <f>IFERROR(__xludf.DUMMYFUNCTION("IFERROR(V115 * (1 + AVERAGE(Filter('Inflation Data'!$C:$C,'Inflation Data'!$A:$A = W$1))) + 'Fund YTD Contributions'!W115,'Fund YTD Contributions'!W115)"),0.0)</f>
        <v>0</v>
      </c>
      <c r="X115" s="170">
        <f>IFERROR(__xludf.DUMMYFUNCTION("IFERROR(W115 * (1 + AVERAGE(Filter('Inflation Data'!$C:$C,'Inflation Data'!$A:$A = X$1))) + 'Fund YTD Contributions'!X115,'Fund YTD Contributions'!X115)"),0.0)</f>
        <v>0</v>
      </c>
      <c r="Y115" s="170">
        <f>IFERROR(__xludf.DUMMYFUNCTION("IFERROR(X115 * (1 + AVERAGE(Filter('Inflation Data'!$C:$C,'Inflation Data'!$A:$A = Y$1))) + 'Fund YTD Contributions'!Y115,'Fund YTD Contributions'!Y115)"),0.0)</f>
        <v>0</v>
      </c>
      <c r="Z115" s="170">
        <f>IFERROR(__xludf.DUMMYFUNCTION("IFERROR(Y115 * (1 + AVERAGE(Filter('Inflation Data'!$C:$C,'Inflation Data'!$A:$A = Z$1))) + 'Fund YTD Contributions'!Z115,'Fund YTD Contributions'!Z115)"),0.0)</f>
        <v>0</v>
      </c>
      <c r="AA115" s="170">
        <f>IFERROR(__xludf.DUMMYFUNCTION("IFERROR(Z115 * (1 + AVERAGE(Filter('Inflation Data'!$C:$C,'Inflation Data'!$A:$A = AA$1))) + 'Fund YTD Contributions'!AA115,'Fund YTD Contributions'!AA115)"),0.0)</f>
        <v>0</v>
      </c>
      <c r="AB115" s="170">
        <f>IFERROR(__xludf.DUMMYFUNCTION("IFERROR(AA115 * (1 + AVERAGE(Filter('Inflation Data'!$C:$C,'Inflation Data'!$A:$A = AB$1))) + 'Fund YTD Contributions'!AB115,'Fund YTD Contributions'!AB115)"),0.0)</f>
        <v>0</v>
      </c>
      <c r="AC115" s="170">
        <f>IFERROR(__xludf.DUMMYFUNCTION("IFERROR(AB115 * (1 + AVERAGE(Filter('Inflation Data'!$C:$C,'Inflation Data'!$A:$A = AC$1))) + 'Fund YTD Contributions'!AC115,'Fund YTD Contributions'!AC115)"),0.0)</f>
        <v>0</v>
      </c>
      <c r="AD115" s="170">
        <f>IFERROR(__xludf.DUMMYFUNCTION("IFERROR(AC115 * (1 + AVERAGE(Filter('Inflation Data'!$C:$C,'Inflation Data'!$A:$A = AD$1))) + 'Fund YTD Contributions'!AD115,'Fund YTD Contributions'!AD115)"),0.0)</f>
        <v>0</v>
      </c>
      <c r="AE115" s="170">
        <f>IFERROR(__xludf.DUMMYFUNCTION("IFERROR(AD115 * (1 + AVERAGE(Filter('Inflation Data'!$C:$C,'Inflation Data'!$A:$A = AE$1))) + 'Fund YTD Contributions'!AE115,'Fund YTD Contributions'!AE115)"),0.0)</f>
        <v>0</v>
      </c>
      <c r="AF115" s="170" t="str">
        <f>IFERROR(__xludf.DUMMYFUNCTION("IFERROR(AE115 * (1 + AVERAGE(Filter('Inflation Data'!$C:$C,'Inflation Data'!$A:$A = AF$1))) + 'Fund YTD Contributions'!AF115,'Fund YTD Contributions'!AF115)"),"")</f>
        <v/>
      </c>
    </row>
    <row r="116">
      <c r="A116" s="145" t="str">
        <f>'Endowed Funds'!B:B</f>
        <v/>
      </c>
      <c r="B116" s="170">
        <f>IFERROR(__xludf.DUMMYFUNCTION("IFERROR(A116 * (1 + AVERAGE(Filter('Inflation Data'!$C:$C,'Inflation Data'!$A:$A = B$1))) + 'Fund YTD Contributions'!B116,'Fund YTD Contributions'!B116)"),0.0)</f>
        <v>0</v>
      </c>
      <c r="C116" s="170">
        <f>IFERROR(__xludf.DUMMYFUNCTION("IFERROR(B116 * (1 + AVERAGE(Filter('Inflation Data'!$C:$C,'Inflation Data'!$A:$A = C$1))) + 'Fund YTD Contributions'!C116,'Fund YTD Contributions'!C116)"),0.0)</f>
        <v>0</v>
      </c>
      <c r="D116" s="170">
        <f>IFERROR(__xludf.DUMMYFUNCTION("IFERROR(C116 * (1 + AVERAGE(Filter('Inflation Data'!$C:$C,'Inflation Data'!$A:$A = D$1))) + 'Fund YTD Contributions'!D116,'Fund YTD Contributions'!D116)"),0.0)</f>
        <v>0</v>
      </c>
      <c r="E116" s="170">
        <f>IFERROR(__xludf.DUMMYFUNCTION("IFERROR(D116 * (1 + AVERAGE(Filter('Inflation Data'!$C:$C,'Inflation Data'!$A:$A = E$1))) + 'Fund YTD Contributions'!E116,'Fund YTD Contributions'!E116)"),0.0)</f>
        <v>0</v>
      </c>
      <c r="F116" s="170">
        <f>IFERROR(__xludf.DUMMYFUNCTION("IFERROR(E116 * (1 + AVERAGE(Filter('Inflation Data'!$C:$C,'Inflation Data'!$A:$A = F$1))) + 'Fund YTD Contributions'!F116,'Fund YTD Contributions'!F116)"),0.0)</f>
        <v>0</v>
      </c>
      <c r="G116" s="170">
        <f>IFERROR(__xludf.DUMMYFUNCTION("IFERROR(F116 * (1 + AVERAGE(Filter('Inflation Data'!$C:$C,'Inflation Data'!$A:$A = G$1))) + 'Fund YTD Contributions'!G116,'Fund YTD Contributions'!G116)"),0.0)</f>
        <v>0</v>
      </c>
      <c r="H116" s="170">
        <f>IFERROR(__xludf.DUMMYFUNCTION("IFERROR(G116 * (1 + AVERAGE(Filter('Inflation Data'!$C:$C,'Inflation Data'!$A:$A = H$1))) + 'Fund YTD Contributions'!H116,'Fund YTD Contributions'!H116)"),0.0)</f>
        <v>0</v>
      </c>
      <c r="I116" s="170">
        <f>IFERROR(__xludf.DUMMYFUNCTION("IFERROR(H116 * (1 + AVERAGE(Filter('Inflation Data'!$C:$C,'Inflation Data'!$A:$A = I$1))) + 'Fund YTD Contributions'!I116,'Fund YTD Contributions'!I116)"),0.0)</f>
        <v>0</v>
      </c>
      <c r="J116" s="170">
        <f>IFERROR(__xludf.DUMMYFUNCTION("IFERROR(I116 * (1 + AVERAGE(Filter('Inflation Data'!$C:$C,'Inflation Data'!$A:$A = J$1))) + 'Fund YTD Contributions'!J116,'Fund YTD Contributions'!J116)"),0.0)</f>
        <v>0</v>
      </c>
      <c r="K116" s="170">
        <f>IFERROR(__xludf.DUMMYFUNCTION("IFERROR(J116 * (1 + AVERAGE(Filter('Inflation Data'!$C:$C,'Inflation Data'!$A:$A = K$1))) + 'Fund YTD Contributions'!K116,'Fund YTD Contributions'!K116)"),0.0)</f>
        <v>0</v>
      </c>
      <c r="L116" s="170">
        <f>IFERROR(__xludf.DUMMYFUNCTION("IFERROR(K116 * (1 + AVERAGE(Filter('Inflation Data'!$C:$C,'Inflation Data'!$A:$A = L$1))) + 'Fund YTD Contributions'!L116,'Fund YTD Contributions'!L116)"),0.0)</f>
        <v>0</v>
      </c>
      <c r="M116" s="170">
        <f>IFERROR(__xludf.DUMMYFUNCTION("IFERROR(L116 * (1 + AVERAGE(Filter('Inflation Data'!$C:$C,'Inflation Data'!$A:$A = M$1))) + 'Fund YTD Contributions'!M116,'Fund YTD Contributions'!M116)"),0.0)</f>
        <v>0</v>
      </c>
      <c r="N116" s="170">
        <f>IFERROR(__xludf.DUMMYFUNCTION("IFERROR(M116 * (1 + AVERAGE(Filter('Inflation Data'!$C:$C,'Inflation Data'!$A:$A = N$1))) + 'Fund YTD Contributions'!N116,'Fund YTD Contributions'!N116)"),0.0)</f>
        <v>0</v>
      </c>
      <c r="O116" s="170">
        <f>IFERROR(__xludf.DUMMYFUNCTION("IFERROR(N116 * (1 + AVERAGE(Filter('Inflation Data'!$C:$C,'Inflation Data'!$A:$A = O$1))) + 'Fund YTD Contributions'!O116,'Fund YTD Contributions'!O116)"),0.0)</f>
        <v>0</v>
      </c>
      <c r="P116" s="170">
        <f>IFERROR(__xludf.DUMMYFUNCTION("IFERROR(O116 * (1 + AVERAGE(Filter('Inflation Data'!$C:$C,'Inflation Data'!$A:$A = P$1))) + 'Fund YTD Contributions'!P116,'Fund YTD Contributions'!P116)"),0.0)</f>
        <v>0</v>
      </c>
      <c r="Q116" s="170">
        <f>IFERROR(__xludf.DUMMYFUNCTION("IFERROR(P116 * (1 + AVERAGE(Filter('Inflation Data'!$C:$C,'Inflation Data'!$A:$A = Q$1))) + 'Fund YTD Contributions'!Q116,'Fund YTD Contributions'!Q116)"),0.0)</f>
        <v>0</v>
      </c>
      <c r="R116" s="170">
        <f>IFERROR(__xludf.DUMMYFUNCTION("IFERROR(Q116 * (1 + AVERAGE(Filter('Inflation Data'!$C:$C,'Inflation Data'!$A:$A = R$1))) + 'Fund YTD Contributions'!R116,'Fund YTD Contributions'!R116)"),0.0)</f>
        <v>0</v>
      </c>
      <c r="S116" s="170">
        <f>IFERROR(__xludf.DUMMYFUNCTION("IFERROR(R116 * (1 + AVERAGE(Filter('Inflation Data'!$C:$C,'Inflation Data'!$A:$A = S$1))) + 'Fund YTD Contributions'!S116,'Fund YTD Contributions'!S116)"),0.0)</f>
        <v>0</v>
      </c>
      <c r="T116" s="170">
        <f>IFERROR(__xludf.DUMMYFUNCTION("IFERROR(S116 * (1 + AVERAGE(Filter('Inflation Data'!$C:$C,'Inflation Data'!$A:$A = T$1))) + 'Fund YTD Contributions'!T116,'Fund YTD Contributions'!T116)"),0.0)</f>
        <v>0</v>
      </c>
      <c r="U116" s="170">
        <f>IFERROR(__xludf.DUMMYFUNCTION("IFERROR(T116 * (1 + AVERAGE(Filter('Inflation Data'!$C:$C,'Inflation Data'!$A:$A = U$1))) + 'Fund YTD Contributions'!U116,'Fund YTD Contributions'!U116)"),0.0)</f>
        <v>0</v>
      </c>
      <c r="V116" s="170">
        <f>IFERROR(__xludf.DUMMYFUNCTION("IFERROR(U116 * (1 + AVERAGE(Filter('Inflation Data'!$C:$C,'Inflation Data'!$A:$A = V$1))) + 'Fund YTD Contributions'!V116,'Fund YTD Contributions'!V116)"),0.0)</f>
        <v>0</v>
      </c>
      <c r="W116" s="170">
        <f>IFERROR(__xludf.DUMMYFUNCTION("IFERROR(V116 * (1 + AVERAGE(Filter('Inflation Data'!$C:$C,'Inflation Data'!$A:$A = W$1))) + 'Fund YTD Contributions'!W116,'Fund YTD Contributions'!W116)"),0.0)</f>
        <v>0</v>
      </c>
      <c r="X116" s="170">
        <f>IFERROR(__xludf.DUMMYFUNCTION("IFERROR(W116 * (1 + AVERAGE(Filter('Inflation Data'!$C:$C,'Inflation Data'!$A:$A = X$1))) + 'Fund YTD Contributions'!X116,'Fund YTD Contributions'!X116)"),0.0)</f>
        <v>0</v>
      </c>
      <c r="Y116" s="170">
        <f>IFERROR(__xludf.DUMMYFUNCTION("IFERROR(X116 * (1 + AVERAGE(Filter('Inflation Data'!$C:$C,'Inflation Data'!$A:$A = Y$1))) + 'Fund YTD Contributions'!Y116,'Fund YTD Contributions'!Y116)"),0.0)</f>
        <v>0</v>
      </c>
      <c r="Z116" s="170">
        <f>IFERROR(__xludf.DUMMYFUNCTION("IFERROR(Y116 * (1 + AVERAGE(Filter('Inflation Data'!$C:$C,'Inflation Data'!$A:$A = Z$1))) + 'Fund YTD Contributions'!Z116,'Fund YTD Contributions'!Z116)"),0.0)</f>
        <v>0</v>
      </c>
      <c r="AA116" s="170">
        <f>IFERROR(__xludf.DUMMYFUNCTION("IFERROR(Z116 * (1 + AVERAGE(Filter('Inflation Data'!$C:$C,'Inflation Data'!$A:$A = AA$1))) + 'Fund YTD Contributions'!AA116,'Fund YTD Contributions'!AA116)"),0.0)</f>
        <v>0</v>
      </c>
      <c r="AB116" s="170">
        <f>IFERROR(__xludf.DUMMYFUNCTION("IFERROR(AA116 * (1 + AVERAGE(Filter('Inflation Data'!$C:$C,'Inflation Data'!$A:$A = AB$1))) + 'Fund YTD Contributions'!AB116,'Fund YTD Contributions'!AB116)"),0.0)</f>
        <v>0</v>
      </c>
      <c r="AC116" s="170">
        <f>IFERROR(__xludf.DUMMYFUNCTION("IFERROR(AB116 * (1 + AVERAGE(Filter('Inflation Data'!$C:$C,'Inflation Data'!$A:$A = AC$1))) + 'Fund YTD Contributions'!AC116,'Fund YTD Contributions'!AC116)"),0.0)</f>
        <v>0</v>
      </c>
      <c r="AD116" s="170">
        <f>IFERROR(__xludf.DUMMYFUNCTION("IFERROR(AC116 * (1 + AVERAGE(Filter('Inflation Data'!$C:$C,'Inflation Data'!$A:$A = AD$1))) + 'Fund YTD Contributions'!AD116,'Fund YTD Contributions'!AD116)"),0.0)</f>
        <v>0</v>
      </c>
      <c r="AE116" s="170">
        <f>IFERROR(__xludf.DUMMYFUNCTION("IFERROR(AD116 * (1 + AVERAGE(Filter('Inflation Data'!$C:$C,'Inflation Data'!$A:$A = AE$1))) + 'Fund YTD Contributions'!AE116,'Fund YTD Contributions'!AE116)"),0.0)</f>
        <v>0</v>
      </c>
      <c r="AF116" s="170" t="str">
        <f>IFERROR(__xludf.DUMMYFUNCTION("IFERROR(AE116 * (1 + AVERAGE(Filter('Inflation Data'!$C:$C,'Inflation Data'!$A:$A = AF$1))) + 'Fund YTD Contributions'!AF116,'Fund YTD Contributions'!AF116)"),"")</f>
        <v/>
      </c>
    </row>
    <row r="117">
      <c r="A117" s="145" t="str">
        <f>'Endowed Funds'!B:B</f>
        <v/>
      </c>
      <c r="B117" s="170">
        <f>IFERROR(__xludf.DUMMYFUNCTION("IFERROR(A117 * (1 + AVERAGE(Filter('Inflation Data'!$C:$C,'Inflation Data'!$A:$A = B$1))) + 'Fund YTD Contributions'!B117,'Fund YTD Contributions'!B117)"),0.0)</f>
        <v>0</v>
      </c>
      <c r="C117" s="170">
        <f>IFERROR(__xludf.DUMMYFUNCTION("IFERROR(B117 * (1 + AVERAGE(Filter('Inflation Data'!$C:$C,'Inflation Data'!$A:$A = C$1))) + 'Fund YTD Contributions'!C117,'Fund YTD Contributions'!C117)"),0.0)</f>
        <v>0</v>
      </c>
      <c r="D117" s="170">
        <f>IFERROR(__xludf.DUMMYFUNCTION("IFERROR(C117 * (1 + AVERAGE(Filter('Inflation Data'!$C:$C,'Inflation Data'!$A:$A = D$1))) + 'Fund YTD Contributions'!D117,'Fund YTD Contributions'!D117)"),0.0)</f>
        <v>0</v>
      </c>
      <c r="E117" s="170">
        <f>IFERROR(__xludf.DUMMYFUNCTION("IFERROR(D117 * (1 + AVERAGE(Filter('Inflation Data'!$C:$C,'Inflation Data'!$A:$A = E$1))) + 'Fund YTD Contributions'!E117,'Fund YTD Contributions'!E117)"),0.0)</f>
        <v>0</v>
      </c>
      <c r="F117" s="170">
        <f>IFERROR(__xludf.DUMMYFUNCTION("IFERROR(E117 * (1 + AVERAGE(Filter('Inflation Data'!$C:$C,'Inflation Data'!$A:$A = F$1))) + 'Fund YTD Contributions'!F117,'Fund YTD Contributions'!F117)"),0.0)</f>
        <v>0</v>
      </c>
      <c r="G117" s="170">
        <f>IFERROR(__xludf.DUMMYFUNCTION("IFERROR(F117 * (1 + AVERAGE(Filter('Inflation Data'!$C:$C,'Inflation Data'!$A:$A = G$1))) + 'Fund YTD Contributions'!G117,'Fund YTD Contributions'!G117)"),0.0)</f>
        <v>0</v>
      </c>
      <c r="H117" s="170">
        <f>IFERROR(__xludf.DUMMYFUNCTION("IFERROR(G117 * (1 + AVERAGE(Filter('Inflation Data'!$C:$C,'Inflation Data'!$A:$A = H$1))) + 'Fund YTD Contributions'!H117,'Fund YTD Contributions'!H117)"),0.0)</f>
        <v>0</v>
      </c>
      <c r="I117" s="170">
        <f>IFERROR(__xludf.DUMMYFUNCTION("IFERROR(H117 * (1 + AVERAGE(Filter('Inflation Data'!$C:$C,'Inflation Data'!$A:$A = I$1))) + 'Fund YTD Contributions'!I117,'Fund YTD Contributions'!I117)"),0.0)</f>
        <v>0</v>
      </c>
      <c r="J117" s="170">
        <f>IFERROR(__xludf.DUMMYFUNCTION("IFERROR(I117 * (1 + AVERAGE(Filter('Inflation Data'!$C:$C,'Inflation Data'!$A:$A = J$1))) + 'Fund YTD Contributions'!J117,'Fund YTD Contributions'!J117)"),0.0)</f>
        <v>0</v>
      </c>
      <c r="K117" s="170">
        <f>IFERROR(__xludf.DUMMYFUNCTION("IFERROR(J117 * (1 + AVERAGE(Filter('Inflation Data'!$C:$C,'Inflation Data'!$A:$A = K$1))) + 'Fund YTD Contributions'!K117,'Fund YTD Contributions'!K117)"),0.0)</f>
        <v>0</v>
      </c>
      <c r="L117" s="170">
        <f>IFERROR(__xludf.DUMMYFUNCTION("IFERROR(K117 * (1 + AVERAGE(Filter('Inflation Data'!$C:$C,'Inflation Data'!$A:$A = L$1))) + 'Fund YTD Contributions'!L117,'Fund YTD Contributions'!L117)"),0.0)</f>
        <v>0</v>
      </c>
      <c r="M117" s="170">
        <f>IFERROR(__xludf.DUMMYFUNCTION("IFERROR(L117 * (1 + AVERAGE(Filter('Inflation Data'!$C:$C,'Inflation Data'!$A:$A = M$1))) + 'Fund YTD Contributions'!M117,'Fund YTD Contributions'!M117)"),0.0)</f>
        <v>0</v>
      </c>
      <c r="N117" s="170">
        <f>IFERROR(__xludf.DUMMYFUNCTION("IFERROR(M117 * (1 + AVERAGE(Filter('Inflation Data'!$C:$C,'Inflation Data'!$A:$A = N$1))) + 'Fund YTD Contributions'!N117,'Fund YTD Contributions'!N117)"),0.0)</f>
        <v>0</v>
      </c>
      <c r="O117" s="170">
        <f>IFERROR(__xludf.DUMMYFUNCTION("IFERROR(N117 * (1 + AVERAGE(Filter('Inflation Data'!$C:$C,'Inflation Data'!$A:$A = O$1))) + 'Fund YTD Contributions'!O117,'Fund YTD Contributions'!O117)"),0.0)</f>
        <v>0</v>
      </c>
      <c r="P117" s="170">
        <f>IFERROR(__xludf.DUMMYFUNCTION("IFERROR(O117 * (1 + AVERAGE(Filter('Inflation Data'!$C:$C,'Inflation Data'!$A:$A = P$1))) + 'Fund YTD Contributions'!P117,'Fund YTD Contributions'!P117)"),0.0)</f>
        <v>0</v>
      </c>
      <c r="Q117" s="170">
        <f>IFERROR(__xludf.DUMMYFUNCTION("IFERROR(P117 * (1 + AVERAGE(Filter('Inflation Data'!$C:$C,'Inflation Data'!$A:$A = Q$1))) + 'Fund YTD Contributions'!Q117,'Fund YTD Contributions'!Q117)"),0.0)</f>
        <v>0</v>
      </c>
      <c r="R117" s="170">
        <f>IFERROR(__xludf.DUMMYFUNCTION("IFERROR(Q117 * (1 + AVERAGE(Filter('Inflation Data'!$C:$C,'Inflation Data'!$A:$A = R$1))) + 'Fund YTD Contributions'!R117,'Fund YTD Contributions'!R117)"),0.0)</f>
        <v>0</v>
      </c>
      <c r="S117" s="170">
        <f>IFERROR(__xludf.DUMMYFUNCTION("IFERROR(R117 * (1 + AVERAGE(Filter('Inflation Data'!$C:$C,'Inflation Data'!$A:$A = S$1))) + 'Fund YTD Contributions'!S117,'Fund YTD Contributions'!S117)"),0.0)</f>
        <v>0</v>
      </c>
      <c r="T117" s="170">
        <f>IFERROR(__xludf.DUMMYFUNCTION("IFERROR(S117 * (1 + AVERAGE(Filter('Inflation Data'!$C:$C,'Inflation Data'!$A:$A = T$1))) + 'Fund YTD Contributions'!T117,'Fund YTD Contributions'!T117)"),0.0)</f>
        <v>0</v>
      </c>
      <c r="U117" s="170">
        <f>IFERROR(__xludf.DUMMYFUNCTION("IFERROR(T117 * (1 + AVERAGE(Filter('Inflation Data'!$C:$C,'Inflation Data'!$A:$A = U$1))) + 'Fund YTD Contributions'!U117,'Fund YTD Contributions'!U117)"),0.0)</f>
        <v>0</v>
      </c>
      <c r="V117" s="170">
        <f>IFERROR(__xludf.DUMMYFUNCTION("IFERROR(U117 * (1 + AVERAGE(Filter('Inflation Data'!$C:$C,'Inflation Data'!$A:$A = V$1))) + 'Fund YTD Contributions'!V117,'Fund YTD Contributions'!V117)"),0.0)</f>
        <v>0</v>
      </c>
      <c r="W117" s="170">
        <f>IFERROR(__xludf.DUMMYFUNCTION("IFERROR(V117 * (1 + AVERAGE(Filter('Inflation Data'!$C:$C,'Inflation Data'!$A:$A = W$1))) + 'Fund YTD Contributions'!W117,'Fund YTD Contributions'!W117)"),0.0)</f>
        <v>0</v>
      </c>
      <c r="X117" s="170">
        <f>IFERROR(__xludf.DUMMYFUNCTION("IFERROR(W117 * (1 + AVERAGE(Filter('Inflation Data'!$C:$C,'Inflation Data'!$A:$A = X$1))) + 'Fund YTD Contributions'!X117,'Fund YTD Contributions'!X117)"),0.0)</f>
        <v>0</v>
      </c>
      <c r="Y117" s="170">
        <f>IFERROR(__xludf.DUMMYFUNCTION("IFERROR(X117 * (1 + AVERAGE(Filter('Inflation Data'!$C:$C,'Inflation Data'!$A:$A = Y$1))) + 'Fund YTD Contributions'!Y117,'Fund YTD Contributions'!Y117)"),0.0)</f>
        <v>0</v>
      </c>
      <c r="Z117" s="170">
        <f>IFERROR(__xludf.DUMMYFUNCTION("IFERROR(Y117 * (1 + AVERAGE(Filter('Inflation Data'!$C:$C,'Inflation Data'!$A:$A = Z$1))) + 'Fund YTD Contributions'!Z117,'Fund YTD Contributions'!Z117)"),0.0)</f>
        <v>0</v>
      </c>
      <c r="AA117" s="170">
        <f>IFERROR(__xludf.DUMMYFUNCTION("IFERROR(Z117 * (1 + AVERAGE(Filter('Inflation Data'!$C:$C,'Inflation Data'!$A:$A = AA$1))) + 'Fund YTD Contributions'!AA117,'Fund YTD Contributions'!AA117)"),0.0)</f>
        <v>0</v>
      </c>
      <c r="AB117" s="170">
        <f>IFERROR(__xludf.DUMMYFUNCTION("IFERROR(AA117 * (1 + AVERAGE(Filter('Inflation Data'!$C:$C,'Inflation Data'!$A:$A = AB$1))) + 'Fund YTD Contributions'!AB117,'Fund YTD Contributions'!AB117)"),0.0)</f>
        <v>0</v>
      </c>
      <c r="AC117" s="170">
        <f>IFERROR(__xludf.DUMMYFUNCTION("IFERROR(AB117 * (1 + AVERAGE(Filter('Inflation Data'!$C:$C,'Inflation Data'!$A:$A = AC$1))) + 'Fund YTD Contributions'!AC117,'Fund YTD Contributions'!AC117)"),0.0)</f>
        <v>0</v>
      </c>
      <c r="AD117" s="170">
        <f>IFERROR(__xludf.DUMMYFUNCTION("IFERROR(AC117 * (1 + AVERAGE(Filter('Inflation Data'!$C:$C,'Inflation Data'!$A:$A = AD$1))) + 'Fund YTD Contributions'!AD117,'Fund YTD Contributions'!AD117)"),0.0)</f>
        <v>0</v>
      </c>
      <c r="AE117" s="170">
        <f>IFERROR(__xludf.DUMMYFUNCTION("IFERROR(AD117 * (1 + AVERAGE(Filter('Inflation Data'!$C:$C,'Inflation Data'!$A:$A = AE$1))) + 'Fund YTD Contributions'!AE117,'Fund YTD Contributions'!AE117)"),0.0)</f>
        <v>0</v>
      </c>
      <c r="AF117" s="170" t="str">
        <f>IFERROR(__xludf.DUMMYFUNCTION("IFERROR(AE117 * (1 + AVERAGE(Filter('Inflation Data'!$C:$C,'Inflation Data'!$A:$A = AF$1))) + 'Fund YTD Contributions'!AF117,'Fund YTD Contributions'!AF117)"),"")</f>
        <v/>
      </c>
    </row>
    <row r="118">
      <c r="A118" s="145" t="str">
        <f>'Endowed Funds'!B:B</f>
        <v/>
      </c>
      <c r="B118" s="170">
        <f>IFERROR(__xludf.DUMMYFUNCTION("IFERROR(A118 * (1 + AVERAGE(Filter('Inflation Data'!$C:$C,'Inflation Data'!$A:$A = B$1))) + 'Fund YTD Contributions'!B118,'Fund YTD Contributions'!B118)"),0.0)</f>
        <v>0</v>
      </c>
      <c r="C118" s="170">
        <f>IFERROR(__xludf.DUMMYFUNCTION("IFERROR(B118 * (1 + AVERAGE(Filter('Inflation Data'!$C:$C,'Inflation Data'!$A:$A = C$1))) + 'Fund YTD Contributions'!C118,'Fund YTD Contributions'!C118)"),0.0)</f>
        <v>0</v>
      </c>
      <c r="D118" s="170">
        <f>IFERROR(__xludf.DUMMYFUNCTION("IFERROR(C118 * (1 + AVERAGE(Filter('Inflation Data'!$C:$C,'Inflation Data'!$A:$A = D$1))) + 'Fund YTD Contributions'!D118,'Fund YTD Contributions'!D118)"),0.0)</f>
        <v>0</v>
      </c>
      <c r="E118" s="170">
        <f>IFERROR(__xludf.DUMMYFUNCTION("IFERROR(D118 * (1 + AVERAGE(Filter('Inflation Data'!$C:$C,'Inflation Data'!$A:$A = E$1))) + 'Fund YTD Contributions'!E118,'Fund YTD Contributions'!E118)"),0.0)</f>
        <v>0</v>
      </c>
      <c r="F118" s="170">
        <f>IFERROR(__xludf.DUMMYFUNCTION("IFERROR(E118 * (1 + AVERAGE(Filter('Inflation Data'!$C:$C,'Inflation Data'!$A:$A = F$1))) + 'Fund YTD Contributions'!F118,'Fund YTD Contributions'!F118)"),0.0)</f>
        <v>0</v>
      </c>
      <c r="G118" s="170">
        <f>IFERROR(__xludf.DUMMYFUNCTION("IFERROR(F118 * (1 + AVERAGE(Filter('Inflation Data'!$C:$C,'Inflation Data'!$A:$A = G$1))) + 'Fund YTD Contributions'!G118,'Fund YTD Contributions'!G118)"),0.0)</f>
        <v>0</v>
      </c>
      <c r="H118" s="170">
        <f>IFERROR(__xludf.DUMMYFUNCTION("IFERROR(G118 * (1 + AVERAGE(Filter('Inflation Data'!$C:$C,'Inflation Data'!$A:$A = H$1))) + 'Fund YTD Contributions'!H118,'Fund YTD Contributions'!H118)"),0.0)</f>
        <v>0</v>
      </c>
      <c r="I118" s="170">
        <f>IFERROR(__xludf.DUMMYFUNCTION("IFERROR(H118 * (1 + AVERAGE(Filter('Inflation Data'!$C:$C,'Inflation Data'!$A:$A = I$1))) + 'Fund YTD Contributions'!I118,'Fund YTD Contributions'!I118)"),0.0)</f>
        <v>0</v>
      </c>
      <c r="J118" s="170">
        <f>IFERROR(__xludf.DUMMYFUNCTION("IFERROR(I118 * (1 + AVERAGE(Filter('Inflation Data'!$C:$C,'Inflation Data'!$A:$A = J$1))) + 'Fund YTD Contributions'!J118,'Fund YTD Contributions'!J118)"),0.0)</f>
        <v>0</v>
      </c>
      <c r="K118" s="170">
        <f>IFERROR(__xludf.DUMMYFUNCTION("IFERROR(J118 * (1 + AVERAGE(Filter('Inflation Data'!$C:$C,'Inflation Data'!$A:$A = K$1))) + 'Fund YTD Contributions'!K118,'Fund YTD Contributions'!K118)"),0.0)</f>
        <v>0</v>
      </c>
      <c r="L118" s="170">
        <f>IFERROR(__xludf.DUMMYFUNCTION("IFERROR(K118 * (1 + AVERAGE(Filter('Inflation Data'!$C:$C,'Inflation Data'!$A:$A = L$1))) + 'Fund YTD Contributions'!L118,'Fund YTD Contributions'!L118)"),0.0)</f>
        <v>0</v>
      </c>
      <c r="M118" s="170">
        <f>IFERROR(__xludf.DUMMYFUNCTION("IFERROR(L118 * (1 + AVERAGE(Filter('Inflation Data'!$C:$C,'Inflation Data'!$A:$A = M$1))) + 'Fund YTD Contributions'!M118,'Fund YTD Contributions'!M118)"),0.0)</f>
        <v>0</v>
      </c>
      <c r="N118" s="170">
        <f>IFERROR(__xludf.DUMMYFUNCTION("IFERROR(M118 * (1 + AVERAGE(Filter('Inflation Data'!$C:$C,'Inflation Data'!$A:$A = N$1))) + 'Fund YTD Contributions'!N118,'Fund YTD Contributions'!N118)"),0.0)</f>
        <v>0</v>
      </c>
      <c r="O118" s="170">
        <f>IFERROR(__xludf.DUMMYFUNCTION("IFERROR(N118 * (1 + AVERAGE(Filter('Inflation Data'!$C:$C,'Inflation Data'!$A:$A = O$1))) + 'Fund YTD Contributions'!O118,'Fund YTD Contributions'!O118)"),0.0)</f>
        <v>0</v>
      </c>
      <c r="P118" s="170">
        <f>IFERROR(__xludf.DUMMYFUNCTION("IFERROR(O118 * (1 + AVERAGE(Filter('Inflation Data'!$C:$C,'Inflation Data'!$A:$A = P$1))) + 'Fund YTD Contributions'!P118,'Fund YTD Contributions'!P118)"),0.0)</f>
        <v>0</v>
      </c>
      <c r="Q118" s="170">
        <f>IFERROR(__xludf.DUMMYFUNCTION("IFERROR(P118 * (1 + AVERAGE(Filter('Inflation Data'!$C:$C,'Inflation Data'!$A:$A = Q$1))) + 'Fund YTD Contributions'!Q118,'Fund YTD Contributions'!Q118)"),0.0)</f>
        <v>0</v>
      </c>
      <c r="R118" s="170">
        <f>IFERROR(__xludf.DUMMYFUNCTION("IFERROR(Q118 * (1 + AVERAGE(Filter('Inflation Data'!$C:$C,'Inflation Data'!$A:$A = R$1))) + 'Fund YTD Contributions'!R118,'Fund YTD Contributions'!R118)"),0.0)</f>
        <v>0</v>
      </c>
      <c r="S118" s="170">
        <f>IFERROR(__xludf.DUMMYFUNCTION("IFERROR(R118 * (1 + AVERAGE(Filter('Inflation Data'!$C:$C,'Inflation Data'!$A:$A = S$1))) + 'Fund YTD Contributions'!S118,'Fund YTD Contributions'!S118)"),0.0)</f>
        <v>0</v>
      </c>
      <c r="T118" s="170">
        <f>IFERROR(__xludf.DUMMYFUNCTION("IFERROR(S118 * (1 + AVERAGE(Filter('Inflation Data'!$C:$C,'Inflation Data'!$A:$A = T$1))) + 'Fund YTD Contributions'!T118,'Fund YTD Contributions'!T118)"),0.0)</f>
        <v>0</v>
      </c>
      <c r="U118" s="170">
        <f>IFERROR(__xludf.DUMMYFUNCTION("IFERROR(T118 * (1 + AVERAGE(Filter('Inflation Data'!$C:$C,'Inflation Data'!$A:$A = U$1))) + 'Fund YTD Contributions'!U118,'Fund YTD Contributions'!U118)"),0.0)</f>
        <v>0</v>
      </c>
      <c r="V118" s="170">
        <f>IFERROR(__xludf.DUMMYFUNCTION("IFERROR(U118 * (1 + AVERAGE(Filter('Inflation Data'!$C:$C,'Inflation Data'!$A:$A = V$1))) + 'Fund YTD Contributions'!V118,'Fund YTD Contributions'!V118)"),0.0)</f>
        <v>0</v>
      </c>
      <c r="W118" s="170">
        <f>IFERROR(__xludf.DUMMYFUNCTION("IFERROR(V118 * (1 + AVERAGE(Filter('Inflation Data'!$C:$C,'Inflation Data'!$A:$A = W$1))) + 'Fund YTD Contributions'!W118,'Fund YTD Contributions'!W118)"),0.0)</f>
        <v>0</v>
      </c>
      <c r="X118" s="170">
        <f>IFERROR(__xludf.DUMMYFUNCTION("IFERROR(W118 * (1 + AVERAGE(Filter('Inflation Data'!$C:$C,'Inflation Data'!$A:$A = X$1))) + 'Fund YTD Contributions'!X118,'Fund YTD Contributions'!X118)"),0.0)</f>
        <v>0</v>
      </c>
      <c r="Y118" s="170">
        <f>IFERROR(__xludf.DUMMYFUNCTION("IFERROR(X118 * (1 + AVERAGE(Filter('Inflation Data'!$C:$C,'Inflation Data'!$A:$A = Y$1))) + 'Fund YTD Contributions'!Y118,'Fund YTD Contributions'!Y118)"),0.0)</f>
        <v>0</v>
      </c>
      <c r="Z118" s="170">
        <f>IFERROR(__xludf.DUMMYFUNCTION("IFERROR(Y118 * (1 + AVERAGE(Filter('Inflation Data'!$C:$C,'Inflation Data'!$A:$A = Z$1))) + 'Fund YTD Contributions'!Z118,'Fund YTD Contributions'!Z118)"),0.0)</f>
        <v>0</v>
      </c>
      <c r="AA118" s="170">
        <f>IFERROR(__xludf.DUMMYFUNCTION("IFERROR(Z118 * (1 + AVERAGE(Filter('Inflation Data'!$C:$C,'Inflation Data'!$A:$A = AA$1))) + 'Fund YTD Contributions'!AA118,'Fund YTD Contributions'!AA118)"),0.0)</f>
        <v>0</v>
      </c>
      <c r="AB118" s="170">
        <f>IFERROR(__xludf.DUMMYFUNCTION("IFERROR(AA118 * (1 + AVERAGE(Filter('Inflation Data'!$C:$C,'Inflation Data'!$A:$A = AB$1))) + 'Fund YTD Contributions'!AB118,'Fund YTD Contributions'!AB118)"),0.0)</f>
        <v>0</v>
      </c>
      <c r="AC118" s="170">
        <f>IFERROR(__xludf.DUMMYFUNCTION("IFERROR(AB118 * (1 + AVERAGE(Filter('Inflation Data'!$C:$C,'Inflation Data'!$A:$A = AC$1))) + 'Fund YTD Contributions'!AC118,'Fund YTD Contributions'!AC118)"),0.0)</f>
        <v>0</v>
      </c>
      <c r="AD118" s="170">
        <f>IFERROR(__xludf.DUMMYFUNCTION("IFERROR(AC118 * (1 + AVERAGE(Filter('Inflation Data'!$C:$C,'Inflation Data'!$A:$A = AD$1))) + 'Fund YTD Contributions'!AD118,'Fund YTD Contributions'!AD118)"),0.0)</f>
        <v>0</v>
      </c>
      <c r="AE118" s="170">
        <f>IFERROR(__xludf.DUMMYFUNCTION("IFERROR(AD118 * (1 + AVERAGE(Filter('Inflation Data'!$C:$C,'Inflation Data'!$A:$A = AE$1))) + 'Fund YTD Contributions'!AE118,'Fund YTD Contributions'!AE118)"),0.0)</f>
        <v>0</v>
      </c>
      <c r="AF118" s="170" t="str">
        <f>IFERROR(__xludf.DUMMYFUNCTION("IFERROR(AE118 * (1 + AVERAGE(Filter('Inflation Data'!$C:$C,'Inflation Data'!$A:$A = AF$1))) + 'Fund YTD Contributions'!AF118,'Fund YTD Contributions'!AF118)"),"")</f>
        <v/>
      </c>
    </row>
    <row r="119">
      <c r="A119" s="145" t="str">
        <f>'Endowed Funds'!B:B</f>
        <v/>
      </c>
      <c r="B119" s="170">
        <f>IFERROR(__xludf.DUMMYFUNCTION("IFERROR(A119 * (1 + AVERAGE(Filter('Inflation Data'!$C:$C,'Inflation Data'!$A:$A = B$1))) + 'Fund YTD Contributions'!B119,'Fund YTD Contributions'!B119)"),0.0)</f>
        <v>0</v>
      </c>
      <c r="C119" s="170">
        <f>IFERROR(__xludf.DUMMYFUNCTION("IFERROR(B119 * (1 + AVERAGE(Filter('Inflation Data'!$C:$C,'Inflation Data'!$A:$A = C$1))) + 'Fund YTD Contributions'!C119,'Fund YTD Contributions'!C119)"),0.0)</f>
        <v>0</v>
      </c>
      <c r="D119" s="170">
        <f>IFERROR(__xludf.DUMMYFUNCTION("IFERROR(C119 * (1 + AVERAGE(Filter('Inflation Data'!$C:$C,'Inflation Data'!$A:$A = D$1))) + 'Fund YTD Contributions'!D119,'Fund YTD Contributions'!D119)"),0.0)</f>
        <v>0</v>
      </c>
      <c r="E119" s="170">
        <f>IFERROR(__xludf.DUMMYFUNCTION("IFERROR(D119 * (1 + AVERAGE(Filter('Inflation Data'!$C:$C,'Inflation Data'!$A:$A = E$1))) + 'Fund YTD Contributions'!E119,'Fund YTD Contributions'!E119)"),0.0)</f>
        <v>0</v>
      </c>
      <c r="F119" s="170">
        <f>IFERROR(__xludf.DUMMYFUNCTION("IFERROR(E119 * (1 + AVERAGE(Filter('Inflation Data'!$C:$C,'Inflation Data'!$A:$A = F$1))) + 'Fund YTD Contributions'!F119,'Fund YTD Contributions'!F119)"),0.0)</f>
        <v>0</v>
      </c>
      <c r="G119" s="170">
        <f>IFERROR(__xludf.DUMMYFUNCTION("IFERROR(F119 * (1 + AVERAGE(Filter('Inflation Data'!$C:$C,'Inflation Data'!$A:$A = G$1))) + 'Fund YTD Contributions'!G119,'Fund YTD Contributions'!G119)"),0.0)</f>
        <v>0</v>
      </c>
      <c r="H119" s="170">
        <f>IFERROR(__xludf.DUMMYFUNCTION("IFERROR(G119 * (1 + AVERAGE(Filter('Inflation Data'!$C:$C,'Inflation Data'!$A:$A = H$1))) + 'Fund YTD Contributions'!H119,'Fund YTD Contributions'!H119)"),0.0)</f>
        <v>0</v>
      </c>
      <c r="I119" s="170">
        <f>IFERROR(__xludf.DUMMYFUNCTION("IFERROR(H119 * (1 + AVERAGE(Filter('Inflation Data'!$C:$C,'Inflation Data'!$A:$A = I$1))) + 'Fund YTD Contributions'!I119,'Fund YTD Contributions'!I119)"),0.0)</f>
        <v>0</v>
      </c>
      <c r="J119" s="170">
        <f>IFERROR(__xludf.DUMMYFUNCTION("IFERROR(I119 * (1 + AVERAGE(Filter('Inflation Data'!$C:$C,'Inflation Data'!$A:$A = J$1))) + 'Fund YTD Contributions'!J119,'Fund YTD Contributions'!J119)"),0.0)</f>
        <v>0</v>
      </c>
      <c r="K119" s="170">
        <f>IFERROR(__xludf.DUMMYFUNCTION("IFERROR(J119 * (1 + AVERAGE(Filter('Inflation Data'!$C:$C,'Inflation Data'!$A:$A = K$1))) + 'Fund YTD Contributions'!K119,'Fund YTD Contributions'!K119)"),0.0)</f>
        <v>0</v>
      </c>
      <c r="L119" s="170">
        <f>IFERROR(__xludf.DUMMYFUNCTION("IFERROR(K119 * (1 + AVERAGE(Filter('Inflation Data'!$C:$C,'Inflation Data'!$A:$A = L$1))) + 'Fund YTD Contributions'!L119,'Fund YTD Contributions'!L119)"),0.0)</f>
        <v>0</v>
      </c>
      <c r="M119" s="170">
        <f>IFERROR(__xludf.DUMMYFUNCTION("IFERROR(L119 * (1 + AVERAGE(Filter('Inflation Data'!$C:$C,'Inflation Data'!$A:$A = M$1))) + 'Fund YTD Contributions'!M119,'Fund YTD Contributions'!M119)"),0.0)</f>
        <v>0</v>
      </c>
      <c r="N119" s="170">
        <f>IFERROR(__xludf.DUMMYFUNCTION("IFERROR(M119 * (1 + AVERAGE(Filter('Inflation Data'!$C:$C,'Inflation Data'!$A:$A = N$1))) + 'Fund YTD Contributions'!N119,'Fund YTD Contributions'!N119)"),0.0)</f>
        <v>0</v>
      </c>
      <c r="O119" s="170">
        <f>IFERROR(__xludf.DUMMYFUNCTION("IFERROR(N119 * (1 + AVERAGE(Filter('Inflation Data'!$C:$C,'Inflation Data'!$A:$A = O$1))) + 'Fund YTD Contributions'!O119,'Fund YTD Contributions'!O119)"),0.0)</f>
        <v>0</v>
      </c>
      <c r="P119" s="170">
        <f>IFERROR(__xludf.DUMMYFUNCTION("IFERROR(O119 * (1 + AVERAGE(Filter('Inflation Data'!$C:$C,'Inflation Data'!$A:$A = P$1))) + 'Fund YTD Contributions'!P119,'Fund YTD Contributions'!P119)"),0.0)</f>
        <v>0</v>
      </c>
      <c r="Q119" s="170">
        <f>IFERROR(__xludf.DUMMYFUNCTION("IFERROR(P119 * (1 + AVERAGE(Filter('Inflation Data'!$C:$C,'Inflation Data'!$A:$A = Q$1))) + 'Fund YTD Contributions'!Q119,'Fund YTD Contributions'!Q119)"),0.0)</f>
        <v>0</v>
      </c>
      <c r="R119" s="170">
        <f>IFERROR(__xludf.DUMMYFUNCTION("IFERROR(Q119 * (1 + AVERAGE(Filter('Inflation Data'!$C:$C,'Inflation Data'!$A:$A = R$1))) + 'Fund YTD Contributions'!R119,'Fund YTD Contributions'!R119)"),0.0)</f>
        <v>0</v>
      </c>
      <c r="S119" s="170">
        <f>IFERROR(__xludf.DUMMYFUNCTION("IFERROR(R119 * (1 + AVERAGE(Filter('Inflation Data'!$C:$C,'Inflation Data'!$A:$A = S$1))) + 'Fund YTD Contributions'!S119,'Fund YTD Contributions'!S119)"),0.0)</f>
        <v>0</v>
      </c>
      <c r="T119" s="170">
        <f>IFERROR(__xludf.DUMMYFUNCTION("IFERROR(S119 * (1 + AVERAGE(Filter('Inflation Data'!$C:$C,'Inflation Data'!$A:$A = T$1))) + 'Fund YTD Contributions'!T119,'Fund YTD Contributions'!T119)"),0.0)</f>
        <v>0</v>
      </c>
      <c r="U119" s="170">
        <f>IFERROR(__xludf.DUMMYFUNCTION("IFERROR(T119 * (1 + AVERAGE(Filter('Inflation Data'!$C:$C,'Inflation Data'!$A:$A = U$1))) + 'Fund YTD Contributions'!U119,'Fund YTD Contributions'!U119)"),0.0)</f>
        <v>0</v>
      </c>
      <c r="V119" s="170">
        <f>IFERROR(__xludf.DUMMYFUNCTION("IFERROR(U119 * (1 + AVERAGE(Filter('Inflation Data'!$C:$C,'Inflation Data'!$A:$A = V$1))) + 'Fund YTD Contributions'!V119,'Fund YTD Contributions'!V119)"),0.0)</f>
        <v>0</v>
      </c>
      <c r="W119" s="170">
        <f>IFERROR(__xludf.DUMMYFUNCTION("IFERROR(V119 * (1 + AVERAGE(Filter('Inflation Data'!$C:$C,'Inflation Data'!$A:$A = W$1))) + 'Fund YTD Contributions'!W119,'Fund YTD Contributions'!W119)"),0.0)</f>
        <v>0</v>
      </c>
      <c r="X119" s="170">
        <f>IFERROR(__xludf.DUMMYFUNCTION("IFERROR(W119 * (1 + AVERAGE(Filter('Inflation Data'!$C:$C,'Inflation Data'!$A:$A = X$1))) + 'Fund YTD Contributions'!X119,'Fund YTD Contributions'!X119)"),0.0)</f>
        <v>0</v>
      </c>
      <c r="Y119" s="170">
        <f>IFERROR(__xludf.DUMMYFUNCTION("IFERROR(X119 * (1 + AVERAGE(Filter('Inflation Data'!$C:$C,'Inflation Data'!$A:$A = Y$1))) + 'Fund YTD Contributions'!Y119,'Fund YTD Contributions'!Y119)"),0.0)</f>
        <v>0</v>
      </c>
      <c r="Z119" s="170">
        <f>IFERROR(__xludf.DUMMYFUNCTION("IFERROR(Y119 * (1 + AVERAGE(Filter('Inflation Data'!$C:$C,'Inflation Data'!$A:$A = Z$1))) + 'Fund YTD Contributions'!Z119,'Fund YTD Contributions'!Z119)"),0.0)</f>
        <v>0</v>
      </c>
      <c r="AA119" s="170">
        <f>IFERROR(__xludf.DUMMYFUNCTION("IFERROR(Z119 * (1 + AVERAGE(Filter('Inflation Data'!$C:$C,'Inflation Data'!$A:$A = AA$1))) + 'Fund YTD Contributions'!AA119,'Fund YTD Contributions'!AA119)"),0.0)</f>
        <v>0</v>
      </c>
      <c r="AB119" s="170">
        <f>IFERROR(__xludf.DUMMYFUNCTION("IFERROR(AA119 * (1 + AVERAGE(Filter('Inflation Data'!$C:$C,'Inflation Data'!$A:$A = AB$1))) + 'Fund YTD Contributions'!AB119,'Fund YTD Contributions'!AB119)"),0.0)</f>
        <v>0</v>
      </c>
      <c r="AC119" s="170">
        <f>IFERROR(__xludf.DUMMYFUNCTION("IFERROR(AB119 * (1 + AVERAGE(Filter('Inflation Data'!$C:$C,'Inflation Data'!$A:$A = AC$1))) + 'Fund YTD Contributions'!AC119,'Fund YTD Contributions'!AC119)"),0.0)</f>
        <v>0</v>
      </c>
      <c r="AD119" s="170">
        <f>IFERROR(__xludf.DUMMYFUNCTION("IFERROR(AC119 * (1 + AVERAGE(Filter('Inflation Data'!$C:$C,'Inflation Data'!$A:$A = AD$1))) + 'Fund YTD Contributions'!AD119,'Fund YTD Contributions'!AD119)"),0.0)</f>
        <v>0</v>
      </c>
      <c r="AE119" s="170">
        <f>IFERROR(__xludf.DUMMYFUNCTION("IFERROR(AD119 * (1 + AVERAGE(Filter('Inflation Data'!$C:$C,'Inflation Data'!$A:$A = AE$1))) + 'Fund YTD Contributions'!AE119,'Fund YTD Contributions'!AE119)"),0.0)</f>
        <v>0</v>
      </c>
      <c r="AF119" s="170" t="str">
        <f>IFERROR(__xludf.DUMMYFUNCTION("IFERROR(AE119 * (1 + AVERAGE(Filter('Inflation Data'!$C:$C,'Inflation Data'!$A:$A = AF$1))) + 'Fund YTD Contributions'!AF119,'Fund YTD Contributions'!AF119)"),"")</f>
        <v/>
      </c>
    </row>
    <row r="120">
      <c r="A120" s="145" t="str">
        <f>'Endowed Funds'!B:B</f>
        <v/>
      </c>
      <c r="B120" s="170">
        <f>IFERROR(__xludf.DUMMYFUNCTION("IFERROR(A120 * (1 + AVERAGE(Filter('Inflation Data'!$C:$C,'Inflation Data'!$A:$A = B$1))) + 'Fund YTD Contributions'!B120,'Fund YTD Contributions'!B120)"),0.0)</f>
        <v>0</v>
      </c>
      <c r="C120" s="170">
        <f>IFERROR(__xludf.DUMMYFUNCTION("IFERROR(B120 * (1 + AVERAGE(Filter('Inflation Data'!$C:$C,'Inflation Data'!$A:$A = C$1))) + 'Fund YTD Contributions'!C120,'Fund YTD Contributions'!C120)"),0.0)</f>
        <v>0</v>
      </c>
      <c r="D120" s="170">
        <f>IFERROR(__xludf.DUMMYFUNCTION("IFERROR(C120 * (1 + AVERAGE(Filter('Inflation Data'!$C:$C,'Inflation Data'!$A:$A = D$1))) + 'Fund YTD Contributions'!D120,'Fund YTD Contributions'!D120)"),0.0)</f>
        <v>0</v>
      </c>
      <c r="E120" s="170">
        <f>IFERROR(__xludf.DUMMYFUNCTION("IFERROR(D120 * (1 + AVERAGE(Filter('Inflation Data'!$C:$C,'Inflation Data'!$A:$A = E$1))) + 'Fund YTD Contributions'!E120,'Fund YTD Contributions'!E120)"),0.0)</f>
        <v>0</v>
      </c>
      <c r="F120" s="170">
        <f>IFERROR(__xludf.DUMMYFUNCTION("IFERROR(E120 * (1 + AVERAGE(Filter('Inflation Data'!$C:$C,'Inflation Data'!$A:$A = F$1))) + 'Fund YTD Contributions'!F120,'Fund YTD Contributions'!F120)"),0.0)</f>
        <v>0</v>
      </c>
      <c r="G120" s="170">
        <f>IFERROR(__xludf.DUMMYFUNCTION("IFERROR(F120 * (1 + AVERAGE(Filter('Inflation Data'!$C:$C,'Inflation Data'!$A:$A = G$1))) + 'Fund YTD Contributions'!G120,'Fund YTD Contributions'!G120)"),0.0)</f>
        <v>0</v>
      </c>
      <c r="H120" s="170">
        <f>IFERROR(__xludf.DUMMYFUNCTION("IFERROR(G120 * (1 + AVERAGE(Filter('Inflation Data'!$C:$C,'Inflation Data'!$A:$A = H$1))) + 'Fund YTD Contributions'!H120,'Fund YTD Contributions'!H120)"),0.0)</f>
        <v>0</v>
      </c>
      <c r="I120" s="170">
        <f>IFERROR(__xludf.DUMMYFUNCTION("IFERROR(H120 * (1 + AVERAGE(Filter('Inflation Data'!$C:$C,'Inflation Data'!$A:$A = I$1))) + 'Fund YTD Contributions'!I120,'Fund YTD Contributions'!I120)"),0.0)</f>
        <v>0</v>
      </c>
      <c r="J120" s="170">
        <f>IFERROR(__xludf.DUMMYFUNCTION("IFERROR(I120 * (1 + AVERAGE(Filter('Inflation Data'!$C:$C,'Inflation Data'!$A:$A = J$1))) + 'Fund YTD Contributions'!J120,'Fund YTD Contributions'!J120)"),0.0)</f>
        <v>0</v>
      </c>
      <c r="K120" s="170">
        <f>IFERROR(__xludf.DUMMYFUNCTION("IFERROR(J120 * (1 + AVERAGE(Filter('Inflation Data'!$C:$C,'Inflation Data'!$A:$A = K$1))) + 'Fund YTD Contributions'!K120,'Fund YTD Contributions'!K120)"),0.0)</f>
        <v>0</v>
      </c>
      <c r="L120" s="170">
        <f>IFERROR(__xludf.DUMMYFUNCTION("IFERROR(K120 * (1 + AVERAGE(Filter('Inflation Data'!$C:$C,'Inflation Data'!$A:$A = L$1))) + 'Fund YTD Contributions'!L120,'Fund YTD Contributions'!L120)"),0.0)</f>
        <v>0</v>
      </c>
      <c r="M120" s="170">
        <f>IFERROR(__xludf.DUMMYFUNCTION("IFERROR(L120 * (1 + AVERAGE(Filter('Inflation Data'!$C:$C,'Inflation Data'!$A:$A = M$1))) + 'Fund YTD Contributions'!M120,'Fund YTD Contributions'!M120)"),0.0)</f>
        <v>0</v>
      </c>
      <c r="N120" s="170">
        <f>IFERROR(__xludf.DUMMYFUNCTION("IFERROR(M120 * (1 + AVERAGE(Filter('Inflation Data'!$C:$C,'Inflation Data'!$A:$A = N$1))) + 'Fund YTD Contributions'!N120,'Fund YTD Contributions'!N120)"),0.0)</f>
        <v>0</v>
      </c>
      <c r="O120" s="170">
        <f>IFERROR(__xludf.DUMMYFUNCTION("IFERROR(N120 * (1 + AVERAGE(Filter('Inflation Data'!$C:$C,'Inflation Data'!$A:$A = O$1))) + 'Fund YTD Contributions'!O120,'Fund YTD Contributions'!O120)"),0.0)</f>
        <v>0</v>
      </c>
      <c r="P120" s="170">
        <f>IFERROR(__xludf.DUMMYFUNCTION("IFERROR(O120 * (1 + AVERAGE(Filter('Inflation Data'!$C:$C,'Inflation Data'!$A:$A = P$1))) + 'Fund YTD Contributions'!P120,'Fund YTD Contributions'!P120)"),0.0)</f>
        <v>0</v>
      </c>
      <c r="Q120" s="170">
        <f>IFERROR(__xludf.DUMMYFUNCTION("IFERROR(P120 * (1 + AVERAGE(Filter('Inflation Data'!$C:$C,'Inflation Data'!$A:$A = Q$1))) + 'Fund YTD Contributions'!Q120,'Fund YTD Contributions'!Q120)"),0.0)</f>
        <v>0</v>
      </c>
      <c r="R120" s="170">
        <f>IFERROR(__xludf.DUMMYFUNCTION("IFERROR(Q120 * (1 + AVERAGE(Filter('Inflation Data'!$C:$C,'Inflation Data'!$A:$A = R$1))) + 'Fund YTD Contributions'!R120,'Fund YTD Contributions'!R120)"),0.0)</f>
        <v>0</v>
      </c>
      <c r="S120" s="170">
        <f>IFERROR(__xludf.DUMMYFUNCTION("IFERROR(R120 * (1 + AVERAGE(Filter('Inflation Data'!$C:$C,'Inflation Data'!$A:$A = S$1))) + 'Fund YTD Contributions'!S120,'Fund YTD Contributions'!S120)"),0.0)</f>
        <v>0</v>
      </c>
      <c r="T120" s="170">
        <f>IFERROR(__xludf.DUMMYFUNCTION("IFERROR(S120 * (1 + AVERAGE(Filter('Inflation Data'!$C:$C,'Inflation Data'!$A:$A = T$1))) + 'Fund YTD Contributions'!T120,'Fund YTD Contributions'!T120)"),0.0)</f>
        <v>0</v>
      </c>
      <c r="U120" s="170">
        <f>IFERROR(__xludf.DUMMYFUNCTION("IFERROR(T120 * (1 + AVERAGE(Filter('Inflation Data'!$C:$C,'Inflation Data'!$A:$A = U$1))) + 'Fund YTD Contributions'!U120,'Fund YTD Contributions'!U120)"),0.0)</f>
        <v>0</v>
      </c>
      <c r="V120" s="170">
        <f>IFERROR(__xludf.DUMMYFUNCTION("IFERROR(U120 * (1 + AVERAGE(Filter('Inflation Data'!$C:$C,'Inflation Data'!$A:$A = V$1))) + 'Fund YTD Contributions'!V120,'Fund YTD Contributions'!V120)"),0.0)</f>
        <v>0</v>
      </c>
      <c r="W120" s="170">
        <f>IFERROR(__xludf.DUMMYFUNCTION("IFERROR(V120 * (1 + AVERAGE(Filter('Inflation Data'!$C:$C,'Inflation Data'!$A:$A = W$1))) + 'Fund YTD Contributions'!W120,'Fund YTD Contributions'!W120)"),0.0)</f>
        <v>0</v>
      </c>
      <c r="X120" s="170">
        <f>IFERROR(__xludf.DUMMYFUNCTION("IFERROR(W120 * (1 + AVERAGE(Filter('Inflation Data'!$C:$C,'Inflation Data'!$A:$A = X$1))) + 'Fund YTD Contributions'!X120,'Fund YTD Contributions'!X120)"),0.0)</f>
        <v>0</v>
      </c>
      <c r="Y120" s="170">
        <f>IFERROR(__xludf.DUMMYFUNCTION("IFERROR(X120 * (1 + AVERAGE(Filter('Inflation Data'!$C:$C,'Inflation Data'!$A:$A = Y$1))) + 'Fund YTD Contributions'!Y120,'Fund YTD Contributions'!Y120)"),0.0)</f>
        <v>0</v>
      </c>
      <c r="Z120" s="170">
        <f>IFERROR(__xludf.DUMMYFUNCTION("IFERROR(Y120 * (1 + AVERAGE(Filter('Inflation Data'!$C:$C,'Inflation Data'!$A:$A = Z$1))) + 'Fund YTD Contributions'!Z120,'Fund YTD Contributions'!Z120)"),0.0)</f>
        <v>0</v>
      </c>
      <c r="AA120" s="170">
        <f>IFERROR(__xludf.DUMMYFUNCTION("IFERROR(Z120 * (1 + AVERAGE(Filter('Inflation Data'!$C:$C,'Inflation Data'!$A:$A = AA$1))) + 'Fund YTD Contributions'!AA120,'Fund YTD Contributions'!AA120)"),0.0)</f>
        <v>0</v>
      </c>
      <c r="AB120" s="170">
        <f>IFERROR(__xludf.DUMMYFUNCTION("IFERROR(AA120 * (1 + AVERAGE(Filter('Inflation Data'!$C:$C,'Inflation Data'!$A:$A = AB$1))) + 'Fund YTD Contributions'!AB120,'Fund YTD Contributions'!AB120)"),0.0)</f>
        <v>0</v>
      </c>
      <c r="AC120" s="170">
        <f>IFERROR(__xludf.DUMMYFUNCTION("IFERROR(AB120 * (1 + AVERAGE(Filter('Inflation Data'!$C:$C,'Inflation Data'!$A:$A = AC$1))) + 'Fund YTD Contributions'!AC120,'Fund YTD Contributions'!AC120)"),0.0)</f>
        <v>0</v>
      </c>
      <c r="AD120" s="170">
        <f>IFERROR(__xludf.DUMMYFUNCTION("IFERROR(AC120 * (1 + AVERAGE(Filter('Inflation Data'!$C:$C,'Inflation Data'!$A:$A = AD$1))) + 'Fund YTD Contributions'!AD120,'Fund YTD Contributions'!AD120)"),0.0)</f>
        <v>0</v>
      </c>
      <c r="AE120" s="170">
        <f>IFERROR(__xludf.DUMMYFUNCTION("IFERROR(AD120 * (1 + AVERAGE(Filter('Inflation Data'!$C:$C,'Inflation Data'!$A:$A = AE$1))) + 'Fund YTD Contributions'!AE120,'Fund YTD Contributions'!AE120)"),0.0)</f>
        <v>0</v>
      </c>
      <c r="AF120" s="170" t="str">
        <f>IFERROR(__xludf.DUMMYFUNCTION("IFERROR(AE120 * (1 + AVERAGE(Filter('Inflation Data'!$C:$C,'Inflation Data'!$A:$A = AF$1))) + 'Fund YTD Contributions'!AF120,'Fund YTD Contributions'!AF120)"),"")</f>
        <v/>
      </c>
    </row>
    <row r="121">
      <c r="A121" s="145" t="str">
        <f>'Endowed Funds'!B:B</f>
        <v/>
      </c>
      <c r="B121" s="170">
        <f>IFERROR(__xludf.DUMMYFUNCTION("IFERROR(A121 * (1 + AVERAGE(Filter('Inflation Data'!$C:$C,'Inflation Data'!$A:$A = B$1))) + 'Fund YTD Contributions'!B121,'Fund YTD Contributions'!B121)"),0.0)</f>
        <v>0</v>
      </c>
      <c r="C121" s="170">
        <f>IFERROR(__xludf.DUMMYFUNCTION("IFERROR(B121 * (1 + AVERAGE(Filter('Inflation Data'!$C:$C,'Inflation Data'!$A:$A = C$1))) + 'Fund YTD Contributions'!C121,'Fund YTD Contributions'!C121)"),0.0)</f>
        <v>0</v>
      </c>
      <c r="D121" s="170">
        <f>IFERROR(__xludf.DUMMYFUNCTION("IFERROR(C121 * (1 + AVERAGE(Filter('Inflation Data'!$C:$C,'Inflation Data'!$A:$A = D$1))) + 'Fund YTD Contributions'!D121,'Fund YTD Contributions'!D121)"),0.0)</f>
        <v>0</v>
      </c>
      <c r="E121" s="170">
        <f>IFERROR(__xludf.DUMMYFUNCTION("IFERROR(D121 * (1 + AVERAGE(Filter('Inflation Data'!$C:$C,'Inflation Data'!$A:$A = E$1))) + 'Fund YTD Contributions'!E121,'Fund YTD Contributions'!E121)"),0.0)</f>
        <v>0</v>
      </c>
      <c r="F121" s="170">
        <f>IFERROR(__xludf.DUMMYFUNCTION("IFERROR(E121 * (1 + AVERAGE(Filter('Inflation Data'!$C:$C,'Inflation Data'!$A:$A = F$1))) + 'Fund YTD Contributions'!F121,'Fund YTD Contributions'!F121)"),0.0)</f>
        <v>0</v>
      </c>
      <c r="G121" s="170">
        <f>IFERROR(__xludf.DUMMYFUNCTION("IFERROR(F121 * (1 + AVERAGE(Filter('Inflation Data'!$C:$C,'Inflation Data'!$A:$A = G$1))) + 'Fund YTD Contributions'!G121,'Fund YTD Contributions'!G121)"),0.0)</f>
        <v>0</v>
      </c>
      <c r="H121" s="170">
        <f>IFERROR(__xludf.DUMMYFUNCTION("IFERROR(G121 * (1 + AVERAGE(Filter('Inflation Data'!$C:$C,'Inflation Data'!$A:$A = H$1))) + 'Fund YTD Contributions'!H121,'Fund YTD Contributions'!H121)"),0.0)</f>
        <v>0</v>
      </c>
      <c r="I121" s="170">
        <f>IFERROR(__xludf.DUMMYFUNCTION("IFERROR(H121 * (1 + AVERAGE(Filter('Inflation Data'!$C:$C,'Inflation Data'!$A:$A = I$1))) + 'Fund YTD Contributions'!I121,'Fund YTD Contributions'!I121)"),0.0)</f>
        <v>0</v>
      </c>
      <c r="J121" s="170">
        <f>IFERROR(__xludf.DUMMYFUNCTION("IFERROR(I121 * (1 + AVERAGE(Filter('Inflation Data'!$C:$C,'Inflation Data'!$A:$A = J$1))) + 'Fund YTD Contributions'!J121,'Fund YTD Contributions'!J121)"),0.0)</f>
        <v>0</v>
      </c>
      <c r="K121" s="170">
        <f>IFERROR(__xludf.DUMMYFUNCTION("IFERROR(J121 * (1 + AVERAGE(Filter('Inflation Data'!$C:$C,'Inflation Data'!$A:$A = K$1))) + 'Fund YTD Contributions'!K121,'Fund YTD Contributions'!K121)"),0.0)</f>
        <v>0</v>
      </c>
      <c r="L121" s="170">
        <f>IFERROR(__xludf.DUMMYFUNCTION("IFERROR(K121 * (1 + AVERAGE(Filter('Inflation Data'!$C:$C,'Inflation Data'!$A:$A = L$1))) + 'Fund YTD Contributions'!L121,'Fund YTD Contributions'!L121)"),0.0)</f>
        <v>0</v>
      </c>
      <c r="M121" s="170">
        <f>IFERROR(__xludf.DUMMYFUNCTION("IFERROR(L121 * (1 + AVERAGE(Filter('Inflation Data'!$C:$C,'Inflation Data'!$A:$A = M$1))) + 'Fund YTD Contributions'!M121,'Fund YTD Contributions'!M121)"),0.0)</f>
        <v>0</v>
      </c>
      <c r="N121" s="170">
        <f>IFERROR(__xludf.DUMMYFUNCTION("IFERROR(M121 * (1 + AVERAGE(Filter('Inflation Data'!$C:$C,'Inflation Data'!$A:$A = N$1))) + 'Fund YTD Contributions'!N121,'Fund YTD Contributions'!N121)"),0.0)</f>
        <v>0</v>
      </c>
      <c r="O121" s="170">
        <f>IFERROR(__xludf.DUMMYFUNCTION("IFERROR(N121 * (1 + AVERAGE(Filter('Inflation Data'!$C:$C,'Inflation Data'!$A:$A = O$1))) + 'Fund YTD Contributions'!O121,'Fund YTD Contributions'!O121)"),0.0)</f>
        <v>0</v>
      </c>
      <c r="P121" s="170">
        <f>IFERROR(__xludf.DUMMYFUNCTION("IFERROR(O121 * (1 + AVERAGE(Filter('Inflation Data'!$C:$C,'Inflation Data'!$A:$A = P$1))) + 'Fund YTD Contributions'!P121,'Fund YTD Contributions'!P121)"),0.0)</f>
        <v>0</v>
      </c>
      <c r="Q121" s="170">
        <f>IFERROR(__xludf.DUMMYFUNCTION("IFERROR(P121 * (1 + AVERAGE(Filter('Inflation Data'!$C:$C,'Inflation Data'!$A:$A = Q$1))) + 'Fund YTD Contributions'!Q121,'Fund YTD Contributions'!Q121)"),0.0)</f>
        <v>0</v>
      </c>
      <c r="R121" s="170">
        <f>IFERROR(__xludf.DUMMYFUNCTION("IFERROR(Q121 * (1 + AVERAGE(Filter('Inflation Data'!$C:$C,'Inflation Data'!$A:$A = R$1))) + 'Fund YTD Contributions'!R121,'Fund YTD Contributions'!R121)"),0.0)</f>
        <v>0</v>
      </c>
      <c r="S121" s="170">
        <f>IFERROR(__xludf.DUMMYFUNCTION("IFERROR(R121 * (1 + AVERAGE(Filter('Inflation Data'!$C:$C,'Inflation Data'!$A:$A = S$1))) + 'Fund YTD Contributions'!S121,'Fund YTD Contributions'!S121)"),0.0)</f>
        <v>0</v>
      </c>
      <c r="T121" s="170">
        <f>IFERROR(__xludf.DUMMYFUNCTION("IFERROR(S121 * (1 + AVERAGE(Filter('Inflation Data'!$C:$C,'Inflation Data'!$A:$A = T$1))) + 'Fund YTD Contributions'!T121,'Fund YTD Contributions'!T121)"),0.0)</f>
        <v>0</v>
      </c>
      <c r="U121" s="170">
        <f>IFERROR(__xludf.DUMMYFUNCTION("IFERROR(T121 * (1 + AVERAGE(Filter('Inflation Data'!$C:$C,'Inflation Data'!$A:$A = U$1))) + 'Fund YTD Contributions'!U121,'Fund YTD Contributions'!U121)"),0.0)</f>
        <v>0</v>
      </c>
      <c r="V121" s="170">
        <f>IFERROR(__xludf.DUMMYFUNCTION("IFERROR(U121 * (1 + AVERAGE(Filter('Inflation Data'!$C:$C,'Inflation Data'!$A:$A = V$1))) + 'Fund YTD Contributions'!V121,'Fund YTD Contributions'!V121)"),0.0)</f>
        <v>0</v>
      </c>
      <c r="W121" s="170">
        <f>IFERROR(__xludf.DUMMYFUNCTION("IFERROR(V121 * (1 + AVERAGE(Filter('Inflation Data'!$C:$C,'Inflation Data'!$A:$A = W$1))) + 'Fund YTD Contributions'!W121,'Fund YTD Contributions'!W121)"),0.0)</f>
        <v>0</v>
      </c>
      <c r="X121" s="170">
        <f>IFERROR(__xludf.DUMMYFUNCTION("IFERROR(W121 * (1 + AVERAGE(Filter('Inflation Data'!$C:$C,'Inflation Data'!$A:$A = X$1))) + 'Fund YTD Contributions'!X121,'Fund YTD Contributions'!X121)"),0.0)</f>
        <v>0</v>
      </c>
      <c r="Y121" s="170">
        <f>IFERROR(__xludf.DUMMYFUNCTION("IFERROR(X121 * (1 + AVERAGE(Filter('Inflation Data'!$C:$C,'Inflation Data'!$A:$A = Y$1))) + 'Fund YTD Contributions'!Y121,'Fund YTD Contributions'!Y121)"),0.0)</f>
        <v>0</v>
      </c>
      <c r="Z121" s="170">
        <f>IFERROR(__xludf.DUMMYFUNCTION("IFERROR(Y121 * (1 + AVERAGE(Filter('Inflation Data'!$C:$C,'Inflation Data'!$A:$A = Z$1))) + 'Fund YTD Contributions'!Z121,'Fund YTD Contributions'!Z121)"),0.0)</f>
        <v>0</v>
      </c>
      <c r="AA121" s="170">
        <f>IFERROR(__xludf.DUMMYFUNCTION("IFERROR(Z121 * (1 + AVERAGE(Filter('Inflation Data'!$C:$C,'Inflation Data'!$A:$A = AA$1))) + 'Fund YTD Contributions'!AA121,'Fund YTD Contributions'!AA121)"),0.0)</f>
        <v>0</v>
      </c>
      <c r="AB121" s="170">
        <f>IFERROR(__xludf.DUMMYFUNCTION("IFERROR(AA121 * (1 + AVERAGE(Filter('Inflation Data'!$C:$C,'Inflation Data'!$A:$A = AB$1))) + 'Fund YTD Contributions'!AB121,'Fund YTD Contributions'!AB121)"),0.0)</f>
        <v>0</v>
      </c>
      <c r="AC121" s="170">
        <f>IFERROR(__xludf.DUMMYFUNCTION("IFERROR(AB121 * (1 + AVERAGE(Filter('Inflation Data'!$C:$C,'Inflation Data'!$A:$A = AC$1))) + 'Fund YTD Contributions'!AC121,'Fund YTD Contributions'!AC121)"),0.0)</f>
        <v>0</v>
      </c>
      <c r="AD121" s="170">
        <f>IFERROR(__xludf.DUMMYFUNCTION("IFERROR(AC121 * (1 + AVERAGE(Filter('Inflation Data'!$C:$C,'Inflation Data'!$A:$A = AD$1))) + 'Fund YTD Contributions'!AD121,'Fund YTD Contributions'!AD121)"),0.0)</f>
        <v>0</v>
      </c>
      <c r="AE121" s="170">
        <f>IFERROR(__xludf.DUMMYFUNCTION("IFERROR(AD121 * (1 + AVERAGE(Filter('Inflation Data'!$C:$C,'Inflation Data'!$A:$A = AE$1))) + 'Fund YTD Contributions'!AE121,'Fund YTD Contributions'!AE121)"),0.0)</f>
        <v>0</v>
      </c>
      <c r="AF121" s="170" t="str">
        <f>IFERROR(__xludf.DUMMYFUNCTION("IFERROR(AE121 * (1 + AVERAGE(Filter('Inflation Data'!$C:$C,'Inflation Data'!$A:$A = AF$1))) + 'Fund YTD Contributions'!AF121,'Fund YTD Contributions'!AF121)"),"")</f>
        <v/>
      </c>
    </row>
    <row r="122">
      <c r="A122" s="145" t="str">
        <f>'Endowed Funds'!B:B</f>
        <v/>
      </c>
      <c r="B122" s="170">
        <f>IFERROR(__xludf.DUMMYFUNCTION("IFERROR(A122 * (1 + AVERAGE(Filter('Inflation Data'!$C:$C,'Inflation Data'!$A:$A = B$1))) + 'Fund YTD Contributions'!B122,'Fund YTD Contributions'!B122)"),0.0)</f>
        <v>0</v>
      </c>
      <c r="C122" s="170">
        <f>IFERROR(__xludf.DUMMYFUNCTION("IFERROR(B122 * (1 + AVERAGE(Filter('Inflation Data'!$C:$C,'Inflation Data'!$A:$A = C$1))) + 'Fund YTD Contributions'!C122,'Fund YTD Contributions'!C122)"),0.0)</f>
        <v>0</v>
      </c>
      <c r="D122" s="170">
        <f>IFERROR(__xludf.DUMMYFUNCTION("IFERROR(C122 * (1 + AVERAGE(Filter('Inflation Data'!$C:$C,'Inflation Data'!$A:$A = D$1))) + 'Fund YTD Contributions'!D122,'Fund YTD Contributions'!D122)"),0.0)</f>
        <v>0</v>
      </c>
      <c r="E122" s="170">
        <f>IFERROR(__xludf.DUMMYFUNCTION("IFERROR(D122 * (1 + AVERAGE(Filter('Inflation Data'!$C:$C,'Inflation Data'!$A:$A = E$1))) + 'Fund YTD Contributions'!E122,'Fund YTD Contributions'!E122)"),0.0)</f>
        <v>0</v>
      </c>
      <c r="F122" s="170">
        <f>IFERROR(__xludf.DUMMYFUNCTION("IFERROR(E122 * (1 + AVERAGE(Filter('Inflation Data'!$C:$C,'Inflation Data'!$A:$A = F$1))) + 'Fund YTD Contributions'!F122,'Fund YTD Contributions'!F122)"),0.0)</f>
        <v>0</v>
      </c>
      <c r="G122" s="170">
        <f>IFERROR(__xludf.DUMMYFUNCTION("IFERROR(F122 * (1 + AVERAGE(Filter('Inflation Data'!$C:$C,'Inflation Data'!$A:$A = G$1))) + 'Fund YTD Contributions'!G122,'Fund YTD Contributions'!G122)"),0.0)</f>
        <v>0</v>
      </c>
      <c r="H122" s="170">
        <f>IFERROR(__xludf.DUMMYFUNCTION("IFERROR(G122 * (1 + AVERAGE(Filter('Inflation Data'!$C:$C,'Inflation Data'!$A:$A = H$1))) + 'Fund YTD Contributions'!H122,'Fund YTD Contributions'!H122)"),0.0)</f>
        <v>0</v>
      </c>
      <c r="I122" s="170">
        <f>IFERROR(__xludf.DUMMYFUNCTION("IFERROR(H122 * (1 + AVERAGE(Filter('Inflation Data'!$C:$C,'Inflation Data'!$A:$A = I$1))) + 'Fund YTD Contributions'!I122,'Fund YTD Contributions'!I122)"),0.0)</f>
        <v>0</v>
      </c>
      <c r="J122" s="170">
        <f>IFERROR(__xludf.DUMMYFUNCTION("IFERROR(I122 * (1 + AVERAGE(Filter('Inflation Data'!$C:$C,'Inflation Data'!$A:$A = J$1))) + 'Fund YTD Contributions'!J122,'Fund YTD Contributions'!J122)"),0.0)</f>
        <v>0</v>
      </c>
      <c r="K122" s="170">
        <f>IFERROR(__xludf.DUMMYFUNCTION("IFERROR(J122 * (1 + AVERAGE(Filter('Inflation Data'!$C:$C,'Inflation Data'!$A:$A = K$1))) + 'Fund YTD Contributions'!K122,'Fund YTD Contributions'!K122)"),0.0)</f>
        <v>0</v>
      </c>
      <c r="L122" s="170">
        <f>IFERROR(__xludf.DUMMYFUNCTION("IFERROR(K122 * (1 + AVERAGE(Filter('Inflation Data'!$C:$C,'Inflation Data'!$A:$A = L$1))) + 'Fund YTD Contributions'!L122,'Fund YTD Contributions'!L122)"),0.0)</f>
        <v>0</v>
      </c>
      <c r="M122" s="170">
        <f>IFERROR(__xludf.DUMMYFUNCTION("IFERROR(L122 * (1 + AVERAGE(Filter('Inflation Data'!$C:$C,'Inflation Data'!$A:$A = M$1))) + 'Fund YTD Contributions'!M122,'Fund YTD Contributions'!M122)"),0.0)</f>
        <v>0</v>
      </c>
      <c r="N122" s="170">
        <f>IFERROR(__xludf.DUMMYFUNCTION("IFERROR(M122 * (1 + AVERAGE(Filter('Inflation Data'!$C:$C,'Inflation Data'!$A:$A = N$1))) + 'Fund YTD Contributions'!N122,'Fund YTD Contributions'!N122)"),0.0)</f>
        <v>0</v>
      </c>
      <c r="O122" s="170">
        <f>IFERROR(__xludf.DUMMYFUNCTION("IFERROR(N122 * (1 + AVERAGE(Filter('Inflation Data'!$C:$C,'Inflation Data'!$A:$A = O$1))) + 'Fund YTD Contributions'!O122,'Fund YTD Contributions'!O122)"),0.0)</f>
        <v>0</v>
      </c>
      <c r="P122" s="170">
        <f>IFERROR(__xludf.DUMMYFUNCTION("IFERROR(O122 * (1 + AVERAGE(Filter('Inflation Data'!$C:$C,'Inflation Data'!$A:$A = P$1))) + 'Fund YTD Contributions'!P122,'Fund YTD Contributions'!P122)"),0.0)</f>
        <v>0</v>
      </c>
      <c r="Q122" s="170">
        <f>IFERROR(__xludf.DUMMYFUNCTION("IFERROR(P122 * (1 + AVERAGE(Filter('Inflation Data'!$C:$C,'Inflation Data'!$A:$A = Q$1))) + 'Fund YTD Contributions'!Q122,'Fund YTD Contributions'!Q122)"),0.0)</f>
        <v>0</v>
      </c>
      <c r="R122" s="170">
        <f>IFERROR(__xludf.DUMMYFUNCTION("IFERROR(Q122 * (1 + AVERAGE(Filter('Inflation Data'!$C:$C,'Inflation Data'!$A:$A = R$1))) + 'Fund YTD Contributions'!R122,'Fund YTD Contributions'!R122)"),0.0)</f>
        <v>0</v>
      </c>
      <c r="S122" s="170">
        <f>IFERROR(__xludf.DUMMYFUNCTION("IFERROR(R122 * (1 + AVERAGE(Filter('Inflation Data'!$C:$C,'Inflation Data'!$A:$A = S$1))) + 'Fund YTD Contributions'!S122,'Fund YTD Contributions'!S122)"),0.0)</f>
        <v>0</v>
      </c>
      <c r="T122" s="170">
        <f>IFERROR(__xludf.DUMMYFUNCTION("IFERROR(S122 * (1 + AVERAGE(Filter('Inflation Data'!$C:$C,'Inflation Data'!$A:$A = T$1))) + 'Fund YTD Contributions'!T122,'Fund YTD Contributions'!T122)"),0.0)</f>
        <v>0</v>
      </c>
      <c r="U122" s="170">
        <f>IFERROR(__xludf.DUMMYFUNCTION("IFERROR(T122 * (1 + AVERAGE(Filter('Inflation Data'!$C:$C,'Inflation Data'!$A:$A = U$1))) + 'Fund YTD Contributions'!U122,'Fund YTD Contributions'!U122)"),0.0)</f>
        <v>0</v>
      </c>
      <c r="V122" s="170">
        <f>IFERROR(__xludf.DUMMYFUNCTION("IFERROR(U122 * (1 + AVERAGE(Filter('Inflation Data'!$C:$C,'Inflation Data'!$A:$A = V$1))) + 'Fund YTD Contributions'!V122,'Fund YTD Contributions'!V122)"),0.0)</f>
        <v>0</v>
      </c>
      <c r="W122" s="170">
        <f>IFERROR(__xludf.DUMMYFUNCTION("IFERROR(V122 * (1 + AVERAGE(Filter('Inflation Data'!$C:$C,'Inflation Data'!$A:$A = W$1))) + 'Fund YTD Contributions'!W122,'Fund YTD Contributions'!W122)"),0.0)</f>
        <v>0</v>
      </c>
      <c r="X122" s="170">
        <f>IFERROR(__xludf.DUMMYFUNCTION("IFERROR(W122 * (1 + AVERAGE(Filter('Inflation Data'!$C:$C,'Inflation Data'!$A:$A = X$1))) + 'Fund YTD Contributions'!X122,'Fund YTD Contributions'!X122)"),0.0)</f>
        <v>0</v>
      </c>
      <c r="Y122" s="170">
        <f>IFERROR(__xludf.DUMMYFUNCTION("IFERROR(X122 * (1 + AVERAGE(Filter('Inflation Data'!$C:$C,'Inflation Data'!$A:$A = Y$1))) + 'Fund YTD Contributions'!Y122,'Fund YTD Contributions'!Y122)"),0.0)</f>
        <v>0</v>
      </c>
      <c r="Z122" s="170">
        <f>IFERROR(__xludf.DUMMYFUNCTION("IFERROR(Y122 * (1 + AVERAGE(Filter('Inflation Data'!$C:$C,'Inflation Data'!$A:$A = Z$1))) + 'Fund YTD Contributions'!Z122,'Fund YTD Contributions'!Z122)"),0.0)</f>
        <v>0</v>
      </c>
      <c r="AA122" s="170">
        <f>IFERROR(__xludf.DUMMYFUNCTION("IFERROR(Z122 * (1 + AVERAGE(Filter('Inflation Data'!$C:$C,'Inflation Data'!$A:$A = AA$1))) + 'Fund YTD Contributions'!AA122,'Fund YTD Contributions'!AA122)"),0.0)</f>
        <v>0</v>
      </c>
      <c r="AB122" s="170">
        <f>IFERROR(__xludf.DUMMYFUNCTION("IFERROR(AA122 * (1 + AVERAGE(Filter('Inflation Data'!$C:$C,'Inflation Data'!$A:$A = AB$1))) + 'Fund YTD Contributions'!AB122,'Fund YTD Contributions'!AB122)"),0.0)</f>
        <v>0</v>
      </c>
      <c r="AC122" s="170">
        <f>IFERROR(__xludf.DUMMYFUNCTION("IFERROR(AB122 * (1 + AVERAGE(Filter('Inflation Data'!$C:$C,'Inflation Data'!$A:$A = AC$1))) + 'Fund YTD Contributions'!AC122,'Fund YTD Contributions'!AC122)"),0.0)</f>
        <v>0</v>
      </c>
      <c r="AD122" s="170">
        <f>IFERROR(__xludf.DUMMYFUNCTION("IFERROR(AC122 * (1 + AVERAGE(Filter('Inflation Data'!$C:$C,'Inflation Data'!$A:$A = AD$1))) + 'Fund YTD Contributions'!AD122,'Fund YTD Contributions'!AD122)"),0.0)</f>
        <v>0</v>
      </c>
      <c r="AE122" s="170">
        <f>IFERROR(__xludf.DUMMYFUNCTION("IFERROR(AD122 * (1 + AVERAGE(Filter('Inflation Data'!$C:$C,'Inflation Data'!$A:$A = AE$1))) + 'Fund YTD Contributions'!AE122,'Fund YTD Contributions'!AE122)"),0.0)</f>
        <v>0</v>
      </c>
      <c r="AF122" s="170" t="str">
        <f>IFERROR(__xludf.DUMMYFUNCTION("IFERROR(AE122 * (1 + AVERAGE(Filter('Inflation Data'!$C:$C,'Inflation Data'!$A:$A = AF$1))) + 'Fund YTD Contributions'!AF122,'Fund YTD Contributions'!AF122)"),"")</f>
        <v/>
      </c>
    </row>
    <row r="123">
      <c r="A123" s="145" t="str">
        <f>'Endowed Funds'!B:B</f>
        <v/>
      </c>
      <c r="B123" s="170">
        <f>IFERROR(__xludf.DUMMYFUNCTION("IFERROR(A123 * (1 + AVERAGE(Filter('Inflation Data'!$C:$C,'Inflation Data'!$A:$A = B$1))) + 'Fund YTD Contributions'!B123,'Fund YTD Contributions'!B123)"),0.0)</f>
        <v>0</v>
      </c>
      <c r="C123" s="170">
        <f>IFERROR(__xludf.DUMMYFUNCTION("IFERROR(B123 * (1 + AVERAGE(Filter('Inflation Data'!$C:$C,'Inflation Data'!$A:$A = C$1))) + 'Fund YTD Contributions'!C123,'Fund YTD Contributions'!C123)"),0.0)</f>
        <v>0</v>
      </c>
      <c r="D123" s="170">
        <f>IFERROR(__xludf.DUMMYFUNCTION("IFERROR(C123 * (1 + AVERAGE(Filter('Inflation Data'!$C:$C,'Inflation Data'!$A:$A = D$1))) + 'Fund YTD Contributions'!D123,'Fund YTD Contributions'!D123)"),0.0)</f>
        <v>0</v>
      </c>
      <c r="E123" s="170">
        <f>IFERROR(__xludf.DUMMYFUNCTION("IFERROR(D123 * (1 + AVERAGE(Filter('Inflation Data'!$C:$C,'Inflation Data'!$A:$A = E$1))) + 'Fund YTD Contributions'!E123,'Fund YTD Contributions'!E123)"),0.0)</f>
        <v>0</v>
      </c>
      <c r="F123" s="170">
        <f>IFERROR(__xludf.DUMMYFUNCTION("IFERROR(E123 * (1 + AVERAGE(Filter('Inflation Data'!$C:$C,'Inflation Data'!$A:$A = F$1))) + 'Fund YTD Contributions'!F123,'Fund YTD Contributions'!F123)"),0.0)</f>
        <v>0</v>
      </c>
      <c r="G123" s="170">
        <f>IFERROR(__xludf.DUMMYFUNCTION("IFERROR(F123 * (1 + AVERAGE(Filter('Inflation Data'!$C:$C,'Inflation Data'!$A:$A = G$1))) + 'Fund YTD Contributions'!G123,'Fund YTD Contributions'!G123)"),0.0)</f>
        <v>0</v>
      </c>
      <c r="H123" s="170">
        <f>IFERROR(__xludf.DUMMYFUNCTION("IFERROR(G123 * (1 + AVERAGE(Filter('Inflation Data'!$C:$C,'Inflation Data'!$A:$A = H$1))) + 'Fund YTD Contributions'!H123,'Fund YTD Contributions'!H123)"),0.0)</f>
        <v>0</v>
      </c>
      <c r="I123" s="170">
        <f>IFERROR(__xludf.DUMMYFUNCTION("IFERROR(H123 * (1 + AVERAGE(Filter('Inflation Data'!$C:$C,'Inflation Data'!$A:$A = I$1))) + 'Fund YTD Contributions'!I123,'Fund YTD Contributions'!I123)"),0.0)</f>
        <v>0</v>
      </c>
      <c r="J123" s="170">
        <f>IFERROR(__xludf.DUMMYFUNCTION("IFERROR(I123 * (1 + AVERAGE(Filter('Inflation Data'!$C:$C,'Inflation Data'!$A:$A = J$1))) + 'Fund YTD Contributions'!J123,'Fund YTD Contributions'!J123)"),0.0)</f>
        <v>0</v>
      </c>
      <c r="K123" s="170">
        <f>IFERROR(__xludf.DUMMYFUNCTION("IFERROR(J123 * (1 + AVERAGE(Filter('Inflation Data'!$C:$C,'Inflation Data'!$A:$A = K$1))) + 'Fund YTD Contributions'!K123,'Fund YTD Contributions'!K123)"),0.0)</f>
        <v>0</v>
      </c>
      <c r="L123" s="170">
        <f>IFERROR(__xludf.DUMMYFUNCTION("IFERROR(K123 * (1 + AVERAGE(Filter('Inflation Data'!$C:$C,'Inflation Data'!$A:$A = L$1))) + 'Fund YTD Contributions'!L123,'Fund YTD Contributions'!L123)"),0.0)</f>
        <v>0</v>
      </c>
      <c r="M123" s="170">
        <f>IFERROR(__xludf.DUMMYFUNCTION("IFERROR(L123 * (1 + AVERAGE(Filter('Inflation Data'!$C:$C,'Inflation Data'!$A:$A = M$1))) + 'Fund YTD Contributions'!M123,'Fund YTD Contributions'!M123)"),0.0)</f>
        <v>0</v>
      </c>
      <c r="N123" s="170">
        <f>IFERROR(__xludf.DUMMYFUNCTION("IFERROR(M123 * (1 + AVERAGE(Filter('Inflation Data'!$C:$C,'Inflation Data'!$A:$A = N$1))) + 'Fund YTD Contributions'!N123,'Fund YTD Contributions'!N123)"),0.0)</f>
        <v>0</v>
      </c>
      <c r="O123" s="170">
        <f>IFERROR(__xludf.DUMMYFUNCTION("IFERROR(N123 * (1 + AVERAGE(Filter('Inflation Data'!$C:$C,'Inflation Data'!$A:$A = O$1))) + 'Fund YTD Contributions'!O123,'Fund YTD Contributions'!O123)"),0.0)</f>
        <v>0</v>
      </c>
      <c r="P123" s="170">
        <f>IFERROR(__xludf.DUMMYFUNCTION("IFERROR(O123 * (1 + AVERAGE(Filter('Inflation Data'!$C:$C,'Inflation Data'!$A:$A = P$1))) + 'Fund YTD Contributions'!P123,'Fund YTD Contributions'!P123)"),0.0)</f>
        <v>0</v>
      </c>
      <c r="Q123" s="170">
        <f>IFERROR(__xludf.DUMMYFUNCTION("IFERROR(P123 * (1 + AVERAGE(Filter('Inflation Data'!$C:$C,'Inflation Data'!$A:$A = Q$1))) + 'Fund YTD Contributions'!Q123,'Fund YTD Contributions'!Q123)"),0.0)</f>
        <v>0</v>
      </c>
      <c r="R123" s="170">
        <f>IFERROR(__xludf.DUMMYFUNCTION("IFERROR(Q123 * (1 + AVERAGE(Filter('Inflation Data'!$C:$C,'Inflation Data'!$A:$A = R$1))) + 'Fund YTD Contributions'!R123,'Fund YTD Contributions'!R123)"),0.0)</f>
        <v>0</v>
      </c>
      <c r="S123" s="170">
        <f>IFERROR(__xludf.DUMMYFUNCTION("IFERROR(R123 * (1 + AVERAGE(Filter('Inflation Data'!$C:$C,'Inflation Data'!$A:$A = S$1))) + 'Fund YTD Contributions'!S123,'Fund YTD Contributions'!S123)"),0.0)</f>
        <v>0</v>
      </c>
      <c r="T123" s="170">
        <f>IFERROR(__xludf.DUMMYFUNCTION("IFERROR(S123 * (1 + AVERAGE(Filter('Inflation Data'!$C:$C,'Inflation Data'!$A:$A = T$1))) + 'Fund YTD Contributions'!T123,'Fund YTD Contributions'!T123)"),0.0)</f>
        <v>0</v>
      </c>
      <c r="U123" s="170">
        <f>IFERROR(__xludf.DUMMYFUNCTION("IFERROR(T123 * (1 + AVERAGE(Filter('Inflation Data'!$C:$C,'Inflation Data'!$A:$A = U$1))) + 'Fund YTD Contributions'!U123,'Fund YTD Contributions'!U123)"),0.0)</f>
        <v>0</v>
      </c>
      <c r="V123" s="170">
        <f>IFERROR(__xludf.DUMMYFUNCTION("IFERROR(U123 * (1 + AVERAGE(Filter('Inflation Data'!$C:$C,'Inflation Data'!$A:$A = V$1))) + 'Fund YTD Contributions'!V123,'Fund YTD Contributions'!V123)"),0.0)</f>
        <v>0</v>
      </c>
      <c r="W123" s="170">
        <f>IFERROR(__xludf.DUMMYFUNCTION("IFERROR(V123 * (1 + AVERAGE(Filter('Inflation Data'!$C:$C,'Inflation Data'!$A:$A = W$1))) + 'Fund YTD Contributions'!W123,'Fund YTD Contributions'!W123)"),0.0)</f>
        <v>0</v>
      </c>
      <c r="X123" s="170">
        <f>IFERROR(__xludf.DUMMYFUNCTION("IFERROR(W123 * (1 + AVERAGE(Filter('Inflation Data'!$C:$C,'Inflation Data'!$A:$A = X$1))) + 'Fund YTD Contributions'!X123,'Fund YTD Contributions'!X123)"),0.0)</f>
        <v>0</v>
      </c>
      <c r="Y123" s="170">
        <f>IFERROR(__xludf.DUMMYFUNCTION("IFERROR(X123 * (1 + AVERAGE(Filter('Inflation Data'!$C:$C,'Inflation Data'!$A:$A = Y$1))) + 'Fund YTD Contributions'!Y123,'Fund YTD Contributions'!Y123)"),0.0)</f>
        <v>0</v>
      </c>
      <c r="Z123" s="170">
        <f>IFERROR(__xludf.DUMMYFUNCTION("IFERROR(Y123 * (1 + AVERAGE(Filter('Inflation Data'!$C:$C,'Inflation Data'!$A:$A = Z$1))) + 'Fund YTD Contributions'!Z123,'Fund YTD Contributions'!Z123)"),0.0)</f>
        <v>0</v>
      </c>
      <c r="AA123" s="170">
        <f>IFERROR(__xludf.DUMMYFUNCTION("IFERROR(Z123 * (1 + AVERAGE(Filter('Inflation Data'!$C:$C,'Inflation Data'!$A:$A = AA$1))) + 'Fund YTD Contributions'!AA123,'Fund YTD Contributions'!AA123)"),0.0)</f>
        <v>0</v>
      </c>
      <c r="AB123" s="170">
        <f>IFERROR(__xludf.DUMMYFUNCTION("IFERROR(AA123 * (1 + AVERAGE(Filter('Inflation Data'!$C:$C,'Inflation Data'!$A:$A = AB$1))) + 'Fund YTD Contributions'!AB123,'Fund YTD Contributions'!AB123)"),0.0)</f>
        <v>0</v>
      </c>
      <c r="AC123" s="170">
        <f>IFERROR(__xludf.DUMMYFUNCTION("IFERROR(AB123 * (1 + AVERAGE(Filter('Inflation Data'!$C:$C,'Inflation Data'!$A:$A = AC$1))) + 'Fund YTD Contributions'!AC123,'Fund YTD Contributions'!AC123)"),0.0)</f>
        <v>0</v>
      </c>
      <c r="AD123" s="170">
        <f>IFERROR(__xludf.DUMMYFUNCTION("IFERROR(AC123 * (1 + AVERAGE(Filter('Inflation Data'!$C:$C,'Inflation Data'!$A:$A = AD$1))) + 'Fund YTD Contributions'!AD123,'Fund YTD Contributions'!AD123)"),0.0)</f>
        <v>0</v>
      </c>
      <c r="AE123" s="170">
        <f>IFERROR(__xludf.DUMMYFUNCTION("IFERROR(AD123 * (1 + AVERAGE(Filter('Inflation Data'!$C:$C,'Inflation Data'!$A:$A = AE$1))) + 'Fund YTD Contributions'!AE123,'Fund YTD Contributions'!AE123)"),0.0)</f>
        <v>0</v>
      </c>
      <c r="AF123" s="170" t="str">
        <f>IFERROR(__xludf.DUMMYFUNCTION("IFERROR(AE123 * (1 + AVERAGE(Filter('Inflation Data'!$C:$C,'Inflation Data'!$A:$A = AF$1))) + 'Fund YTD Contributions'!AF123,'Fund YTD Contributions'!AF123)"),"")</f>
        <v/>
      </c>
    </row>
    <row r="124">
      <c r="A124" s="145" t="str">
        <f>'Endowed Funds'!B:B</f>
        <v/>
      </c>
      <c r="B124" s="170">
        <f>IFERROR(__xludf.DUMMYFUNCTION("IFERROR(A124 * (1 + AVERAGE(Filter('Inflation Data'!$C:$C,'Inflation Data'!$A:$A = B$1))) + 'Fund YTD Contributions'!B124,'Fund YTD Contributions'!B124)"),0.0)</f>
        <v>0</v>
      </c>
      <c r="C124" s="170">
        <f>IFERROR(__xludf.DUMMYFUNCTION("IFERROR(B124 * (1 + AVERAGE(Filter('Inflation Data'!$C:$C,'Inflation Data'!$A:$A = C$1))) + 'Fund YTD Contributions'!C124,'Fund YTD Contributions'!C124)"),0.0)</f>
        <v>0</v>
      </c>
      <c r="D124" s="170">
        <f>IFERROR(__xludf.DUMMYFUNCTION("IFERROR(C124 * (1 + AVERAGE(Filter('Inflation Data'!$C:$C,'Inflation Data'!$A:$A = D$1))) + 'Fund YTD Contributions'!D124,'Fund YTD Contributions'!D124)"),0.0)</f>
        <v>0</v>
      </c>
      <c r="E124" s="170">
        <f>IFERROR(__xludf.DUMMYFUNCTION("IFERROR(D124 * (1 + AVERAGE(Filter('Inflation Data'!$C:$C,'Inflation Data'!$A:$A = E$1))) + 'Fund YTD Contributions'!E124,'Fund YTD Contributions'!E124)"),0.0)</f>
        <v>0</v>
      </c>
      <c r="F124" s="170">
        <f>IFERROR(__xludf.DUMMYFUNCTION("IFERROR(E124 * (1 + AVERAGE(Filter('Inflation Data'!$C:$C,'Inflation Data'!$A:$A = F$1))) + 'Fund YTD Contributions'!F124,'Fund YTD Contributions'!F124)"),0.0)</f>
        <v>0</v>
      </c>
      <c r="G124" s="170">
        <f>IFERROR(__xludf.DUMMYFUNCTION("IFERROR(F124 * (1 + AVERAGE(Filter('Inflation Data'!$C:$C,'Inflation Data'!$A:$A = G$1))) + 'Fund YTD Contributions'!G124,'Fund YTD Contributions'!G124)"),0.0)</f>
        <v>0</v>
      </c>
      <c r="H124" s="170">
        <f>IFERROR(__xludf.DUMMYFUNCTION("IFERROR(G124 * (1 + AVERAGE(Filter('Inflation Data'!$C:$C,'Inflation Data'!$A:$A = H$1))) + 'Fund YTD Contributions'!H124,'Fund YTD Contributions'!H124)"),0.0)</f>
        <v>0</v>
      </c>
      <c r="I124" s="170">
        <f>IFERROR(__xludf.DUMMYFUNCTION("IFERROR(H124 * (1 + AVERAGE(Filter('Inflation Data'!$C:$C,'Inflation Data'!$A:$A = I$1))) + 'Fund YTD Contributions'!I124,'Fund YTD Contributions'!I124)"),0.0)</f>
        <v>0</v>
      </c>
      <c r="J124" s="170">
        <f>IFERROR(__xludf.DUMMYFUNCTION("IFERROR(I124 * (1 + AVERAGE(Filter('Inflation Data'!$C:$C,'Inflation Data'!$A:$A = J$1))) + 'Fund YTD Contributions'!J124,'Fund YTD Contributions'!J124)"),0.0)</f>
        <v>0</v>
      </c>
      <c r="K124" s="170">
        <f>IFERROR(__xludf.DUMMYFUNCTION("IFERROR(J124 * (1 + AVERAGE(Filter('Inflation Data'!$C:$C,'Inflation Data'!$A:$A = K$1))) + 'Fund YTD Contributions'!K124,'Fund YTD Contributions'!K124)"),0.0)</f>
        <v>0</v>
      </c>
      <c r="L124" s="170">
        <f>IFERROR(__xludf.DUMMYFUNCTION("IFERROR(K124 * (1 + AVERAGE(Filter('Inflation Data'!$C:$C,'Inflation Data'!$A:$A = L$1))) + 'Fund YTD Contributions'!L124,'Fund YTD Contributions'!L124)"),0.0)</f>
        <v>0</v>
      </c>
      <c r="M124" s="170">
        <f>IFERROR(__xludf.DUMMYFUNCTION("IFERROR(L124 * (1 + AVERAGE(Filter('Inflation Data'!$C:$C,'Inflation Data'!$A:$A = M$1))) + 'Fund YTD Contributions'!M124,'Fund YTD Contributions'!M124)"),0.0)</f>
        <v>0</v>
      </c>
      <c r="N124" s="170">
        <f>IFERROR(__xludf.DUMMYFUNCTION("IFERROR(M124 * (1 + AVERAGE(Filter('Inflation Data'!$C:$C,'Inflation Data'!$A:$A = N$1))) + 'Fund YTD Contributions'!N124,'Fund YTD Contributions'!N124)"),0.0)</f>
        <v>0</v>
      </c>
      <c r="O124" s="170">
        <f>IFERROR(__xludf.DUMMYFUNCTION("IFERROR(N124 * (1 + AVERAGE(Filter('Inflation Data'!$C:$C,'Inflation Data'!$A:$A = O$1))) + 'Fund YTD Contributions'!O124,'Fund YTD Contributions'!O124)"),0.0)</f>
        <v>0</v>
      </c>
      <c r="P124" s="170">
        <f>IFERROR(__xludf.DUMMYFUNCTION("IFERROR(O124 * (1 + AVERAGE(Filter('Inflation Data'!$C:$C,'Inflation Data'!$A:$A = P$1))) + 'Fund YTD Contributions'!P124,'Fund YTD Contributions'!P124)"),0.0)</f>
        <v>0</v>
      </c>
      <c r="Q124" s="170">
        <f>IFERROR(__xludf.DUMMYFUNCTION("IFERROR(P124 * (1 + AVERAGE(Filter('Inflation Data'!$C:$C,'Inflation Data'!$A:$A = Q$1))) + 'Fund YTD Contributions'!Q124,'Fund YTD Contributions'!Q124)"),0.0)</f>
        <v>0</v>
      </c>
      <c r="R124" s="170">
        <f>IFERROR(__xludf.DUMMYFUNCTION("IFERROR(Q124 * (1 + AVERAGE(Filter('Inflation Data'!$C:$C,'Inflation Data'!$A:$A = R$1))) + 'Fund YTD Contributions'!R124,'Fund YTD Contributions'!R124)"),0.0)</f>
        <v>0</v>
      </c>
      <c r="S124" s="170">
        <f>IFERROR(__xludf.DUMMYFUNCTION("IFERROR(R124 * (1 + AVERAGE(Filter('Inflation Data'!$C:$C,'Inflation Data'!$A:$A = S$1))) + 'Fund YTD Contributions'!S124,'Fund YTD Contributions'!S124)"),0.0)</f>
        <v>0</v>
      </c>
      <c r="T124" s="170">
        <f>IFERROR(__xludf.DUMMYFUNCTION("IFERROR(S124 * (1 + AVERAGE(Filter('Inflation Data'!$C:$C,'Inflation Data'!$A:$A = T$1))) + 'Fund YTD Contributions'!T124,'Fund YTD Contributions'!T124)"),0.0)</f>
        <v>0</v>
      </c>
      <c r="U124" s="170">
        <f>IFERROR(__xludf.DUMMYFUNCTION("IFERROR(T124 * (1 + AVERAGE(Filter('Inflation Data'!$C:$C,'Inflation Data'!$A:$A = U$1))) + 'Fund YTD Contributions'!U124,'Fund YTD Contributions'!U124)"),0.0)</f>
        <v>0</v>
      </c>
      <c r="V124" s="170">
        <f>IFERROR(__xludf.DUMMYFUNCTION("IFERROR(U124 * (1 + AVERAGE(Filter('Inflation Data'!$C:$C,'Inflation Data'!$A:$A = V$1))) + 'Fund YTD Contributions'!V124,'Fund YTD Contributions'!V124)"),0.0)</f>
        <v>0</v>
      </c>
      <c r="W124" s="170">
        <f>IFERROR(__xludf.DUMMYFUNCTION("IFERROR(V124 * (1 + AVERAGE(Filter('Inflation Data'!$C:$C,'Inflation Data'!$A:$A = W$1))) + 'Fund YTD Contributions'!W124,'Fund YTD Contributions'!W124)"),0.0)</f>
        <v>0</v>
      </c>
      <c r="X124" s="170">
        <f>IFERROR(__xludf.DUMMYFUNCTION("IFERROR(W124 * (1 + AVERAGE(Filter('Inflation Data'!$C:$C,'Inflation Data'!$A:$A = X$1))) + 'Fund YTD Contributions'!X124,'Fund YTD Contributions'!X124)"),0.0)</f>
        <v>0</v>
      </c>
      <c r="Y124" s="170">
        <f>IFERROR(__xludf.DUMMYFUNCTION("IFERROR(X124 * (1 + AVERAGE(Filter('Inflation Data'!$C:$C,'Inflation Data'!$A:$A = Y$1))) + 'Fund YTD Contributions'!Y124,'Fund YTD Contributions'!Y124)"),0.0)</f>
        <v>0</v>
      </c>
      <c r="Z124" s="170">
        <f>IFERROR(__xludf.DUMMYFUNCTION("IFERROR(Y124 * (1 + AVERAGE(Filter('Inflation Data'!$C:$C,'Inflation Data'!$A:$A = Z$1))) + 'Fund YTD Contributions'!Z124,'Fund YTD Contributions'!Z124)"),0.0)</f>
        <v>0</v>
      </c>
      <c r="AA124" s="170">
        <f>IFERROR(__xludf.DUMMYFUNCTION("IFERROR(Z124 * (1 + AVERAGE(Filter('Inflation Data'!$C:$C,'Inflation Data'!$A:$A = AA$1))) + 'Fund YTD Contributions'!AA124,'Fund YTD Contributions'!AA124)"),0.0)</f>
        <v>0</v>
      </c>
      <c r="AB124" s="170">
        <f>IFERROR(__xludf.DUMMYFUNCTION("IFERROR(AA124 * (1 + AVERAGE(Filter('Inflation Data'!$C:$C,'Inflation Data'!$A:$A = AB$1))) + 'Fund YTD Contributions'!AB124,'Fund YTD Contributions'!AB124)"),0.0)</f>
        <v>0</v>
      </c>
      <c r="AC124" s="170">
        <f>IFERROR(__xludf.DUMMYFUNCTION("IFERROR(AB124 * (1 + AVERAGE(Filter('Inflation Data'!$C:$C,'Inflation Data'!$A:$A = AC$1))) + 'Fund YTD Contributions'!AC124,'Fund YTD Contributions'!AC124)"),0.0)</f>
        <v>0</v>
      </c>
      <c r="AD124" s="170">
        <f>IFERROR(__xludf.DUMMYFUNCTION("IFERROR(AC124 * (1 + AVERAGE(Filter('Inflation Data'!$C:$C,'Inflation Data'!$A:$A = AD$1))) + 'Fund YTD Contributions'!AD124,'Fund YTD Contributions'!AD124)"),0.0)</f>
        <v>0</v>
      </c>
      <c r="AE124" s="170">
        <f>IFERROR(__xludf.DUMMYFUNCTION("IFERROR(AD124 * (1 + AVERAGE(Filter('Inflation Data'!$C:$C,'Inflation Data'!$A:$A = AE$1))) + 'Fund YTD Contributions'!AE124,'Fund YTD Contributions'!AE124)"),0.0)</f>
        <v>0</v>
      </c>
      <c r="AF124" s="170" t="str">
        <f>IFERROR(__xludf.DUMMYFUNCTION("IFERROR(AE124 * (1 + AVERAGE(Filter('Inflation Data'!$C:$C,'Inflation Data'!$A:$A = AF$1))) + 'Fund YTD Contributions'!AF124,'Fund YTD Contributions'!AF124)"),"")</f>
        <v/>
      </c>
    </row>
    <row r="125">
      <c r="A125" s="145" t="str">
        <f>'Endowed Funds'!B:B</f>
        <v/>
      </c>
      <c r="B125" s="170">
        <f>IFERROR(__xludf.DUMMYFUNCTION("IFERROR(A125 * (1 + AVERAGE(Filter('Inflation Data'!$C:$C,'Inflation Data'!$A:$A = B$1))) + 'Fund YTD Contributions'!B125,'Fund YTD Contributions'!B125)"),0.0)</f>
        <v>0</v>
      </c>
      <c r="C125" s="170">
        <f>IFERROR(__xludf.DUMMYFUNCTION("IFERROR(B125 * (1 + AVERAGE(Filter('Inflation Data'!$C:$C,'Inflation Data'!$A:$A = C$1))) + 'Fund YTD Contributions'!C125,'Fund YTD Contributions'!C125)"),0.0)</f>
        <v>0</v>
      </c>
      <c r="D125" s="170">
        <f>IFERROR(__xludf.DUMMYFUNCTION("IFERROR(C125 * (1 + AVERAGE(Filter('Inflation Data'!$C:$C,'Inflation Data'!$A:$A = D$1))) + 'Fund YTD Contributions'!D125,'Fund YTD Contributions'!D125)"),0.0)</f>
        <v>0</v>
      </c>
      <c r="E125" s="170">
        <f>IFERROR(__xludf.DUMMYFUNCTION("IFERROR(D125 * (1 + AVERAGE(Filter('Inflation Data'!$C:$C,'Inflation Data'!$A:$A = E$1))) + 'Fund YTD Contributions'!E125,'Fund YTD Contributions'!E125)"),0.0)</f>
        <v>0</v>
      </c>
      <c r="F125" s="170">
        <f>IFERROR(__xludf.DUMMYFUNCTION("IFERROR(E125 * (1 + AVERAGE(Filter('Inflation Data'!$C:$C,'Inflation Data'!$A:$A = F$1))) + 'Fund YTD Contributions'!F125,'Fund YTD Contributions'!F125)"),0.0)</f>
        <v>0</v>
      </c>
      <c r="G125" s="170">
        <f>IFERROR(__xludf.DUMMYFUNCTION("IFERROR(F125 * (1 + AVERAGE(Filter('Inflation Data'!$C:$C,'Inflation Data'!$A:$A = G$1))) + 'Fund YTD Contributions'!G125,'Fund YTD Contributions'!G125)"),0.0)</f>
        <v>0</v>
      </c>
      <c r="H125" s="170">
        <f>IFERROR(__xludf.DUMMYFUNCTION("IFERROR(G125 * (1 + AVERAGE(Filter('Inflation Data'!$C:$C,'Inflation Data'!$A:$A = H$1))) + 'Fund YTD Contributions'!H125,'Fund YTD Contributions'!H125)"),0.0)</f>
        <v>0</v>
      </c>
      <c r="I125" s="170">
        <f>IFERROR(__xludf.DUMMYFUNCTION("IFERROR(H125 * (1 + AVERAGE(Filter('Inflation Data'!$C:$C,'Inflation Data'!$A:$A = I$1))) + 'Fund YTD Contributions'!I125,'Fund YTD Contributions'!I125)"),0.0)</f>
        <v>0</v>
      </c>
      <c r="J125" s="170">
        <f>IFERROR(__xludf.DUMMYFUNCTION("IFERROR(I125 * (1 + AVERAGE(Filter('Inflation Data'!$C:$C,'Inflation Data'!$A:$A = J$1))) + 'Fund YTD Contributions'!J125,'Fund YTD Contributions'!J125)"),0.0)</f>
        <v>0</v>
      </c>
      <c r="K125" s="170">
        <f>IFERROR(__xludf.DUMMYFUNCTION("IFERROR(J125 * (1 + AVERAGE(Filter('Inflation Data'!$C:$C,'Inflation Data'!$A:$A = K$1))) + 'Fund YTD Contributions'!K125,'Fund YTD Contributions'!K125)"),0.0)</f>
        <v>0</v>
      </c>
      <c r="L125" s="170">
        <f>IFERROR(__xludf.DUMMYFUNCTION("IFERROR(K125 * (1 + AVERAGE(Filter('Inflation Data'!$C:$C,'Inflation Data'!$A:$A = L$1))) + 'Fund YTD Contributions'!L125,'Fund YTD Contributions'!L125)"),0.0)</f>
        <v>0</v>
      </c>
      <c r="M125" s="170">
        <f>IFERROR(__xludf.DUMMYFUNCTION("IFERROR(L125 * (1 + AVERAGE(Filter('Inflation Data'!$C:$C,'Inflation Data'!$A:$A = M$1))) + 'Fund YTD Contributions'!M125,'Fund YTD Contributions'!M125)"),0.0)</f>
        <v>0</v>
      </c>
      <c r="N125" s="170">
        <f>IFERROR(__xludf.DUMMYFUNCTION("IFERROR(M125 * (1 + AVERAGE(Filter('Inflation Data'!$C:$C,'Inflation Data'!$A:$A = N$1))) + 'Fund YTD Contributions'!N125,'Fund YTD Contributions'!N125)"),0.0)</f>
        <v>0</v>
      </c>
      <c r="O125" s="170">
        <f>IFERROR(__xludf.DUMMYFUNCTION("IFERROR(N125 * (1 + AVERAGE(Filter('Inflation Data'!$C:$C,'Inflation Data'!$A:$A = O$1))) + 'Fund YTD Contributions'!O125,'Fund YTD Contributions'!O125)"),0.0)</f>
        <v>0</v>
      </c>
      <c r="P125" s="170">
        <f>IFERROR(__xludf.DUMMYFUNCTION("IFERROR(O125 * (1 + AVERAGE(Filter('Inflation Data'!$C:$C,'Inflation Data'!$A:$A = P$1))) + 'Fund YTD Contributions'!P125,'Fund YTD Contributions'!P125)"),0.0)</f>
        <v>0</v>
      </c>
      <c r="Q125" s="170">
        <f>IFERROR(__xludf.DUMMYFUNCTION("IFERROR(P125 * (1 + AVERAGE(Filter('Inflation Data'!$C:$C,'Inflation Data'!$A:$A = Q$1))) + 'Fund YTD Contributions'!Q125,'Fund YTD Contributions'!Q125)"),0.0)</f>
        <v>0</v>
      </c>
      <c r="R125" s="170">
        <f>IFERROR(__xludf.DUMMYFUNCTION("IFERROR(Q125 * (1 + AVERAGE(Filter('Inflation Data'!$C:$C,'Inflation Data'!$A:$A = R$1))) + 'Fund YTD Contributions'!R125,'Fund YTD Contributions'!R125)"),0.0)</f>
        <v>0</v>
      </c>
      <c r="S125" s="170">
        <f>IFERROR(__xludf.DUMMYFUNCTION("IFERROR(R125 * (1 + AVERAGE(Filter('Inflation Data'!$C:$C,'Inflation Data'!$A:$A = S$1))) + 'Fund YTD Contributions'!S125,'Fund YTD Contributions'!S125)"),0.0)</f>
        <v>0</v>
      </c>
      <c r="T125" s="170">
        <f>IFERROR(__xludf.DUMMYFUNCTION("IFERROR(S125 * (1 + AVERAGE(Filter('Inflation Data'!$C:$C,'Inflation Data'!$A:$A = T$1))) + 'Fund YTD Contributions'!T125,'Fund YTD Contributions'!T125)"),0.0)</f>
        <v>0</v>
      </c>
      <c r="U125" s="170">
        <f>IFERROR(__xludf.DUMMYFUNCTION("IFERROR(T125 * (1 + AVERAGE(Filter('Inflation Data'!$C:$C,'Inflation Data'!$A:$A = U$1))) + 'Fund YTD Contributions'!U125,'Fund YTD Contributions'!U125)"),0.0)</f>
        <v>0</v>
      </c>
      <c r="V125" s="170">
        <f>IFERROR(__xludf.DUMMYFUNCTION("IFERROR(U125 * (1 + AVERAGE(Filter('Inflation Data'!$C:$C,'Inflation Data'!$A:$A = V$1))) + 'Fund YTD Contributions'!V125,'Fund YTD Contributions'!V125)"),0.0)</f>
        <v>0</v>
      </c>
      <c r="W125" s="170">
        <f>IFERROR(__xludf.DUMMYFUNCTION("IFERROR(V125 * (1 + AVERAGE(Filter('Inflation Data'!$C:$C,'Inflation Data'!$A:$A = W$1))) + 'Fund YTD Contributions'!W125,'Fund YTD Contributions'!W125)"),0.0)</f>
        <v>0</v>
      </c>
      <c r="X125" s="170">
        <f>IFERROR(__xludf.DUMMYFUNCTION("IFERROR(W125 * (1 + AVERAGE(Filter('Inflation Data'!$C:$C,'Inflation Data'!$A:$A = X$1))) + 'Fund YTD Contributions'!X125,'Fund YTD Contributions'!X125)"),0.0)</f>
        <v>0</v>
      </c>
      <c r="Y125" s="170">
        <f>IFERROR(__xludf.DUMMYFUNCTION("IFERROR(X125 * (1 + AVERAGE(Filter('Inflation Data'!$C:$C,'Inflation Data'!$A:$A = Y$1))) + 'Fund YTD Contributions'!Y125,'Fund YTD Contributions'!Y125)"),0.0)</f>
        <v>0</v>
      </c>
      <c r="Z125" s="170">
        <f>IFERROR(__xludf.DUMMYFUNCTION("IFERROR(Y125 * (1 + AVERAGE(Filter('Inflation Data'!$C:$C,'Inflation Data'!$A:$A = Z$1))) + 'Fund YTD Contributions'!Z125,'Fund YTD Contributions'!Z125)"),0.0)</f>
        <v>0</v>
      </c>
      <c r="AA125" s="170">
        <f>IFERROR(__xludf.DUMMYFUNCTION("IFERROR(Z125 * (1 + AVERAGE(Filter('Inflation Data'!$C:$C,'Inflation Data'!$A:$A = AA$1))) + 'Fund YTD Contributions'!AA125,'Fund YTD Contributions'!AA125)"),0.0)</f>
        <v>0</v>
      </c>
      <c r="AB125" s="170">
        <f>IFERROR(__xludf.DUMMYFUNCTION("IFERROR(AA125 * (1 + AVERAGE(Filter('Inflation Data'!$C:$C,'Inflation Data'!$A:$A = AB$1))) + 'Fund YTD Contributions'!AB125,'Fund YTD Contributions'!AB125)"),0.0)</f>
        <v>0</v>
      </c>
      <c r="AC125" s="170">
        <f>IFERROR(__xludf.DUMMYFUNCTION("IFERROR(AB125 * (1 + AVERAGE(Filter('Inflation Data'!$C:$C,'Inflation Data'!$A:$A = AC$1))) + 'Fund YTD Contributions'!AC125,'Fund YTD Contributions'!AC125)"),0.0)</f>
        <v>0</v>
      </c>
      <c r="AD125" s="170">
        <f>IFERROR(__xludf.DUMMYFUNCTION("IFERROR(AC125 * (1 + AVERAGE(Filter('Inflation Data'!$C:$C,'Inflation Data'!$A:$A = AD$1))) + 'Fund YTD Contributions'!AD125,'Fund YTD Contributions'!AD125)"),0.0)</f>
        <v>0</v>
      </c>
      <c r="AE125" s="170">
        <f>IFERROR(__xludf.DUMMYFUNCTION("IFERROR(AD125 * (1 + AVERAGE(Filter('Inflation Data'!$C:$C,'Inflation Data'!$A:$A = AE$1))) + 'Fund YTD Contributions'!AE125,'Fund YTD Contributions'!AE125)"),0.0)</f>
        <v>0</v>
      </c>
      <c r="AF125" s="170" t="str">
        <f>IFERROR(__xludf.DUMMYFUNCTION("IFERROR(AE125 * (1 + AVERAGE(Filter('Inflation Data'!$C:$C,'Inflation Data'!$A:$A = AF$1))) + 'Fund YTD Contributions'!AF125,'Fund YTD Contributions'!AF125)"),"")</f>
        <v/>
      </c>
    </row>
    <row r="126">
      <c r="A126" s="145" t="str">
        <f>'Endowed Funds'!B:B</f>
        <v/>
      </c>
      <c r="B126" s="170">
        <f>IFERROR(__xludf.DUMMYFUNCTION("IFERROR(A126 * (1 + AVERAGE(Filter('Inflation Data'!$C:$C,'Inflation Data'!$A:$A = B$1))) + 'Fund YTD Contributions'!B126,'Fund YTD Contributions'!B126)"),0.0)</f>
        <v>0</v>
      </c>
      <c r="C126" s="170">
        <f>IFERROR(__xludf.DUMMYFUNCTION("IFERROR(B126 * (1 + AVERAGE(Filter('Inflation Data'!$C:$C,'Inflation Data'!$A:$A = C$1))) + 'Fund YTD Contributions'!C126,'Fund YTD Contributions'!C126)"),0.0)</f>
        <v>0</v>
      </c>
      <c r="D126" s="170">
        <f>IFERROR(__xludf.DUMMYFUNCTION("IFERROR(C126 * (1 + AVERAGE(Filter('Inflation Data'!$C:$C,'Inflation Data'!$A:$A = D$1))) + 'Fund YTD Contributions'!D126,'Fund YTD Contributions'!D126)"),0.0)</f>
        <v>0</v>
      </c>
      <c r="E126" s="170">
        <f>IFERROR(__xludf.DUMMYFUNCTION("IFERROR(D126 * (1 + AVERAGE(Filter('Inflation Data'!$C:$C,'Inflation Data'!$A:$A = E$1))) + 'Fund YTD Contributions'!E126,'Fund YTD Contributions'!E126)"),0.0)</f>
        <v>0</v>
      </c>
      <c r="F126" s="170">
        <f>IFERROR(__xludf.DUMMYFUNCTION("IFERROR(E126 * (1 + AVERAGE(Filter('Inflation Data'!$C:$C,'Inflation Data'!$A:$A = F$1))) + 'Fund YTD Contributions'!F126,'Fund YTD Contributions'!F126)"),0.0)</f>
        <v>0</v>
      </c>
      <c r="G126" s="170">
        <f>IFERROR(__xludf.DUMMYFUNCTION("IFERROR(F126 * (1 + AVERAGE(Filter('Inflation Data'!$C:$C,'Inflation Data'!$A:$A = G$1))) + 'Fund YTD Contributions'!G126,'Fund YTD Contributions'!G126)"),0.0)</f>
        <v>0</v>
      </c>
      <c r="H126" s="170">
        <f>IFERROR(__xludf.DUMMYFUNCTION("IFERROR(G126 * (1 + AVERAGE(Filter('Inflation Data'!$C:$C,'Inflation Data'!$A:$A = H$1))) + 'Fund YTD Contributions'!H126,'Fund YTD Contributions'!H126)"),0.0)</f>
        <v>0</v>
      </c>
      <c r="I126" s="170">
        <f>IFERROR(__xludf.DUMMYFUNCTION("IFERROR(H126 * (1 + AVERAGE(Filter('Inflation Data'!$C:$C,'Inflation Data'!$A:$A = I$1))) + 'Fund YTD Contributions'!I126,'Fund YTD Contributions'!I126)"),0.0)</f>
        <v>0</v>
      </c>
      <c r="J126" s="170">
        <f>IFERROR(__xludf.DUMMYFUNCTION("IFERROR(I126 * (1 + AVERAGE(Filter('Inflation Data'!$C:$C,'Inflation Data'!$A:$A = J$1))) + 'Fund YTD Contributions'!J126,'Fund YTD Contributions'!J126)"),0.0)</f>
        <v>0</v>
      </c>
      <c r="K126" s="170">
        <f>IFERROR(__xludf.DUMMYFUNCTION("IFERROR(J126 * (1 + AVERAGE(Filter('Inflation Data'!$C:$C,'Inflation Data'!$A:$A = K$1))) + 'Fund YTD Contributions'!K126,'Fund YTD Contributions'!K126)"),0.0)</f>
        <v>0</v>
      </c>
      <c r="L126" s="170">
        <f>IFERROR(__xludf.DUMMYFUNCTION("IFERROR(K126 * (1 + AVERAGE(Filter('Inflation Data'!$C:$C,'Inflation Data'!$A:$A = L$1))) + 'Fund YTD Contributions'!L126,'Fund YTD Contributions'!L126)"),0.0)</f>
        <v>0</v>
      </c>
      <c r="M126" s="170">
        <f>IFERROR(__xludf.DUMMYFUNCTION("IFERROR(L126 * (1 + AVERAGE(Filter('Inflation Data'!$C:$C,'Inflation Data'!$A:$A = M$1))) + 'Fund YTD Contributions'!M126,'Fund YTD Contributions'!M126)"),0.0)</f>
        <v>0</v>
      </c>
      <c r="N126" s="170">
        <f>IFERROR(__xludf.DUMMYFUNCTION("IFERROR(M126 * (1 + AVERAGE(Filter('Inflation Data'!$C:$C,'Inflation Data'!$A:$A = N$1))) + 'Fund YTD Contributions'!N126,'Fund YTD Contributions'!N126)"),0.0)</f>
        <v>0</v>
      </c>
      <c r="O126" s="170">
        <f>IFERROR(__xludf.DUMMYFUNCTION("IFERROR(N126 * (1 + AVERAGE(Filter('Inflation Data'!$C:$C,'Inflation Data'!$A:$A = O$1))) + 'Fund YTD Contributions'!O126,'Fund YTD Contributions'!O126)"),0.0)</f>
        <v>0</v>
      </c>
      <c r="P126" s="170">
        <f>IFERROR(__xludf.DUMMYFUNCTION("IFERROR(O126 * (1 + AVERAGE(Filter('Inflation Data'!$C:$C,'Inflation Data'!$A:$A = P$1))) + 'Fund YTD Contributions'!P126,'Fund YTD Contributions'!P126)"),0.0)</f>
        <v>0</v>
      </c>
      <c r="Q126" s="170">
        <f>IFERROR(__xludf.DUMMYFUNCTION("IFERROR(P126 * (1 + AVERAGE(Filter('Inflation Data'!$C:$C,'Inflation Data'!$A:$A = Q$1))) + 'Fund YTD Contributions'!Q126,'Fund YTD Contributions'!Q126)"),0.0)</f>
        <v>0</v>
      </c>
      <c r="R126" s="170">
        <f>IFERROR(__xludf.DUMMYFUNCTION("IFERROR(Q126 * (1 + AVERAGE(Filter('Inflation Data'!$C:$C,'Inflation Data'!$A:$A = R$1))) + 'Fund YTD Contributions'!R126,'Fund YTD Contributions'!R126)"),0.0)</f>
        <v>0</v>
      </c>
      <c r="S126" s="170">
        <f>IFERROR(__xludf.DUMMYFUNCTION("IFERROR(R126 * (1 + AVERAGE(Filter('Inflation Data'!$C:$C,'Inflation Data'!$A:$A = S$1))) + 'Fund YTD Contributions'!S126,'Fund YTD Contributions'!S126)"),0.0)</f>
        <v>0</v>
      </c>
      <c r="T126" s="170">
        <f>IFERROR(__xludf.DUMMYFUNCTION("IFERROR(S126 * (1 + AVERAGE(Filter('Inflation Data'!$C:$C,'Inflation Data'!$A:$A = T$1))) + 'Fund YTD Contributions'!T126,'Fund YTD Contributions'!T126)"),0.0)</f>
        <v>0</v>
      </c>
      <c r="U126" s="170">
        <f>IFERROR(__xludf.DUMMYFUNCTION("IFERROR(T126 * (1 + AVERAGE(Filter('Inflation Data'!$C:$C,'Inflation Data'!$A:$A = U$1))) + 'Fund YTD Contributions'!U126,'Fund YTD Contributions'!U126)"),0.0)</f>
        <v>0</v>
      </c>
      <c r="V126" s="170">
        <f>IFERROR(__xludf.DUMMYFUNCTION("IFERROR(U126 * (1 + AVERAGE(Filter('Inflation Data'!$C:$C,'Inflation Data'!$A:$A = V$1))) + 'Fund YTD Contributions'!V126,'Fund YTD Contributions'!V126)"),0.0)</f>
        <v>0</v>
      </c>
      <c r="W126" s="170">
        <f>IFERROR(__xludf.DUMMYFUNCTION("IFERROR(V126 * (1 + AVERAGE(Filter('Inflation Data'!$C:$C,'Inflation Data'!$A:$A = W$1))) + 'Fund YTD Contributions'!W126,'Fund YTD Contributions'!W126)"),0.0)</f>
        <v>0</v>
      </c>
      <c r="X126" s="170">
        <f>IFERROR(__xludf.DUMMYFUNCTION("IFERROR(W126 * (1 + AVERAGE(Filter('Inflation Data'!$C:$C,'Inflation Data'!$A:$A = X$1))) + 'Fund YTD Contributions'!X126,'Fund YTD Contributions'!X126)"),0.0)</f>
        <v>0</v>
      </c>
      <c r="Y126" s="170">
        <f>IFERROR(__xludf.DUMMYFUNCTION("IFERROR(X126 * (1 + AVERAGE(Filter('Inflation Data'!$C:$C,'Inflation Data'!$A:$A = Y$1))) + 'Fund YTD Contributions'!Y126,'Fund YTD Contributions'!Y126)"),0.0)</f>
        <v>0</v>
      </c>
      <c r="Z126" s="170">
        <f>IFERROR(__xludf.DUMMYFUNCTION("IFERROR(Y126 * (1 + AVERAGE(Filter('Inflation Data'!$C:$C,'Inflation Data'!$A:$A = Z$1))) + 'Fund YTD Contributions'!Z126,'Fund YTD Contributions'!Z126)"),0.0)</f>
        <v>0</v>
      </c>
      <c r="AA126" s="170">
        <f>IFERROR(__xludf.DUMMYFUNCTION("IFERROR(Z126 * (1 + AVERAGE(Filter('Inflation Data'!$C:$C,'Inflation Data'!$A:$A = AA$1))) + 'Fund YTD Contributions'!AA126,'Fund YTD Contributions'!AA126)"),0.0)</f>
        <v>0</v>
      </c>
      <c r="AB126" s="170">
        <f>IFERROR(__xludf.DUMMYFUNCTION("IFERROR(AA126 * (1 + AVERAGE(Filter('Inflation Data'!$C:$C,'Inflation Data'!$A:$A = AB$1))) + 'Fund YTD Contributions'!AB126,'Fund YTD Contributions'!AB126)"),0.0)</f>
        <v>0</v>
      </c>
      <c r="AC126" s="170">
        <f>IFERROR(__xludf.DUMMYFUNCTION("IFERROR(AB126 * (1 + AVERAGE(Filter('Inflation Data'!$C:$C,'Inflation Data'!$A:$A = AC$1))) + 'Fund YTD Contributions'!AC126,'Fund YTD Contributions'!AC126)"),0.0)</f>
        <v>0</v>
      </c>
      <c r="AD126" s="170">
        <f>IFERROR(__xludf.DUMMYFUNCTION("IFERROR(AC126 * (1 + AVERAGE(Filter('Inflation Data'!$C:$C,'Inflation Data'!$A:$A = AD$1))) + 'Fund YTD Contributions'!AD126,'Fund YTD Contributions'!AD126)"),0.0)</f>
        <v>0</v>
      </c>
      <c r="AE126" s="170">
        <f>IFERROR(__xludf.DUMMYFUNCTION("IFERROR(AD126 * (1 + AVERAGE(Filter('Inflation Data'!$C:$C,'Inflation Data'!$A:$A = AE$1))) + 'Fund YTD Contributions'!AE126,'Fund YTD Contributions'!AE126)"),0.0)</f>
        <v>0</v>
      </c>
      <c r="AF126" s="170" t="str">
        <f>IFERROR(__xludf.DUMMYFUNCTION("IFERROR(AE126 * (1 + AVERAGE(Filter('Inflation Data'!$C:$C,'Inflation Data'!$A:$A = AF$1))) + 'Fund YTD Contributions'!AF126,'Fund YTD Contributions'!AF126)"),"")</f>
        <v/>
      </c>
    </row>
    <row r="127">
      <c r="A127" s="145" t="str">
        <f>'Endowed Funds'!B:B</f>
        <v/>
      </c>
      <c r="B127" s="170">
        <f>IFERROR(__xludf.DUMMYFUNCTION("IFERROR(A127 * (1 + AVERAGE(Filter('Inflation Data'!$C:$C,'Inflation Data'!$A:$A = B$1))) + 'Fund YTD Contributions'!B127,'Fund YTD Contributions'!B127)"),0.0)</f>
        <v>0</v>
      </c>
      <c r="C127" s="170">
        <f>IFERROR(__xludf.DUMMYFUNCTION("IFERROR(B127 * (1 + AVERAGE(Filter('Inflation Data'!$C:$C,'Inflation Data'!$A:$A = C$1))) + 'Fund YTD Contributions'!C127,'Fund YTD Contributions'!C127)"),0.0)</f>
        <v>0</v>
      </c>
      <c r="D127" s="170">
        <f>IFERROR(__xludf.DUMMYFUNCTION("IFERROR(C127 * (1 + AVERAGE(Filter('Inflation Data'!$C:$C,'Inflation Data'!$A:$A = D$1))) + 'Fund YTD Contributions'!D127,'Fund YTD Contributions'!D127)"),0.0)</f>
        <v>0</v>
      </c>
      <c r="E127" s="170">
        <f>IFERROR(__xludf.DUMMYFUNCTION("IFERROR(D127 * (1 + AVERAGE(Filter('Inflation Data'!$C:$C,'Inflation Data'!$A:$A = E$1))) + 'Fund YTD Contributions'!E127,'Fund YTD Contributions'!E127)"),0.0)</f>
        <v>0</v>
      </c>
      <c r="F127" s="170">
        <f>IFERROR(__xludf.DUMMYFUNCTION("IFERROR(E127 * (1 + AVERAGE(Filter('Inflation Data'!$C:$C,'Inflation Data'!$A:$A = F$1))) + 'Fund YTD Contributions'!F127,'Fund YTD Contributions'!F127)"),0.0)</f>
        <v>0</v>
      </c>
      <c r="G127" s="170">
        <f>IFERROR(__xludf.DUMMYFUNCTION("IFERROR(F127 * (1 + AVERAGE(Filter('Inflation Data'!$C:$C,'Inflation Data'!$A:$A = G$1))) + 'Fund YTD Contributions'!G127,'Fund YTD Contributions'!G127)"),0.0)</f>
        <v>0</v>
      </c>
      <c r="H127" s="170">
        <f>IFERROR(__xludf.DUMMYFUNCTION("IFERROR(G127 * (1 + AVERAGE(Filter('Inflation Data'!$C:$C,'Inflation Data'!$A:$A = H$1))) + 'Fund YTD Contributions'!H127,'Fund YTD Contributions'!H127)"),0.0)</f>
        <v>0</v>
      </c>
      <c r="I127" s="170">
        <f>IFERROR(__xludf.DUMMYFUNCTION("IFERROR(H127 * (1 + AVERAGE(Filter('Inflation Data'!$C:$C,'Inflation Data'!$A:$A = I$1))) + 'Fund YTD Contributions'!I127,'Fund YTD Contributions'!I127)"),0.0)</f>
        <v>0</v>
      </c>
      <c r="J127" s="170">
        <f>IFERROR(__xludf.DUMMYFUNCTION("IFERROR(I127 * (1 + AVERAGE(Filter('Inflation Data'!$C:$C,'Inflation Data'!$A:$A = J$1))) + 'Fund YTD Contributions'!J127,'Fund YTD Contributions'!J127)"),0.0)</f>
        <v>0</v>
      </c>
      <c r="K127" s="170">
        <f>IFERROR(__xludf.DUMMYFUNCTION("IFERROR(J127 * (1 + AVERAGE(Filter('Inflation Data'!$C:$C,'Inflation Data'!$A:$A = K$1))) + 'Fund YTD Contributions'!K127,'Fund YTD Contributions'!K127)"),0.0)</f>
        <v>0</v>
      </c>
      <c r="L127" s="170">
        <f>IFERROR(__xludf.DUMMYFUNCTION("IFERROR(K127 * (1 + AVERAGE(Filter('Inflation Data'!$C:$C,'Inflation Data'!$A:$A = L$1))) + 'Fund YTD Contributions'!L127,'Fund YTD Contributions'!L127)"),0.0)</f>
        <v>0</v>
      </c>
      <c r="M127" s="170">
        <f>IFERROR(__xludf.DUMMYFUNCTION("IFERROR(L127 * (1 + AVERAGE(Filter('Inflation Data'!$C:$C,'Inflation Data'!$A:$A = M$1))) + 'Fund YTD Contributions'!M127,'Fund YTD Contributions'!M127)"),0.0)</f>
        <v>0</v>
      </c>
      <c r="N127" s="170">
        <f>IFERROR(__xludf.DUMMYFUNCTION("IFERROR(M127 * (1 + AVERAGE(Filter('Inflation Data'!$C:$C,'Inflation Data'!$A:$A = N$1))) + 'Fund YTD Contributions'!N127,'Fund YTD Contributions'!N127)"),0.0)</f>
        <v>0</v>
      </c>
      <c r="O127" s="170">
        <f>IFERROR(__xludf.DUMMYFUNCTION("IFERROR(N127 * (1 + AVERAGE(Filter('Inflation Data'!$C:$C,'Inflation Data'!$A:$A = O$1))) + 'Fund YTD Contributions'!O127,'Fund YTD Contributions'!O127)"),0.0)</f>
        <v>0</v>
      </c>
      <c r="P127" s="170">
        <f>IFERROR(__xludf.DUMMYFUNCTION("IFERROR(O127 * (1 + AVERAGE(Filter('Inflation Data'!$C:$C,'Inflation Data'!$A:$A = P$1))) + 'Fund YTD Contributions'!P127,'Fund YTD Contributions'!P127)"),0.0)</f>
        <v>0</v>
      </c>
      <c r="Q127" s="170">
        <f>IFERROR(__xludf.DUMMYFUNCTION("IFERROR(P127 * (1 + AVERAGE(Filter('Inflation Data'!$C:$C,'Inflation Data'!$A:$A = Q$1))) + 'Fund YTD Contributions'!Q127,'Fund YTD Contributions'!Q127)"),0.0)</f>
        <v>0</v>
      </c>
      <c r="R127" s="170">
        <f>IFERROR(__xludf.DUMMYFUNCTION("IFERROR(Q127 * (1 + AVERAGE(Filter('Inflation Data'!$C:$C,'Inflation Data'!$A:$A = R$1))) + 'Fund YTD Contributions'!R127,'Fund YTD Contributions'!R127)"),0.0)</f>
        <v>0</v>
      </c>
      <c r="S127" s="170">
        <f>IFERROR(__xludf.DUMMYFUNCTION("IFERROR(R127 * (1 + AVERAGE(Filter('Inflation Data'!$C:$C,'Inflation Data'!$A:$A = S$1))) + 'Fund YTD Contributions'!S127,'Fund YTD Contributions'!S127)"),0.0)</f>
        <v>0</v>
      </c>
      <c r="T127" s="170">
        <f>IFERROR(__xludf.DUMMYFUNCTION("IFERROR(S127 * (1 + AVERAGE(Filter('Inflation Data'!$C:$C,'Inflation Data'!$A:$A = T$1))) + 'Fund YTD Contributions'!T127,'Fund YTD Contributions'!T127)"),0.0)</f>
        <v>0</v>
      </c>
      <c r="U127" s="170">
        <f>IFERROR(__xludf.DUMMYFUNCTION("IFERROR(T127 * (1 + AVERAGE(Filter('Inflation Data'!$C:$C,'Inflation Data'!$A:$A = U$1))) + 'Fund YTD Contributions'!U127,'Fund YTD Contributions'!U127)"),0.0)</f>
        <v>0</v>
      </c>
      <c r="V127" s="170">
        <f>IFERROR(__xludf.DUMMYFUNCTION("IFERROR(U127 * (1 + AVERAGE(Filter('Inflation Data'!$C:$C,'Inflation Data'!$A:$A = V$1))) + 'Fund YTD Contributions'!V127,'Fund YTD Contributions'!V127)"),0.0)</f>
        <v>0</v>
      </c>
      <c r="W127" s="170">
        <f>IFERROR(__xludf.DUMMYFUNCTION("IFERROR(V127 * (1 + AVERAGE(Filter('Inflation Data'!$C:$C,'Inflation Data'!$A:$A = W$1))) + 'Fund YTD Contributions'!W127,'Fund YTD Contributions'!W127)"),0.0)</f>
        <v>0</v>
      </c>
      <c r="X127" s="170">
        <f>IFERROR(__xludf.DUMMYFUNCTION("IFERROR(W127 * (1 + AVERAGE(Filter('Inflation Data'!$C:$C,'Inflation Data'!$A:$A = X$1))) + 'Fund YTD Contributions'!X127,'Fund YTD Contributions'!X127)"),0.0)</f>
        <v>0</v>
      </c>
      <c r="Y127" s="170">
        <f>IFERROR(__xludf.DUMMYFUNCTION("IFERROR(X127 * (1 + AVERAGE(Filter('Inflation Data'!$C:$C,'Inflation Data'!$A:$A = Y$1))) + 'Fund YTD Contributions'!Y127,'Fund YTD Contributions'!Y127)"),0.0)</f>
        <v>0</v>
      </c>
      <c r="Z127" s="170">
        <f>IFERROR(__xludf.DUMMYFUNCTION("IFERROR(Y127 * (1 + AVERAGE(Filter('Inflation Data'!$C:$C,'Inflation Data'!$A:$A = Z$1))) + 'Fund YTD Contributions'!Z127,'Fund YTD Contributions'!Z127)"),0.0)</f>
        <v>0</v>
      </c>
      <c r="AA127" s="170">
        <f>IFERROR(__xludf.DUMMYFUNCTION("IFERROR(Z127 * (1 + AVERAGE(Filter('Inflation Data'!$C:$C,'Inflation Data'!$A:$A = AA$1))) + 'Fund YTD Contributions'!AA127,'Fund YTD Contributions'!AA127)"),0.0)</f>
        <v>0</v>
      </c>
      <c r="AB127" s="170">
        <f>IFERROR(__xludf.DUMMYFUNCTION("IFERROR(AA127 * (1 + AVERAGE(Filter('Inflation Data'!$C:$C,'Inflation Data'!$A:$A = AB$1))) + 'Fund YTD Contributions'!AB127,'Fund YTD Contributions'!AB127)"),0.0)</f>
        <v>0</v>
      </c>
      <c r="AC127" s="170">
        <f>IFERROR(__xludf.DUMMYFUNCTION("IFERROR(AB127 * (1 + AVERAGE(Filter('Inflation Data'!$C:$C,'Inflation Data'!$A:$A = AC$1))) + 'Fund YTD Contributions'!AC127,'Fund YTD Contributions'!AC127)"),0.0)</f>
        <v>0</v>
      </c>
      <c r="AD127" s="170">
        <f>IFERROR(__xludf.DUMMYFUNCTION("IFERROR(AC127 * (1 + AVERAGE(Filter('Inflation Data'!$C:$C,'Inflation Data'!$A:$A = AD$1))) + 'Fund YTD Contributions'!AD127,'Fund YTD Contributions'!AD127)"),0.0)</f>
        <v>0</v>
      </c>
      <c r="AE127" s="170">
        <f>IFERROR(__xludf.DUMMYFUNCTION("IFERROR(AD127 * (1 + AVERAGE(Filter('Inflation Data'!$C:$C,'Inflation Data'!$A:$A = AE$1))) + 'Fund YTD Contributions'!AE127,'Fund YTD Contributions'!AE127)"),0.0)</f>
        <v>0</v>
      </c>
      <c r="AF127" s="170" t="str">
        <f>IFERROR(__xludf.DUMMYFUNCTION("IFERROR(AE127 * (1 + AVERAGE(Filter('Inflation Data'!$C:$C,'Inflation Data'!$A:$A = AF$1))) + 'Fund YTD Contributions'!AF127,'Fund YTD Contributions'!AF127)"),"")</f>
        <v/>
      </c>
    </row>
    <row r="128">
      <c r="A128" s="145" t="str">
        <f>'Endowed Funds'!B:B</f>
        <v/>
      </c>
      <c r="B128" s="170">
        <f>IFERROR(__xludf.DUMMYFUNCTION("IFERROR(A128 * (1 + AVERAGE(Filter('Inflation Data'!$C:$C,'Inflation Data'!$A:$A = B$1))) + 'Fund YTD Contributions'!B128,'Fund YTD Contributions'!B128)"),0.0)</f>
        <v>0</v>
      </c>
      <c r="C128" s="170">
        <f>IFERROR(__xludf.DUMMYFUNCTION("IFERROR(B128 * (1 + AVERAGE(Filter('Inflation Data'!$C:$C,'Inflation Data'!$A:$A = C$1))) + 'Fund YTD Contributions'!C128,'Fund YTD Contributions'!C128)"),0.0)</f>
        <v>0</v>
      </c>
      <c r="D128" s="170">
        <f>IFERROR(__xludf.DUMMYFUNCTION("IFERROR(C128 * (1 + AVERAGE(Filter('Inflation Data'!$C:$C,'Inflation Data'!$A:$A = D$1))) + 'Fund YTD Contributions'!D128,'Fund YTD Contributions'!D128)"),0.0)</f>
        <v>0</v>
      </c>
      <c r="E128" s="170">
        <f>IFERROR(__xludf.DUMMYFUNCTION("IFERROR(D128 * (1 + AVERAGE(Filter('Inflation Data'!$C:$C,'Inflation Data'!$A:$A = E$1))) + 'Fund YTD Contributions'!E128,'Fund YTD Contributions'!E128)"),0.0)</f>
        <v>0</v>
      </c>
      <c r="F128" s="170">
        <f>IFERROR(__xludf.DUMMYFUNCTION("IFERROR(E128 * (1 + AVERAGE(Filter('Inflation Data'!$C:$C,'Inflation Data'!$A:$A = F$1))) + 'Fund YTD Contributions'!F128,'Fund YTD Contributions'!F128)"),0.0)</f>
        <v>0</v>
      </c>
      <c r="G128" s="170">
        <f>IFERROR(__xludf.DUMMYFUNCTION("IFERROR(F128 * (1 + AVERAGE(Filter('Inflation Data'!$C:$C,'Inflation Data'!$A:$A = G$1))) + 'Fund YTD Contributions'!G128,'Fund YTD Contributions'!G128)"),0.0)</f>
        <v>0</v>
      </c>
      <c r="H128" s="170">
        <f>IFERROR(__xludf.DUMMYFUNCTION("IFERROR(G128 * (1 + AVERAGE(Filter('Inflation Data'!$C:$C,'Inflation Data'!$A:$A = H$1))) + 'Fund YTD Contributions'!H128,'Fund YTD Contributions'!H128)"),0.0)</f>
        <v>0</v>
      </c>
      <c r="I128" s="170">
        <f>IFERROR(__xludf.DUMMYFUNCTION("IFERROR(H128 * (1 + AVERAGE(Filter('Inflation Data'!$C:$C,'Inflation Data'!$A:$A = I$1))) + 'Fund YTD Contributions'!I128,'Fund YTD Contributions'!I128)"),0.0)</f>
        <v>0</v>
      </c>
      <c r="J128" s="170">
        <f>IFERROR(__xludf.DUMMYFUNCTION("IFERROR(I128 * (1 + AVERAGE(Filter('Inflation Data'!$C:$C,'Inflation Data'!$A:$A = J$1))) + 'Fund YTD Contributions'!J128,'Fund YTD Contributions'!J128)"),0.0)</f>
        <v>0</v>
      </c>
      <c r="K128" s="170">
        <f>IFERROR(__xludf.DUMMYFUNCTION("IFERROR(J128 * (1 + AVERAGE(Filter('Inflation Data'!$C:$C,'Inflation Data'!$A:$A = K$1))) + 'Fund YTD Contributions'!K128,'Fund YTD Contributions'!K128)"),0.0)</f>
        <v>0</v>
      </c>
      <c r="L128" s="170">
        <f>IFERROR(__xludf.DUMMYFUNCTION("IFERROR(K128 * (1 + AVERAGE(Filter('Inflation Data'!$C:$C,'Inflation Data'!$A:$A = L$1))) + 'Fund YTD Contributions'!L128,'Fund YTD Contributions'!L128)"),0.0)</f>
        <v>0</v>
      </c>
      <c r="M128" s="170">
        <f>IFERROR(__xludf.DUMMYFUNCTION("IFERROR(L128 * (1 + AVERAGE(Filter('Inflation Data'!$C:$C,'Inflation Data'!$A:$A = M$1))) + 'Fund YTD Contributions'!M128,'Fund YTD Contributions'!M128)"),0.0)</f>
        <v>0</v>
      </c>
      <c r="N128" s="170">
        <f>IFERROR(__xludf.DUMMYFUNCTION("IFERROR(M128 * (1 + AVERAGE(Filter('Inflation Data'!$C:$C,'Inflation Data'!$A:$A = N$1))) + 'Fund YTD Contributions'!N128,'Fund YTD Contributions'!N128)"),0.0)</f>
        <v>0</v>
      </c>
      <c r="O128" s="170">
        <f>IFERROR(__xludf.DUMMYFUNCTION("IFERROR(N128 * (1 + AVERAGE(Filter('Inflation Data'!$C:$C,'Inflation Data'!$A:$A = O$1))) + 'Fund YTD Contributions'!O128,'Fund YTD Contributions'!O128)"),0.0)</f>
        <v>0</v>
      </c>
      <c r="P128" s="170">
        <f>IFERROR(__xludf.DUMMYFUNCTION("IFERROR(O128 * (1 + AVERAGE(Filter('Inflation Data'!$C:$C,'Inflation Data'!$A:$A = P$1))) + 'Fund YTD Contributions'!P128,'Fund YTD Contributions'!P128)"),0.0)</f>
        <v>0</v>
      </c>
      <c r="Q128" s="170">
        <f>IFERROR(__xludf.DUMMYFUNCTION("IFERROR(P128 * (1 + AVERAGE(Filter('Inflation Data'!$C:$C,'Inflation Data'!$A:$A = Q$1))) + 'Fund YTD Contributions'!Q128,'Fund YTD Contributions'!Q128)"),0.0)</f>
        <v>0</v>
      </c>
      <c r="R128" s="170">
        <f>IFERROR(__xludf.DUMMYFUNCTION("IFERROR(Q128 * (1 + AVERAGE(Filter('Inflation Data'!$C:$C,'Inflation Data'!$A:$A = R$1))) + 'Fund YTD Contributions'!R128,'Fund YTD Contributions'!R128)"),0.0)</f>
        <v>0</v>
      </c>
      <c r="S128" s="170">
        <f>IFERROR(__xludf.DUMMYFUNCTION("IFERROR(R128 * (1 + AVERAGE(Filter('Inflation Data'!$C:$C,'Inflation Data'!$A:$A = S$1))) + 'Fund YTD Contributions'!S128,'Fund YTD Contributions'!S128)"),0.0)</f>
        <v>0</v>
      </c>
      <c r="T128" s="170">
        <f>IFERROR(__xludf.DUMMYFUNCTION("IFERROR(S128 * (1 + AVERAGE(Filter('Inflation Data'!$C:$C,'Inflation Data'!$A:$A = T$1))) + 'Fund YTD Contributions'!T128,'Fund YTD Contributions'!T128)"),0.0)</f>
        <v>0</v>
      </c>
      <c r="U128" s="170">
        <f>IFERROR(__xludf.DUMMYFUNCTION("IFERROR(T128 * (1 + AVERAGE(Filter('Inflation Data'!$C:$C,'Inflation Data'!$A:$A = U$1))) + 'Fund YTD Contributions'!U128,'Fund YTD Contributions'!U128)"),0.0)</f>
        <v>0</v>
      </c>
      <c r="V128" s="170">
        <f>IFERROR(__xludf.DUMMYFUNCTION("IFERROR(U128 * (1 + AVERAGE(Filter('Inflation Data'!$C:$C,'Inflation Data'!$A:$A = V$1))) + 'Fund YTD Contributions'!V128,'Fund YTD Contributions'!V128)"),0.0)</f>
        <v>0</v>
      </c>
      <c r="W128" s="170">
        <f>IFERROR(__xludf.DUMMYFUNCTION("IFERROR(V128 * (1 + AVERAGE(Filter('Inflation Data'!$C:$C,'Inflation Data'!$A:$A = W$1))) + 'Fund YTD Contributions'!W128,'Fund YTD Contributions'!W128)"),0.0)</f>
        <v>0</v>
      </c>
      <c r="X128" s="170">
        <f>IFERROR(__xludf.DUMMYFUNCTION("IFERROR(W128 * (1 + AVERAGE(Filter('Inflation Data'!$C:$C,'Inflation Data'!$A:$A = X$1))) + 'Fund YTD Contributions'!X128,'Fund YTD Contributions'!X128)"),0.0)</f>
        <v>0</v>
      </c>
      <c r="Y128" s="170">
        <f>IFERROR(__xludf.DUMMYFUNCTION("IFERROR(X128 * (1 + AVERAGE(Filter('Inflation Data'!$C:$C,'Inflation Data'!$A:$A = Y$1))) + 'Fund YTD Contributions'!Y128,'Fund YTD Contributions'!Y128)"),0.0)</f>
        <v>0</v>
      </c>
      <c r="Z128" s="170">
        <f>IFERROR(__xludf.DUMMYFUNCTION("IFERROR(Y128 * (1 + AVERAGE(Filter('Inflation Data'!$C:$C,'Inflation Data'!$A:$A = Z$1))) + 'Fund YTD Contributions'!Z128,'Fund YTD Contributions'!Z128)"),0.0)</f>
        <v>0</v>
      </c>
      <c r="AA128" s="170"/>
      <c r="AB128" s="170"/>
      <c r="AC128" s="170"/>
      <c r="AD128" s="170"/>
      <c r="AE128" s="170"/>
      <c r="AF128" s="170"/>
    </row>
    <row r="129">
      <c r="A129" s="145" t="str">
        <f>'Endowed Funds'!B:B</f>
        <v/>
      </c>
      <c r="B129" s="170">
        <f>IFERROR(__xludf.DUMMYFUNCTION("IFERROR(A129 * (1 + AVERAGE(Filter('Inflation Data'!$C:$C,'Inflation Data'!$A:$A = B$1))) + 'Fund YTD Contributions'!B129,'Fund YTD Contributions'!B129)"),0.0)</f>
        <v>0</v>
      </c>
      <c r="C129" s="170">
        <f>IFERROR(__xludf.DUMMYFUNCTION("IFERROR(B129 * (1 + AVERAGE(Filter('Inflation Data'!$C:$C,'Inflation Data'!$A:$A = C$1))) + 'Fund YTD Contributions'!C129,'Fund YTD Contributions'!C129)"),0.0)</f>
        <v>0</v>
      </c>
      <c r="D129" s="170">
        <f>IFERROR(__xludf.DUMMYFUNCTION("IFERROR(C129 * (1 + AVERAGE(Filter('Inflation Data'!$C:$C,'Inflation Data'!$A:$A = D$1))) + 'Fund YTD Contributions'!D129,'Fund YTD Contributions'!D129)"),0.0)</f>
        <v>0</v>
      </c>
      <c r="E129" s="170">
        <f>IFERROR(__xludf.DUMMYFUNCTION("IFERROR(D129 * (1 + AVERAGE(Filter('Inflation Data'!$C:$C,'Inflation Data'!$A:$A = E$1))) + 'Fund YTD Contributions'!E129,'Fund YTD Contributions'!E129)"),0.0)</f>
        <v>0</v>
      </c>
      <c r="F129" s="170">
        <f>IFERROR(__xludf.DUMMYFUNCTION("IFERROR(E129 * (1 + AVERAGE(Filter('Inflation Data'!$C:$C,'Inflation Data'!$A:$A = F$1))) + 'Fund YTD Contributions'!F129,'Fund YTD Contributions'!F129)"),0.0)</f>
        <v>0</v>
      </c>
      <c r="G129" s="170">
        <f>IFERROR(__xludf.DUMMYFUNCTION("IFERROR(F129 * (1 + AVERAGE(Filter('Inflation Data'!$C:$C,'Inflation Data'!$A:$A = G$1))) + 'Fund YTD Contributions'!G129,'Fund YTD Contributions'!G129)"),0.0)</f>
        <v>0</v>
      </c>
      <c r="H129" s="170">
        <f>IFERROR(__xludf.DUMMYFUNCTION("IFERROR(G129 * (1 + AVERAGE(Filter('Inflation Data'!$C:$C,'Inflation Data'!$A:$A = H$1))) + 'Fund YTD Contributions'!H129,'Fund YTD Contributions'!H129)"),0.0)</f>
        <v>0</v>
      </c>
      <c r="I129" s="170">
        <f>IFERROR(__xludf.DUMMYFUNCTION("IFERROR(H129 * (1 + AVERAGE(Filter('Inflation Data'!$C:$C,'Inflation Data'!$A:$A = I$1))) + 'Fund YTD Contributions'!I129,'Fund YTD Contributions'!I129)"),0.0)</f>
        <v>0</v>
      </c>
      <c r="J129" s="170">
        <f>IFERROR(__xludf.DUMMYFUNCTION("IFERROR(I129 * (1 + AVERAGE(Filter('Inflation Data'!$C:$C,'Inflation Data'!$A:$A = J$1))) + 'Fund YTD Contributions'!J129,'Fund YTD Contributions'!J129)"),0.0)</f>
        <v>0</v>
      </c>
      <c r="K129" s="170">
        <f>IFERROR(__xludf.DUMMYFUNCTION("IFERROR(J129 * (1 + AVERAGE(Filter('Inflation Data'!$C:$C,'Inflation Data'!$A:$A = K$1))) + 'Fund YTD Contributions'!K129,'Fund YTD Contributions'!K129)"),0.0)</f>
        <v>0</v>
      </c>
      <c r="L129" s="170">
        <f>IFERROR(__xludf.DUMMYFUNCTION("IFERROR(K129 * (1 + AVERAGE(Filter('Inflation Data'!$C:$C,'Inflation Data'!$A:$A = L$1))) + 'Fund YTD Contributions'!L129,'Fund YTD Contributions'!L129)"),0.0)</f>
        <v>0</v>
      </c>
      <c r="M129" s="170">
        <f>IFERROR(__xludf.DUMMYFUNCTION("IFERROR(L129 * (1 + AVERAGE(Filter('Inflation Data'!$C:$C,'Inflation Data'!$A:$A = M$1))) + 'Fund YTD Contributions'!M129,'Fund YTD Contributions'!M129)"),0.0)</f>
        <v>0</v>
      </c>
      <c r="N129" s="170">
        <f>IFERROR(__xludf.DUMMYFUNCTION("IFERROR(M129 * (1 + AVERAGE(Filter('Inflation Data'!$C:$C,'Inflation Data'!$A:$A = N$1))) + 'Fund YTD Contributions'!N129,'Fund YTD Contributions'!N129)"),0.0)</f>
        <v>0</v>
      </c>
      <c r="O129" s="170">
        <f>IFERROR(__xludf.DUMMYFUNCTION("IFERROR(N129 * (1 + AVERAGE(Filter('Inflation Data'!$C:$C,'Inflation Data'!$A:$A = O$1))) + 'Fund YTD Contributions'!O129,'Fund YTD Contributions'!O129)"),0.0)</f>
        <v>0</v>
      </c>
      <c r="P129" s="170">
        <f>IFERROR(__xludf.DUMMYFUNCTION("IFERROR(O129 * (1 + AVERAGE(Filter('Inflation Data'!$C:$C,'Inflation Data'!$A:$A = P$1))) + 'Fund YTD Contributions'!P129,'Fund YTD Contributions'!P129)"),0.0)</f>
        <v>0</v>
      </c>
      <c r="Q129" s="170">
        <f>IFERROR(__xludf.DUMMYFUNCTION("IFERROR(P129 * (1 + AVERAGE(Filter('Inflation Data'!$C:$C,'Inflation Data'!$A:$A = Q$1))) + 'Fund YTD Contributions'!Q129,'Fund YTD Contributions'!Q129)"),0.0)</f>
        <v>0</v>
      </c>
      <c r="R129" s="170">
        <f>IFERROR(__xludf.DUMMYFUNCTION("IFERROR(Q129 * (1 + AVERAGE(Filter('Inflation Data'!$C:$C,'Inflation Data'!$A:$A = R$1))) + 'Fund YTD Contributions'!R129,'Fund YTD Contributions'!R129)"),0.0)</f>
        <v>0</v>
      </c>
      <c r="S129" s="170">
        <f>IFERROR(__xludf.DUMMYFUNCTION("IFERROR(R129 * (1 + AVERAGE(Filter('Inflation Data'!$C:$C,'Inflation Data'!$A:$A = S$1))) + 'Fund YTD Contributions'!S129,'Fund YTD Contributions'!S129)"),0.0)</f>
        <v>0</v>
      </c>
      <c r="T129" s="170">
        <f>IFERROR(__xludf.DUMMYFUNCTION("IFERROR(S129 * (1 + AVERAGE(Filter('Inflation Data'!$C:$C,'Inflation Data'!$A:$A = T$1))) + 'Fund YTD Contributions'!T129,'Fund YTD Contributions'!T129)"),0.0)</f>
        <v>0</v>
      </c>
      <c r="U129" s="170">
        <f>IFERROR(__xludf.DUMMYFUNCTION("IFERROR(T129 * (1 + AVERAGE(Filter('Inflation Data'!$C:$C,'Inflation Data'!$A:$A = U$1))) + 'Fund YTD Contributions'!U129,'Fund YTD Contributions'!U129)"),0.0)</f>
        <v>0</v>
      </c>
      <c r="V129" s="170">
        <f>IFERROR(__xludf.DUMMYFUNCTION("IFERROR(U129 * (1 + AVERAGE(Filter('Inflation Data'!$C:$C,'Inflation Data'!$A:$A = V$1))) + 'Fund YTD Contributions'!V129,'Fund YTD Contributions'!V129)"),0.0)</f>
        <v>0</v>
      </c>
      <c r="W129" s="170">
        <f>IFERROR(__xludf.DUMMYFUNCTION("IFERROR(V129 * (1 + AVERAGE(Filter('Inflation Data'!$C:$C,'Inflation Data'!$A:$A = W$1))) + 'Fund YTD Contributions'!W129,'Fund YTD Contributions'!W129)"),0.0)</f>
        <v>0</v>
      </c>
      <c r="X129" s="170">
        <f>IFERROR(__xludf.DUMMYFUNCTION("IFERROR(W129 * (1 + AVERAGE(Filter('Inflation Data'!$C:$C,'Inflation Data'!$A:$A = X$1))) + 'Fund YTD Contributions'!X129,'Fund YTD Contributions'!X129)"),0.0)</f>
        <v>0</v>
      </c>
      <c r="Y129" s="170">
        <f>IFERROR(__xludf.DUMMYFUNCTION("IFERROR(X129 * (1 + AVERAGE(Filter('Inflation Data'!$C:$C,'Inflation Data'!$A:$A = Y$1))) + 'Fund YTD Contributions'!Y129,'Fund YTD Contributions'!Y129)"),0.0)</f>
        <v>0</v>
      </c>
      <c r="Z129" s="170">
        <f>IFERROR(__xludf.DUMMYFUNCTION("IFERROR(Y129 * (1 + AVERAGE(Filter('Inflation Data'!$C:$C,'Inflation Data'!$A:$A = Z$1))) + 'Fund YTD Contributions'!Z129,'Fund YTD Contributions'!Z129)"),0.0)</f>
        <v>0</v>
      </c>
      <c r="AA129" s="170"/>
      <c r="AB129" s="170"/>
      <c r="AC129" s="170"/>
      <c r="AD129" s="170"/>
      <c r="AE129" s="170"/>
      <c r="AF129" s="170"/>
    </row>
    <row r="130">
      <c r="A130" s="145" t="str">
        <f>'Endowed Funds'!B:B</f>
        <v/>
      </c>
      <c r="B130" s="170">
        <f>IFERROR(__xludf.DUMMYFUNCTION("IFERROR(A130 * (1 + AVERAGE(Filter('Inflation Data'!$C:$C,'Inflation Data'!$A:$A = B$1))) + 'Fund YTD Contributions'!B130,'Fund YTD Contributions'!B130)"),0.0)</f>
        <v>0</v>
      </c>
      <c r="C130" s="170">
        <f>IFERROR(__xludf.DUMMYFUNCTION("IFERROR(B130 * (1 + AVERAGE(Filter('Inflation Data'!$C:$C,'Inflation Data'!$A:$A = C$1))) + 'Fund YTD Contributions'!C130,'Fund YTD Contributions'!C130)"),0.0)</f>
        <v>0</v>
      </c>
      <c r="D130" s="170">
        <f>IFERROR(__xludf.DUMMYFUNCTION("IFERROR(C130 * (1 + AVERAGE(Filter('Inflation Data'!$C:$C,'Inflation Data'!$A:$A = D$1))) + 'Fund YTD Contributions'!D130,'Fund YTD Contributions'!D130)"),0.0)</f>
        <v>0</v>
      </c>
      <c r="E130" s="170">
        <f>IFERROR(__xludf.DUMMYFUNCTION("IFERROR(D130 * (1 + AVERAGE(Filter('Inflation Data'!$C:$C,'Inflation Data'!$A:$A = E$1))) + 'Fund YTD Contributions'!E130,'Fund YTD Contributions'!E130)"),0.0)</f>
        <v>0</v>
      </c>
      <c r="F130" s="170">
        <f>IFERROR(__xludf.DUMMYFUNCTION("IFERROR(E130 * (1 + AVERAGE(Filter('Inflation Data'!$C:$C,'Inflation Data'!$A:$A = F$1))) + 'Fund YTD Contributions'!F130,'Fund YTD Contributions'!F130)"),0.0)</f>
        <v>0</v>
      </c>
      <c r="G130" s="170">
        <f>IFERROR(__xludf.DUMMYFUNCTION("IFERROR(F130 * (1 + AVERAGE(Filter('Inflation Data'!$C:$C,'Inflation Data'!$A:$A = G$1))) + 'Fund YTD Contributions'!G130,'Fund YTD Contributions'!G130)"),0.0)</f>
        <v>0</v>
      </c>
      <c r="H130" s="170">
        <f>IFERROR(__xludf.DUMMYFUNCTION("IFERROR(G130 * (1 + AVERAGE(Filter('Inflation Data'!$C:$C,'Inflation Data'!$A:$A = H$1))) + 'Fund YTD Contributions'!H130,'Fund YTD Contributions'!H130)"),0.0)</f>
        <v>0</v>
      </c>
      <c r="I130" s="170">
        <f>IFERROR(__xludf.DUMMYFUNCTION("IFERROR(H130 * (1 + AVERAGE(Filter('Inflation Data'!$C:$C,'Inflation Data'!$A:$A = I$1))) + 'Fund YTD Contributions'!I130,'Fund YTD Contributions'!I130)"),0.0)</f>
        <v>0</v>
      </c>
      <c r="J130" s="170">
        <f>IFERROR(__xludf.DUMMYFUNCTION("IFERROR(I130 * (1 + AVERAGE(Filter('Inflation Data'!$C:$C,'Inflation Data'!$A:$A = J$1))) + 'Fund YTD Contributions'!J130,'Fund YTD Contributions'!J130)"),0.0)</f>
        <v>0</v>
      </c>
      <c r="K130" s="170">
        <f>IFERROR(__xludf.DUMMYFUNCTION("IFERROR(J130 * (1 + AVERAGE(Filter('Inflation Data'!$C:$C,'Inflation Data'!$A:$A = K$1))) + 'Fund YTD Contributions'!K130,'Fund YTD Contributions'!K130)"),0.0)</f>
        <v>0</v>
      </c>
      <c r="L130" s="170">
        <f>IFERROR(__xludf.DUMMYFUNCTION("IFERROR(K130 * (1 + AVERAGE(Filter('Inflation Data'!$C:$C,'Inflation Data'!$A:$A = L$1))) + 'Fund YTD Contributions'!L130,'Fund YTD Contributions'!L130)"),0.0)</f>
        <v>0</v>
      </c>
      <c r="M130" s="170">
        <f>IFERROR(__xludf.DUMMYFUNCTION("IFERROR(L130 * (1 + AVERAGE(Filter('Inflation Data'!$C:$C,'Inflation Data'!$A:$A = M$1))) + 'Fund YTD Contributions'!M130,'Fund YTD Contributions'!M130)"),0.0)</f>
        <v>0</v>
      </c>
      <c r="N130" s="170">
        <f>IFERROR(__xludf.DUMMYFUNCTION("IFERROR(M130 * (1 + AVERAGE(Filter('Inflation Data'!$C:$C,'Inflation Data'!$A:$A = N$1))) + 'Fund YTD Contributions'!N130,'Fund YTD Contributions'!N130)"),0.0)</f>
        <v>0</v>
      </c>
      <c r="O130" s="170">
        <f>IFERROR(__xludf.DUMMYFUNCTION("IFERROR(N130 * (1 + AVERAGE(Filter('Inflation Data'!$C:$C,'Inflation Data'!$A:$A = O$1))) + 'Fund YTD Contributions'!O130,'Fund YTD Contributions'!O130)"),0.0)</f>
        <v>0</v>
      </c>
      <c r="P130" s="170">
        <f>IFERROR(__xludf.DUMMYFUNCTION("IFERROR(O130 * (1 + AVERAGE(Filter('Inflation Data'!$C:$C,'Inflation Data'!$A:$A = P$1))) + 'Fund YTD Contributions'!P130,'Fund YTD Contributions'!P130)"),0.0)</f>
        <v>0</v>
      </c>
      <c r="Q130" s="170">
        <f>IFERROR(__xludf.DUMMYFUNCTION("IFERROR(P130 * (1 + AVERAGE(Filter('Inflation Data'!$C:$C,'Inflation Data'!$A:$A = Q$1))) + 'Fund YTD Contributions'!Q130,'Fund YTD Contributions'!Q130)"),0.0)</f>
        <v>0</v>
      </c>
      <c r="R130" s="170">
        <f>IFERROR(__xludf.DUMMYFUNCTION("IFERROR(Q130 * (1 + AVERAGE(Filter('Inflation Data'!$C:$C,'Inflation Data'!$A:$A = R$1))) + 'Fund YTD Contributions'!R130,'Fund YTD Contributions'!R130)"),0.0)</f>
        <v>0</v>
      </c>
      <c r="S130" s="170">
        <f>IFERROR(__xludf.DUMMYFUNCTION("IFERROR(R130 * (1 + AVERAGE(Filter('Inflation Data'!$C:$C,'Inflation Data'!$A:$A = S$1))) + 'Fund YTD Contributions'!S130,'Fund YTD Contributions'!S130)"),0.0)</f>
        <v>0</v>
      </c>
      <c r="T130" s="170">
        <f>IFERROR(__xludf.DUMMYFUNCTION("IFERROR(S130 * (1 + AVERAGE(Filter('Inflation Data'!$C:$C,'Inflation Data'!$A:$A = T$1))) + 'Fund YTD Contributions'!T130,'Fund YTD Contributions'!T130)"),0.0)</f>
        <v>0</v>
      </c>
      <c r="U130" s="170">
        <f>IFERROR(__xludf.DUMMYFUNCTION("IFERROR(T130 * (1 + AVERAGE(Filter('Inflation Data'!$C:$C,'Inflation Data'!$A:$A = U$1))) + 'Fund YTD Contributions'!U130,'Fund YTD Contributions'!U130)"),0.0)</f>
        <v>0</v>
      </c>
      <c r="V130" s="170">
        <f>IFERROR(__xludf.DUMMYFUNCTION("IFERROR(U130 * (1 + AVERAGE(Filter('Inflation Data'!$C:$C,'Inflation Data'!$A:$A = V$1))) + 'Fund YTD Contributions'!V130,'Fund YTD Contributions'!V130)"),0.0)</f>
        <v>0</v>
      </c>
      <c r="W130" s="170">
        <f>IFERROR(__xludf.DUMMYFUNCTION("IFERROR(V130 * (1 + AVERAGE(Filter('Inflation Data'!$C:$C,'Inflation Data'!$A:$A = W$1))) + 'Fund YTD Contributions'!W130,'Fund YTD Contributions'!W130)"),0.0)</f>
        <v>0</v>
      </c>
      <c r="X130" s="170">
        <f>IFERROR(__xludf.DUMMYFUNCTION("IFERROR(W130 * (1 + AVERAGE(Filter('Inflation Data'!$C:$C,'Inflation Data'!$A:$A = X$1))) + 'Fund YTD Contributions'!X130,'Fund YTD Contributions'!X130)"),0.0)</f>
        <v>0</v>
      </c>
      <c r="Y130" s="170">
        <f>IFERROR(__xludf.DUMMYFUNCTION("IFERROR(X130 * (1 + AVERAGE(Filter('Inflation Data'!$C:$C,'Inflation Data'!$A:$A = Y$1))) + 'Fund YTD Contributions'!Y130,'Fund YTD Contributions'!Y130)"),0.0)</f>
        <v>0</v>
      </c>
      <c r="Z130" s="170">
        <f>IFERROR(__xludf.DUMMYFUNCTION("IFERROR(Y130 * (1 + AVERAGE(Filter('Inflation Data'!$C:$C,'Inflation Data'!$A:$A = Z$1))) + 'Fund YTD Contributions'!Z130,'Fund YTD Contributions'!Z130)"),0.0)</f>
        <v>0</v>
      </c>
      <c r="AA130" s="170"/>
      <c r="AB130" s="170"/>
      <c r="AC130" s="170"/>
      <c r="AD130" s="170"/>
      <c r="AE130" s="170"/>
      <c r="AF130" s="170"/>
    </row>
    <row r="131">
      <c r="A131" s="145" t="str">
        <f>'Endowed Funds'!B:B</f>
        <v/>
      </c>
      <c r="B131" s="170">
        <f>IFERROR(__xludf.DUMMYFUNCTION("IFERROR(A131 * (1 + AVERAGE(Filter('Inflation Data'!$C:$C,'Inflation Data'!$A:$A = B$1))) + 'Fund YTD Contributions'!B131,'Fund YTD Contributions'!B131)"),0.0)</f>
        <v>0</v>
      </c>
      <c r="C131" s="170">
        <f>IFERROR(__xludf.DUMMYFUNCTION("IFERROR(B131 * (1 + AVERAGE(Filter('Inflation Data'!$C:$C,'Inflation Data'!$A:$A = C$1))) + 'Fund YTD Contributions'!C131,'Fund YTD Contributions'!C131)"),0.0)</f>
        <v>0</v>
      </c>
      <c r="D131" s="170">
        <f>IFERROR(__xludf.DUMMYFUNCTION("IFERROR(C131 * (1 + AVERAGE(Filter('Inflation Data'!$C:$C,'Inflation Data'!$A:$A = D$1))) + 'Fund YTD Contributions'!D131,'Fund YTD Contributions'!D131)"),0.0)</f>
        <v>0</v>
      </c>
      <c r="E131" s="170">
        <f>IFERROR(__xludf.DUMMYFUNCTION("IFERROR(D131 * (1 + AVERAGE(Filter('Inflation Data'!$C:$C,'Inflation Data'!$A:$A = E$1))) + 'Fund YTD Contributions'!E131,'Fund YTD Contributions'!E131)"),0.0)</f>
        <v>0</v>
      </c>
      <c r="F131" s="170">
        <f>IFERROR(__xludf.DUMMYFUNCTION("IFERROR(E131 * (1 + AVERAGE(Filter('Inflation Data'!$C:$C,'Inflation Data'!$A:$A = F$1))) + 'Fund YTD Contributions'!F131,'Fund YTD Contributions'!F131)"),0.0)</f>
        <v>0</v>
      </c>
      <c r="G131" s="170">
        <f>IFERROR(__xludf.DUMMYFUNCTION("IFERROR(F131 * (1 + AVERAGE(Filter('Inflation Data'!$C:$C,'Inflation Data'!$A:$A = G$1))) + 'Fund YTD Contributions'!G131,'Fund YTD Contributions'!G131)"),0.0)</f>
        <v>0</v>
      </c>
      <c r="H131" s="170">
        <f>IFERROR(__xludf.DUMMYFUNCTION("IFERROR(G131 * (1 + AVERAGE(Filter('Inflation Data'!$C:$C,'Inflation Data'!$A:$A = H$1))) + 'Fund YTD Contributions'!H131,'Fund YTD Contributions'!H131)"),0.0)</f>
        <v>0</v>
      </c>
      <c r="I131" s="170">
        <f>IFERROR(__xludf.DUMMYFUNCTION("IFERROR(H131 * (1 + AVERAGE(Filter('Inflation Data'!$C:$C,'Inflation Data'!$A:$A = I$1))) + 'Fund YTD Contributions'!I131,'Fund YTD Contributions'!I131)"),0.0)</f>
        <v>0</v>
      </c>
      <c r="J131" s="170">
        <f>IFERROR(__xludf.DUMMYFUNCTION("IFERROR(I131 * (1 + AVERAGE(Filter('Inflation Data'!$C:$C,'Inflation Data'!$A:$A = J$1))) + 'Fund YTD Contributions'!J131,'Fund YTD Contributions'!J131)"),0.0)</f>
        <v>0</v>
      </c>
      <c r="K131" s="170">
        <f>IFERROR(__xludf.DUMMYFUNCTION("IFERROR(J131 * (1 + AVERAGE(Filter('Inflation Data'!$C:$C,'Inflation Data'!$A:$A = K$1))) + 'Fund YTD Contributions'!K131,'Fund YTD Contributions'!K131)"),0.0)</f>
        <v>0</v>
      </c>
      <c r="L131" s="170">
        <f>IFERROR(__xludf.DUMMYFUNCTION("IFERROR(K131 * (1 + AVERAGE(Filter('Inflation Data'!$C:$C,'Inflation Data'!$A:$A = L$1))) + 'Fund YTD Contributions'!L131,'Fund YTD Contributions'!L131)"),0.0)</f>
        <v>0</v>
      </c>
      <c r="M131" s="170">
        <f>IFERROR(__xludf.DUMMYFUNCTION("IFERROR(L131 * (1 + AVERAGE(Filter('Inflation Data'!$C:$C,'Inflation Data'!$A:$A = M$1))) + 'Fund YTD Contributions'!M131,'Fund YTD Contributions'!M131)"),0.0)</f>
        <v>0</v>
      </c>
      <c r="N131" s="170">
        <f>IFERROR(__xludf.DUMMYFUNCTION("IFERROR(M131 * (1 + AVERAGE(Filter('Inflation Data'!$C:$C,'Inflation Data'!$A:$A = N$1))) + 'Fund YTD Contributions'!N131,'Fund YTD Contributions'!N131)"),0.0)</f>
        <v>0</v>
      </c>
      <c r="O131" s="170">
        <f>IFERROR(__xludf.DUMMYFUNCTION("IFERROR(N131 * (1 + AVERAGE(Filter('Inflation Data'!$C:$C,'Inflation Data'!$A:$A = O$1))) + 'Fund YTD Contributions'!O131,'Fund YTD Contributions'!O131)"),0.0)</f>
        <v>0</v>
      </c>
      <c r="P131" s="170">
        <f>IFERROR(__xludf.DUMMYFUNCTION("IFERROR(O131 * (1 + AVERAGE(Filter('Inflation Data'!$C:$C,'Inflation Data'!$A:$A = P$1))) + 'Fund YTD Contributions'!P131,'Fund YTD Contributions'!P131)"),0.0)</f>
        <v>0</v>
      </c>
      <c r="Q131" s="170">
        <f>IFERROR(__xludf.DUMMYFUNCTION("IFERROR(P131 * (1 + AVERAGE(Filter('Inflation Data'!$C:$C,'Inflation Data'!$A:$A = Q$1))) + 'Fund YTD Contributions'!Q131,'Fund YTD Contributions'!Q131)"),0.0)</f>
        <v>0</v>
      </c>
      <c r="R131" s="170">
        <f>IFERROR(__xludf.DUMMYFUNCTION("IFERROR(Q131 * (1 + AVERAGE(Filter('Inflation Data'!$C:$C,'Inflation Data'!$A:$A = R$1))) + 'Fund YTD Contributions'!R131,'Fund YTD Contributions'!R131)"),0.0)</f>
        <v>0</v>
      </c>
      <c r="S131" s="170">
        <f>IFERROR(__xludf.DUMMYFUNCTION("IFERROR(R131 * (1 + AVERAGE(Filter('Inflation Data'!$C:$C,'Inflation Data'!$A:$A = S$1))) + 'Fund YTD Contributions'!S131,'Fund YTD Contributions'!S131)"),0.0)</f>
        <v>0</v>
      </c>
      <c r="T131" s="170">
        <f>IFERROR(__xludf.DUMMYFUNCTION("IFERROR(S131 * (1 + AVERAGE(Filter('Inflation Data'!$C:$C,'Inflation Data'!$A:$A = T$1))) + 'Fund YTD Contributions'!T131,'Fund YTD Contributions'!T131)"),0.0)</f>
        <v>0</v>
      </c>
      <c r="U131" s="170">
        <f>IFERROR(__xludf.DUMMYFUNCTION("IFERROR(T131 * (1 + AVERAGE(Filter('Inflation Data'!$C:$C,'Inflation Data'!$A:$A = U$1))) + 'Fund YTD Contributions'!U131,'Fund YTD Contributions'!U131)"),0.0)</f>
        <v>0</v>
      </c>
      <c r="V131" s="170">
        <f>IFERROR(__xludf.DUMMYFUNCTION("IFERROR(U131 * (1 + AVERAGE(Filter('Inflation Data'!$C:$C,'Inflation Data'!$A:$A = V$1))) + 'Fund YTD Contributions'!V131,'Fund YTD Contributions'!V131)"),0.0)</f>
        <v>0</v>
      </c>
      <c r="W131" s="170">
        <f>IFERROR(__xludf.DUMMYFUNCTION("IFERROR(V131 * (1 + AVERAGE(Filter('Inflation Data'!$C:$C,'Inflation Data'!$A:$A = W$1))) + 'Fund YTD Contributions'!W131,'Fund YTD Contributions'!W131)"),0.0)</f>
        <v>0</v>
      </c>
      <c r="X131" s="170">
        <f>IFERROR(__xludf.DUMMYFUNCTION("IFERROR(W131 * (1 + AVERAGE(Filter('Inflation Data'!$C:$C,'Inflation Data'!$A:$A = X$1))) + 'Fund YTD Contributions'!X131,'Fund YTD Contributions'!X131)"),0.0)</f>
        <v>0</v>
      </c>
      <c r="Y131" s="170">
        <f>IFERROR(__xludf.DUMMYFUNCTION("IFERROR(X131 * (1 + AVERAGE(Filter('Inflation Data'!$C:$C,'Inflation Data'!$A:$A = Y$1))) + 'Fund YTD Contributions'!Y131,'Fund YTD Contributions'!Y131)"),0.0)</f>
        <v>0</v>
      </c>
      <c r="Z131" s="170">
        <f>IFERROR(__xludf.DUMMYFUNCTION("IFERROR(Y131 * (1 + AVERAGE(Filter('Inflation Data'!$C:$C,'Inflation Data'!$A:$A = Z$1))) + 'Fund YTD Contributions'!Z131,'Fund YTD Contributions'!Z131)"),0.0)</f>
        <v>0</v>
      </c>
      <c r="AA131" s="170"/>
      <c r="AB131" s="170"/>
      <c r="AC131" s="170"/>
      <c r="AD131" s="170"/>
      <c r="AE131" s="170"/>
      <c r="AF131" s="170"/>
    </row>
    <row r="132">
      <c r="A132" s="145" t="str">
        <f>'Endowed Funds'!B:B</f>
        <v/>
      </c>
      <c r="B132" s="170">
        <f>IFERROR(__xludf.DUMMYFUNCTION("IFERROR(A132 * (1 + AVERAGE(Filter('Inflation Data'!$C:$C,'Inflation Data'!$A:$A = B$1))) + 'Fund YTD Contributions'!B132,'Fund YTD Contributions'!B132)"),0.0)</f>
        <v>0</v>
      </c>
      <c r="C132" s="170">
        <f>IFERROR(__xludf.DUMMYFUNCTION("IFERROR(B132 * (1 + AVERAGE(Filter('Inflation Data'!$C:$C,'Inflation Data'!$A:$A = C$1))) + 'Fund YTD Contributions'!C132,'Fund YTD Contributions'!C132)"),0.0)</f>
        <v>0</v>
      </c>
      <c r="D132" s="170">
        <f>IFERROR(__xludf.DUMMYFUNCTION("IFERROR(C132 * (1 + AVERAGE(Filter('Inflation Data'!$C:$C,'Inflation Data'!$A:$A = D$1))) + 'Fund YTD Contributions'!D132,'Fund YTD Contributions'!D132)"),0.0)</f>
        <v>0</v>
      </c>
      <c r="E132" s="170">
        <f>IFERROR(__xludf.DUMMYFUNCTION("IFERROR(D132 * (1 + AVERAGE(Filter('Inflation Data'!$C:$C,'Inflation Data'!$A:$A = E$1))) + 'Fund YTD Contributions'!E132,'Fund YTD Contributions'!E132)"),0.0)</f>
        <v>0</v>
      </c>
      <c r="F132" s="170">
        <f>IFERROR(__xludf.DUMMYFUNCTION("IFERROR(E132 * (1 + AVERAGE(Filter('Inflation Data'!$C:$C,'Inflation Data'!$A:$A = F$1))) + 'Fund YTD Contributions'!F132,'Fund YTD Contributions'!F132)"),0.0)</f>
        <v>0</v>
      </c>
      <c r="G132" s="170">
        <f>IFERROR(__xludf.DUMMYFUNCTION("IFERROR(F132 * (1 + AVERAGE(Filter('Inflation Data'!$C:$C,'Inflation Data'!$A:$A = G$1))) + 'Fund YTD Contributions'!G132,'Fund YTD Contributions'!G132)"),0.0)</f>
        <v>0</v>
      </c>
      <c r="H132" s="170">
        <f>IFERROR(__xludf.DUMMYFUNCTION("IFERROR(G132 * (1 + AVERAGE(Filter('Inflation Data'!$C:$C,'Inflation Data'!$A:$A = H$1))) + 'Fund YTD Contributions'!H132,'Fund YTD Contributions'!H132)"),0.0)</f>
        <v>0</v>
      </c>
      <c r="I132" s="170">
        <f>IFERROR(__xludf.DUMMYFUNCTION("IFERROR(H132 * (1 + AVERAGE(Filter('Inflation Data'!$C:$C,'Inflation Data'!$A:$A = I$1))) + 'Fund YTD Contributions'!I132,'Fund YTD Contributions'!I132)"),0.0)</f>
        <v>0</v>
      </c>
      <c r="J132" s="170">
        <f>IFERROR(__xludf.DUMMYFUNCTION("IFERROR(I132 * (1 + AVERAGE(Filter('Inflation Data'!$C:$C,'Inflation Data'!$A:$A = J$1))) + 'Fund YTD Contributions'!J132,'Fund YTD Contributions'!J132)"),0.0)</f>
        <v>0</v>
      </c>
      <c r="K132" s="170">
        <f>IFERROR(__xludf.DUMMYFUNCTION("IFERROR(J132 * (1 + AVERAGE(Filter('Inflation Data'!$C:$C,'Inflation Data'!$A:$A = K$1))) + 'Fund YTD Contributions'!K132,'Fund YTD Contributions'!K132)"),0.0)</f>
        <v>0</v>
      </c>
      <c r="L132" s="170">
        <f>IFERROR(__xludf.DUMMYFUNCTION("IFERROR(K132 * (1 + AVERAGE(Filter('Inflation Data'!$C:$C,'Inflation Data'!$A:$A = L$1))) + 'Fund YTD Contributions'!L132,'Fund YTD Contributions'!L132)"),0.0)</f>
        <v>0</v>
      </c>
      <c r="M132" s="170">
        <f>IFERROR(__xludf.DUMMYFUNCTION("IFERROR(L132 * (1 + AVERAGE(Filter('Inflation Data'!$C:$C,'Inflation Data'!$A:$A = M$1))) + 'Fund YTD Contributions'!M132,'Fund YTD Contributions'!M132)"),0.0)</f>
        <v>0</v>
      </c>
      <c r="N132" s="170">
        <f>IFERROR(__xludf.DUMMYFUNCTION("IFERROR(M132 * (1 + AVERAGE(Filter('Inflation Data'!$C:$C,'Inflation Data'!$A:$A = N$1))) + 'Fund YTD Contributions'!N132,'Fund YTD Contributions'!N132)"),0.0)</f>
        <v>0</v>
      </c>
      <c r="O132" s="170">
        <f>IFERROR(__xludf.DUMMYFUNCTION("IFERROR(N132 * (1 + AVERAGE(Filter('Inflation Data'!$C:$C,'Inflation Data'!$A:$A = O$1))) + 'Fund YTD Contributions'!O132,'Fund YTD Contributions'!O132)"),0.0)</f>
        <v>0</v>
      </c>
      <c r="P132" s="170">
        <f>IFERROR(__xludf.DUMMYFUNCTION("IFERROR(O132 * (1 + AVERAGE(Filter('Inflation Data'!$C:$C,'Inflation Data'!$A:$A = P$1))) + 'Fund YTD Contributions'!P132,'Fund YTD Contributions'!P132)"),0.0)</f>
        <v>0</v>
      </c>
      <c r="Q132" s="170">
        <f>IFERROR(__xludf.DUMMYFUNCTION("IFERROR(P132 * (1 + AVERAGE(Filter('Inflation Data'!$C:$C,'Inflation Data'!$A:$A = Q$1))) + 'Fund YTD Contributions'!Q132,'Fund YTD Contributions'!Q132)"),0.0)</f>
        <v>0</v>
      </c>
      <c r="R132" s="170">
        <f>IFERROR(__xludf.DUMMYFUNCTION("IFERROR(Q132 * (1 + AVERAGE(Filter('Inflation Data'!$C:$C,'Inflation Data'!$A:$A = R$1))) + 'Fund YTD Contributions'!R132,'Fund YTD Contributions'!R132)"),0.0)</f>
        <v>0</v>
      </c>
      <c r="S132" s="170">
        <f>IFERROR(__xludf.DUMMYFUNCTION("IFERROR(R132 * (1 + AVERAGE(Filter('Inflation Data'!$C:$C,'Inflation Data'!$A:$A = S$1))) + 'Fund YTD Contributions'!S132,'Fund YTD Contributions'!S132)"),0.0)</f>
        <v>0</v>
      </c>
      <c r="T132" s="170">
        <f>IFERROR(__xludf.DUMMYFUNCTION("IFERROR(S132 * (1 + AVERAGE(Filter('Inflation Data'!$C:$C,'Inflation Data'!$A:$A = T$1))) + 'Fund YTD Contributions'!T132,'Fund YTD Contributions'!T132)"),0.0)</f>
        <v>0</v>
      </c>
      <c r="U132" s="170">
        <f>IFERROR(__xludf.DUMMYFUNCTION("IFERROR(T132 * (1 + AVERAGE(Filter('Inflation Data'!$C:$C,'Inflation Data'!$A:$A = U$1))) + 'Fund YTD Contributions'!U132,'Fund YTD Contributions'!U132)"),0.0)</f>
        <v>0</v>
      </c>
      <c r="V132" s="170">
        <f>IFERROR(__xludf.DUMMYFUNCTION("IFERROR(U132 * (1 + AVERAGE(Filter('Inflation Data'!$C:$C,'Inflation Data'!$A:$A = V$1))) + 'Fund YTD Contributions'!V132,'Fund YTD Contributions'!V132)"),0.0)</f>
        <v>0</v>
      </c>
      <c r="W132" s="170">
        <f>IFERROR(__xludf.DUMMYFUNCTION("IFERROR(V132 * (1 + AVERAGE(Filter('Inflation Data'!$C:$C,'Inflation Data'!$A:$A = W$1))) + 'Fund YTD Contributions'!W132,'Fund YTD Contributions'!W132)"),0.0)</f>
        <v>0</v>
      </c>
      <c r="X132" s="170">
        <f>IFERROR(__xludf.DUMMYFUNCTION("IFERROR(W132 * (1 + AVERAGE(Filter('Inflation Data'!$C:$C,'Inflation Data'!$A:$A = X$1))) + 'Fund YTD Contributions'!X132,'Fund YTD Contributions'!X132)"),0.0)</f>
        <v>0</v>
      </c>
      <c r="Y132" s="170">
        <f>IFERROR(__xludf.DUMMYFUNCTION("IFERROR(X132 * (1 + AVERAGE(Filter('Inflation Data'!$C:$C,'Inflation Data'!$A:$A = Y$1))) + 'Fund YTD Contributions'!Y132,'Fund YTD Contributions'!Y132)"),0.0)</f>
        <v>0</v>
      </c>
      <c r="Z132" s="170">
        <f>IFERROR(__xludf.DUMMYFUNCTION("IFERROR(Y132 * (1 + AVERAGE(Filter('Inflation Data'!$C:$C,'Inflation Data'!$A:$A = Z$1))) + 'Fund YTD Contributions'!Z132,'Fund YTD Contributions'!Z132)"),0.0)</f>
        <v>0</v>
      </c>
      <c r="AA132" s="170"/>
      <c r="AB132" s="170"/>
      <c r="AC132" s="170"/>
      <c r="AD132" s="170"/>
      <c r="AE132" s="170"/>
      <c r="AF132" s="170"/>
    </row>
    <row r="133">
      <c r="A133" s="145" t="str">
        <f>'Endowed Funds'!B:B</f>
        <v/>
      </c>
      <c r="B133" s="170">
        <f>IFERROR(__xludf.DUMMYFUNCTION("IFERROR(A133 * (1 + AVERAGE(Filter('Inflation Data'!$C:$C,'Inflation Data'!$A:$A = B$1))) + 'Fund YTD Contributions'!B133,'Fund YTD Contributions'!B133)"),0.0)</f>
        <v>0</v>
      </c>
      <c r="C133" s="170">
        <f>IFERROR(__xludf.DUMMYFUNCTION("IFERROR(B133 * (1 + AVERAGE(Filter('Inflation Data'!$C:$C,'Inflation Data'!$A:$A = C$1))) + 'Fund YTD Contributions'!C133,'Fund YTD Contributions'!C133)"),0.0)</f>
        <v>0</v>
      </c>
      <c r="D133" s="170">
        <f>IFERROR(__xludf.DUMMYFUNCTION("IFERROR(C133 * (1 + AVERAGE(Filter('Inflation Data'!$C:$C,'Inflation Data'!$A:$A = D$1))) + 'Fund YTD Contributions'!D133,'Fund YTD Contributions'!D133)"),0.0)</f>
        <v>0</v>
      </c>
      <c r="E133" s="170">
        <f>IFERROR(__xludf.DUMMYFUNCTION("IFERROR(D133 * (1 + AVERAGE(Filter('Inflation Data'!$C:$C,'Inflation Data'!$A:$A = E$1))) + 'Fund YTD Contributions'!E133,'Fund YTD Contributions'!E133)"),0.0)</f>
        <v>0</v>
      </c>
      <c r="F133" s="170">
        <f>IFERROR(__xludf.DUMMYFUNCTION("IFERROR(E133 * (1 + AVERAGE(Filter('Inflation Data'!$C:$C,'Inflation Data'!$A:$A = F$1))) + 'Fund YTD Contributions'!F133,'Fund YTD Contributions'!F133)"),0.0)</f>
        <v>0</v>
      </c>
      <c r="G133" s="170">
        <f>IFERROR(__xludf.DUMMYFUNCTION("IFERROR(F133 * (1 + AVERAGE(Filter('Inflation Data'!$C:$C,'Inflation Data'!$A:$A = G$1))) + 'Fund YTD Contributions'!G133,'Fund YTD Contributions'!G133)"),0.0)</f>
        <v>0</v>
      </c>
      <c r="H133" s="170">
        <f>IFERROR(__xludf.DUMMYFUNCTION("IFERROR(G133 * (1 + AVERAGE(Filter('Inflation Data'!$C:$C,'Inflation Data'!$A:$A = H$1))) + 'Fund YTD Contributions'!H133,'Fund YTD Contributions'!H133)"),0.0)</f>
        <v>0</v>
      </c>
      <c r="I133" s="170">
        <f>IFERROR(__xludf.DUMMYFUNCTION("IFERROR(H133 * (1 + AVERAGE(Filter('Inflation Data'!$C:$C,'Inflation Data'!$A:$A = I$1))) + 'Fund YTD Contributions'!I133,'Fund YTD Contributions'!I133)"),0.0)</f>
        <v>0</v>
      </c>
      <c r="J133" s="170">
        <f>IFERROR(__xludf.DUMMYFUNCTION("IFERROR(I133 * (1 + AVERAGE(Filter('Inflation Data'!$C:$C,'Inflation Data'!$A:$A = J$1))) + 'Fund YTD Contributions'!J133,'Fund YTD Contributions'!J133)"),0.0)</f>
        <v>0</v>
      </c>
      <c r="K133" s="170">
        <f>IFERROR(__xludf.DUMMYFUNCTION("IFERROR(J133 * (1 + AVERAGE(Filter('Inflation Data'!$C:$C,'Inflation Data'!$A:$A = K$1))) + 'Fund YTD Contributions'!K133,'Fund YTD Contributions'!K133)"),0.0)</f>
        <v>0</v>
      </c>
      <c r="L133" s="170">
        <f>IFERROR(__xludf.DUMMYFUNCTION("IFERROR(K133 * (1 + AVERAGE(Filter('Inflation Data'!$C:$C,'Inflation Data'!$A:$A = L$1))) + 'Fund YTD Contributions'!L133,'Fund YTD Contributions'!L133)"),0.0)</f>
        <v>0</v>
      </c>
      <c r="M133" s="170">
        <f>IFERROR(__xludf.DUMMYFUNCTION("IFERROR(L133 * (1 + AVERAGE(Filter('Inflation Data'!$C:$C,'Inflation Data'!$A:$A = M$1))) + 'Fund YTD Contributions'!M133,'Fund YTD Contributions'!M133)"),0.0)</f>
        <v>0</v>
      </c>
      <c r="N133" s="170">
        <f>IFERROR(__xludf.DUMMYFUNCTION("IFERROR(M133 * (1 + AVERAGE(Filter('Inflation Data'!$C:$C,'Inflation Data'!$A:$A = N$1))) + 'Fund YTD Contributions'!N133,'Fund YTD Contributions'!N133)"),0.0)</f>
        <v>0</v>
      </c>
      <c r="O133" s="170">
        <f>IFERROR(__xludf.DUMMYFUNCTION("IFERROR(N133 * (1 + AVERAGE(Filter('Inflation Data'!$C:$C,'Inflation Data'!$A:$A = O$1))) + 'Fund YTD Contributions'!O133,'Fund YTD Contributions'!O133)"),0.0)</f>
        <v>0</v>
      </c>
      <c r="P133" s="170">
        <f>IFERROR(__xludf.DUMMYFUNCTION("IFERROR(O133 * (1 + AVERAGE(Filter('Inflation Data'!$C:$C,'Inflation Data'!$A:$A = P$1))) + 'Fund YTD Contributions'!P133,'Fund YTD Contributions'!P133)"),0.0)</f>
        <v>0</v>
      </c>
      <c r="Q133" s="170">
        <f>IFERROR(__xludf.DUMMYFUNCTION("IFERROR(P133 * (1 + AVERAGE(Filter('Inflation Data'!$C:$C,'Inflation Data'!$A:$A = Q$1))) + 'Fund YTD Contributions'!Q133,'Fund YTD Contributions'!Q133)"),0.0)</f>
        <v>0</v>
      </c>
      <c r="R133" s="170">
        <f>IFERROR(__xludf.DUMMYFUNCTION("IFERROR(Q133 * (1 + AVERAGE(Filter('Inflation Data'!$C:$C,'Inflation Data'!$A:$A = R$1))) + 'Fund YTD Contributions'!R133,'Fund YTD Contributions'!R133)"),0.0)</f>
        <v>0</v>
      </c>
      <c r="S133" s="170">
        <f>IFERROR(__xludf.DUMMYFUNCTION("IFERROR(R133 * (1 + AVERAGE(Filter('Inflation Data'!$C:$C,'Inflation Data'!$A:$A = S$1))) + 'Fund YTD Contributions'!S133,'Fund YTD Contributions'!S133)"),0.0)</f>
        <v>0</v>
      </c>
      <c r="T133" s="170">
        <f>IFERROR(__xludf.DUMMYFUNCTION("IFERROR(S133 * (1 + AVERAGE(Filter('Inflation Data'!$C:$C,'Inflation Data'!$A:$A = T$1))) + 'Fund YTD Contributions'!T133,'Fund YTD Contributions'!T133)"),0.0)</f>
        <v>0</v>
      </c>
      <c r="U133" s="170">
        <f>IFERROR(__xludf.DUMMYFUNCTION("IFERROR(T133 * (1 + AVERAGE(Filter('Inflation Data'!$C:$C,'Inflation Data'!$A:$A = U$1))) + 'Fund YTD Contributions'!U133,'Fund YTD Contributions'!U133)"),0.0)</f>
        <v>0</v>
      </c>
      <c r="V133" s="170">
        <f>IFERROR(__xludf.DUMMYFUNCTION("IFERROR(U133 * (1 + AVERAGE(Filter('Inflation Data'!$C:$C,'Inflation Data'!$A:$A = V$1))) + 'Fund YTD Contributions'!V133,'Fund YTD Contributions'!V133)"),0.0)</f>
        <v>0</v>
      </c>
      <c r="W133" s="170">
        <f>IFERROR(__xludf.DUMMYFUNCTION("IFERROR(V133 * (1 + AVERAGE(Filter('Inflation Data'!$C:$C,'Inflation Data'!$A:$A = W$1))) + 'Fund YTD Contributions'!W133,'Fund YTD Contributions'!W133)"),0.0)</f>
        <v>0</v>
      </c>
      <c r="X133" s="170">
        <f>IFERROR(__xludf.DUMMYFUNCTION("IFERROR(W133 * (1 + AVERAGE(Filter('Inflation Data'!$C:$C,'Inflation Data'!$A:$A = X$1))) + 'Fund YTD Contributions'!X133,'Fund YTD Contributions'!X133)"),0.0)</f>
        <v>0</v>
      </c>
      <c r="Y133" s="170">
        <f>IFERROR(__xludf.DUMMYFUNCTION("IFERROR(X133 * (1 + AVERAGE(Filter('Inflation Data'!$C:$C,'Inflation Data'!$A:$A = Y$1))) + 'Fund YTD Contributions'!Y133,'Fund YTD Contributions'!Y133)"),0.0)</f>
        <v>0</v>
      </c>
      <c r="Z133" s="170">
        <f>IFERROR(__xludf.DUMMYFUNCTION("IFERROR(Y133 * (1 + AVERAGE(Filter('Inflation Data'!$C:$C,'Inflation Data'!$A:$A = Z$1))) + 'Fund YTD Contributions'!Z133,'Fund YTD Contributions'!Z133)"),0.0)</f>
        <v>0</v>
      </c>
      <c r="AA133" s="170"/>
      <c r="AB133" s="170"/>
      <c r="AC133" s="170"/>
      <c r="AD133" s="170"/>
      <c r="AE133" s="170"/>
      <c r="AF133" s="170"/>
    </row>
    <row r="134">
      <c r="A134" s="145" t="str">
        <f>'Endowed Funds'!B:B</f>
        <v/>
      </c>
      <c r="B134" s="170">
        <f>IFERROR(__xludf.DUMMYFUNCTION("IFERROR(A134 * (1 + AVERAGE(Filter('Inflation Data'!$C:$C,'Inflation Data'!$A:$A = B$1))) + 'Fund YTD Contributions'!B134,'Fund YTD Contributions'!B134)"),0.0)</f>
        <v>0</v>
      </c>
      <c r="C134" s="170">
        <f>IFERROR(__xludf.DUMMYFUNCTION("IFERROR(B134 * (1 + AVERAGE(Filter('Inflation Data'!$C:$C,'Inflation Data'!$A:$A = C$1))) + 'Fund YTD Contributions'!C134,'Fund YTD Contributions'!C134)"),0.0)</f>
        <v>0</v>
      </c>
      <c r="D134" s="170">
        <f>IFERROR(__xludf.DUMMYFUNCTION("IFERROR(C134 * (1 + AVERAGE(Filter('Inflation Data'!$C:$C,'Inflation Data'!$A:$A = D$1))) + 'Fund YTD Contributions'!D134,'Fund YTD Contributions'!D134)"),0.0)</f>
        <v>0</v>
      </c>
      <c r="E134" s="170">
        <f>IFERROR(__xludf.DUMMYFUNCTION("IFERROR(D134 * (1 + AVERAGE(Filter('Inflation Data'!$C:$C,'Inflation Data'!$A:$A = E$1))) + 'Fund YTD Contributions'!E134,'Fund YTD Contributions'!E134)"),0.0)</f>
        <v>0</v>
      </c>
      <c r="F134" s="170">
        <f>IFERROR(__xludf.DUMMYFUNCTION("IFERROR(E134 * (1 + AVERAGE(Filter('Inflation Data'!$C:$C,'Inflation Data'!$A:$A = F$1))) + 'Fund YTD Contributions'!F134,'Fund YTD Contributions'!F134)"),0.0)</f>
        <v>0</v>
      </c>
      <c r="G134" s="170">
        <f>IFERROR(__xludf.DUMMYFUNCTION("IFERROR(F134 * (1 + AVERAGE(Filter('Inflation Data'!$C:$C,'Inflation Data'!$A:$A = G$1))) + 'Fund YTD Contributions'!G134,'Fund YTD Contributions'!G134)"),0.0)</f>
        <v>0</v>
      </c>
      <c r="H134" s="170">
        <f>IFERROR(__xludf.DUMMYFUNCTION("IFERROR(G134 * (1 + AVERAGE(Filter('Inflation Data'!$C:$C,'Inflation Data'!$A:$A = H$1))) + 'Fund YTD Contributions'!H134,'Fund YTD Contributions'!H134)"),0.0)</f>
        <v>0</v>
      </c>
      <c r="I134" s="170">
        <f>IFERROR(__xludf.DUMMYFUNCTION("IFERROR(H134 * (1 + AVERAGE(Filter('Inflation Data'!$C:$C,'Inflation Data'!$A:$A = I$1))) + 'Fund YTD Contributions'!I134,'Fund YTD Contributions'!I134)"),0.0)</f>
        <v>0</v>
      </c>
      <c r="J134" s="170">
        <f>IFERROR(__xludf.DUMMYFUNCTION("IFERROR(I134 * (1 + AVERAGE(Filter('Inflation Data'!$C:$C,'Inflation Data'!$A:$A = J$1))) + 'Fund YTD Contributions'!J134,'Fund YTD Contributions'!J134)"),0.0)</f>
        <v>0</v>
      </c>
      <c r="K134" s="170">
        <f>IFERROR(__xludf.DUMMYFUNCTION("IFERROR(J134 * (1 + AVERAGE(Filter('Inflation Data'!$C:$C,'Inflation Data'!$A:$A = K$1))) + 'Fund YTD Contributions'!K134,'Fund YTD Contributions'!K134)"),0.0)</f>
        <v>0</v>
      </c>
      <c r="L134" s="170">
        <f>IFERROR(__xludf.DUMMYFUNCTION("IFERROR(K134 * (1 + AVERAGE(Filter('Inflation Data'!$C:$C,'Inflation Data'!$A:$A = L$1))) + 'Fund YTD Contributions'!L134,'Fund YTD Contributions'!L134)"),0.0)</f>
        <v>0</v>
      </c>
      <c r="M134" s="170">
        <f>IFERROR(__xludf.DUMMYFUNCTION("IFERROR(L134 * (1 + AVERAGE(Filter('Inflation Data'!$C:$C,'Inflation Data'!$A:$A = M$1))) + 'Fund YTD Contributions'!M134,'Fund YTD Contributions'!M134)"),0.0)</f>
        <v>0</v>
      </c>
      <c r="N134" s="170">
        <f>IFERROR(__xludf.DUMMYFUNCTION("IFERROR(M134 * (1 + AVERAGE(Filter('Inflation Data'!$C:$C,'Inflation Data'!$A:$A = N$1))) + 'Fund YTD Contributions'!N134,'Fund YTD Contributions'!N134)"),0.0)</f>
        <v>0</v>
      </c>
      <c r="O134" s="170">
        <f>IFERROR(__xludf.DUMMYFUNCTION("IFERROR(N134 * (1 + AVERAGE(Filter('Inflation Data'!$C:$C,'Inflation Data'!$A:$A = O$1))) + 'Fund YTD Contributions'!O134,'Fund YTD Contributions'!O134)"),0.0)</f>
        <v>0</v>
      </c>
      <c r="P134" s="170">
        <f>IFERROR(__xludf.DUMMYFUNCTION("IFERROR(O134 * (1 + AVERAGE(Filter('Inflation Data'!$C:$C,'Inflation Data'!$A:$A = P$1))) + 'Fund YTD Contributions'!P134,'Fund YTD Contributions'!P134)"),0.0)</f>
        <v>0</v>
      </c>
      <c r="Q134" s="170">
        <f>IFERROR(__xludf.DUMMYFUNCTION("IFERROR(P134 * (1 + AVERAGE(Filter('Inflation Data'!$C:$C,'Inflation Data'!$A:$A = Q$1))) + 'Fund YTD Contributions'!Q134,'Fund YTD Contributions'!Q134)"),0.0)</f>
        <v>0</v>
      </c>
      <c r="R134" s="170">
        <f>IFERROR(__xludf.DUMMYFUNCTION("IFERROR(Q134 * (1 + AVERAGE(Filter('Inflation Data'!$C:$C,'Inflation Data'!$A:$A = R$1))) + 'Fund YTD Contributions'!R134,'Fund YTD Contributions'!R134)"),0.0)</f>
        <v>0</v>
      </c>
      <c r="S134" s="170">
        <f>IFERROR(__xludf.DUMMYFUNCTION("IFERROR(R134 * (1 + AVERAGE(Filter('Inflation Data'!$C:$C,'Inflation Data'!$A:$A = S$1))) + 'Fund YTD Contributions'!S134,'Fund YTD Contributions'!S134)"),0.0)</f>
        <v>0</v>
      </c>
      <c r="T134" s="170">
        <f>IFERROR(__xludf.DUMMYFUNCTION("IFERROR(S134 * (1 + AVERAGE(Filter('Inflation Data'!$C:$C,'Inflation Data'!$A:$A = T$1))) + 'Fund YTD Contributions'!T134,'Fund YTD Contributions'!T134)"),0.0)</f>
        <v>0</v>
      </c>
      <c r="U134" s="170">
        <f>IFERROR(__xludf.DUMMYFUNCTION("IFERROR(T134 * (1 + AVERAGE(Filter('Inflation Data'!$C:$C,'Inflation Data'!$A:$A = U$1))) + 'Fund YTD Contributions'!U134,'Fund YTD Contributions'!U134)"),0.0)</f>
        <v>0</v>
      </c>
      <c r="V134" s="170">
        <f>IFERROR(__xludf.DUMMYFUNCTION("IFERROR(U134 * (1 + AVERAGE(Filter('Inflation Data'!$C:$C,'Inflation Data'!$A:$A = V$1))) + 'Fund YTD Contributions'!V134,'Fund YTD Contributions'!V134)"),0.0)</f>
        <v>0</v>
      </c>
      <c r="W134" s="170">
        <f>IFERROR(__xludf.DUMMYFUNCTION("IFERROR(V134 * (1 + AVERAGE(Filter('Inflation Data'!$C:$C,'Inflation Data'!$A:$A = W$1))) + 'Fund YTD Contributions'!W134,'Fund YTD Contributions'!W134)"),0.0)</f>
        <v>0</v>
      </c>
      <c r="X134" s="170">
        <f>IFERROR(__xludf.DUMMYFUNCTION("IFERROR(W134 * (1 + AVERAGE(Filter('Inflation Data'!$C:$C,'Inflation Data'!$A:$A = X$1))) + 'Fund YTD Contributions'!X134,'Fund YTD Contributions'!X134)"),0.0)</f>
        <v>0</v>
      </c>
      <c r="Y134" s="170">
        <f>IFERROR(__xludf.DUMMYFUNCTION("IFERROR(X134 * (1 + AVERAGE(Filter('Inflation Data'!$C:$C,'Inflation Data'!$A:$A = Y$1))) + 'Fund YTD Contributions'!Y134,'Fund YTD Contributions'!Y134)"),0.0)</f>
        <v>0</v>
      </c>
      <c r="Z134" s="170">
        <f>IFERROR(__xludf.DUMMYFUNCTION("IFERROR(Y134 * (1 + AVERAGE(Filter('Inflation Data'!$C:$C,'Inflation Data'!$A:$A = Z$1))) + 'Fund YTD Contributions'!Z134,'Fund YTD Contributions'!Z134)"),0.0)</f>
        <v>0</v>
      </c>
      <c r="AA134" s="170"/>
      <c r="AB134" s="170"/>
      <c r="AC134" s="170"/>
      <c r="AD134" s="170"/>
      <c r="AE134" s="170"/>
      <c r="AF134" s="170"/>
    </row>
    <row r="135">
      <c r="A135" s="145" t="str">
        <f>'Endowed Funds'!B:B</f>
        <v/>
      </c>
      <c r="B135" s="170">
        <f>IFERROR(__xludf.DUMMYFUNCTION("IFERROR(A135 * (1 + AVERAGE(Filter('Inflation Data'!$C:$C,'Inflation Data'!$A:$A = B$1))) + 'Fund YTD Contributions'!B135,'Fund YTD Contributions'!B135)"),0.0)</f>
        <v>0</v>
      </c>
      <c r="C135" s="170">
        <f>IFERROR(__xludf.DUMMYFUNCTION("IFERROR(B135 * (1 + AVERAGE(Filter('Inflation Data'!$C:$C,'Inflation Data'!$A:$A = C$1))) + 'Fund YTD Contributions'!C135,'Fund YTD Contributions'!C135)"),0.0)</f>
        <v>0</v>
      </c>
      <c r="D135" s="170">
        <f>IFERROR(__xludf.DUMMYFUNCTION("IFERROR(C135 * (1 + AVERAGE(Filter('Inflation Data'!$C:$C,'Inflation Data'!$A:$A = D$1))) + 'Fund YTD Contributions'!D135,'Fund YTD Contributions'!D135)"),0.0)</f>
        <v>0</v>
      </c>
      <c r="E135" s="170">
        <f>IFERROR(__xludf.DUMMYFUNCTION("IFERROR(D135 * (1 + AVERAGE(Filter('Inflation Data'!$C:$C,'Inflation Data'!$A:$A = E$1))) + 'Fund YTD Contributions'!E135,'Fund YTD Contributions'!E135)"),0.0)</f>
        <v>0</v>
      </c>
      <c r="F135" s="170">
        <f>IFERROR(__xludf.DUMMYFUNCTION("IFERROR(E135 * (1 + AVERAGE(Filter('Inflation Data'!$C:$C,'Inflation Data'!$A:$A = F$1))) + 'Fund YTD Contributions'!F135,'Fund YTD Contributions'!F135)"),0.0)</f>
        <v>0</v>
      </c>
      <c r="G135" s="170">
        <f>IFERROR(__xludf.DUMMYFUNCTION("IFERROR(F135 * (1 + AVERAGE(Filter('Inflation Data'!$C:$C,'Inflation Data'!$A:$A = G$1))) + 'Fund YTD Contributions'!G135,'Fund YTD Contributions'!G135)"),0.0)</f>
        <v>0</v>
      </c>
      <c r="H135" s="170">
        <f>IFERROR(__xludf.DUMMYFUNCTION("IFERROR(G135 * (1 + AVERAGE(Filter('Inflation Data'!$C:$C,'Inflation Data'!$A:$A = H$1))) + 'Fund YTD Contributions'!H135,'Fund YTD Contributions'!H135)"),0.0)</f>
        <v>0</v>
      </c>
      <c r="I135" s="170">
        <f>IFERROR(__xludf.DUMMYFUNCTION("IFERROR(H135 * (1 + AVERAGE(Filter('Inflation Data'!$C:$C,'Inflation Data'!$A:$A = I$1))) + 'Fund YTD Contributions'!I135,'Fund YTD Contributions'!I135)"),0.0)</f>
        <v>0</v>
      </c>
      <c r="J135" s="170">
        <f>IFERROR(__xludf.DUMMYFUNCTION("IFERROR(I135 * (1 + AVERAGE(Filter('Inflation Data'!$C:$C,'Inflation Data'!$A:$A = J$1))) + 'Fund YTD Contributions'!J135,'Fund YTD Contributions'!J135)"),0.0)</f>
        <v>0</v>
      </c>
      <c r="K135" s="170">
        <f>IFERROR(__xludf.DUMMYFUNCTION("IFERROR(J135 * (1 + AVERAGE(Filter('Inflation Data'!$C:$C,'Inflation Data'!$A:$A = K$1))) + 'Fund YTD Contributions'!K135,'Fund YTD Contributions'!K135)"),0.0)</f>
        <v>0</v>
      </c>
      <c r="L135" s="170">
        <f>IFERROR(__xludf.DUMMYFUNCTION("IFERROR(K135 * (1 + AVERAGE(Filter('Inflation Data'!$C:$C,'Inflation Data'!$A:$A = L$1))) + 'Fund YTD Contributions'!L135,'Fund YTD Contributions'!L135)"),0.0)</f>
        <v>0</v>
      </c>
      <c r="M135" s="170">
        <f>IFERROR(__xludf.DUMMYFUNCTION("IFERROR(L135 * (1 + AVERAGE(Filter('Inflation Data'!$C:$C,'Inflation Data'!$A:$A = M$1))) + 'Fund YTD Contributions'!M135,'Fund YTD Contributions'!M135)"),0.0)</f>
        <v>0</v>
      </c>
      <c r="N135" s="170">
        <f>IFERROR(__xludf.DUMMYFUNCTION("IFERROR(M135 * (1 + AVERAGE(Filter('Inflation Data'!$C:$C,'Inflation Data'!$A:$A = N$1))) + 'Fund YTD Contributions'!N135,'Fund YTD Contributions'!N135)"),0.0)</f>
        <v>0</v>
      </c>
      <c r="O135" s="170">
        <f>IFERROR(__xludf.DUMMYFUNCTION("IFERROR(N135 * (1 + AVERAGE(Filter('Inflation Data'!$C:$C,'Inflation Data'!$A:$A = O$1))) + 'Fund YTD Contributions'!O135,'Fund YTD Contributions'!O135)"),0.0)</f>
        <v>0</v>
      </c>
      <c r="P135" s="170">
        <f>IFERROR(__xludf.DUMMYFUNCTION("IFERROR(O135 * (1 + AVERAGE(Filter('Inflation Data'!$C:$C,'Inflation Data'!$A:$A = P$1))) + 'Fund YTD Contributions'!P135,'Fund YTD Contributions'!P135)"),0.0)</f>
        <v>0</v>
      </c>
      <c r="Q135" s="170">
        <f>IFERROR(__xludf.DUMMYFUNCTION("IFERROR(P135 * (1 + AVERAGE(Filter('Inflation Data'!$C:$C,'Inflation Data'!$A:$A = Q$1))) + 'Fund YTD Contributions'!Q135,'Fund YTD Contributions'!Q135)"),0.0)</f>
        <v>0</v>
      </c>
      <c r="R135" s="170">
        <f>IFERROR(__xludf.DUMMYFUNCTION("IFERROR(Q135 * (1 + AVERAGE(Filter('Inflation Data'!$C:$C,'Inflation Data'!$A:$A = R$1))) + 'Fund YTD Contributions'!R135,'Fund YTD Contributions'!R135)"),0.0)</f>
        <v>0</v>
      </c>
      <c r="S135" s="170">
        <f>IFERROR(__xludf.DUMMYFUNCTION("IFERROR(R135 * (1 + AVERAGE(Filter('Inflation Data'!$C:$C,'Inflation Data'!$A:$A = S$1))) + 'Fund YTD Contributions'!S135,'Fund YTD Contributions'!S135)"),0.0)</f>
        <v>0</v>
      </c>
      <c r="T135" s="170">
        <f>IFERROR(__xludf.DUMMYFUNCTION("IFERROR(S135 * (1 + AVERAGE(Filter('Inflation Data'!$C:$C,'Inflation Data'!$A:$A = T$1))) + 'Fund YTD Contributions'!T135,'Fund YTD Contributions'!T135)"),0.0)</f>
        <v>0</v>
      </c>
      <c r="U135" s="170">
        <f>IFERROR(__xludf.DUMMYFUNCTION("IFERROR(T135 * (1 + AVERAGE(Filter('Inflation Data'!$C:$C,'Inflation Data'!$A:$A = U$1))) + 'Fund YTD Contributions'!U135,'Fund YTD Contributions'!U135)"),0.0)</f>
        <v>0</v>
      </c>
      <c r="V135" s="170">
        <f>IFERROR(__xludf.DUMMYFUNCTION("IFERROR(U135 * (1 + AVERAGE(Filter('Inflation Data'!$C:$C,'Inflation Data'!$A:$A = V$1))) + 'Fund YTD Contributions'!V135,'Fund YTD Contributions'!V135)"),0.0)</f>
        <v>0</v>
      </c>
      <c r="W135" s="170">
        <f>IFERROR(__xludf.DUMMYFUNCTION("IFERROR(V135 * (1 + AVERAGE(Filter('Inflation Data'!$C:$C,'Inflation Data'!$A:$A = W$1))) + 'Fund YTD Contributions'!W135,'Fund YTD Contributions'!W135)"),0.0)</f>
        <v>0</v>
      </c>
      <c r="X135" s="170">
        <f>IFERROR(__xludf.DUMMYFUNCTION("IFERROR(W135 * (1 + AVERAGE(Filter('Inflation Data'!$C:$C,'Inflation Data'!$A:$A = X$1))) + 'Fund YTD Contributions'!X135,'Fund YTD Contributions'!X135)"),0.0)</f>
        <v>0</v>
      </c>
      <c r="Y135" s="170">
        <f>IFERROR(__xludf.DUMMYFUNCTION("IFERROR(X135 * (1 + AVERAGE(Filter('Inflation Data'!$C:$C,'Inflation Data'!$A:$A = Y$1))) + 'Fund YTD Contributions'!Y135,'Fund YTD Contributions'!Y135)"),0.0)</f>
        <v>0</v>
      </c>
      <c r="Z135" s="170">
        <f>IFERROR(__xludf.DUMMYFUNCTION("IFERROR(Y135 * (1 + AVERAGE(Filter('Inflation Data'!$C:$C,'Inflation Data'!$A:$A = Z$1))) + 'Fund YTD Contributions'!Z135,'Fund YTD Contributions'!Z135)"),0.0)</f>
        <v>0</v>
      </c>
      <c r="AA135" s="170"/>
      <c r="AB135" s="170"/>
      <c r="AC135" s="170"/>
      <c r="AD135" s="170"/>
      <c r="AE135" s="170"/>
      <c r="AF135" s="170"/>
    </row>
    <row r="136">
      <c r="A136" s="145" t="str">
        <f>'Endowed Funds'!B:B</f>
        <v/>
      </c>
      <c r="B136" s="170">
        <f>IFERROR(__xludf.DUMMYFUNCTION("IFERROR(A136 * (1 + AVERAGE(Filter('Inflation Data'!$C:$C,'Inflation Data'!$A:$A = B$1))) + 'Fund YTD Contributions'!B136,'Fund YTD Contributions'!B136)"),0.0)</f>
        <v>0</v>
      </c>
      <c r="C136" s="170">
        <f>IFERROR(__xludf.DUMMYFUNCTION("IFERROR(B136 * (1 + AVERAGE(Filter('Inflation Data'!$C:$C,'Inflation Data'!$A:$A = C$1))) + 'Fund YTD Contributions'!C136,'Fund YTD Contributions'!C136)"),0.0)</f>
        <v>0</v>
      </c>
      <c r="D136" s="170">
        <f>IFERROR(__xludf.DUMMYFUNCTION("IFERROR(C136 * (1 + AVERAGE(Filter('Inflation Data'!$C:$C,'Inflation Data'!$A:$A = D$1))) + 'Fund YTD Contributions'!D136,'Fund YTD Contributions'!D136)"),0.0)</f>
        <v>0</v>
      </c>
      <c r="E136" s="170">
        <f>IFERROR(__xludf.DUMMYFUNCTION("IFERROR(D136 * (1 + AVERAGE(Filter('Inflation Data'!$C:$C,'Inflation Data'!$A:$A = E$1))) + 'Fund YTD Contributions'!E136,'Fund YTD Contributions'!E136)"),0.0)</f>
        <v>0</v>
      </c>
      <c r="F136" s="170">
        <f>IFERROR(__xludf.DUMMYFUNCTION("IFERROR(E136 * (1 + AVERAGE(Filter('Inflation Data'!$C:$C,'Inflation Data'!$A:$A = F$1))) + 'Fund YTD Contributions'!F136,'Fund YTD Contributions'!F136)"),0.0)</f>
        <v>0</v>
      </c>
      <c r="G136" s="170">
        <f>IFERROR(__xludf.DUMMYFUNCTION("IFERROR(F136 * (1 + AVERAGE(Filter('Inflation Data'!$C:$C,'Inflation Data'!$A:$A = G$1))) + 'Fund YTD Contributions'!G136,'Fund YTD Contributions'!G136)"),0.0)</f>
        <v>0</v>
      </c>
      <c r="H136" s="170">
        <f>IFERROR(__xludf.DUMMYFUNCTION("IFERROR(G136 * (1 + AVERAGE(Filter('Inflation Data'!$C:$C,'Inflation Data'!$A:$A = H$1))) + 'Fund YTD Contributions'!H136,'Fund YTD Contributions'!H136)"),0.0)</f>
        <v>0</v>
      </c>
      <c r="I136" s="170">
        <f>IFERROR(__xludf.DUMMYFUNCTION("IFERROR(H136 * (1 + AVERAGE(Filter('Inflation Data'!$C:$C,'Inflation Data'!$A:$A = I$1))) + 'Fund YTD Contributions'!I136,'Fund YTD Contributions'!I136)"),0.0)</f>
        <v>0</v>
      </c>
      <c r="J136" s="170">
        <f>IFERROR(__xludf.DUMMYFUNCTION("IFERROR(I136 * (1 + AVERAGE(Filter('Inflation Data'!$C:$C,'Inflation Data'!$A:$A = J$1))) + 'Fund YTD Contributions'!J136,'Fund YTD Contributions'!J136)"),0.0)</f>
        <v>0</v>
      </c>
      <c r="K136" s="170">
        <f>IFERROR(__xludf.DUMMYFUNCTION("IFERROR(J136 * (1 + AVERAGE(Filter('Inflation Data'!$C:$C,'Inflation Data'!$A:$A = K$1))) + 'Fund YTD Contributions'!K136,'Fund YTD Contributions'!K136)"),0.0)</f>
        <v>0</v>
      </c>
      <c r="L136" s="170">
        <f>IFERROR(__xludf.DUMMYFUNCTION("IFERROR(K136 * (1 + AVERAGE(Filter('Inflation Data'!$C:$C,'Inflation Data'!$A:$A = L$1))) + 'Fund YTD Contributions'!L136,'Fund YTD Contributions'!L136)"),0.0)</f>
        <v>0</v>
      </c>
      <c r="M136" s="170">
        <f>IFERROR(__xludf.DUMMYFUNCTION("IFERROR(L136 * (1 + AVERAGE(Filter('Inflation Data'!$C:$C,'Inflation Data'!$A:$A = M$1))) + 'Fund YTD Contributions'!M136,'Fund YTD Contributions'!M136)"),0.0)</f>
        <v>0</v>
      </c>
      <c r="N136" s="170">
        <f>IFERROR(__xludf.DUMMYFUNCTION("IFERROR(M136 * (1 + AVERAGE(Filter('Inflation Data'!$C:$C,'Inflation Data'!$A:$A = N$1))) + 'Fund YTD Contributions'!N136,'Fund YTD Contributions'!N136)"),0.0)</f>
        <v>0</v>
      </c>
      <c r="O136" s="170">
        <f>IFERROR(__xludf.DUMMYFUNCTION("IFERROR(N136 * (1 + AVERAGE(Filter('Inflation Data'!$C:$C,'Inflation Data'!$A:$A = O$1))) + 'Fund YTD Contributions'!O136,'Fund YTD Contributions'!O136)"),0.0)</f>
        <v>0</v>
      </c>
      <c r="P136" s="170">
        <f>IFERROR(__xludf.DUMMYFUNCTION("IFERROR(O136 * (1 + AVERAGE(Filter('Inflation Data'!$C:$C,'Inflation Data'!$A:$A = P$1))) + 'Fund YTD Contributions'!P136,'Fund YTD Contributions'!P136)"),0.0)</f>
        <v>0</v>
      </c>
      <c r="Q136" s="170">
        <f>IFERROR(__xludf.DUMMYFUNCTION("IFERROR(P136 * (1 + AVERAGE(Filter('Inflation Data'!$C:$C,'Inflation Data'!$A:$A = Q$1))) + 'Fund YTD Contributions'!Q136,'Fund YTD Contributions'!Q136)"),0.0)</f>
        <v>0</v>
      </c>
      <c r="R136" s="170">
        <f>IFERROR(__xludf.DUMMYFUNCTION("IFERROR(Q136 * (1 + AVERAGE(Filter('Inflation Data'!$C:$C,'Inflation Data'!$A:$A = R$1))) + 'Fund YTD Contributions'!R136,'Fund YTD Contributions'!R136)"),0.0)</f>
        <v>0</v>
      </c>
      <c r="S136" s="170">
        <f>IFERROR(__xludf.DUMMYFUNCTION("IFERROR(R136 * (1 + AVERAGE(Filter('Inflation Data'!$C:$C,'Inflation Data'!$A:$A = S$1))) + 'Fund YTD Contributions'!S136,'Fund YTD Contributions'!S136)"),0.0)</f>
        <v>0</v>
      </c>
      <c r="T136" s="170">
        <f>IFERROR(__xludf.DUMMYFUNCTION("IFERROR(S136 * (1 + AVERAGE(Filter('Inflation Data'!$C:$C,'Inflation Data'!$A:$A = T$1))) + 'Fund YTD Contributions'!T136,'Fund YTD Contributions'!T136)"),0.0)</f>
        <v>0</v>
      </c>
      <c r="U136" s="170">
        <f>IFERROR(__xludf.DUMMYFUNCTION("IFERROR(T136 * (1 + AVERAGE(Filter('Inflation Data'!$C:$C,'Inflation Data'!$A:$A = U$1))) + 'Fund YTD Contributions'!U136,'Fund YTD Contributions'!U136)"),0.0)</f>
        <v>0</v>
      </c>
      <c r="V136" s="170">
        <f>IFERROR(__xludf.DUMMYFUNCTION("IFERROR(U136 * (1 + AVERAGE(Filter('Inflation Data'!$C:$C,'Inflation Data'!$A:$A = V$1))) + 'Fund YTD Contributions'!V136,'Fund YTD Contributions'!V136)"),0.0)</f>
        <v>0</v>
      </c>
      <c r="W136" s="170">
        <f>IFERROR(__xludf.DUMMYFUNCTION("IFERROR(V136 * (1 + AVERAGE(Filter('Inflation Data'!$C:$C,'Inflation Data'!$A:$A = W$1))) + 'Fund YTD Contributions'!W136,'Fund YTD Contributions'!W136)"),0.0)</f>
        <v>0</v>
      </c>
      <c r="X136" s="170">
        <f>IFERROR(__xludf.DUMMYFUNCTION("IFERROR(W136 * (1 + AVERAGE(Filter('Inflation Data'!$C:$C,'Inflation Data'!$A:$A = X$1))) + 'Fund YTD Contributions'!X136,'Fund YTD Contributions'!X136)"),0.0)</f>
        <v>0</v>
      </c>
      <c r="Y136" s="170">
        <f>IFERROR(__xludf.DUMMYFUNCTION("IFERROR(X136 * (1 + AVERAGE(Filter('Inflation Data'!$C:$C,'Inflation Data'!$A:$A = Y$1))) + 'Fund YTD Contributions'!Y136,'Fund YTD Contributions'!Y136)"),0.0)</f>
        <v>0</v>
      </c>
      <c r="Z136" s="170">
        <f>IFERROR(__xludf.DUMMYFUNCTION("IFERROR(Y136 * (1 + AVERAGE(Filter('Inflation Data'!$C:$C,'Inflation Data'!$A:$A = Z$1))) + 'Fund YTD Contributions'!Z136,'Fund YTD Contributions'!Z136)"),0.0)</f>
        <v>0</v>
      </c>
      <c r="AA136" s="170"/>
      <c r="AB136" s="170"/>
      <c r="AC136" s="170"/>
      <c r="AD136" s="170"/>
      <c r="AE136" s="170"/>
      <c r="AF136" s="170"/>
    </row>
    <row r="137">
      <c r="A137" s="145" t="str">
        <f>'Endowed Funds'!B:B</f>
        <v/>
      </c>
      <c r="B137" s="170">
        <f>IFERROR(__xludf.DUMMYFUNCTION("IFERROR(A137 * (1 + AVERAGE(Filter('Inflation Data'!$C:$C,'Inflation Data'!$A:$A = B$1))) + 'Fund YTD Contributions'!B137,'Fund YTD Contributions'!B137)"),0.0)</f>
        <v>0</v>
      </c>
      <c r="C137" s="170">
        <f>IFERROR(__xludf.DUMMYFUNCTION("IFERROR(B137 * (1 + AVERAGE(Filter('Inflation Data'!$C:$C,'Inflation Data'!$A:$A = C$1))) + 'Fund YTD Contributions'!C137,'Fund YTD Contributions'!C137)"),0.0)</f>
        <v>0</v>
      </c>
      <c r="D137" s="170">
        <f>IFERROR(__xludf.DUMMYFUNCTION("IFERROR(C137 * (1 + AVERAGE(Filter('Inflation Data'!$C:$C,'Inflation Data'!$A:$A = D$1))) + 'Fund YTD Contributions'!D137,'Fund YTD Contributions'!D137)"),0.0)</f>
        <v>0</v>
      </c>
      <c r="E137" s="170">
        <f>IFERROR(__xludf.DUMMYFUNCTION("IFERROR(D137 * (1 + AVERAGE(Filter('Inflation Data'!$C:$C,'Inflation Data'!$A:$A = E$1))) + 'Fund YTD Contributions'!E137,'Fund YTD Contributions'!E137)"),0.0)</f>
        <v>0</v>
      </c>
      <c r="F137" s="170">
        <f>IFERROR(__xludf.DUMMYFUNCTION("IFERROR(E137 * (1 + AVERAGE(Filter('Inflation Data'!$C:$C,'Inflation Data'!$A:$A = F$1))) + 'Fund YTD Contributions'!F137,'Fund YTD Contributions'!F137)"),0.0)</f>
        <v>0</v>
      </c>
      <c r="G137" s="170">
        <f>IFERROR(__xludf.DUMMYFUNCTION("IFERROR(F137 * (1 + AVERAGE(Filter('Inflation Data'!$C:$C,'Inflation Data'!$A:$A = G$1))) + 'Fund YTD Contributions'!G137,'Fund YTD Contributions'!G137)"),0.0)</f>
        <v>0</v>
      </c>
      <c r="H137" s="170">
        <f>IFERROR(__xludf.DUMMYFUNCTION("IFERROR(G137 * (1 + AVERAGE(Filter('Inflation Data'!$C:$C,'Inflation Data'!$A:$A = H$1))) + 'Fund YTD Contributions'!H137,'Fund YTD Contributions'!H137)"),0.0)</f>
        <v>0</v>
      </c>
      <c r="I137" s="170">
        <f>IFERROR(__xludf.DUMMYFUNCTION("IFERROR(H137 * (1 + AVERAGE(Filter('Inflation Data'!$C:$C,'Inflation Data'!$A:$A = I$1))) + 'Fund YTD Contributions'!I137,'Fund YTD Contributions'!I137)"),0.0)</f>
        <v>0</v>
      </c>
      <c r="J137" s="170">
        <f>IFERROR(__xludf.DUMMYFUNCTION("IFERROR(I137 * (1 + AVERAGE(Filter('Inflation Data'!$C:$C,'Inflation Data'!$A:$A = J$1))) + 'Fund YTD Contributions'!J137,'Fund YTD Contributions'!J137)"),0.0)</f>
        <v>0</v>
      </c>
      <c r="K137" s="170">
        <f>IFERROR(__xludf.DUMMYFUNCTION("IFERROR(J137 * (1 + AVERAGE(Filter('Inflation Data'!$C:$C,'Inflation Data'!$A:$A = K$1))) + 'Fund YTD Contributions'!K137,'Fund YTD Contributions'!K137)"),0.0)</f>
        <v>0</v>
      </c>
      <c r="L137" s="170">
        <f>IFERROR(__xludf.DUMMYFUNCTION("IFERROR(K137 * (1 + AVERAGE(Filter('Inflation Data'!$C:$C,'Inflation Data'!$A:$A = L$1))) + 'Fund YTD Contributions'!L137,'Fund YTD Contributions'!L137)"),0.0)</f>
        <v>0</v>
      </c>
      <c r="M137" s="170">
        <f>IFERROR(__xludf.DUMMYFUNCTION("IFERROR(L137 * (1 + AVERAGE(Filter('Inflation Data'!$C:$C,'Inflation Data'!$A:$A = M$1))) + 'Fund YTD Contributions'!M137,'Fund YTD Contributions'!M137)"),0.0)</f>
        <v>0</v>
      </c>
      <c r="N137" s="170">
        <f>IFERROR(__xludf.DUMMYFUNCTION("IFERROR(M137 * (1 + AVERAGE(Filter('Inflation Data'!$C:$C,'Inflation Data'!$A:$A = N$1))) + 'Fund YTD Contributions'!N137,'Fund YTD Contributions'!N137)"),0.0)</f>
        <v>0</v>
      </c>
      <c r="O137" s="170">
        <f>IFERROR(__xludf.DUMMYFUNCTION("IFERROR(N137 * (1 + AVERAGE(Filter('Inflation Data'!$C:$C,'Inflation Data'!$A:$A = O$1))) + 'Fund YTD Contributions'!O137,'Fund YTD Contributions'!O137)"),0.0)</f>
        <v>0</v>
      </c>
      <c r="P137" s="170">
        <f>IFERROR(__xludf.DUMMYFUNCTION("IFERROR(O137 * (1 + AVERAGE(Filter('Inflation Data'!$C:$C,'Inflation Data'!$A:$A = P$1))) + 'Fund YTD Contributions'!P137,'Fund YTD Contributions'!P137)"),0.0)</f>
        <v>0</v>
      </c>
      <c r="Q137" s="170">
        <f>IFERROR(__xludf.DUMMYFUNCTION("IFERROR(P137 * (1 + AVERAGE(Filter('Inflation Data'!$C:$C,'Inflation Data'!$A:$A = Q$1))) + 'Fund YTD Contributions'!Q137,'Fund YTD Contributions'!Q137)"),0.0)</f>
        <v>0</v>
      </c>
      <c r="R137" s="170">
        <f>IFERROR(__xludf.DUMMYFUNCTION("IFERROR(Q137 * (1 + AVERAGE(Filter('Inflation Data'!$C:$C,'Inflation Data'!$A:$A = R$1))) + 'Fund YTD Contributions'!R137,'Fund YTD Contributions'!R137)"),0.0)</f>
        <v>0</v>
      </c>
      <c r="S137" s="170">
        <f>IFERROR(__xludf.DUMMYFUNCTION("IFERROR(R137 * (1 + AVERAGE(Filter('Inflation Data'!$C:$C,'Inflation Data'!$A:$A = S$1))) + 'Fund YTD Contributions'!S137,'Fund YTD Contributions'!S137)"),0.0)</f>
        <v>0</v>
      </c>
      <c r="T137" s="170">
        <f>IFERROR(__xludf.DUMMYFUNCTION("IFERROR(S137 * (1 + AVERAGE(Filter('Inflation Data'!$C:$C,'Inflation Data'!$A:$A = T$1))) + 'Fund YTD Contributions'!T137,'Fund YTD Contributions'!T137)"),0.0)</f>
        <v>0</v>
      </c>
      <c r="U137" s="170">
        <f>IFERROR(__xludf.DUMMYFUNCTION("IFERROR(T137 * (1 + AVERAGE(Filter('Inflation Data'!$C:$C,'Inflation Data'!$A:$A = U$1))) + 'Fund YTD Contributions'!U137,'Fund YTD Contributions'!U137)"),0.0)</f>
        <v>0</v>
      </c>
      <c r="V137" s="170">
        <f>IFERROR(__xludf.DUMMYFUNCTION("IFERROR(U137 * (1 + AVERAGE(Filter('Inflation Data'!$C:$C,'Inflation Data'!$A:$A = V$1))) + 'Fund YTD Contributions'!V137,'Fund YTD Contributions'!V137)"),0.0)</f>
        <v>0</v>
      </c>
      <c r="W137" s="170">
        <f>IFERROR(__xludf.DUMMYFUNCTION("IFERROR(V137 * (1 + AVERAGE(Filter('Inflation Data'!$C:$C,'Inflation Data'!$A:$A = W$1))) + 'Fund YTD Contributions'!W137,'Fund YTD Contributions'!W137)"),0.0)</f>
        <v>0</v>
      </c>
      <c r="X137" s="170">
        <f>IFERROR(__xludf.DUMMYFUNCTION("IFERROR(W137 * (1 + AVERAGE(Filter('Inflation Data'!$C:$C,'Inflation Data'!$A:$A = X$1))) + 'Fund YTD Contributions'!X137,'Fund YTD Contributions'!X137)"),0.0)</f>
        <v>0</v>
      </c>
      <c r="Y137" s="170">
        <f>IFERROR(__xludf.DUMMYFUNCTION("IFERROR(X137 * (1 + AVERAGE(Filter('Inflation Data'!$C:$C,'Inflation Data'!$A:$A = Y$1))) + 'Fund YTD Contributions'!Y137,'Fund YTD Contributions'!Y137)"),0.0)</f>
        <v>0</v>
      </c>
      <c r="Z137" s="170">
        <f>IFERROR(__xludf.DUMMYFUNCTION("IFERROR(Y137 * (1 + AVERAGE(Filter('Inflation Data'!$C:$C,'Inflation Data'!$A:$A = Z$1))) + 'Fund YTD Contributions'!Z137,'Fund YTD Contributions'!Z137)"),0.0)</f>
        <v>0</v>
      </c>
      <c r="AA137" s="170"/>
      <c r="AB137" s="170"/>
      <c r="AC137" s="170"/>
      <c r="AD137" s="170"/>
      <c r="AE137" s="170"/>
      <c r="AF137" s="170"/>
    </row>
    <row r="138">
      <c r="A138" s="145" t="str">
        <f>'Endowed Funds'!B:B</f>
        <v/>
      </c>
      <c r="B138" s="170">
        <f>IFERROR(__xludf.DUMMYFUNCTION("IFERROR(A138 * (1 + AVERAGE(Filter('Inflation Data'!$C:$C,'Inflation Data'!$A:$A = B$1))) + 'Fund YTD Contributions'!B138,'Fund YTD Contributions'!B138)"),0.0)</f>
        <v>0</v>
      </c>
      <c r="C138" s="170">
        <f>IFERROR(__xludf.DUMMYFUNCTION("IFERROR(B138 * (1 + AVERAGE(Filter('Inflation Data'!$C:$C,'Inflation Data'!$A:$A = C$1))) + 'Fund YTD Contributions'!C138,'Fund YTD Contributions'!C138)"),0.0)</f>
        <v>0</v>
      </c>
      <c r="D138" s="170">
        <f>IFERROR(__xludf.DUMMYFUNCTION("IFERROR(C138 * (1 + AVERAGE(Filter('Inflation Data'!$C:$C,'Inflation Data'!$A:$A = D$1))) + 'Fund YTD Contributions'!D138,'Fund YTD Contributions'!D138)"),0.0)</f>
        <v>0</v>
      </c>
      <c r="E138" s="170">
        <f>IFERROR(__xludf.DUMMYFUNCTION("IFERROR(D138 * (1 + AVERAGE(Filter('Inflation Data'!$C:$C,'Inflation Data'!$A:$A = E$1))) + 'Fund YTD Contributions'!E138,'Fund YTD Contributions'!E138)"),0.0)</f>
        <v>0</v>
      </c>
      <c r="F138" s="170">
        <f>IFERROR(__xludf.DUMMYFUNCTION("IFERROR(E138 * (1 + AVERAGE(Filter('Inflation Data'!$C:$C,'Inflation Data'!$A:$A = F$1))) + 'Fund YTD Contributions'!F138,'Fund YTD Contributions'!F138)"),0.0)</f>
        <v>0</v>
      </c>
      <c r="G138" s="170">
        <f>IFERROR(__xludf.DUMMYFUNCTION("IFERROR(F138 * (1 + AVERAGE(Filter('Inflation Data'!$C:$C,'Inflation Data'!$A:$A = G$1))) + 'Fund YTD Contributions'!G138,'Fund YTD Contributions'!G138)"),0.0)</f>
        <v>0</v>
      </c>
      <c r="H138" s="170">
        <f>IFERROR(__xludf.DUMMYFUNCTION("IFERROR(G138 * (1 + AVERAGE(Filter('Inflation Data'!$C:$C,'Inflation Data'!$A:$A = H$1))) + 'Fund YTD Contributions'!H138,'Fund YTD Contributions'!H138)"),0.0)</f>
        <v>0</v>
      </c>
      <c r="I138" s="170">
        <f>IFERROR(__xludf.DUMMYFUNCTION("IFERROR(H138 * (1 + AVERAGE(Filter('Inflation Data'!$C:$C,'Inflation Data'!$A:$A = I$1))) + 'Fund YTD Contributions'!I138,'Fund YTD Contributions'!I138)"),0.0)</f>
        <v>0</v>
      </c>
      <c r="J138" s="170">
        <f>IFERROR(__xludf.DUMMYFUNCTION("IFERROR(I138 * (1 + AVERAGE(Filter('Inflation Data'!$C:$C,'Inflation Data'!$A:$A = J$1))) + 'Fund YTD Contributions'!J138,'Fund YTD Contributions'!J138)"),0.0)</f>
        <v>0</v>
      </c>
      <c r="K138" s="170">
        <f>IFERROR(__xludf.DUMMYFUNCTION("IFERROR(J138 * (1 + AVERAGE(Filter('Inflation Data'!$C:$C,'Inflation Data'!$A:$A = K$1))) + 'Fund YTD Contributions'!K138,'Fund YTD Contributions'!K138)"),0.0)</f>
        <v>0</v>
      </c>
      <c r="L138" s="170">
        <f>IFERROR(__xludf.DUMMYFUNCTION("IFERROR(K138 * (1 + AVERAGE(Filter('Inflation Data'!$C:$C,'Inflation Data'!$A:$A = L$1))) + 'Fund YTD Contributions'!L138,'Fund YTD Contributions'!L138)"),0.0)</f>
        <v>0</v>
      </c>
      <c r="M138" s="170">
        <f>IFERROR(__xludf.DUMMYFUNCTION("IFERROR(L138 * (1 + AVERAGE(Filter('Inflation Data'!$C:$C,'Inflation Data'!$A:$A = M$1))) + 'Fund YTD Contributions'!M138,'Fund YTD Contributions'!M138)"),0.0)</f>
        <v>0</v>
      </c>
      <c r="N138" s="170">
        <f>IFERROR(__xludf.DUMMYFUNCTION("IFERROR(M138 * (1 + AVERAGE(Filter('Inflation Data'!$C:$C,'Inflation Data'!$A:$A = N$1))) + 'Fund YTD Contributions'!N138,'Fund YTD Contributions'!N138)"),0.0)</f>
        <v>0</v>
      </c>
      <c r="O138" s="170">
        <f>IFERROR(__xludf.DUMMYFUNCTION("IFERROR(N138 * (1 + AVERAGE(Filter('Inflation Data'!$C:$C,'Inflation Data'!$A:$A = O$1))) + 'Fund YTD Contributions'!O138,'Fund YTD Contributions'!O138)"),0.0)</f>
        <v>0</v>
      </c>
      <c r="P138" s="170">
        <f>IFERROR(__xludf.DUMMYFUNCTION("IFERROR(O138 * (1 + AVERAGE(Filter('Inflation Data'!$C:$C,'Inflation Data'!$A:$A = P$1))) + 'Fund YTD Contributions'!P138,'Fund YTD Contributions'!P138)"),0.0)</f>
        <v>0</v>
      </c>
      <c r="Q138" s="170">
        <f>IFERROR(__xludf.DUMMYFUNCTION("IFERROR(P138 * (1 + AVERAGE(Filter('Inflation Data'!$C:$C,'Inflation Data'!$A:$A = Q$1))) + 'Fund YTD Contributions'!Q138,'Fund YTD Contributions'!Q138)"),0.0)</f>
        <v>0</v>
      </c>
      <c r="R138" s="170">
        <f>IFERROR(__xludf.DUMMYFUNCTION("IFERROR(Q138 * (1 + AVERAGE(Filter('Inflation Data'!$C:$C,'Inflation Data'!$A:$A = R$1))) + 'Fund YTD Contributions'!R138,'Fund YTD Contributions'!R138)"),0.0)</f>
        <v>0</v>
      </c>
      <c r="S138" s="170">
        <f>IFERROR(__xludf.DUMMYFUNCTION("IFERROR(R138 * (1 + AVERAGE(Filter('Inflation Data'!$C:$C,'Inflation Data'!$A:$A = S$1))) + 'Fund YTD Contributions'!S138,'Fund YTD Contributions'!S138)"),0.0)</f>
        <v>0</v>
      </c>
      <c r="T138" s="170">
        <f>IFERROR(__xludf.DUMMYFUNCTION("IFERROR(S138 * (1 + AVERAGE(Filter('Inflation Data'!$C:$C,'Inflation Data'!$A:$A = T$1))) + 'Fund YTD Contributions'!T138,'Fund YTD Contributions'!T138)"),0.0)</f>
        <v>0</v>
      </c>
      <c r="U138" s="170">
        <f>IFERROR(__xludf.DUMMYFUNCTION("IFERROR(T138 * (1 + AVERAGE(Filter('Inflation Data'!$C:$C,'Inflation Data'!$A:$A = U$1))) + 'Fund YTD Contributions'!U138,'Fund YTD Contributions'!U138)"),0.0)</f>
        <v>0</v>
      </c>
      <c r="V138" s="170">
        <f>IFERROR(__xludf.DUMMYFUNCTION("IFERROR(U138 * (1 + AVERAGE(Filter('Inflation Data'!$C:$C,'Inflation Data'!$A:$A = V$1))) + 'Fund YTD Contributions'!V138,'Fund YTD Contributions'!V138)"),0.0)</f>
        <v>0</v>
      </c>
      <c r="W138" s="170">
        <f>IFERROR(__xludf.DUMMYFUNCTION("IFERROR(V138 * (1 + AVERAGE(Filter('Inflation Data'!$C:$C,'Inflation Data'!$A:$A = W$1))) + 'Fund YTD Contributions'!W138,'Fund YTD Contributions'!W138)"),0.0)</f>
        <v>0</v>
      </c>
      <c r="X138" s="170">
        <f>IFERROR(__xludf.DUMMYFUNCTION("IFERROR(W138 * (1 + AVERAGE(Filter('Inflation Data'!$C:$C,'Inflation Data'!$A:$A = X$1))) + 'Fund YTD Contributions'!X138,'Fund YTD Contributions'!X138)"),0.0)</f>
        <v>0</v>
      </c>
      <c r="Y138" s="170">
        <f>IFERROR(__xludf.DUMMYFUNCTION("IFERROR(X138 * (1 + AVERAGE(Filter('Inflation Data'!$C:$C,'Inflation Data'!$A:$A = Y$1))) + 'Fund YTD Contributions'!Y138,'Fund YTD Contributions'!Y138)"),0.0)</f>
        <v>0</v>
      </c>
      <c r="Z138" s="170">
        <f>IFERROR(__xludf.DUMMYFUNCTION("IFERROR(Y138 * (1 + AVERAGE(Filter('Inflation Data'!$C:$C,'Inflation Data'!$A:$A = Z$1))) + 'Fund YTD Contributions'!Z138,'Fund YTD Contributions'!Z138)"),0.0)</f>
        <v>0</v>
      </c>
      <c r="AA138" s="170"/>
      <c r="AB138" s="170"/>
      <c r="AC138" s="170"/>
      <c r="AD138" s="170"/>
      <c r="AE138" s="170"/>
      <c r="AF138" s="170"/>
    </row>
    <row r="139">
      <c r="A139" s="145" t="str">
        <f>'Endowed Funds'!B:B</f>
        <v/>
      </c>
      <c r="B139" s="170">
        <f>IFERROR(__xludf.DUMMYFUNCTION("IFERROR(A139 * (1 + AVERAGE(Filter('Inflation Data'!$C:$C,'Inflation Data'!$A:$A = B$1))) + 'Fund YTD Contributions'!B139,'Fund YTD Contributions'!B139)"),0.0)</f>
        <v>0</v>
      </c>
      <c r="C139" s="170">
        <f>IFERROR(__xludf.DUMMYFUNCTION("IFERROR(B139 * (1 + AVERAGE(Filter('Inflation Data'!$C:$C,'Inflation Data'!$A:$A = C$1))) + 'Fund YTD Contributions'!C139,'Fund YTD Contributions'!C139)"),0.0)</f>
        <v>0</v>
      </c>
      <c r="D139" s="170">
        <f>IFERROR(__xludf.DUMMYFUNCTION("IFERROR(C139 * (1 + AVERAGE(Filter('Inflation Data'!$C:$C,'Inflation Data'!$A:$A = D$1))) + 'Fund YTD Contributions'!D139,'Fund YTD Contributions'!D139)"),0.0)</f>
        <v>0</v>
      </c>
      <c r="E139" s="170">
        <f>IFERROR(__xludf.DUMMYFUNCTION("IFERROR(D139 * (1 + AVERAGE(Filter('Inflation Data'!$C:$C,'Inflation Data'!$A:$A = E$1))) + 'Fund YTD Contributions'!E139,'Fund YTD Contributions'!E139)"),0.0)</f>
        <v>0</v>
      </c>
      <c r="F139" s="170">
        <f>IFERROR(__xludf.DUMMYFUNCTION("IFERROR(E139 * (1 + AVERAGE(Filter('Inflation Data'!$C:$C,'Inflation Data'!$A:$A = F$1))) + 'Fund YTD Contributions'!F139,'Fund YTD Contributions'!F139)"),0.0)</f>
        <v>0</v>
      </c>
      <c r="G139" s="170">
        <f>IFERROR(__xludf.DUMMYFUNCTION("IFERROR(F139 * (1 + AVERAGE(Filter('Inflation Data'!$C:$C,'Inflation Data'!$A:$A = G$1))) + 'Fund YTD Contributions'!G139,'Fund YTD Contributions'!G139)"),0.0)</f>
        <v>0</v>
      </c>
      <c r="H139" s="170">
        <f>IFERROR(__xludf.DUMMYFUNCTION("IFERROR(G139 * (1 + AVERAGE(Filter('Inflation Data'!$C:$C,'Inflation Data'!$A:$A = H$1))) + 'Fund YTD Contributions'!H139,'Fund YTD Contributions'!H139)"),0.0)</f>
        <v>0</v>
      </c>
      <c r="I139" s="170">
        <f>IFERROR(__xludf.DUMMYFUNCTION("IFERROR(H139 * (1 + AVERAGE(Filter('Inflation Data'!$C:$C,'Inflation Data'!$A:$A = I$1))) + 'Fund YTD Contributions'!I139,'Fund YTD Contributions'!I139)"),0.0)</f>
        <v>0</v>
      </c>
      <c r="J139" s="170">
        <f>IFERROR(__xludf.DUMMYFUNCTION("IFERROR(I139 * (1 + AVERAGE(Filter('Inflation Data'!$C:$C,'Inflation Data'!$A:$A = J$1))) + 'Fund YTD Contributions'!J139,'Fund YTD Contributions'!J139)"),0.0)</f>
        <v>0</v>
      </c>
      <c r="K139" s="170">
        <f>IFERROR(__xludf.DUMMYFUNCTION("IFERROR(J139 * (1 + AVERAGE(Filter('Inflation Data'!$C:$C,'Inflation Data'!$A:$A = K$1))) + 'Fund YTD Contributions'!K139,'Fund YTD Contributions'!K139)"),0.0)</f>
        <v>0</v>
      </c>
      <c r="L139" s="170">
        <f>IFERROR(__xludf.DUMMYFUNCTION("IFERROR(K139 * (1 + AVERAGE(Filter('Inflation Data'!$C:$C,'Inflation Data'!$A:$A = L$1))) + 'Fund YTD Contributions'!L139,'Fund YTD Contributions'!L139)"),0.0)</f>
        <v>0</v>
      </c>
      <c r="M139" s="170">
        <f>IFERROR(__xludf.DUMMYFUNCTION("IFERROR(L139 * (1 + AVERAGE(Filter('Inflation Data'!$C:$C,'Inflation Data'!$A:$A = M$1))) + 'Fund YTD Contributions'!M139,'Fund YTD Contributions'!M139)"),0.0)</f>
        <v>0</v>
      </c>
      <c r="N139" s="170">
        <f>IFERROR(__xludf.DUMMYFUNCTION("IFERROR(M139 * (1 + AVERAGE(Filter('Inflation Data'!$C:$C,'Inflation Data'!$A:$A = N$1))) + 'Fund YTD Contributions'!N139,'Fund YTD Contributions'!N139)"),0.0)</f>
        <v>0</v>
      </c>
      <c r="O139" s="170">
        <f>IFERROR(__xludf.DUMMYFUNCTION("IFERROR(N139 * (1 + AVERAGE(Filter('Inflation Data'!$C:$C,'Inflation Data'!$A:$A = O$1))) + 'Fund YTD Contributions'!O139,'Fund YTD Contributions'!O139)"),0.0)</f>
        <v>0</v>
      </c>
      <c r="P139" s="170">
        <f>IFERROR(__xludf.DUMMYFUNCTION("IFERROR(O139 * (1 + AVERAGE(Filter('Inflation Data'!$C:$C,'Inflation Data'!$A:$A = P$1))) + 'Fund YTD Contributions'!P139,'Fund YTD Contributions'!P139)"),0.0)</f>
        <v>0</v>
      </c>
      <c r="Q139" s="170">
        <f>IFERROR(__xludf.DUMMYFUNCTION("IFERROR(P139 * (1 + AVERAGE(Filter('Inflation Data'!$C:$C,'Inflation Data'!$A:$A = Q$1))) + 'Fund YTD Contributions'!Q139,'Fund YTD Contributions'!Q139)"),0.0)</f>
        <v>0</v>
      </c>
      <c r="R139" s="170">
        <f>IFERROR(__xludf.DUMMYFUNCTION("IFERROR(Q139 * (1 + AVERAGE(Filter('Inflation Data'!$C:$C,'Inflation Data'!$A:$A = R$1))) + 'Fund YTD Contributions'!R139,'Fund YTD Contributions'!R139)"),0.0)</f>
        <v>0</v>
      </c>
      <c r="S139" s="170">
        <f>IFERROR(__xludf.DUMMYFUNCTION("IFERROR(R139 * (1 + AVERAGE(Filter('Inflation Data'!$C:$C,'Inflation Data'!$A:$A = S$1))) + 'Fund YTD Contributions'!S139,'Fund YTD Contributions'!S139)"),0.0)</f>
        <v>0</v>
      </c>
      <c r="T139" s="170">
        <f>IFERROR(__xludf.DUMMYFUNCTION("IFERROR(S139 * (1 + AVERAGE(Filter('Inflation Data'!$C:$C,'Inflation Data'!$A:$A = T$1))) + 'Fund YTD Contributions'!T139,'Fund YTD Contributions'!T139)"),0.0)</f>
        <v>0</v>
      </c>
      <c r="U139" s="170">
        <f>IFERROR(__xludf.DUMMYFUNCTION("IFERROR(T139 * (1 + AVERAGE(Filter('Inflation Data'!$C:$C,'Inflation Data'!$A:$A = U$1))) + 'Fund YTD Contributions'!U139,'Fund YTD Contributions'!U139)"),0.0)</f>
        <v>0</v>
      </c>
      <c r="V139" s="170">
        <f>IFERROR(__xludf.DUMMYFUNCTION("IFERROR(U139 * (1 + AVERAGE(Filter('Inflation Data'!$C:$C,'Inflation Data'!$A:$A = V$1))) + 'Fund YTD Contributions'!V139,'Fund YTD Contributions'!V139)"),0.0)</f>
        <v>0</v>
      </c>
      <c r="W139" s="170">
        <f>IFERROR(__xludf.DUMMYFUNCTION("IFERROR(V139 * (1 + AVERAGE(Filter('Inflation Data'!$C:$C,'Inflation Data'!$A:$A = W$1))) + 'Fund YTD Contributions'!W139,'Fund YTD Contributions'!W139)"),0.0)</f>
        <v>0</v>
      </c>
      <c r="X139" s="170">
        <f>IFERROR(__xludf.DUMMYFUNCTION("IFERROR(W139 * (1 + AVERAGE(Filter('Inflation Data'!$C:$C,'Inflation Data'!$A:$A = X$1))) + 'Fund YTD Contributions'!X139,'Fund YTD Contributions'!X139)"),0.0)</f>
        <v>0</v>
      </c>
      <c r="Y139" s="170">
        <f>IFERROR(__xludf.DUMMYFUNCTION("IFERROR(X139 * (1 + AVERAGE(Filter('Inflation Data'!$C:$C,'Inflation Data'!$A:$A = Y$1))) + 'Fund YTD Contributions'!Y139,'Fund YTD Contributions'!Y139)"),0.0)</f>
        <v>0</v>
      </c>
      <c r="Z139" s="170">
        <f>IFERROR(__xludf.DUMMYFUNCTION("IFERROR(Y139 * (1 + AVERAGE(Filter('Inflation Data'!$C:$C,'Inflation Data'!$A:$A = Z$1))) + 'Fund YTD Contributions'!Z139,'Fund YTD Contributions'!Z139)"),0.0)</f>
        <v>0</v>
      </c>
      <c r="AA139" s="170"/>
      <c r="AB139" s="170"/>
      <c r="AC139" s="170"/>
      <c r="AD139" s="170"/>
      <c r="AE139" s="170"/>
      <c r="AF139" s="170"/>
    </row>
    <row r="140">
      <c r="A140" s="145" t="str">
        <f>'Endowed Funds'!B:B</f>
        <v/>
      </c>
      <c r="B140" s="170">
        <f>IFERROR(__xludf.DUMMYFUNCTION("IFERROR(A140 * (1 + AVERAGE(Filter('Inflation Data'!$C:$C,'Inflation Data'!$A:$A = B$1))) + 'Fund YTD Contributions'!B140,'Fund YTD Contributions'!B140)"),0.0)</f>
        <v>0</v>
      </c>
      <c r="C140" s="170">
        <f>IFERROR(__xludf.DUMMYFUNCTION("IFERROR(B140 * (1 + AVERAGE(Filter('Inflation Data'!$C:$C,'Inflation Data'!$A:$A = C$1))) + 'Fund YTD Contributions'!C140,'Fund YTD Contributions'!C140)"),0.0)</f>
        <v>0</v>
      </c>
      <c r="D140" s="170">
        <f>IFERROR(__xludf.DUMMYFUNCTION("IFERROR(C140 * (1 + AVERAGE(Filter('Inflation Data'!$C:$C,'Inflation Data'!$A:$A = D$1))) + 'Fund YTD Contributions'!D140,'Fund YTD Contributions'!D140)"),0.0)</f>
        <v>0</v>
      </c>
      <c r="E140" s="170">
        <f>IFERROR(__xludf.DUMMYFUNCTION("IFERROR(D140 * (1 + AVERAGE(Filter('Inflation Data'!$C:$C,'Inflation Data'!$A:$A = E$1))) + 'Fund YTD Contributions'!E140,'Fund YTD Contributions'!E140)"),0.0)</f>
        <v>0</v>
      </c>
      <c r="F140" s="170">
        <f>IFERROR(__xludf.DUMMYFUNCTION("IFERROR(E140 * (1 + AVERAGE(Filter('Inflation Data'!$C:$C,'Inflation Data'!$A:$A = F$1))) + 'Fund YTD Contributions'!F140,'Fund YTD Contributions'!F140)"),0.0)</f>
        <v>0</v>
      </c>
      <c r="G140" s="170">
        <f>IFERROR(__xludf.DUMMYFUNCTION("IFERROR(F140 * (1 + AVERAGE(Filter('Inflation Data'!$C:$C,'Inflation Data'!$A:$A = G$1))) + 'Fund YTD Contributions'!G140,'Fund YTD Contributions'!G140)"),0.0)</f>
        <v>0</v>
      </c>
      <c r="H140" s="170">
        <f>IFERROR(__xludf.DUMMYFUNCTION("IFERROR(G140 * (1 + AVERAGE(Filter('Inflation Data'!$C:$C,'Inflation Data'!$A:$A = H$1))) + 'Fund YTD Contributions'!H140,'Fund YTD Contributions'!H140)"),0.0)</f>
        <v>0</v>
      </c>
      <c r="I140" s="170">
        <f>IFERROR(__xludf.DUMMYFUNCTION("IFERROR(H140 * (1 + AVERAGE(Filter('Inflation Data'!$C:$C,'Inflation Data'!$A:$A = I$1))) + 'Fund YTD Contributions'!I140,'Fund YTD Contributions'!I140)"),0.0)</f>
        <v>0</v>
      </c>
      <c r="J140" s="170">
        <f>IFERROR(__xludf.DUMMYFUNCTION("IFERROR(I140 * (1 + AVERAGE(Filter('Inflation Data'!$C:$C,'Inflation Data'!$A:$A = J$1))) + 'Fund YTD Contributions'!J140,'Fund YTD Contributions'!J140)"),0.0)</f>
        <v>0</v>
      </c>
      <c r="K140" s="170">
        <f>IFERROR(__xludf.DUMMYFUNCTION("IFERROR(J140 * (1 + AVERAGE(Filter('Inflation Data'!$C:$C,'Inflation Data'!$A:$A = K$1))) + 'Fund YTD Contributions'!K140,'Fund YTD Contributions'!K140)"),0.0)</f>
        <v>0</v>
      </c>
      <c r="L140" s="170">
        <f>IFERROR(__xludf.DUMMYFUNCTION("IFERROR(K140 * (1 + AVERAGE(Filter('Inflation Data'!$C:$C,'Inflation Data'!$A:$A = L$1))) + 'Fund YTD Contributions'!L140,'Fund YTD Contributions'!L140)"),0.0)</f>
        <v>0</v>
      </c>
      <c r="M140" s="170">
        <f>IFERROR(__xludf.DUMMYFUNCTION("IFERROR(L140 * (1 + AVERAGE(Filter('Inflation Data'!$C:$C,'Inflation Data'!$A:$A = M$1))) + 'Fund YTD Contributions'!M140,'Fund YTD Contributions'!M140)"),0.0)</f>
        <v>0</v>
      </c>
      <c r="N140" s="170">
        <f>IFERROR(__xludf.DUMMYFUNCTION("IFERROR(M140 * (1 + AVERAGE(Filter('Inflation Data'!$C:$C,'Inflation Data'!$A:$A = N$1))) + 'Fund YTD Contributions'!N140,'Fund YTD Contributions'!N140)"),0.0)</f>
        <v>0</v>
      </c>
      <c r="O140" s="170">
        <f>IFERROR(__xludf.DUMMYFUNCTION("IFERROR(N140 * (1 + AVERAGE(Filter('Inflation Data'!$C:$C,'Inflation Data'!$A:$A = O$1))) + 'Fund YTD Contributions'!O140,'Fund YTD Contributions'!O140)"),0.0)</f>
        <v>0</v>
      </c>
      <c r="P140" s="170">
        <f>IFERROR(__xludf.DUMMYFUNCTION("IFERROR(O140 * (1 + AVERAGE(Filter('Inflation Data'!$C:$C,'Inflation Data'!$A:$A = P$1))) + 'Fund YTD Contributions'!P140,'Fund YTD Contributions'!P140)"),0.0)</f>
        <v>0</v>
      </c>
      <c r="Q140" s="170">
        <f>IFERROR(__xludf.DUMMYFUNCTION("IFERROR(P140 * (1 + AVERAGE(Filter('Inflation Data'!$C:$C,'Inflation Data'!$A:$A = Q$1))) + 'Fund YTD Contributions'!Q140,'Fund YTD Contributions'!Q140)"),0.0)</f>
        <v>0</v>
      </c>
      <c r="R140" s="170">
        <f>IFERROR(__xludf.DUMMYFUNCTION("IFERROR(Q140 * (1 + AVERAGE(Filter('Inflation Data'!$C:$C,'Inflation Data'!$A:$A = R$1))) + 'Fund YTD Contributions'!R140,'Fund YTD Contributions'!R140)"),0.0)</f>
        <v>0</v>
      </c>
      <c r="S140" s="170">
        <f>IFERROR(__xludf.DUMMYFUNCTION("IFERROR(R140 * (1 + AVERAGE(Filter('Inflation Data'!$C:$C,'Inflation Data'!$A:$A = S$1))) + 'Fund YTD Contributions'!S140,'Fund YTD Contributions'!S140)"),0.0)</f>
        <v>0</v>
      </c>
      <c r="T140" s="170">
        <f>IFERROR(__xludf.DUMMYFUNCTION("IFERROR(S140 * (1 + AVERAGE(Filter('Inflation Data'!$C:$C,'Inflation Data'!$A:$A = T$1))) + 'Fund YTD Contributions'!T140,'Fund YTD Contributions'!T140)"),0.0)</f>
        <v>0</v>
      </c>
      <c r="U140" s="170">
        <f>IFERROR(__xludf.DUMMYFUNCTION("IFERROR(T140 * (1 + AVERAGE(Filter('Inflation Data'!$C:$C,'Inflation Data'!$A:$A = U$1))) + 'Fund YTD Contributions'!U140,'Fund YTD Contributions'!U140)"),0.0)</f>
        <v>0</v>
      </c>
      <c r="V140" s="170">
        <f>IFERROR(__xludf.DUMMYFUNCTION("IFERROR(U140 * (1 + AVERAGE(Filter('Inflation Data'!$C:$C,'Inflation Data'!$A:$A = V$1))) + 'Fund YTD Contributions'!V140,'Fund YTD Contributions'!V140)"),0.0)</f>
        <v>0</v>
      </c>
      <c r="W140" s="170">
        <f>IFERROR(__xludf.DUMMYFUNCTION("IFERROR(V140 * (1 + AVERAGE(Filter('Inflation Data'!$C:$C,'Inflation Data'!$A:$A = W$1))) + 'Fund YTD Contributions'!W140,'Fund YTD Contributions'!W140)"),0.0)</f>
        <v>0</v>
      </c>
      <c r="X140" s="170">
        <f>IFERROR(__xludf.DUMMYFUNCTION("IFERROR(W140 * (1 + AVERAGE(Filter('Inflation Data'!$C:$C,'Inflation Data'!$A:$A = X$1))) + 'Fund YTD Contributions'!X140,'Fund YTD Contributions'!X140)"),0.0)</f>
        <v>0</v>
      </c>
      <c r="Y140" s="170">
        <f>IFERROR(__xludf.DUMMYFUNCTION("IFERROR(X140 * (1 + AVERAGE(Filter('Inflation Data'!$C:$C,'Inflation Data'!$A:$A = Y$1))) + 'Fund YTD Contributions'!Y140,'Fund YTD Contributions'!Y140)"),0.0)</f>
        <v>0</v>
      </c>
      <c r="Z140" s="170">
        <f>IFERROR(__xludf.DUMMYFUNCTION("IFERROR(Y140 * (1 + AVERAGE(Filter('Inflation Data'!$C:$C,'Inflation Data'!$A:$A = Z$1))) + 'Fund YTD Contributions'!Z140,'Fund YTD Contributions'!Z140)"),0.0)</f>
        <v>0</v>
      </c>
      <c r="AA140" s="170"/>
      <c r="AB140" s="170"/>
      <c r="AC140" s="170"/>
      <c r="AD140" s="170"/>
      <c r="AE140" s="170"/>
      <c r="AF140" s="170"/>
    </row>
    <row r="141">
      <c r="A141" s="145" t="str">
        <f>'Endowed Funds'!B:B</f>
        <v/>
      </c>
      <c r="B141" s="170">
        <f>IFERROR(__xludf.DUMMYFUNCTION("IFERROR(A141 * (1 + AVERAGE(Filter('Inflation Data'!$C:$C,'Inflation Data'!$A:$A = B$1))) + 'Fund YTD Contributions'!B141,'Fund YTD Contributions'!B141)"),0.0)</f>
        <v>0</v>
      </c>
      <c r="C141" s="170">
        <f>IFERROR(__xludf.DUMMYFUNCTION("IFERROR(B141 * (1 + AVERAGE(Filter('Inflation Data'!$C:$C,'Inflation Data'!$A:$A = C$1))) + 'Fund YTD Contributions'!C141,'Fund YTD Contributions'!C141)"),0.0)</f>
        <v>0</v>
      </c>
      <c r="D141" s="170">
        <f>IFERROR(__xludf.DUMMYFUNCTION("IFERROR(C141 * (1 + AVERAGE(Filter('Inflation Data'!$C:$C,'Inflation Data'!$A:$A = D$1))) + 'Fund YTD Contributions'!D141,'Fund YTD Contributions'!D141)"),0.0)</f>
        <v>0</v>
      </c>
      <c r="E141" s="170">
        <f>IFERROR(__xludf.DUMMYFUNCTION("IFERROR(D141 * (1 + AVERAGE(Filter('Inflation Data'!$C:$C,'Inflation Data'!$A:$A = E$1))) + 'Fund YTD Contributions'!E141,'Fund YTD Contributions'!E141)"),0.0)</f>
        <v>0</v>
      </c>
      <c r="F141" s="170">
        <f>IFERROR(__xludf.DUMMYFUNCTION("IFERROR(E141 * (1 + AVERAGE(Filter('Inflation Data'!$C:$C,'Inflation Data'!$A:$A = F$1))) + 'Fund YTD Contributions'!F141,'Fund YTD Contributions'!F141)"),0.0)</f>
        <v>0</v>
      </c>
      <c r="G141" s="170">
        <f>IFERROR(__xludf.DUMMYFUNCTION("IFERROR(F141 * (1 + AVERAGE(Filter('Inflation Data'!$C:$C,'Inflation Data'!$A:$A = G$1))) + 'Fund YTD Contributions'!G141,'Fund YTD Contributions'!G141)"),0.0)</f>
        <v>0</v>
      </c>
      <c r="H141" s="170">
        <f>IFERROR(__xludf.DUMMYFUNCTION("IFERROR(G141 * (1 + AVERAGE(Filter('Inflation Data'!$C:$C,'Inflation Data'!$A:$A = H$1))) + 'Fund YTD Contributions'!H141,'Fund YTD Contributions'!H141)"),0.0)</f>
        <v>0</v>
      </c>
      <c r="I141" s="170">
        <f>IFERROR(__xludf.DUMMYFUNCTION("IFERROR(H141 * (1 + AVERAGE(Filter('Inflation Data'!$C:$C,'Inflation Data'!$A:$A = I$1))) + 'Fund YTD Contributions'!I141,'Fund YTD Contributions'!I141)"),0.0)</f>
        <v>0</v>
      </c>
      <c r="J141" s="170">
        <f>IFERROR(__xludf.DUMMYFUNCTION("IFERROR(I141 * (1 + AVERAGE(Filter('Inflation Data'!$C:$C,'Inflation Data'!$A:$A = J$1))) + 'Fund YTD Contributions'!J141,'Fund YTD Contributions'!J141)"),0.0)</f>
        <v>0</v>
      </c>
      <c r="K141" s="170">
        <f>IFERROR(__xludf.DUMMYFUNCTION("IFERROR(J141 * (1 + AVERAGE(Filter('Inflation Data'!$C:$C,'Inflation Data'!$A:$A = K$1))) + 'Fund YTD Contributions'!K141,'Fund YTD Contributions'!K141)"),0.0)</f>
        <v>0</v>
      </c>
      <c r="L141" s="170">
        <f>IFERROR(__xludf.DUMMYFUNCTION("IFERROR(K141 * (1 + AVERAGE(Filter('Inflation Data'!$C:$C,'Inflation Data'!$A:$A = L$1))) + 'Fund YTD Contributions'!L141,'Fund YTD Contributions'!L141)"),0.0)</f>
        <v>0</v>
      </c>
      <c r="M141" s="170">
        <f>IFERROR(__xludf.DUMMYFUNCTION("IFERROR(L141 * (1 + AVERAGE(Filter('Inflation Data'!$C:$C,'Inflation Data'!$A:$A = M$1))) + 'Fund YTD Contributions'!M141,'Fund YTD Contributions'!M141)"),0.0)</f>
        <v>0</v>
      </c>
      <c r="N141" s="170">
        <f>IFERROR(__xludf.DUMMYFUNCTION("IFERROR(M141 * (1 + AVERAGE(Filter('Inflation Data'!$C:$C,'Inflation Data'!$A:$A = N$1))) + 'Fund YTD Contributions'!N141,'Fund YTD Contributions'!N141)"),0.0)</f>
        <v>0</v>
      </c>
      <c r="O141" s="170">
        <f>IFERROR(__xludf.DUMMYFUNCTION("IFERROR(N141 * (1 + AVERAGE(Filter('Inflation Data'!$C:$C,'Inflation Data'!$A:$A = O$1))) + 'Fund YTD Contributions'!O141,'Fund YTD Contributions'!O141)"),0.0)</f>
        <v>0</v>
      </c>
      <c r="P141" s="170">
        <f>IFERROR(__xludf.DUMMYFUNCTION("IFERROR(O141 * (1 + AVERAGE(Filter('Inflation Data'!$C:$C,'Inflation Data'!$A:$A = P$1))) + 'Fund YTD Contributions'!P141,'Fund YTD Contributions'!P141)"),0.0)</f>
        <v>0</v>
      </c>
      <c r="Q141" s="170">
        <f>IFERROR(__xludf.DUMMYFUNCTION("IFERROR(P141 * (1 + AVERAGE(Filter('Inflation Data'!$C:$C,'Inflation Data'!$A:$A = Q$1))) + 'Fund YTD Contributions'!Q141,'Fund YTD Contributions'!Q141)"),0.0)</f>
        <v>0</v>
      </c>
      <c r="R141" s="170">
        <f>IFERROR(__xludf.DUMMYFUNCTION("IFERROR(Q141 * (1 + AVERAGE(Filter('Inflation Data'!$C:$C,'Inflation Data'!$A:$A = R$1))) + 'Fund YTD Contributions'!R141,'Fund YTD Contributions'!R141)"),0.0)</f>
        <v>0</v>
      </c>
      <c r="S141" s="170">
        <f>IFERROR(__xludf.DUMMYFUNCTION("IFERROR(R141 * (1 + AVERAGE(Filter('Inflation Data'!$C:$C,'Inflation Data'!$A:$A = S$1))) + 'Fund YTD Contributions'!S141,'Fund YTD Contributions'!S141)"),0.0)</f>
        <v>0</v>
      </c>
      <c r="T141" s="170">
        <f>IFERROR(__xludf.DUMMYFUNCTION("IFERROR(S141 * (1 + AVERAGE(Filter('Inflation Data'!$C:$C,'Inflation Data'!$A:$A = T$1))) + 'Fund YTD Contributions'!T141,'Fund YTD Contributions'!T141)"),0.0)</f>
        <v>0</v>
      </c>
      <c r="U141" s="170">
        <f>IFERROR(__xludf.DUMMYFUNCTION("IFERROR(T141 * (1 + AVERAGE(Filter('Inflation Data'!$C:$C,'Inflation Data'!$A:$A = U$1))) + 'Fund YTD Contributions'!U141,'Fund YTD Contributions'!U141)"),0.0)</f>
        <v>0</v>
      </c>
      <c r="V141" s="170">
        <f>IFERROR(__xludf.DUMMYFUNCTION("IFERROR(U141 * (1 + AVERAGE(Filter('Inflation Data'!$C:$C,'Inflation Data'!$A:$A = V$1))) + 'Fund YTD Contributions'!V141,'Fund YTD Contributions'!V141)"),0.0)</f>
        <v>0</v>
      </c>
      <c r="W141" s="170">
        <f>IFERROR(__xludf.DUMMYFUNCTION("IFERROR(V141 * (1 + AVERAGE(Filter('Inflation Data'!$C:$C,'Inflation Data'!$A:$A = W$1))) + 'Fund YTD Contributions'!W141,'Fund YTD Contributions'!W141)"),0.0)</f>
        <v>0</v>
      </c>
      <c r="X141" s="170">
        <f>IFERROR(__xludf.DUMMYFUNCTION("IFERROR(W141 * (1 + AVERAGE(Filter('Inflation Data'!$C:$C,'Inflation Data'!$A:$A = X$1))) + 'Fund YTD Contributions'!X141,'Fund YTD Contributions'!X141)"),0.0)</f>
        <v>0</v>
      </c>
      <c r="Y141" s="170">
        <f>IFERROR(__xludf.DUMMYFUNCTION("IFERROR(X141 * (1 + AVERAGE(Filter('Inflation Data'!$C:$C,'Inflation Data'!$A:$A = Y$1))) + 'Fund YTD Contributions'!Y141,'Fund YTD Contributions'!Y141)"),0.0)</f>
        <v>0</v>
      </c>
      <c r="Z141" s="170">
        <f>IFERROR(__xludf.DUMMYFUNCTION("IFERROR(Y141 * (1 + AVERAGE(Filter('Inflation Data'!$C:$C,'Inflation Data'!$A:$A = Z$1))) + 'Fund YTD Contributions'!Z141,'Fund YTD Contributions'!Z141)"),0.0)</f>
        <v>0</v>
      </c>
      <c r="AA141" s="170"/>
      <c r="AB141" s="170"/>
      <c r="AC141" s="170"/>
      <c r="AD141" s="170"/>
      <c r="AE141" s="170"/>
      <c r="AF141" s="170"/>
    </row>
    <row r="142">
      <c r="A142" s="145" t="str">
        <f>'Endowed Funds'!B:B</f>
        <v/>
      </c>
      <c r="B142" s="170">
        <f>IFERROR(__xludf.DUMMYFUNCTION("IFERROR(A142 * (1 + AVERAGE(Filter('Inflation Data'!$C:$C,'Inflation Data'!$A:$A = B$1))) + 'Fund YTD Contributions'!B142,'Fund YTD Contributions'!B142)"),0.0)</f>
        <v>0</v>
      </c>
      <c r="C142" s="170">
        <f>IFERROR(__xludf.DUMMYFUNCTION("IFERROR(B142 * (1 + AVERAGE(Filter('Inflation Data'!$C:$C,'Inflation Data'!$A:$A = C$1))) + 'Fund YTD Contributions'!C142,'Fund YTD Contributions'!C142)"),0.0)</f>
        <v>0</v>
      </c>
      <c r="D142" s="170">
        <f>IFERROR(__xludf.DUMMYFUNCTION("IFERROR(C142 * (1 + AVERAGE(Filter('Inflation Data'!$C:$C,'Inflation Data'!$A:$A = D$1))) + 'Fund YTD Contributions'!D142,'Fund YTD Contributions'!D142)"),0.0)</f>
        <v>0</v>
      </c>
      <c r="E142" s="170">
        <f>IFERROR(__xludf.DUMMYFUNCTION("IFERROR(D142 * (1 + AVERAGE(Filter('Inflation Data'!$C:$C,'Inflation Data'!$A:$A = E$1))) + 'Fund YTD Contributions'!E142,'Fund YTD Contributions'!E142)"),0.0)</f>
        <v>0</v>
      </c>
      <c r="F142" s="170">
        <f>IFERROR(__xludf.DUMMYFUNCTION("IFERROR(E142 * (1 + AVERAGE(Filter('Inflation Data'!$C:$C,'Inflation Data'!$A:$A = F$1))) + 'Fund YTD Contributions'!F142,'Fund YTD Contributions'!F142)"),0.0)</f>
        <v>0</v>
      </c>
      <c r="G142" s="170">
        <f>IFERROR(__xludf.DUMMYFUNCTION("IFERROR(F142 * (1 + AVERAGE(Filter('Inflation Data'!$C:$C,'Inflation Data'!$A:$A = G$1))) + 'Fund YTD Contributions'!G142,'Fund YTD Contributions'!G142)"),0.0)</f>
        <v>0</v>
      </c>
      <c r="H142" s="170">
        <f>IFERROR(__xludf.DUMMYFUNCTION("IFERROR(G142 * (1 + AVERAGE(Filter('Inflation Data'!$C:$C,'Inflation Data'!$A:$A = H$1))) + 'Fund YTD Contributions'!H142,'Fund YTD Contributions'!H142)"),0.0)</f>
        <v>0</v>
      </c>
      <c r="I142" s="170">
        <f>IFERROR(__xludf.DUMMYFUNCTION("IFERROR(H142 * (1 + AVERAGE(Filter('Inflation Data'!$C:$C,'Inflation Data'!$A:$A = I$1))) + 'Fund YTD Contributions'!I142,'Fund YTD Contributions'!I142)"),0.0)</f>
        <v>0</v>
      </c>
      <c r="J142" s="170">
        <f>IFERROR(__xludf.DUMMYFUNCTION("IFERROR(I142 * (1 + AVERAGE(Filter('Inflation Data'!$C:$C,'Inflation Data'!$A:$A = J$1))) + 'Fund YTD Contributions'!J142,'Fund YTD Contributions'!J142)"),0.0)</f>
        <v>0</v>
      </c>
      <c r="K142" s="170">
        <f>IFERROR(__xludf.DUMMYFUNCTION("IFERROR(J142 * (1 + AVERAGE(Filter('Inflation Data'!$C:$C,'Inflation Data'!$A:$A = K$1))) + 'Fund YTD Contributions'!K142,'Fund YTD Contributions'!K142)"),0.0)</f>
        <v>0</v>
      </c>
      <c r="L142" s="170">
        <f>IFERROR(__xludf.DUMMYFUNCTION("IFERROR(K142 * (1 + AVERAGE(Filter('Inflation Data'!$C:$C,'Inflation Data'!$A:$A = L$1))) + 'Fund YTD Contributions'!L142,'Fund YTD Contributions'!L142)"),0.0)</f>
        <v>0</v>
      </c>
      <c r="M142" s="170">
        <f>IFERROR(__xludf.DUMMYFUNCTION("IFERROR(L142 * (1 + AVERAGE(Filter('Inflation Data'!$C:$C,'Inflation Data'!$A:$A = M$1))) + 'Fund YTD Contributions'!M142,'Fund YTD Contributions'!M142)"),0.0)</f>
        <v>0</v>
      </c>
      <c r="N142" s="170">
        <f>IFERROR(__xludf.DUMMYFUNCTION("IFERROR(M142 * (1 + AVERAGE(Filter('Inflation Data'!$C:$C,'Inflation Data'!$A:$A = N$1))) + 'Fund YTD Contributions'!N142,'Fund YTD Contributions'!N142)"),0.0)</f>
        <v>0</v>
      </c>
      <c r="O142" s="170">
        <f>IFERROR(__xludf.DUMMYFUNCTION("IFERROR(N142 * (1 + AVERAGE(Filter('Inflation Data'!$C:$C,'Inflation Data'!$A:$A = O$1))) + 'Fund YTD Contributions'!O142,'Fund YTD Contributions'!O142)"),0.0)</f>
        <v>0</v>
      </c>
      <c r="P142" s="170">
        <f>IFERROR(__xludf.DUMMYFUNCTION("IFERROR(O142 * (1 + AVERAGE(Filter('Inflation Data'!$C:$C,'Inflation Data'!$A:$A = P$1))) + 'Fund YTD Contributions'!P142,'Fund YTD Contributions'!P142)"),0.0)</f>
        <v>0</v>
      </c>
      <c r="Q142" s="170">
        <f>IFERROR(__xludf.DUMMYFUNCTION("IFERROR(P142 * (1 + AVERAGE(Filter('Inflation Data'!$C:$C,'Inflation Data'!$A:$A = Q$1))) + 'Fund YTD Contributions'!Q142,'Fund YTD Contributions'!Q142)"),0.0)</f>
        <v>0</v>
      </c>
      <c r="R142" s="170">
        <f>IFERROR(__xludf.DUMMYFUNCTION("IFERROR(Q142 * (1 + AVERAGE(Filter('Inflation Data'!$C:$C,'Inflation Data'!$A:$A = R$1))) + 'Fund YTD Contributions'!R142,'Fund YTD Contributions'!R142)"),0.0)</f>
        <v>0</v>
      </c>
      <c r="S142" s="170">
        <f>IFERROR(__xludf.DUMMYFUNCTION("IFERROR(R142 * (1 + AVERAGE(Filter('Inflation Data'!$C:$C,'Inflation Data'!$A:$A = S$1))) + 'Fund YTD Contributions'!S142,'Fund YTD Contributions'!S142)"),0.0)</f>
        <v>0</v>
      </c>
      <c r="T142" s="170">
        <f>IFERROR(__xludf.DUMMYFUNCTION("IFERROR(S142 * (1 + AVERAGE(Filter('Inflation Data'!$C:$C,'Inflation Data'!$A:$A = T$1))) + 'Fund YTD Contributions'!T142,'Fund YTD Contributions'!T142)"),0.0)</f>
        <v>0</v>
      </c>
      <c r="U142" s="170">
        <f>IFERROR(__xludf.DUMMYFUNCTION("IFERROR(T142 * (1 + AVERAGE(Filter('Inflation Data'!$C:$C,'Inflation Data'!$A:$A = U$1))) + 'Fund YTD Contributions'!U142,'Fund YTD Contributions'!U142)"),0.0)</f>
        <v>0</v>
      </c>
      <c r="V142" s="170">
        <f>IFERROR(__xludf.DUMMYFUNCTION("IFERROR(U142 * (1 + AVERAGE(Filter('Inflation Data'!$C:$C,'Inflation Data'!$A:$A = V$1))) + 'Fund YTD Contributions'!V142,'Fund YTD Contributions'!V142)"),0.0)</f>
        <v>0</v>
      </c>
      <c r="W142" s="170">
        <f>IFERROR(__xludf.DUMMYFUNCTION("IFERROR(V142 * (1 + AVERAGE(Filter('Inflation Data'!$C:$C,'Inflation Data'!$A:$A = W$1))) + 'Fund YTD Contributions'!W142,'Fund YTD Contributions'!W142)"),0.0)</f>
        <v>0</v>
      </c>
      <c r="X142" s="170">
        <f>IFERROR(__xludf.DUMMYFUNCTION("IFERROR(W142 * (1 + AVERAGE(Filter('Inflation Data'!$C:$C,'Inflation Data'!$A:$A = X$1))) + 'Fund YTD Contributions'!X142,'Fund YTD Contributions'!X142)"),0.0)</f>
        <v>0</v>
      </c>
      <c r="Y142" s="170">
        <f>IFERROR(__xludf.DUMMYFUNCTION("IFERROR(X142 * (1 + AVERAGE(Filter('Inflation Data'!$C:$C,'Inflation Data'!$A:$A = Y$1))) + 'Fund YTD Contributions'!Y142,'Fund YTD Contributions'!Y142)"),0.0)</f>
        <v>0</v>
      </c>
      <c r="Z142" s="170">
        <f>IFERROR(__xludf.DUMMYFUNCTION("IFERROR(Y142 * (1 + AVERAGE(Filter('Inflation Data'!$C:$C,'Inflation Data'!$A:$A = Z$1))) + 'Fund YTD Contributions'!Z142,'Fund YTD Contributions'!Z142)"),0.0)</f>
        <v>0</v>
      </c>
      <c r="AA142" s="170"/>
      <c r="AB142" s="170"/>
      <c r="AC142" s="170"/>
      <c r="AD142" s="170"/>
      <c r="AE142" s="170"/>
      <c r="AF142" s="170"/>
    </row>
    <row r="143">
      <c r="A143" s="145" t="str">
        <f>'Endowed Funds'!B:B</f>
        <v/>
      </c>
      <c r="B143" s="170">
        <f>IFERROR(__xludf.DUMMYFUNCTION("IFERROR(A143 * (1 + AVERAGE(Filter('Inflation Data'!$C:$C,'Inflation Data'!$A:$A = B$1))) + 'Fund YTD Contributions'!B143,'Fund YTD Contributions'!B143)"),0.0)</f>
        <v>0</v>
      </c>
      <c r="C143" s="170">
        <f>IFERROR(__xludf.DUMMYFUNCTION("IFERROR(B143 * (1 + AVERAGE(Filter('Inflation Data'!$C:$C,'Inflation Data'!$A:$A = C$1))) + 'Fund YTD Contributions'!C143,'Fund YTD Contributions'!C143)"),0.0)</f>
        <v>0</v>
      </c>
      <c r="D143" s="170">
        <f>IFERROR(__xludf.DUMMYFUNCTION("IFERROR(C143 * (1 + AVERAGE(Filter('Inflation Data'!$C:$C,'Inflation Data'!$A:$A = D$1))) + 'Fund YTD Contributions'!D143,'Fund YTD Contributions'!D143)"),0.0)</f>
        <v>0</v>
      </c>
      <c r="E143" s="170">
        <f>IFERROR(__xludf.DUMMYFUNCTION("IFERROR(D143 * (1 + AVERAGE(Filter('Inflation Data'!$C:$C,'Inflation Data'!$A:$A = E$1))) + 'Fund YTD Contributions'!E143,'Fund YTD Contributions'!E143)"),0.0)</f>
        <v>0</v>
      </c>
      <c r="F143" s="170">
        <f>IFERROR(__xludf.DUMMYFUNCTION("IFERROR(E143 * (1 + AVERAGE(Filter('Inflation Data'!$C:$C,'Inflation Data'!$A:$A = F$1))) + 'Fund YTD Contributions'!F143,'Fund YTD Contributions'!F143)"),0.0)</f>
        <v>0</v>
      </c>
      <c r="G143" s="170">
        <f>IFERROR(__xludf.DUMMYFUNCTION("IFERROR(F143 * (1 + AVERAGE(Filter('Inflation Data'!$C:$C,'Inflation Data'!$A:$A = G$1))) + 'Fund YTD Contributions'!G143,'Fund YTD Contributions'!G143)"),0.0)</f>
        <v>0</v>
      </c>
      <c r="H143" s="170">
        <f>IFERROR(__xludf.DUMMYFUNCTION("IFERROR(G143 * (1 + AVERAGE(Filter('Inflation Data'!$C:$C,'Inflation Data'!$A:$A = H$1))) + 'Fund YTD Contributions'!H143,'Fund YTD Contributions'!H143)"),0.0)</f>
        <v>0</v>
      </c>
      <c r="I143" s="170">
        <f>IFERROR(__xludf.DUMMYFUNCTION("IFERROR(H143 * (1 + AVERAGE(Filter('Inflation Data'!$C:$C,'Inflation Data'!$A:$A = I$1))) + 'Fund YTD Contributions'!I143,'Fund YTD Contributions'!I143)"),0.0)</f>
        <v>0</v>
      </c>
      <c r="J143" s="170">
        <f>IFERROR(__xludf.DUMMYFUNCTION("IFERROR(I143 * (1 + AVERAGE(Filter('Inflation Data'!$C:$C,'Inflation Data'!$A:$A = J$1))) + 'Fund YTD Contributions'!J143,'Fund YTD Contributions'!J143)"),0.0)</f>
        <v>0</v>
      </c>
      <c r="K143" s="170">
        <f>IFERROR(__xludf.DUMMYFUNCTION("IFERROR(J143 * (1 + AVERAGE(Filter('Inflation Data'!$C:$C,'Inflation Data'!$A:$A = K$1))) + 'Fund YTD Contributions'!K143,'Fund YTD Contributions'!K143)"),0.0)</f>
        <v>0</v>
      </c>
      <c r="L143" s="170">
        <f>IFERROR(__xludf.DUMMYFUNCTION("IFERROR(K143 * (1 + AVERAGE(Filter('Inflation Data'!$C:$C,'Inflation Data'!$A:$A = L$1))) + 'Fund YTD Contributions'!L143,'Fund YTD Contributions'!L143)"),0.0)</f>
        <v>0</v>
      </c>
      <c r="M143" s="170">
        <f>IFERROR(__xludf.DUMMYFUNCTION("IFERROR(L143 * (1 + AVERAGE(Filter('Inflation Data'!$C:$C,'Inflation Data'!$A:$A = M$1))) + 'Fund YTD Contributions'!M143,'Fund YTD Contributions'!M143)"),0.0)</f>
        <v>0</v>
      </c>
      <c r="N143" s="170">
        <f>IFERROR(__xludf.DUMMYFUNCTION("IFERROR(M143 * (1 + AVERAGE(Filter('Inflation Data'!$C:$C,'Inflation Data'!$A:$A = N$1))) + 'Fund YTD Contributions'!N143,'Fund YTD Contributions'!N143)"),0.0)</f>
        <v>0</v>
      </c>
      <c r="O143" s="170">
        <f>IFERROR(__xludf.DUMMYFUNCTION("IFERROR(N143 * (1 + AVERAGE(Filter('Inflation Data'!$C:$C,'Inflation Data'!$A:$A = O$1))) + 'Fund YTD Contributions'!O143,'Fund YTD Contributions'!O143)"),0.0)</f>
        <v>0</v>
      </c>
      <c r="P143" s="170">
        <f>IFERROR(__xludf.DUMMYFUNCTION("IFERROR(O143 * (1 + AVERAGE(Filter('Inflation Data'!$C:$C,'Inflation Data'!$A:$A = P$1))) + 'Fund YTD Contributions'!P143,'Fund YTD Contributions'!P143)"),0.0)</f>
        <v>0</v>
      </c>
      <c r="Q143" s="170">
        <f>IFERROR(__xludf.DUMMYFUNCTION("IFERROR(P143 * (1 + AVERAGE(Filter('Inflation Data'!$C:$C,'Inflation Data'!$A:$A = Q$1))) + 'Fund YTD Contributions'!Q143,'Fund YTD Contributions'!Q143)"),0.0)</f>
        <v>0</v>
      </c>
      <c r="R143" s="170">
        <f>IFERROR(__xludf.DUMMYFUNCTION("IFERROR(Q143 * (1 + AVERAGE(Filter('Inflation Data'!$C:$C,'Inflation Data'!$A:$A = R$1))) + 'Fund YTD Contributions'!R143,'Fund YTD Contributions'!R143)"),0.0)</f>
        <v>0</v>
      </c>
      <c r="S143" s="170">
        <f>IFERROR(__xludf.DUMMYFUNCTION("IFERROR(R143 * (1 + AVERAGE(Filter('Inflation Data'!$C:$C,'Inflation Data'!$A:$A = S$1))) + 'Fund YTD Contributions'!S143,'Fund YTD Contributions'!S143)"),0.0)</f>
        <v>0</v>
      </c>
      <c r="T143" s="170">
        <f>IFERROR(__xludf.DUMMYFUNCTION("IFERROR(S143 * (1 + AVERAGE(Filter('Inflation Data'!$C:$C,'Inflation Data'!$A:$A = T$1))) + 'Fund YTD Contributions'!T143,'Fund YTD Contributions'!T143)"),0.0)</f>
        <v>0</v>
      </c>
      <c r="U143" s="170">
        <f>IFERROR(__xludf.DUMMYFUNCTION("IFERROR(T143 * (1 + AVERAGE(Filter('Inflation Data'!$C:$C,'Inflation Data'!$A:$A = U$1))) + 'Fund YTD Contributions'!U143,'Fund YTD Contributions'!U143)"),0.0)</f>
        <v>0</v>
      </c>
      <c r="V143" s="170">
        <f>IFERROR(__xludf.DUMMYFUNCTION("IFERROR(U143 * (1 + AVERAGE(Filter('Inflation Data'!$C:$C,'Inflation Data'!$A:$A = V$1))) + 'Fund YTD Contributions'!V143,'Fund YTD Contributions'!V143)"),0.0)</f>
        <v>0</v>
      </c>
      <c r="W143" s="170">
        <f>IFERROR(__xludf.DUMMYFUNCTION("IFERROR(V143 * (1 + AVERAGE(Filter('Inflation Data'!$C:$C,'Inflation Data'!$A:$A = W$1))) + 'Fund YTD Contributions'!W143,'Fund YTD Contributions'!W143)"),0.0)</f>
        <v>0</v>
      </c>
      <c r="X143" s="170">
        <f>IFERROR(__xludf.DUMMYFUNCTION("IFERROR(W143 * (1 + AVERAGE(Filter('Inflation Data'!$C:$C,'Inflation Data'!$A:$A = X$1))) + 'Fund YTD Contributions'!X143,'Fund YTD Contributions'!X143)"),0.0)</f>
        <v>0</v>
      </c>
      <c r="Y143" s="170">
        <f>IFERROR(__xludf.DUMMYFUNCTION("IFERROR(X143 * (1 + AVERAGE(Filter('Inflation Data'!$C:$C,'Inflation Data'!$A:$A = Y$1))) + 'Fund YTD Contributions'!Y143,'Fund YTD Contributions'!Y143)"),0.0)</f>
        <v>0</v>
      </c>
      <c r="Z143" s="170">
        <f>IFERROR(__xludf.DUMMYFUNCTION("IFERROR(Y143 * (1 + AVERAGE(Filter('Inflation Data'!$C:$C,'Inflation Data'!$A:$A = Z$1))) + 'Fund YTD Contributions'!Z143,'Fund YTD Contributions'!Z143)"),0.0)</f>
        <v>0</v>
      </c>
      <c r="AA143" s="170"/>
      <c r="AB143" s="170"/>
      <c r="AC143" s="170"/>
      <c r="AD143" s="170"/>
      <c r="AE143" s="170"/>
      <c r="AF143" s="170"/>
    </row>
    <row r="144">
      <c r="A144" s="145" t="str">
        <f>'Endowed Funds'!B:B</f>
        <v/>
      </c>
      <c r="B144" s="170">
        <f>IFERROR(__xludf.DUMMYFUNCTION("IFERROR(A144 * (1 + AVERAGE(Filter('Inflation Data'!$C:$C,'Inflation Data'!$A:$A = B$1))) + 'Fund YTD Contributions'!B144,'Fund YTD Contributions'!B144)"),0.0)</f>
        <v>0</v>
      </c>
      <c r="C144" s="170">
        <f>IFERROR(__xludf.DUMMYFUNCTION("IFERROR(B144 * (1 + AVERAGE(Filter('Inflation Data'!$C:$C,'Inflation Data'!$A:$A = C$1))) + 'Fund YTD Contributions'!C144,'Fund YTD Contributions'!C144)"),0.0)</f>
        <v>0</v>
      </c>
      <c r="D144" s="170">
        <f>IFERROR(__xludf.DUMMYFUNCTION("IFERROR(C144 * (1 + AVERAGE(Filter('Inflation Data'!$C:$C,'Inflation Data'!$A:$A = D$1))) + 'Fund YTD Contributions'!D144,'Fund YTD Contributions'!D144)"),0.0)</f>
        <v>0</v>
      </c>
      <c r="E144" s="170">
        <f>IFERROR(__xludf.DUMMYFUNCTION("IFERROR(D144 * (1 + AVERAGE(Filter('Inflation Data'!$C:$C,'Inflation Data'!$A:$A = E$1))) + 'Fund YTD Contributions'!E144,'Fund YTD Contributions'!E144)"),0.0)</f>
        <v>0</v>
      </c>
      <c r="F144" s="170">
        <f>IFERROR(__xludf.DUMMYFUNCTION("IFERROR(E144 * (1 + AVERAGE(Filter('Inflation Data'!$C:$C,'Inflation Data'!$A:$A = F$1))) + 'Fund YTD Contributions'!F144,'Fund YTD Contributions'!F144)"),0.0)</f>
        <v>0</v>
      </c>
      <c r="G144" s="170">
        <f>IFERROR(__xludf.DUMMYFUNCTION("IFERROR(F144 * (1 + AVERAGE(Filter('Inflation Data'!$C:$C,'Inflation Data'!$A:$A = G$1))) + 'Fund YTD Contributions'!G144,'Fund YTD Contributions'!G144)"),0.0)</f>
        <v>0</v>
      </c>
      <c r="H144" s="170">
        <f>IFERROR(__xludf.DUMMYFUNCTION("IFERROR(G144 * (1 + AVERAGE(Filter('Inflation Data'!$C:$C,'Inflation Data'!$A:$A = H$1))) + 'Fund YTD Contributions'!H144,'Fund YTD Contributions'!H144)"),0.0)</f>
        <v>0</v>
      </c>
      <c r="I144" s="170">
        <f>IFERROR(__xludf.DUMMYFUNCTION("IFERROR(H144 * (1 + AVERAGE(Filter('Inflation Data'!$C:$C,'Inflation Data'!$A:$A = I$1))) + 'Fund YTD Contributions'!I144,'Fund YTD Contributions'!I144)"),0.0)</f>
        <v>0</v>
      </c>
      <c r="J144" s="170">
        <f>IFERROR(__xludf.DUMMYFUNCTION("IFERROR(I144 * (1 + AVERAGE(Filter('Inflation Data'!$C:$C,'Inflation Data'!$A:$A = J$1))) + 'Fund YTD Contributions'!J144,'Fund YTD Contributions'!J144)"),0.0)</f>
        <v>0</v>
      </c>
      <c r="K144" s="170">
        <f>IFERROR(__xludf.DUMMYFUNCTION("IFERROR(J144 * (1 + AVERAGE(Filter('Inflation Data'!$C:$C,'Inflation Data'!$A:$A = K$1))) + 'Fund YTD Contributions'!K144,'Fund YTD Contributions'!K144)"),0.0)</f>
        <v>0</v>
      </c>
      <c r="L144" s="170">
        <f>IFERROR(__xludf.DUMMYFUNCTION("IFERROR(K144 * (1 + AVERAGE(Filter('Inflation Data'!$C:$C,'Inflation Data'!$A:$A = L$1))) + 'Fund YTD Contributions'!L144,'Fund YTD Contributions'!L144)"),0.0)</f>
        <v>0</v>
      </c>
      <c r="M144" s="170">
        <f>IFERROR(__xludf.DUMMYFUNCTION("IFERROR(L144 * (1 + AVERAGE(Filter('Inflation Data'!$C:$C,'Inflation Data'!$A:$A = M$1))) + 'Fund YTD Contributions'!M144,'Fund YTD Contributions'!M144)"),0.0)</f>
        <v>0</v>
      </c>
      <c r="N144" s="170">
        <f>IFERROR(__xludf.DUMMYFUNCTION("IFERROR(M144 * (1 + AVERAGE(Filter('Inflation Data'!$C:$C,'Inflation Data'!$A:$A = N$1))) + 'Fund YTD Contributions'!N144,'Fund YTD Contributions'!N144)"),0.0)</f>
        <v>0</v>
      </c>
      <c r="O144" s="170">
        <f>IFERROR(__xludf.DUMMYFUNCTION("IFERROR(N144 * (1 + AVERAGE(Filter('Inflation Data'!$C:$C,'Inflation Data'!$A:$A = O$1))) + 'Fund YTD Contributions'!O144,'Fund YTD Contributions'!O144)"),0.0)</f>
        <v>0</v>
      </c>
      <c r="P144" s="170">
        <f>IFERROR(__xludf.DUMMYFUNCTION("IFERROR(O144 * (1 + AVERAGE(Filter('Inflation Data'!$C:$C,'Inflation Data'!$A:$A = P$1))) + 'Fund YTD Contributions'!P144,'Fund YTD Contributions'!P144)"),0.0)</f>
        <v>0</v>
      </c>
      <c r="Q144" s="170">
        <f>IFERROR(__xludf.DUMMYFUNCTION("IFERROR(P144 * (1 + AVERAGE(Filter('Inflation Data'!$C:$C,'Inflation Data'!$A:$A = Q$1))) + 'Fund YTD Contributions'!Q144,'Fund YTD Contributions'!Q144)"),0.0)</f>
        <v>0</v>
      </c>
      <c r="R144" s="170">
        <f>IFERROR(__xludf.DUMMYFUNCTION("IFERROR(Q144 * (1 + AVERAGE(Filter('Inflation Data'!$C:$C,'Inflation Data'!$A:$A = R$1))) + 'Fund YTD Contributions'!R144,'Fund YTD Contributions'!R144)"),0.0)</f>
        <v>0</v>
      </c>
      <c r="S144" s="170">
        <f>IFERROR(__xludf.DUMMYFUNCTION("IFERROR(R144 * (1 + AVERAGE(Filter('Inflation Data'!$C:$C,'Inflation Data'!$A:$A = S$1))) + 'Fund YTD Contributions'!S144,'Fund YTD Contributions'!S144)"),0.0)</f>
        <v>0</v>
      </c>
      <c r="T144" s="170">
        <f>IFERROR(__xludf.DUMMYFUNCTION("IFERROR(S144 * (1 + AVERAGE(Filter('Inflation Data'!$C:$C,'Inflation Data'!$A:$A = T$1))) + 'Fund YTD Contributions'!T144,'Fund YTD Contributions'!T144)"),0.0)</f>
        <v>0</v>
      </c>
      <c r="U144" s="170">
        <f>IFERROR(__xludf.DUMMYFUNCTION("IFERROR(T144 * (1 + AVERAGE(Filter('Inflation Data'!$C:$C,'Inflation Data'!$A:$A = U$1))) + 'Fund YTD Contributions'!U144,'Fund YTD Contributions'!U144)"),0.0)</f>
        <v>0</v>
      </c>
      <c r="V144" s="170">
        <f>IFERROR(__xludf.DUMMYFUNCTION("IFERROR(U144 * (1 + AVERAGE(Filter('Inflation Data'!$C:$C,'Inflation Data'!$A:$A = V$1))) + 'Fund YTD Contributions'!V144,'Fund YTD Contributions'!V144)"),0.0)</f>
        <v>0</v>
      </c>
      <c r="W144" s="170">
        <f>IFERROR(__xludf.DUMMYFUNCTION("IFERROR(V144 * (1 + AVERAGE(Filter('Inflation Data'!$C:$C,'Inflation Data'!$A:$A = W$1))) + 'Fund YTD Contributions'!W144,'Fund YTD Contributions'!W144)"),0.0)</f>
        <v>0</v>
      </c>
      <c r="X144" s="170">
        <f>IFERROR(__xludf.DUMMYFUNCTION("IFERROR(W144 * (1 + AVERAGE(Filter('Inflation Data'!$C:$C,'Inflation Data'!$A:$A = X$1))) + 'Fund YTD Contributions'!X144,'Fund YTD Contributions'!X144)"),0.0)</f>
        <v>0</v>
      </c>
      <c r="Y144" s="170">
        <f>IFERROR(__xludf.DUMMYFUNCTION("IFERROR(X144 * (1 + AVERAGE(Filter('Inflation Data'!$C:$C,'Inflation Data'!$A:$A = Y$1))) + 'Fund YTD Contributions'!Y144,'Fund YTD Contributions'!Y144)"),0.0)</f>
        <v>0</v>
      </c>
      <c r="Z144" s="170">
        <f>IFERROR(__xludf.DUMMYFUNCTION("IFERROR(Y144 * (1 + AVERAGE(Filter('Inflation Data'!$C:$C,'Inflation Data'!$A:$A = Z$1))) + 'Fund YTD Contributions'!Z144,'Fund YTD Contributions'!Z144)"),0.0)</f>
        <v>0</v>
      </c>
      <c r="AA144" s="170"/>
      <c r="AB144" s="170"/>
      <c r="AC144" s="170"/>
      <c r="AD144" s="170"/>
      <c r="AE144" s="170"/>
      <c r="AF144" s="170"/>
    </row>
    <row r="145">
      <c r="A145" s="145" t="str">
        <f>'Endowed Funds'!B:B</f>
        <v/>
      </c>
      <c r="B145" s="170">
        <f>IFERROR(__xludf.DUMMYFUNCTION("IFERROR(A145 * (1 + AVERAGE(Filter('Inflation Data'!$C:$C,'Inflation Data'!$A:$A = B$1))) + 'Fund YTD Contributions'!B145,'Fund YTD Contributions'!B145)"),0.0)</f>
        <v>0</v>
      </c>
      <c r="C145" s="170">
        <f>IFERROR(__xludf.DUMMYFUNCTION("IFERROR(B145 * (1 + AVERAGE(Filter('Inflation Data'!$C:$C,'Inflation Data'!$A:$A = C$1))) + 'Fund YTD Contributions'!C145,'Fund YTD Contributions'!C145)"),0.0)</f>
        <v>0</v>
      </c>
      <c r="D145" s="170">
        <f>IFERROR(__xludf.DUMMYFUNCTION("IFERROR(C145 * (1 + AVERAGE(Filter('Inflation Data'!$C:$C,'Inflation Data'!$A:$A = D$1))) + 'Fund YTD Contributions'!D145,'Fund YTD Contributions'!D145)"),0.0)</f>
        <v>0</v>
      </c>
      <c r="E145" s="170">
        <f>IFERROR(__xludf.DUMMYFUNCTION("IFERROR(D145 * (1 + AVERAGE(Filter('Inflation Data'!$C:$C,'Inflation Data'!$A:$A = E$1))) + 'Fund YTD Contributions'!E145,'Fund YTD Contributions'!E145)"),0.0)</f>
        <v>0</v>
      </c>
      <c r="F145" s="170">
        <f>IFERROR(__xludf.DUMMYFUNCTION("IFERROR(E145 * (1 + AVERAGE(Filter('Inflation Data'!$C:$C,'Inflation Data'!$A:$A = F$1))) + 'Fund YTD Contributions'!F145,'Fund YTD Contributions'!F145)"),0.0)</f>
        <v>0</v>
      </c>
      <c r="G145" s="170">
        <f>IFERROR(__xludf.DUMMYFUNCTION("IFERROR(F145 * (1 + AVERAGE(Filter('Inflation Data'!$C:$C,'Inflation Data'!$A:$A = G$1))) + 'Fund YTD Contributions'!G145,'Fund YTD Contributions'!G145)"),0.0)</f>
        <v>0</v>
      </c>
      <c r="H145" s="170">
        <f>IFERROR(__xludf.DUMMYFUNCTION("IFERROR(G145 * (1 + AVERAGE(Filter('Inflation Data'!$C:$C,'Inflation Data'!$A:$A = H$1))) + 'Fund YTD Contributions'!H145,'Fund YTD Contributions'!H145)"),0.0)</f>
        <v>0</v>
      </c>
      <c r="I145" s="170">
        <f>IFERROR(__xludf.DUMMYFUNCTION("IFERROR(H145 * (1 + AVERAGE(Filter('Inflation Data'!$C:$C,'Inflation Data'!$A:$A = I$1))) + 'Fund YTD Contributions'!I145,'Fund YTD Contributions'!I145)"),0.0)</f>
        <v>0</v>
      </c>
      <c r="J145" s="170">
        <f>IFERROR(__xludf.DUMMYFUNCTION("IFERROR(I145 * (1 + AVERAGE(Filter('Inflation Data'!$C:$C,'Inflation Data'!$A:$A = J$1))) + 'Fund YTD Contributions'!J145,'Fund YTD Contributions'!J145)"),0.0)</f>
        <v>0</v>
      </c>
      <c r="K145" s="170">
        <f>IFERROR(__xludf.DUMMYFUNCTION("IFERROR(J145 * (1 + AVERAGE(Filter('Inflation Data'!$C:$C,'Inflation Data'!$A:$A = K$1))) + 'Fund YTD Contributions'!K145,'Fund YTD Contributions'!K145)"),0.0)</f>
        <v>0</v>
      </c>
      <c r="L145" s="170">
        <f>IFERROR(__xludf.DUMMYFUNCTION("IFERROR(K145 * (1 + AVERAGE(Filter('Inflation Data'!$C:$C,'Inflation Data'!$A:$A = L$1))) + 'Fund YTD Contributions'!L145,'Fund YTD Contributions'!L145)"),0.0)</f>
        <v>0</v>
      </c>
      <c r="M145" s="170">
        <f>IFERROR(__xludf.DUMMYFUNCTION("IFERROR(L145 * (1 + AVERAGE(Filter('Inflation Data'!$C:$C,'Inflation Data'!$A:$A = M$1))) + 'Fund YTD Contributions'!M145,'Fund YTD Contributions'!M145)"),0.0)</f>
        <v>0</v>
      </c>
      <c r="N145" s="170">
        <f>IFERROR(__xludf.DUMMYFUNCTION("IFERROR(M145 * (1 + AVERAGE(Filter('Inflation Data'!$C:$C,'Inflation Data'!$A:$A = N$1))) + 'Fund YTD Contributions'!N145,'Fund YTD Contributions'!N145)"),0.0)</f>
        <v>0</v>
      </c>
      <c r="O145" s="170">
        <f>IFERROR(__xludf.DUMMYFUNCTION("IFERROR(N145 * (1 + AVERAGE(Filter('Inflation Data'!$C:$C,'Inflation Data'!$A:$A = O$1))) + 'Fund YTD Contributions'!O145,'Fund YTD Contributions'!O145)"),0.0)</f>
        <v>0</v>
      </c>
      <c r="P145" s="170">
        <f>IFERROR(__xludf.DUMMYFUNCTION("IFERROR(O145 * (1 + AVERAGE(Filter('Inflation Data'!$C:$C,'Inflation Data'!$A:$A = P$1))) + 'Fund YTD Contributions'!P145,'Fund YTD Contributions'!P145)"),0.0)</f>
        <v>0</v>
      </c>
      <c r="Q145" s="170">
        <f>IFERROR(__xludf.DUMMYFUNCTION("IFERROR(P145 * (1 + AVERAGE(Filter('Inflation Data'!$C:$C,'Inflation Data'!$A:$A = Q$1))) + 'Fund YTD Contributions'!Q145,'Fund YTD Contributions'!Q145)"),0.0)</f>
        <v>0</v>
      </c>
      <c r="R145" s="170">
        <f>IFERROR(__xludf.DUMMYFUNCTION("IFERROR(Q145 * (1 + AVERAGE(Filter('Inflation Data'!$C:$C,'Inflation Data'!$A:$A = R$1))) + 'Fund YTD Contributions'!R145,'Fund YTD Contributions'!R145)"),0.0)</f>
        <v>0</v>
      </c>
      <c r="S145" s="170">
        <f>IFERROR(__xludf.DUMMYFUNCTION("IFERROR(R145 * (1 + AVERAGE(Filter('Inflation Data'!$C:$C,'Inflation Data'!$A:$A = S$1))) + 'Fund YTD Contributions'!S145,'Fund YTD Contributions'!S145)"),0.0)</f>
        <v>0</v>
      </c>
      <c r="T145" s="170">
        <f>IFERROR(__xludf.DUMMYFUNCTION("IFERROR(S145 * (1 + AVERAGE(Filter('Inflation Data'!$C:$C,'Inflation Data'!$A:$A = T$1))) + 'Fund YTD Contributions'!T145,'Fund YTD Contributions'!T145)"),0.0)</f>
        <v>0</v>
      </c>
      <c r="U145" s="170">
        <f>IFERROR(__xludf.DUMMYFUNCTION("IFERROR(T145 * (1 + AVERAGE(Filter('Inflation Data'!$C:$C,'Inflation Data'!$A:$A = U$1))) + 'Fund YTD Contributions'!U145,'Fund YTD Contributions'!U145)"),0.0)</f>
        <v>0</v>
      </c>
      <c r="V145" s="170">
        <f>IFERROR(__xludf.DUMMYFUNCTION("IFERROR(U145 * (1 + AVERAGE(Filter('Inflation Data'!$C:$C,'Inflation Data'!$A:$A = V$1))) + 'Fund YTD Contributions'!V145,'Fund YTD Contributions'!V145)"),0.0)</f>
        <v>0</v>
      </c>
      <c r="W145" s="170">
        <f>IFERROR(__xludf.DUMMYFUNCTION("IFERROR(V145 * (1 + AVERAGE(Filter('Inflation Data'!$C:$C,'Inflation Data'!$A:$A = W$1))) + 'Fund YTD Contributions'!W145,'Fund YTD Contributions'!W145)"),0.0)</f>
        <v>0</v>
      </c>
      <c r="X145" s="170">
        <f>IFERROR(__xludf.DUMMYFUNCTION("IFERROR(W145 * (1 + AVERAGE(Filter('Inflation Data'!$C:$C,'Inflation Data'!$A:$A = X$1))) + 'Fund YTD Contributions'!X145,'Fund YTD Contributions'!X145)"),0.0)</f>
        <v>0</v>
      </c>
      <c r="Y145" s="170">
        <f>IFERROR(__xludf.DUMMYFUNCTION("IFERROR(X145 * (1 + AVERAGE(Filter('Inflation Data'!$C:$C,'Inflation Data'!$A:$A = Y$1))) + 'Fund YTD Contributions'!Y145,'Fund YTD Contributions'!Y145)"),0.0)</f>
        <v>0</v>
      </c>
      <c r="Z145" s="170">
        <f>IFERROR(__xludf.DUMMYFUNCTION("IFERROR(Y145 * (1 + AVERAGE(Filter('Inflation Data'!$C:$C,'Inflation Data'!$A:$A = Z$1))) + 'Fund YTD Contributions'!Z145,'Fund YTD Contributions'!Z145)"),0.0)</f>
        <v>0</v>
      </c>
      <c r="AA145" s="170"/>
      <c r="AB145" s="170"/>
      <c r="AC145" s="170"/>
      <c r="AD145" s="170"/>
      <c r="AE145" s="170"/>
      <c r="AF145" s="170"/>
    </row>
    <row r="146">
      <c r="A146" s="145" t="str">
        <f>'Endowed Funds'!B:B</f>
        <v/>
      </c>
      <c r="B146" s="170">
        <f>IFERROR(__xludf.DUMMYFUNCTION("IFERROR(A146 * (1 + AVERAGE(Filter('Inflation Data'!$C:$C,'Inflation Data'!$A:$A = B$1))) + 'Fund YTD Contributions'!B146,'Fund YTD Contributions'!B146)"),0.0)</f>
        <v>0</v>
      </c>
      <c r="C146" s="170">
        <f>IFERROR(__xludf.DUMMYFUNCTION("IFERROR(B146 * (1 + AVERAGE(Filter('Inflation Data'!$C:$C,'Inflation Data'!$A:$A = C$1))) + 'Fund YTD Contributions'!C146,'Fund YTD Contributions'!C146)"),0.0)</f>
        <v>0</v>
      </c>
      <c r="D146" s="170">
        <f>IFERROR(__xludf.DUMMYFUNCTION("IFERROR(C146 * (1 + AVERAGE(Filter('Inflation Data'!$C:$C,'Inflation Data'!$A:$A = D$1))) + 'Fund YTD Contributions'!D146,'Fund YTD Contributions'!D146)"),0.0)</f>
        <v>0</v>
      </c>
      <c r="E146" s="170">
        <f>IFERROR(__xludf.DUMMYFUNCTION("IFERROR(D146 * (1 + AVERAGE(Filter('Inflation Data'!$C:$C,'Inflation Data'!$A:$A = E$1))) + 'Fund YTD Contributions'!E146,'Fund YTD Contributions'!E146)"),0.0)</f>
        <v>0</v>
      </c>
      <c r="F146" s="170">
        <f>IFERROR(__xludf.DUMMYFUNCTION("IFERROR(E146 * (1 + AVERAGE(Filter('Inflation Data'!$C:$C,'Inflation Data'!$A:$A = F$1))) + 'Fund YTD Contributions'!F146,'Fund YTD Contributions'!F146)"),0.0)</f>
        <v>0</v>
      </c>
      <c r="G146" s="170">
        <f>IFERROR(__xludf.DUMMYFUNCTION("IFERROR(F146 * (1 + AVERAGE(Filter('Inflation Data'!$C:$C,'Inflation Data'!$A:$A = G$1))) + 'Fund YTD Contributions'!G146,'Fund YTD Contributions'!G146)"),0.0)</f>
        <v>0</v>
      </c>
      <c r="H146" s="170">
        <f>IFERROR(__xludf.DUMMYFUNCTION("IFERROR(G146 * (1 + AVERAGE(Filter('Inflation Data'!$C:$C,'Inflation Data'!$A:$A = H$1))) + 'Fund YTD Contributions'!H146,'Fund YTD Contributions'!H146)"),0.0)</f>
        <v>0</v>
      </c>
      <c r="I146" s="170">
        <f>IFERROR(__xludf.DUMMYFUNCTION("IFERROR(H146 * (1 + AVERAGE(Filter('Inflation Data'!$C:$C,'Inflation Data'!$A:$A = I$1))) + 'Fund YTD Contributions'!I146,'Fund YTD Contributions'!I146)"),0.0)</f>
        <v>0</v>
      </c>
      <c r="J146" s="170">
        <f>IFERROR(__xludf.DUMMYFUNCTION("IFERROR(I146 * (1 + AVERAGE(Filter('Inflation Data'!$C:$C,'Inflation Data'!$A:$A = J$1))) + 'Fund YTD Contributions'!J146,'Fund YTD Contributions'!J146)"),0.0)</f>
        <v>0</v>
      </c>
      <c r="K146" s="170">
        <f>IFERROR(__xludf.DUMMYFUNCTION("IFERROR(J146 * (1 + AVERAGE(Filter('Inflation Data'!$C:$C,'Inflation Data'!$A:$A = K$1))) + 'Fund YTD Contributions'!K146,'Fund YTD Contributions'!K146)"),0.0)</f>
        <v>0</v>
      </c>
      <c r="L146" s="170">
        <f>IFERROR(__xludf.DUMMYFUNCTION("IFERROR(K146 * (1 + AVERAGE(Filter('Inflation Data'!$C:$C,'Inflation Data'!$A:$A = L$1))) + 'Fund YTD Contributions'!L146,'Fund YTD Contributions'!L146)"),0.0)</f>
        <v>0</v>
      </c>
      <c r="M146" s="170">
        <f>IFERROR(__xludf.DUMMYFUNCTION("IFERROR(L146 * (1 + AVERAGE(Filter('Inflation Data'!$C:$C,'Inflation Data'!$A:$A = M$1))) + 'Fund YTD Contributions'!M146,'Fund YTD Contributions'!M146)"),0.0)</f>
        <v>0</v>
      </c>
      <c r="N146" s="170">
        <f>IFERROR(__xludf.DUMMYFUNCTION("IFERROR(M146 * (1 + AVERAGE(Filter('Inflation Data'!$C:$C,'Inflation Data'!$A:$A = N$1))) + 'Fund YTD Contributions'!N146,'Fund YTD Contributions'!N146)"),0.0)</f>
        <v>0</v>
      </c>
      <c r="O146" s="170">
        <f>IFERROR(__xludf.DUMMYFUNCTION("IFERROR(N146 * (1 + AVERAGE(Filter('Inflation Data'!$C:$C,'Inflation Data'!$A:$A = O$1))) + 'Fund YTD Contributions'!O146,'Fund YTD Contributions'!O146)"),0.0)</f>
        <v>0</v>
      </c>
      <c r="P146" s="170">
        <f>IFERROR(__xludf.DUMMYFUNCTION("IFERROR(O146 * (1 + AVERAGE(Filter('Inflation Data'!$C:$C,'Inflation Data'!$A:$A = P$1))) + 'Fund YTD Contributions'!P146,'Fund YTD Contributions'!P146)"),0.0)</f>
        <v>0</v>
      </c>
      <c r="Q146" s="170">
        <f>IFERROR(__xludf.DUMMYFUNCTION("IFERROR(P146 * (1 + AVERAGE(Filter('Inflation Data'!$C:$C,'Inflation Data'!$A:$A = Q$1))) + 'Fund YTD Contributions'!Q146,'Fund YTD Contributions'!Q146)"),0.0)</f>
        <v>0</v>
      </c>
      <c r="R146" s="170">
        <f>IFERROR(__xludf.DUMMYFUNCTION("IFERROR(Q146 * (1 + AVERAGE(Filter('Inflation Data'!$C:$C,'Inflation Data'!$A:$A = R$1))) + 'Fund YTD Contributions'!R146,'Fund YTD Contributions'!R146)"),0.0)</f>
        <v>0</v>
      </c>
      <c r="S146" s="170">
        <f>IFERROR(__xludf.DUMMYFUNCTION("IFERROR(R146 * (1 + AVERAGE(Filter('Inflation Data'!$C:$C,'Inflation Data'!$A:$A = S$1))) + 'Fund YTD Contributions'!S146,'Fund YTD Contributions'!S146)"),0.0)</f>
        <v>0</v>
      </c>
      <c r="T146" s="170">
        <f>IFERROR(__xludf.DUMMYFUNCTION("IFERROR(S146 * (1 + AVERAGE(Filter('Inflation Data'!$C:$C,'Inflation Data'!$A:$A = T$1))) + 'Fund YTD Contributions'!T146,'Fund YTD Contributions'!T146)"),0.0)</f>
        <v>0</v>
      </c>
      <c r="U146" s="170">
        <f>IFERROR(__xludf.DUMMYFUNCTION("IFERROR(T146 * (1 + AVERAGE(Filter('Inflation Data'!$C:$C,'Inflation Data'!$A:$A = U$1))) + 'Fund YTD Contributions'!U146,'Fund YTD Contributions'!U146)"),0.0)</f>
        <v>0</v>
      </c>
      <c r="V146" s="170">
        <f>IFERROR(__xludf.DUMMYFUNCTION("IFERROR(U146 * (1 + AVERAGE(Filter('Inflation Data'!$C:$C,'Inflation Data'!$A:$A = V$1))) + 'Fund YTD Contributions'!V146,'Fund YTD Contributions'!V146)"),0.0)</f>
        <v>0</v>
      </c>
      <c r="W146" s="170">
        <f>IFERROR(__xludf.DUMMYFUNCTION("IFERROR(V146 * (1 + AVERAGE(Filter('Inflation Data'!$C:$C,'Inflation Data'!$A:$A = W$1))) + 'Fund YTD Contributions'!W146,'Fund YTD Contributions'!W146)"),0.0)</f>
        <v>0</v>
      </c>
      <c r="X146" s="170">
        <f>IFERROR(__xludf.DUMMYFUNCTION("IFERROR(W146 * (1 + AVERAGE(Filter('Inflation Data'!$C:$C,'Inflation Data'!$A:$A = X$1))) + 'Fund YTD Contributions'!X146,'Fund YTD Contributions'!X146)"),0.0)</f>
        <v>0</v>
      </c>
      <c r="Y146" s="170">
        <f>IFERROR(__xludf.DUMMYFUNCTION("IFERROR(X146 * (1 + AVERAGE(Filter('Inflation Data'!$C:$C,'Inflation Data'!$A:$A = Y$1))) + 'Fund YTD Contributions'!Y146,'Fund YTD Contributions'!Y146)"),0.0)</f>
        <v>0</v>
      </c>
      <c r="Z146" s="170">
        <f>IFERROR(__xludf.DUMMYFUNCTION("IFERROR(Y146 * (1 + AVERAGE(Filter('Inflation Data'!$C:$C,'Inflation Data'!$A:$A = Z$1))) + 'Fund YTD Contributions'!Z146,'Fund YTD Contributions'!Z146)"),0.0)</f>
        <v>0</v>
      </c>
      <c r="AA146" s="170"/>
      <c r="AB146" s="170"/>
      <c r="AC146" s="170"/>
      <c r="AD146" s="170"/>
      <c r="AE146" s="170"/>
      <c r="AF146" s="170"/>
    </row>
    <row r="147">
      <c r="A147" s="145" t="str">
        <f>'Endowed Funds'!B:B</f>
        <v/>
      </c>
      <c r="B147" s="170">
        <f>IFERROR(__xludf.DUMMYFUNCTION("IFERROR(A147 * (1 + AVERAGE(Filter('Inflation Data'!$C:$C,'Inflation Data'!$A:$A = B$1))) + 'Fund YTD Contributions'!B147,'Fund YTD Contributions'!B147)"),0.0)</f>
        <v>0</v>
      </c>
      <c r="C147" s="170">
        <f>IFERROR(__xludf.DUMMYFUNCTION("IFERROR(B147 * (1 + AVERAGE(Filter('Inflation Data'!$C:$C,'Inflation Data'!$A:$A = C$1))) + 'Fund YTD Contributions'!C147,'Fund YTD Contributions'!C147)"),0.0)</f>
        <v>0</v>
      </c>
      <c r="D147" s="170">
        <f>IFERROR(__xludf.DUMMYFUNCTION("IFERROR(C147 * (1 + AVERAGE(Filter('Inflation Data'!$C:$C,'Inflation Data'!$A:$A = D$1))) + 'Fund YTD Contributions'!D147,'Fund YTD Contributions'!D147)"),0.0)</f>
        <v>0</v>
      </c>
      <c r="E147" s="170">
        <f>IFERROR(__xludf.DUMMYFUNCTION("IFERROR(D147 * (1 + AVERAGE(Filter('Inflation Data'!$C:$C,'Inflation Data'!$A:$A = E$1))) + 'Fund YTD Contributions'!E147,'Fund YTD Contributions'!E147)"),0.0)</f>
        <v>0</v>
      </c>
      <c r="F147" s="170">
        <f>IFERROR(__xludf.DUMMYFUNCTION("IFERROR(E147 * (1 + AVERAGE(Filter('Inflation Data'!$C:$C,'Inflation Data'!$A:$A = F$1))) + 'Fund YTD Contributions'!F147,'Fund YTD Contributions'!F147)"),0.0)</f>
        <v>0</v>
      </c>
      <c r="G147" s="170">
        <f>IFERROR(__xludf.DUMMYFUNCTION("IFERROR(F147 * (1 + AVERAGE(Filter('Inflation Data'!$C:$C,'Inflation Data'!$A:$A = G$1))) + 'Fund YTD Contributions'!G147,'Fund YTD Contributions'!G147)"),0.0)</f>
        <v>0</v>
      </c>
      <c r="H147" s="170">
        <f>IFERROR(__xludf.DUMMYFUNCTION("IFERROR(G147 * (1 + AVERAGE(Filter('Inflation Data'!$C:$C,'Inflation Data'!$A:$A = H$1))) + 'Fund YTD Contributions'!H147,'Fund YTD Contributions'!H147)"),0.0)</f>
        <v>0</v>
      </c>
      <c r="I147" s="170">
        <f>IFERROR(__xludf.DUMMYFUNCTION("IFERROR(H147 * (1 + AVERAGE(Filter('Inflation Data'!$C:$C,'Inflation Data'!$A:$A = I$1))) + 'Fund YTD Contributions'!I147,'Fund YTD Contributions'!I147)"),0.0)</f>
        <v>0</v>
      </c>
      <c r="J147" s="170">
        <f>IFERROR(__xludf.DUMMYFUNCTION("IFERROR(I147 * (1 + AVERAGE(Filter('Inflation Data'!$C:$C,'Inflation Data'!$A:$A = J$1))) + 'Fund YTD Contributions'!J147,'Fund YTD Contributions'!J147)"),0.0)</f>
        <v>0</v>
      </c>
      <c r="K147" s="170">
        <f>IFERROR(__xludf.DUMMYFUNCTION("IFERROR(J147 * (1 + AVERAGE(Filter('Inflation Data'!$C:$C,'Inflation Data'!$A:$A = K$1))) + 'Fund YTD Contributions'!K147,'Fund YTD Contributions'!K147)"),0.0)</f>
        <v>0</v>
      </c>
      <c r="L147" s="170">
        <f>IFERROR(__xludf.DUMMYFUNCTION("IFERROR(K147 * (1 + AVERAGE(Filter('Inflation Data'!$C:$C,'Inflation Data'!$A:$A = L$1))) + 'Fund YTD Contributions'!L147,'Fund YTD Contributions'!L147)"),0.0)</f>
        <v>0</v>
      </c>
      <c r="M147" s="170">
        <f>IFERROR(__xludf.DUMMYFUNCTION("IFERROR(L147 * (1 + AVERAGE(Filter('Inflation Data'!$C:$C,'Inflation Data'!$A:$A = M$1))) + 'Fund YTD Contributions'!M147,'Fund YTD Contributions'!M147)"),0.0)</f>
        <v>0</v>
      </c>
      <c r="N147" s="170">
        <f>IFERROR(__xludf.DUMMYFUNCTION("IFERROR(M147 * (1 + AVERAGE(Filter('Inflation Data'!$C:$C,'Inflation Data'!$A:$A = N$1))) + 'Fund YTD Contributions'!N147,'Fund YTD Contributions'!N147)"),0.0)</f>
        <v>0</v>
      </c>
      <c r="O147" s="170">
        <f>IFERROR(__xludf.DUMMYFUNCTION("IFERROR(N147 * (1 + AVERAGE(Filter('Inflation Data'!$C:$C,'Inflation Data'!$A:$A = O$1))) + 'Fund YTD Contributions'!O147,'Fund YTD Contributions'!O147)"),0.0)</f>
        <v>0</v>
      </c>
      <c r="P147" s="170">
        <f>IFERROR(__xludf.DUMMYFUNCTION("IFERROR(O147 * (1 + AVERAGE(Filter('Inflation Data'!$C:$C,'Inflation Data'!$A:$A = P$1))) + 'Fund YTD Contributions'!P147,'Fund YTD Contributions'!P147)"),0.0)</f>
        <v>0</v>
      </c>
      <c r="Q147" s="170">
        <f>IFERROR(__xludf.DUMMYFUNCTION("IFERROR(P147 * (1 + AVERAGE(Filter('Inflation Data'!$C:$C,'Inflation Data'!$A:$A = Q$1))) + 'Fund YTD Contributions'!Q147,'Fund YTD Contributions'!Q147)"),0.0)</f>
        <v>0</v>
      </c>
      <c r="R147" s="170">
        <f>IFERROR(__xludf.DUMMYFUNCTION("IFERROR(Q147 * (1 + AVERAGE(Filter('Inflation Data'!$C:$C,'Inflation Data'!$A:$A = R$1))) + 'Fund YTD Contributions'!R147,'Fund YTD Contributions'!R147)"),0.0)</f>
        <v>0</v>
      </c>
      <c r="S147" s="170">
        <f>IFERROR(__xludf.DUMMYFUNCTION("IFERROR(R147 * (1 + AVERAGE(Filter('Inflation Data'!$C:$C,'Inflation Data'!$A:$A = S$1))) + 'Fund YTD Contributions'!S147,'Fund YTD Contributions'!S147)"),0.0)</f>
        <v>0</v>
      </c>
      <c r="T147" s="170">
        <f>IFERROR(__xludf.DUMMYFUNCTION("IFERROR(S147 * (1 + AVERAGE(Filter('Inflation Data'!$C:$C,'Inflation Data'!$A:$A = T$1))) + 'Fund YTD Contributions'!T147,'Fund YTD Contributions'!T147)"),0.0)</f>
        <v>0</v>
      </c>
      <c r="U147" s="170">
        <f>IFERROR(__xludf.DUMMYFUNCTION("IFERROR(T147 * (1 + AVERAGE(Filter('Inflation Data'!$C:$C,'Inflation Data'!$A:$A = U$1))) + 'Fund YTD Contributions'!U147,'Fund YTD Contributions'!U147)"),0.0)</f>
        <v>0</v>
      </c>
      <c r="V147" s="170">
        <f>IFERROR(__xludf.DUMMYFUNCTION("IFERROR(U147 * (1 + AVERAGE(Filter('Inflation Data'!$C:$C,'Inflation Data'!$A:$A = V$1))) + 'Fund YTD Contributions'!V147,'Fund YTD Contributions'!V147)"),0.0)</f>
        <v>0</v>
      </c>
      <c r="W147" s="170">
        <f>IFERROR(__xludf.DUMMYFUNCTION("IFERROR(V147 * (1 + AVERAGE(Filter('Inflation Data'!$C:$C,'Inflation Data'!$A:$A = W$1))) + 'Fund YTD Contributions'!W147,'Fund YTD Contributions'!W147)"),0.0)</f>
        <v>0</v>
      </c>
      <c r="X147" s="170">
        <f>IFERROR(__xludf.DUMMYFUNCTION("IFERROR(W147 * (1 + AVERAGE(Filter('Inflation Data'!$C:$C,'Inflation Data'!$A:$A = X$1))) + 'Fund YTD Contributions'!X147,'Fund YTD Contributions'!X147)"),0.0)</f>
        <v>0</v>
      </c>
      <c r="Y147" s="170">
        <f>IFERROR(__xludf.DUMMYFUNCTION("IFERROR(X147 * (1 + AVERAGE(Filter('Inflation Data'!$C:$C,'Inflation Data'!$A:$A = Y$1))) + 'Fund YTD Contributions'!Y147,'Fund YTD Contributions'!Y147)"),0.0)</f>
        <v>0</v>
      </c>
      <c r="Z147" s="170">
        <f>IFERROR(__xludf.DUMMYFUNCTION("IFERROR(Y147 * (1 + AVERAGE(Filter('Inflation Data'!$C:$C,'Inflation Data'!$A:$A = Z$1))) + 'Fund YTD Contributions'!Z147,'Fund YTD Contributions'!Z147)"),0.0)</f>
        <v>0</v>
      </c>
      <c r="AA147" s="170"/>
      <c r="AB147" s="170"/>
      <c r="AC147" s="170"/>
      <c r="AD147" s="170"/>
      <c r="AE147" s="170"/>
      <c r="AF147" s="170"/>
    </row>
    <row r="148">
      <c r="A148" s="145" t="str">
        <f>'Endowed Funds'!B:B</f>
        <v/>
      </c>
      <c r="B148" s="170">
        <f>IFERROR(__xludf.DUMMYFUNCTION("IFERROR(A148 * (1 + AVERAGE(Filter('Inflation Data'!$C:$C,'Inflation Data'!$A:$A = B$1))) + 'Fund YTD Contributions'!B148,'Fund YTD Contributions'!B148)"),0.0)</f>
        <v>0</v>
      </c>
      <c r="C148" s="170">
        <f>IFERROR(__xludf.DUMMYFUNCTION("IFERROR(B148 * (1 + AVERAGE(Filter('Inflation Data'!$C:$C,'Inflation Data'!$A:$A = C$1))) + 'Fund YTD Contributions'!C148,'Fund YTD Contributions'!C148)"),0.0)</f>
        <v>0</v>
      </c>
      <c r="D148" s="170">
        <f>IFERROR(__xludf.DUMMYFUNCTION("IFERROR(C148 * (1 + AVERAGE(Filter('Inflation Data'!$C:$C,'Inflation Data'!$A:$A = D$1))) + 'Fund YTD Contributions'!D148,'Fund YTD Contributions'!D148)"),0.0)</f>
        <v>0</v>
      </c>
      <c r="E148" s="170">
        <f>IFERROR(__xludf.DUMMYFUNCTION("IFERROR(D148 * (1 + AVERAGE(Filter('Inflation Data'!$C:$C,'Inflation Data'!$A:$A = E$1))) + 'Fund YTD Contributions'!E148,'Fund YTD Contributions'!E148)"),0.0)</f>
        <v>0</v>
      </c>
      <c r="F148" s="170">
        <f>IFERROR(__xludf.DUMMYFUNCTION("IFERROR(E148 * (1 + AVERAGE(Filter('Inflation Data'!$C:$C,'Inflation Data'!$A:$A = F$1))) + 'Fund YTD Contributions'!F148,'Fund YTD Contributions'!F148)"),0.0)</f>
        <v>0</v>
      </c>
      <c r="G148" s="170">
        <f>IFERROR(__xludf.DUMMYFUNCTION("IFERROR(F148 * (1 + AVERAGE(Filter('Inflation Data'!$C:$C,'Inflation Data'!$A:$A = G$1))) + 'Fund YTD Contributions'!G148,'Fund YTD Contributions'!G148)"),0.0)</f>
        <v>0</v>
      </c>
      <c r="H148" s="170">
        <f>IFERROR(__xludf.DUMMYFUNCTION("IFERROR(G148 * (1 + AVERAGE(Filter('Inflation Data'!$C:$C,'Inflation Data'!$A:$A = H$1))) + 'Fund YTD Contributions'!H148,'Fund YTD Contributions'!H148)"),0.0)</f>
        <v>0</v>
      </c>
      <c r="I148" s="170">
        <f>IFERROR(__xludf.DUMMYFUNCTION("IFERROR(H148 * (1 + AVERAGE(Filter('Inflation Data'!$C:$C,'Inflation Data'!$A:$A = I$1))) + 'Fund YTD Contributions'!I148,'Fund YTD Contributions'!I148)"),0.0)</f>
        <v>0</v>
      </c>
      <c r="J148" s="170">
        <f>IFERROR(__xludf.DUMMYFUNCTION("IFERROR(I148 * (1 + AVERAGE(Filter('Inflation Data'!$C:$C,'Inflation Data'!$A:$A = J$1))) + 'Fund YTD Contributions'!J148,'Fund YTD Contributions'!J148)"),0.0)</f>
        <v>0</v>
      </c>
      <c r="K148" s="170">
        <f>IFERROR(__xludf.DUMMYFUNCTION("IFERROR(J148 * (1 + AVERAGE(Filter('Inflation Data'!$C:$C,'Inflation Data'!$A:$A = K$1))) + 'Fund YTD Contributions'!K148,'Fund YTD Contributions'!K148)"),0.0)</f>
        <v>0</v>
      </c>
      <c r="L148" s="170">
        <f>IFERROR(__xludf.DUMMYFUNCTION("IFERROR(K148 * (1 + AVERAGE(Filter('Inflation Data'!$C:$C,'Inflation Data'!$A:$A = L$1))) + 'Fund YTD Contributions'!L148,'Fund YTD Contributions'!L148)"),0.0)</f>
        <v>0</v>
      </c>
      <c r="M148" s="170">
        <f>IFERROR(__xludf.DUMMYFUNCTION("IFERROR(L148 * (1 + AVERAGE(Filter('Inflation Data'!$C:$C,'Inflation Data'!$A:$A = M$1))) + 'Fund YTD Contributions'!M148,'Fund YTD Contributions'!M148)"),0.0)</f>
        <v>0</v>
      </c>
      <c r="N148" s="170">
        <f>IFERROR(__xludf.DUMMYFUNCTION("IFERROR(M148 * (1 + AVERAGE(Filter('Inflation Data'!$C:$C,'Inflation Data'!$A:$A = N$1))) + 'Fund YTD Contributions'!N148,'Fund YTD Contributions'!N148)"),0.0)</f>
        <v>0</v>
      </c>
      <c r="O148" s="170">
        <f>IFERROR(__xludf.DUMMYFUNCTION("IFERROR(N148 * (1 + AVERAGE(Filter('Inflation Data'!$C:$C,'Inflation Data'!$A:$A = O$1))) + 'Fund YTD Contributions'!O148,'Fund YTD Contributions'!O148)"),0.0)</f>
        <v>0</v>
      </c>
      <c r="P148" s="170">
        <f>IFERROR(__xludf.DUMMYFUNCTION("IFERROR(O148 * (1 + AVERAGE(Filter('Inflation Data'!$C:$C,'Inflation Data'!$A:$A = P$1))) + 'Fund YTD Contributions'!P148,'Fund YTD Contributions'!P148)"),0.0)</f>
        <v>0</v>
      </c>
      <c r="Q148" s="170">
        <f>IFERROR(__xludf.DUMMYFUNCTION("IFERROR(P148 * (1 + AVERAGE(Filter('Inflation Data'!$C:$C,'Inflation Data'!$A:$A = Q$1))) + 'Fund YTD Contributions'!Q148,'Fund YTD Contributions'!Q148)"),0.0)</f>
        <v>0</v>
      </c>
      <c r="R148" s="170">
        <f>IFERROR(__xludf.DUMMYFUNCTION("IFERROR(Q148 * (1 + AVERAGE(Filter('Inflation Data'!$C:$C,'Inflation Data'!$A:$A = R$1))) + 'Fund YTD Contributions'!R148,'Fund YTD Contributions'!R148)"),0.0)</f>
        <v>0</v>
      </c>
      <c r="S148" s="170">
        <f>IFERROR(__xludf.DUMMYFUNCTION("IFERROR(R148 * (1 + AVERAGE(Filter('Inflation Data'!$C:$C,'Inflation Data'!$A:$A = S$1))) + 'Fund YTD Contributions'!S148,'Fund YTD Contributions'!S148)"),0.0)</f>
        <v>0</v>
      </c>
      <c r="T148" s="170">
        <f>IFERROR(__xludf.DUMMYFUNCTION("IFERROR(S148 * (1 + AVERAGE(Filter('Inflation Data'!$C:$C,'Inflation Data'!$A:$A = T$1))) + 'Fund YTD Contributions'!T148,'Fund YTD Contributions'!T148)"),0.0)</f>
        <v>0</v>
      </c>
      <c r="U148" s="170">
        <f>IFERROR(__xludf.DUMMYFUNCTION("IFERROR(T148 * (1 + AVERAGE(Filter('Inflation Data'!$C:$C,'Inflation Data'!$A:$A = U$1))) + 'Fund YTD Contributions'!U148,'Fund YTD Contributions'!U148)"),0.0)</f>
        <v>0</v>
      </c>
      <c r="V148" s="170">
        <f>IFERROR(__xludf.DUMMYFUNCTION("IFERROR(U148 * (1 + AVERAGE(Filter('Inflation Data'!$C:$C,'Inflation Data'!$A:$A = V$1))) + 'Fund YTD Contributions'!V148,'Fund YTD Contributions'!V148)"),0.0)</f>
        <v>0</v>
      </c>
      <c r="W148" s="170">
        <f>IFERROR(__xludf.DUMMYFUNCTION("IFERROR(V148 * (1 + AVERAGE(Filter('Inflation Data'!$C:$C,'Inflation Data'!$A:$A = W$1))) + 'Fund YTD Contributions'!W148,'Fund YTD Contributions'!W148)"),0.0)</f>
        <v>0</v>
      </c>
      <c r="X148" s="170">
        <f>IFERROR(__xludf.DUMMYFUNCTION("IFERROR(W148 * (1 + AVERAGE(Filter('Inflation Data'!$C:$C,'Inflation Data'!$A:$A = X$1))) + 'Fund YTD Contributions'!X148,'Fund YTD Contributions'!X148)"),0.0)</f>
        <v>0</v>
      </c>
      <c r="Y148" s="170">
        <f>IFERROR(__xludf.DUMMYFUNCTION("IFERROR(X148 * (1 + AVERAGE(Filter('Inflation Data'!$C:$C,'Inflation Data'!$A:$A = Y$1))) + 'Fund YTD Contributions'!Y148,'Fund YTD Contributions'!Y148)"),0.0)</f>
        <v>0</v>
      </c>
      <c r="Z148" s="170">
        <f>IFERROR(__xludf.DUMMYFUNCTION("IFERROR(Y148 * (1 + AVERAGE(Filter('Inflation Data'!$C:$C,'Inflation Data'!$A:$A = Z$1))) + 'Fund YTD Contributions'!Z148,'Fund YTD Contributions'!Z148)"),0.0)</f>
        <v>0</v>
      </c>
      <c r="AA148" s="170"/>
      <c r="AB148" s="170"/>
      <c r="AC148" s="170"/>
      <c r="AD148" s="170"/>
      <c r="AE148" s="170"/>
      <c r="AF148" s="170"/>
    </row>
    <row r="149">
      <c r="A149" s="145" t="str">
        <f>'Endowed Funds'!B:B</f>
        <v/>
      </c>
      <c r="B149" s="170">
        <f>IFERROR(__xludf.DUMMYFUNCTION("IFERROR(A149 * (1 + AVERAGE(Filter('Inflation Data'!$C:$C,'Inflation Data'!$A:$A = B$1))) + 'Fund YTD Contributions'!B149,'Fund YTD Contributions'!B149)"),0.0)</f>
        <v>0</v>
      </c>
      <c r="C149" s="170">
        <f>IFERROR(__xludf.DUMMYFUNCTION("IFERROR(B149 * (1 + AVERAGE(Filter('Inflation Data'!$C:$C,'Inflation Data'!$A:$A = C$1))) + 'Fund YTD Contributions'!C149,'Fund YTD Contributions'!C149)"),0.0)</f>
        <v>0</v>
      </c>
      <c r="D149" s="170">
        <f>IFERROR(__xludf.DUMMYFUNCTION("IFERROR(C149 * (1 + AVERAGE(Filter('Inflation Data'!$C:$C,'Inflation Data'!$A:$A = D$1))) + 'Fund YTD Contributions'!D149,'Fund YTD Contributions'!D149)"),0.0)</f>
        <v>0</v>
      </c>
      <c r="E149" s="170">
        <f>IFERROR(__xludf.DUMMYFUNCTION("IFERROR(D149 * (1 + AVERAGE(Filter('Inflation Data'!$C:$C,'Inflation Data'!$A:$A = E$1))) + 'Fund YTD Contributions'!E149,'Fund YTD Contributions'!E149)"),0.0)</f>
        <v>0</v>
      </c>
      <c r="F149" s="170">
        <f>IFERROR(__xludf.DUMMYFUNCTION("IFERROR(E149 * (1 + AVERAGE(Filter('Inflation Data'!$C:$C,'Inflation Data'!$A:$A = F$1))) + 'Fund YTD Contributions'!F149,'Fund YTD Contributions'!F149)"),0.0)</f>
        <v>0</v>
      </c>
      <c r="G149" s="170">
        <f>IFERROR(__xludf.DUMMYFUNCTION("IFERROR(F149 * (1 + AVERAGE(Filter('Inflation Data'!$C:$C,'Inflation Data'!$A:$A = G$1))) + 'Fund YTD Contributions'!G149,'Fund YTD Contributions'!G149)"),0.0)</f>
        <v>0</v>
      </c>
      <c r="H149" s="170">
        <f>IFERROR(__xludf.DUMMYFUNCTION("IFERROR(G149 * (1 + AVERAGE(Filter('Inflation Data'!$C:$C,'Inflation Data'!$A:$A = H$1))) + 'Fund YTD Contributions'!H149,'Fund YTD Contributions'!H149)"),0.0)</f>
        <v>0</v>
      </c>
      <c r="I149" s="170">
        <f>IFERROR(__xludf.DUMMYFUNCTION("IFERROR(H149 * (1 + AVERAGE(Filter('Inflation Data'!$C:$C,'Inflation Data'!$A:$A = I$1))) + 'Fund YTD Contributions'!I149,'Fund YTD Contributions'!I149)"),0.0)</f>
        <v>0</v>
      </c>
      <c r="J149" s="170">
        <f>IFERROR(__xludf.DUMMYFUNCTION("IFERROR(I149 * (1 + AVERAGE(Filter('Inflation Data'!$C:$C,'Inflation Data'!$A:$A = J$1))) + 'Fund YTD Contributions'!J149,'Fund YTD Contributions'!J149)"),0.0)</f>
        <v>0</v>
      </c>
      <c r="K149" s="170">
        <f>IFERROR(__xludf.DUMMYFUNCTION("IFERROR(J149 * (1 + AVERAGE(Filter('Inflation Data'!$C:$C,'Inflation Data'!$A:$A = K$1))) + 'Fund YTD Contributions'!K149,'Fund YTD Contributions'!K149)"),0.0)</f>
        <v>0</v>
      </c>
      <c r="L149" s="170">
        <f>IFERROR(__xludf.DUMMYFUNCTION("IFERROR(K149 * (1 + AVERAGE(Filter('Inflation Data'!$C:$C,'Inflation Data'!$A:$A = L$1))) + 'Fund YTD Contributions'!L149,'Fund YTD Contributions'!L149)"),0.0)</f>
        <v>0</v>
      </c>
      <c r="M149" s="170">
        <f>IFERROR(__xludf.DUMMYFUNCTION("IFERROR(L149 * (1 + AVERAGE(Filter('Inflation Data'!$C:$C,'Inflation Data'!$A:$A = M$1))) + 'Fund YTD Contributions'!M149,'Fund YTD Contributions'!M149)"),0.0)</f>
        <v>0</v>
      </c>
      <c r="N149" s="170">
        <f>IFERROR(__xludf.DUMMYFUNCTION("IFERROR(M149 * (1 + AVERAGE(Filter('Inflation Data'!$C:$C,'Inflation Data'!$A:$A = N$1))) + 'Fund YTD Contributions'!N149,'Fund YTD Contributions'!N149)"),0.0)</f>
        <v>0</v>
      </c>
      <c r="O149" s="170">
        <f>IFERROR(__xludf.DUMMYFUNCTION("IFERROR(N149 * (1 + AVERAGE(Filter('Inflation Data'!$C:$C,'Inflation Data'!$A:$A = O$1))) + 'Fund YTD Contributions'!O149,'Fund YTD Contributions'!O149)"),0.0)</f>
        <v>0</v>
      </c>
      <c r="P149" s="170">
        <f>IFERROR(__xludf.DUMMYFUNCTION("IFERROR(O149 * (1 + AVERAGE(Filter('Inflation Data'!$C:$C,'Inflation Data'!$A:$A = P$1))) + 'Fund YTD Contributions'!P149,'Fund YTD Contributions'!P149)"),0.0)</f>
        <v>0</v>
      </c>
      <c r="Q149" s="170">
        <f>IFERROR(__xludf.DUMMYFUNCTION("IFERROR(P149 * (1 + AVERAGE(Filter('Inflation Data'!$C:$C,'Inflation Data'!$A:$A = Q$1))) + 'Fund YTD Contributions'!Q149,'Fund YTD Contributions'!Q149)"),0.0)</f>
        <v>0</v>
      </c>
      <c r="R149" s="170">
        <f>IFERROR(__xludf.DUMMYFUNCTION("IFERROR(Q149 * (1 + AVERAGE(Filter('Inflation Data'!$C:$C,'Inflation Data'!$A:$A = R$1))) + 'Fund YTD Contributions'!R149,'Fund YTD Contributions'!R149)"),0.0)</f>
        <v>0</v>
      </c>
      <c r="S149" s="170">
        <f>IFERROR(__xludf.DUMMYFUNCTION("IFERROR(R149 * (1 + AVERAGE(Filter('Inflation Data'!$C:$C,'Inflation Data'!$A:$A = S$1))) + 'Fund YTD Contributions'!S149,'Fund YTD Contributions'!S149)"),0.0)</f>
        <v>0</v>
      </c>
      <c r="T149" s="170">
        <f>IFERROR(__xludf.DUMMYFUNCTION("IFERROR(S149 * (1 + AVERAGE(Filter('Inflation Data'!$C:$C,'Inflation Data'!$A:$A = T$1))) + 'Fund YTD Contributions'!T149,'Fund YTD Contributions'!T149)"),0.0)</f>
        <v>0</v>
      </c>
      <c r="U149" s="170">
        <f>IFERROR(__xludf.DUMMYFUNCTION("IFERROR(T149 * (1 + AVERAGE(Filter('Inflation Data'!$C:$C,'Inflation Data'!$A:$A = U$1))) + 'Fund YTD Contributions'!U149,'Fund YTD Contributions'!U149)"),0.0)</f>
        <v>0</v>
      </c>
      <c r="V149" s="170">
        <f>IFERROR(__xludf.DUMMYFUNCTION("IFERROR(U149 * (1 + AVERAGE(Filter('Inflation Data'!$C:$C,'Inflation Data'!$A:$A = V$1))) + 'Fund YTD Contributions'!V149,'Fund YTD Contributions'!V149)"),0.0)</f>
        <v>0</v>
      </c>
      <c r="W149" s="170">
        <f>IFERROR(__xludf.DUMMYFUNCTION("IFERROR(V149 * (1 + AVERAGE(Filter('Inflation Data'!$C:$C,'Inflation Data'!$A:$A = W$1))) + 'Fund YTD Contributions'!W149,'Fund YTD Contributions'!W149)"),0.0)</f>
        <v>0</v>
      </c>
      <c r="X149" s="170">
        <f>IFERROR(__xludf.DUMMYFUNCTION("IFERROR(W149 * (1 + AVERAGE(Filter('Inflation Data'!$C:$C,'Inflation Data'!$A:$A = X$1))) + 'Fund YTD Contributions'!X149,'Fund YTD Contributions'!X149)"),0.0)</f>
        <v>0</v>
      </c>
      <c r="Y149" s="170">
        <f>IFERROR(__xludf.DUMMYFUNCTION("IFERROR(X149 * (1 + AVERAGE(Filter('Inflation Data'!$C:$C,'Inflation Data'!$A:$A = Y$1))) + 'Fund YTD Contributions'!Y149,'Fund YTD Contributions'!Y149)"),0.0)</f>
        <v>0</v>
      </c>
      <c r="Z149" s="170">
        <f>IFERROR(__xludf.DUMMYFUNCTION("IFERROR(Y149 * (1 + AVERAGE(Filter('Inflation Data'!$C:$C,'Inflation Data'!$A:$A = Z$1))) + 'Fund YTD Contributions'!Z149,'Fund YTD Contributions'!Z149)"),0.0)</f>
        <v>0</v>
      </c>
      <c r="AA149" s="170"/>
      <c r="AB149" s="170"/>
      <c r="AC149" s="170"/>
      <c r="AD149" s="170"/>
      <c r="AE149" s="170"/>
      <c r="AF149" s="170"/>
    </row>
    <row r="150">
      <c r="A150" s="145" t="str">
        <f>'Endowed Funds'!B:B</f>
        <v/>
      </c>
      <c r="B150" s="170">
        <f>IFERROR(__xludf.DUMMYFUNCTION("IFERROR(A150 * (1 + AVERAGE(Filter('Inflation Data'!$C:$C,'Inflation Data'!$A:$A = B$1))) + 'Fund YTD Contributions'!B150,'Fund YTD Contributions'!B150)"),0.0)</f>
        <v>0</v>
      </c>
      <c r="C150" s="170">
        <f>IFERROR(__xludf.DUMMYFUNCTION("IFERROR(B150 * (1 + AVERAGE(Filter('Inflation Data'!$C:$C,'Inflation Data'!$A:$A = C$1))) + 'Fund YTD Contributions'!C150,'Fund YTD Contributions'!C150)"),0.0)</f>
        <v>0</v>
      </c>
      <c r="D150" s="170">
        <f>IFERROR(__xludf.DUMMYFUNCTION("IFERROR(C150 * (1 + AVERAGE(Filter('Inflation Data'!$C:$C,'Inflation Data'!$A:$A = D$1))) + 'Fund YTD Contributions'!D150,'Fund YTD Contributions'!D150)"),0.0)</f>
        <v>0</v>
      </c>
      <c r="E150" s="170">
        <f>IFERROR(__xludf.DUMMYFUNCTION("IFERROR(D150 * (1 + AVERAGE(Filter('Inflation Data'!$C:$C,'Inflation Data'!$A:$A = E$1))) + 'Fund YTD Contributions'!E150,'Fund YTD Contributions'!E150)"),0.0)</f>
        <v>0</v>
      </c>
      <c r="F150" s="170">
        <f>IFERROR(__xludf.DUMMYFUNCTION("IFERROR(E150 * (1 + AVERAGE(Filter('Inflation Data'!$C:$C,'Inflation Data'!$A:$A = F$1))) + 'Fund YTD Contributions'!F150,'Fund YTD Contributions'!F150)"),0.0)</f>
        <v>0</v>
      </c>
      <c r="G150" s="170">
        <f>IFERROR(__xludf.DUMMYFUNCTION("IFERROR(F150 * (1 + AVERAGE(Filter('Inflation Data'!$C:$C,'Inflation Data'!$A:$A = G$1))) + 'Fund YTD Contributions'!G150,'Fund YTD Contributions'!G150)"),0.0)</f>
        <v>0</v>
      </c>
      <c r="H150" s="170">
        <f>IFERROR(__xludf.DUMMYFUNCTION("IFERROR(G150 * (1 + AVERAGE(Filter('Inflation Data'!$C:$C,'Inflation Data'!$A:$A = H$1))) + 'Fund YTD Contributions'!H150,'Fund YTD Contributions'!H150)"),0.0)</f>
        <v>0</v>
      </c>
      <c r="I150" s="170">
        <f>IFERROR(__xludf.DUMMYFUNCTION("IFERROR(H150 * (1 + AVERAGE(Filter('Inflation Data'!$C:$C,'Inflation Data'!$A:$A = I$1))) + 'Fund YTD Contributions'!I150,'Fund YTD Contributions'!I150)"),0.0)</f>
        <v>0</v>
      </c>
      <c r="J150" s="170">
        <f>IFERROR(__xludf.DUMMYFUNCTION("IFERROR(I150 * (1 + AVERAGE(Filter('Inflation Data'!$C:$C,'Inflation Data'!$A:$A = J$1))) + 'Fund YTD Contributions'!J150,'Fund YTD Contributions'!J150)"),0.0)</f>
        <v>0</v>
      </c>
      <c r="K150" s="170">
        <f>IFERROR(__xludf.DUMMYFUNCTION("IFERROR(J150 * (1 + AVERAGE(Filter('Inflation Data'!$C:$C,'Inflation Data'!$A:$A = K$1))) + 'Fund YTD Contributions'!K150,'Fund YTD Contributions'!K150)"),0.0)</f>
        <v>0</v>
      </c>
      <c r="L150" s="170">
        <f>IFERROR(__xludf.DUMMYFUNCTION("IFERROR(K150 * (1 + AVERAGE(Filter('Inflation Data'!$C:$C,'Inflation Data'!$A:$A = L$1))) + 'Fund YTD Contributions'!L150,'Fund YTD Contributions'!L150)"),0.0)</f>
        <v>0</v>
      </c>
      <c r="M150" s="170">
        <f>IFERROR(__xludf.DUMMYFUNCTION("IFERROR(L150 * (1 + AVERAGE(Filter('Inflation Data'!$C:$C,'Inflation Data'!$A:$A = M$1))) + 'Fund YTD Contributions'!M150,'Fund YTD Contributions'!M150)"),0.0)</f>
        <v>0</v>
      </c>
      <c r="N150" s="170">
        <f>IFERROR(__xludf.DUMMYFUNCTION("IFERROR(M150 * (1 + AVERAGE(Filter('Inflation Data'!$C:$C,'Inflation Data'!$A:$A = N$1))) + 'Fund YTD Contributions'!N150,'Fund YTD Contributions'!N150)"),0.0)</f>
        <v>0</v>
      </c>
      <c r="O150" s="170">
        <f>IFERROR(__xludf.DUMMYFUNCTION("IFERROR(N150 * (1 + AVERAGE(Filter('Inflation Data'!$C:$C,'Inflation Data'!$A:$A = O$1))) + 'Fund YTD Contributions'!O150,'Fund YTD Contributions'!O150)"),0.0)</f>
        <v>0</v>
      </c>
      <c r="P150" s="170">
        <f>IFERROR(__xludf.DUMMYFUNCTION("IFERROR(O150 * (1 + AVERAGE(Filter('Inflation Data'!$C:$C,'Inflation Data'!$A:$A = P$1))) + 'Fund YTD Contributions'!P150,'Fund YTD Contributions'!P150)"),0.0)</f>
        <v>0</v>
      </c>
      <c r="Q150" s="170">
        <f>IFERROR(__xludf.DUMMYFUNCTION("IFERROR(P150 * (1 + AVERAGE(Filter('Inflation Data'!$C:$C,'Inflation Data'!$A:$A = Q$1))) + 'Fund YTD Contributions'!Q150,'Fund YTD Contributions'!Q150)"),0.0)</f>
        <v>0</v>
      </c>
      <c r="R150" s="170">
        <f>IFERROR(__xludf.DUMMYFUNCTION("IFERROR(Q150 * (1 + AVERAGE(Filter('Inflation Data'!$C:$C,'Inflation Data'!$A:$A = R$1))) + 'Fund YTD Contributions'!R150,'Fund YTD Contributions'!R150)"),0.0)</f>
        <v>0</v>
      </c>
      <c r="S150" s="170">
        <f>IFERROR(__xludf.DUMMYFUNCTION("IFERROR(R150 * (1 + AVERAGE(Filter('Inflation Data'!$C:$C,'Inflation Data'!$A:$A = S$1))) + 'Fund YTD Contributions'!S150,'Fund YTD Contributions'!S150)"),0.0)</f>
        <v>0</v>
      </c>
      <c r="T150" s="170">
        <f>IFERROR(__xludf.DUMMYFUNCTION("IFERROR(S150 * (1 + AVERAGE(Filter('Inflation Data'!$C:$C,'Inflation Data'!$A:$A = T$1))) + 'Fund YTD Contributions'!T150,'Fund YTD Contributions'!T150)"),0.0)</f>
        <v>0</v>
      </c>
      <c r="U150" s="170">
        <f>IFERROR(__xludf.DUMMYFUNCTION("IFERROR(T150 * (1 + AVERAGE(Filter('Inflation Data'!$C:$C,'Inflation Data'!$A:$A = U$1))) + 'Fund YTD Contributions'!U150,'Fund YTD Contributions'!U150)"),0.0)</f>
        <v>0</v>
      </c>
      <c r="V150" s="170">
        <f>IFERROR(__xludf.DUMMYFUNCTION("IFERROR(U150 * (1 + AVERAGE(Filter('Inflation Data'!$C:$C,'Inflation Data'!$A:$A = V$1))) + 'Fund YTD Contributions'!V150,'Fund YTD Contributions'!V150)"),0.0)</f>
        <v>0</v>
      </c>
      <c r="W150" s="170">
        <f>IFERROR(__xludf.DUMMYFUNCTION("IFERROR(V150 * (1 + AVERAGE(Filter('Inflation Data'!$C:$C,'Inflation Data'!$A:$A = W$1))) + 'Fund YTD Contributions'!W150,'Fund YTD Contributions'!W150)"),0.0)</f>
        <v>0</v>
      </c>
      <c r="X150" s="170">
        <f>IFERROR(__xludf.DUMMYFUNCTION("IFERROR(W150 * (1 + AVERAGE(Filter('Inflation Data'!$C:$C,'Inflation Data'!$A:$A = X$1))) + 'Fund YTD Contributions'!X150,'Fund YTD Contributions'!X150)"),0.0)</f>
        <v>0</v>
      </c>
      <c r="Y150" s="170">
        <f>IFERROR(__xludf.DUMMYFUNCTION("IFERROR(X150 * (1 + AVERAGE(Filter('Inflation Data'!$C:$C,'Inflation Data'!$A:$A = Y$1))) + 'Fund YTD Contributions'!Y150,'Fund YTD Contributions'!Y150)"),0.0)</f>
        <v>0</v>
      </c>
      <c r="Z150" s="170">
        <f>IFERROR(__xludf.DUMMYFUNCTION("IFERROR(Y150 * (1 + AVERAGE(Filter('Inflation Data'!$C:$C,'Inflation Data'!$A:$A = Z$1))) + 'Fund YTD Contributions'!Z150,'Fund YTD Contributions'!Z150)"),0.0)</f>
        <v>0</v>
      </c>
      <c r="AA150" s="170"/>
      <c r="AB150" s="170"/>
      <c r="AC150" s="170"/>
      <c r="AD150" s="170"/>
      <c r="AE150" s="170"/>
      <c r="AF150" s="170"/>
    </row>
    <row r="151">
      <c r="A151" s="145" t="str">
        <f>'Endowed Funds'!B:B</f>
        <v/>
      </c>
      <c r="B151" s="170">
        <f>IFERROR(__xludf.DUMMYFUNCTION("IFERROR(A151 * (1 + AVERAGE(Filter('Inflation Data'!$C:$C,'Inflation Data'!$A:$A = B$1))) + 'Fund YTD Contributions'!B151,'Fund YTD Contributions'!B151)"),0.0)</f>
        <v>0</v>
      </c>
      <c r="C151" s="170">
        <f>IFERROR(__xludf.DUMMYFUNCTION("IFERROR(B151 * (1 + AVERAGE(Filter('Inflation Data'!$C:$C,'Inflation Data'!$A:$A = C$1))) + 'Fund YTD Contributions'!C151,'Fund YTD Contributions'!C151)"),0.0)</f>
        <v>0</v>
      </c>
      <c r="D151" s="170">
        <f>IFERROR(__xludf.DUMMYFUNCTION("IFERROR(C151 * (1 + AVERAGE(Filter('Inflation Data'!$C:$C,'Inflation Data'!$A:$A = D$1))) + 'Fund YTD Contributions'!D151,'Fund YTD Contributions'!D151)"),0.0)</f>
        <v>0</v>
      </c>
      <c r="E151" s="170">
        <f>IFERROR(__xludf.DUMMYFUNCTION("IFERROR(D151 * (1 + AVERAGE(Filter('Inflation Data'!$C:$C,'Inflation Data'!$A:$A = E$1))) + 'Fund YTD Contributions'!E151,'Fund YTD Contributions'!E151)"),0.0)</f>
        <v>0</v>
      </c>
      <c r="F151" s="170">
        <f>IFERROR(__xludf.DUMMYFUNCTION("IFERROR(E151 * (1 + AVERAGE(Filter('Inflation Data'!$C:$C,'Inflation Data'!$A:$A = F$1))) + 'Fund YTD Contributions'!F151,'Fund YTD Contributions'!F151)"),0.0)</f>
        <v>0</v>
      </c>
      <c r="G151" s="170">
        <f>IFERROR(__xludf.DUMMYFUNCTION("IFERROR(F151 * (1 + AVERAGE(Filter('Inflation Data'!$C:$C,'Inflation Data'!$A:$A = G$1))) + 'Fund YTD Contributions'!G151,'Fund YTD Contributions'!G151)"),0.0)</f>
        <v>0</v>
      </c>
      <c r="H151" s="170">
        <f>IFERROR(__xludf.DUMMYFUNCTION("IFERROR(G151 * (1 + AVERAGE(Filter('Inflation Data'!$C:$C,'Inflation Data'!$A:$A = H$1))) + 'Fund YTD Contributions'!H151,'Fund YTD Contributions'!H151)"),0.0)</f>
        <v>0</v>
      </c>
      <c r="I151" s="170">
        <f>IFERROR(__xludf.DUMMYFUNCTION("IFERROR(H151 * (1 + AVERAGE(Filter('Inflation Data'!$C:$C,'Inflation Data'!$A:$A = I$1))) + 'Fund YTD Contributions'!I151,'Fund YTD Contributions'!I151)"),0.0)</f>
        <v>0</v>
      </c>
      <c r="J151" s="170">
        <f>IFERROR(__xludf.DUMMYFUNCTION("IFERROR(I151 * (1 + AVERAGE(Filter('Inflation Data'!$C:$C,'Inflation Data'!$A:$A = J$1))) + 'Fund YTD Contributions'!J151,'Fund YTD Contributions'!J151)"),0.0)</f>
        <v>0</v>
      </c>
      <c r="K151" s="170">
        <f>IFERROR(__xludf.DUMMYFUNCTION("IFERROR(J151 * (1 + AVERAGE(Filter('Inflation Data'!$C:$C,'Inflation Data'!$A:$A = K$1))) + 'Fund YTD Contributions'!K151,'Fund YTD Contributions'!K151)"),0.0)</f>
        <v>0</v>
      </c>
      <c r="L151" s="170">
        <f>IFERROR(__xludf.DUMMYFUNCTION("IFERROR(K151 * (1 + AVERAGE(Filter('Inflation Data'!$C:$C,'Inflation Data'!$A:$A = L$1))) + 'Fund YTD Contributions'!L151,'Fund YTD Contributions'!L151)"),0.0)</f>
        <v>0</v>
      </c>
      <c r="M151" s="170">
        <f>IFERROR(__xludf.DUMMYFUNCTION("IFERROR(L151 * (1 + AVERAGE(Filter('Inflation Data'!$C:$C,'Inflation Data'!$A:$A = M$1))) + 'Fund YTD Contributions'!M151,'Fund YTD Contributions'!M151)"),0.0)</f>
        <v>0</v>
      </c>
      <c r="N151" s="170">
        <f>IFERROR(__xludf.DUMMYFUNCTION("IFERROR(M151 * (1 + AVERAGE(Filter('Inflation Data'!$C:$C,'Inflation Data'!$A:$A = N$1))) + 'Fund YTD Contributions'!N151,'Fund YTD Contributions'!N151)"),0.0)</f>
        <v>0</v>
      </c>
      <c r="O151" s="170">
        <f>IFERROR(__xludf.DUMMYFUNCTION("IFERROR(N151 * (1 + AVERAGE(Filter('Inflation Data'!$C:$C,'Inflation Data'!$A:$A = O$1))) + 'Fund YTD Contributions'!O151,'Fund YTD Contributions'!O151)"),0.0)</f>
        <v>0</v>
      </c>
      <c r="P151" s="170">
        <f>IFERROR(__xludf.DUMMYFUNCTION("IFERROR(O151 * (1 + AVERAGE(Filter('Inflation Data'!$C:$C,'Inflation Data'!$A:$A = P$1))) + 'Fund YTD Contributions'!P151,'Fund YTD Contributions'!P151)"),0.0)</f>
        <v>0</v>
      </c>
      <c r="Q151" s="170">
        <f>IFERROR(__xludf.DUMMYFUNCTION("IFERROR(P151 * (1 + AVERAGE(Filter('Inflation Data'!$C:$C,'Inflation Data'!$A:$A = Q$1))) + 'Fund YTD Contributions'!Q151,'Fund YTD Contributions'!Q151)"),0.0)</f>
        <v>0</v>
      </c>
      <c r="R151" s="170">
        <f>IFERROR(__xludf.DUMMYFUNCTION("IFERROR(Q151 * (1 + AVERAGE(Filter('Inflation Data'!$C:$C,'Inflation Data'!$A:$A = R$1))) + 'Fund YTD Contributions'!R151,'Fund YTD Contributions'!R151)"),0.0)</f>
        <v>0</v>
      </c>
      <c r="S151" s="170">
        <f>IFERROR(__xludf.DUMMYFUNCTION("IFERROR(R151 * (1 + AVERAGE(Filter('Inflation Data'!$C:$C,'Inflation Data'!$A:$A = S$1))) + 'Fund YTD Contributions'!S151,'Fund YTD Contributions'!S151)"),0.0)</f>
        <v>0</v>
      </c>
      <c r="T151" s="170">
        <f>IFERROR(__xludf.DUMMYFUNCTION("IFERROR(S151 * (1 + AVERAGE(Filter('Inflation Data'!$C:$C,'Inflation Data'!$A:$A = T$1))) + 'Fund YTD Contributions'!T151,'Fund YTD Contributions'!T151)"),0.0)</f>
        <v>0</v>
      </c>
      <c r="U151" s="170">
        <f>IFERROR(__xludf.DUMMYFUNCTION("IFERROR(T151 * (1 + AVERAGE(Filter('Inflation Data'!$C:$C,'Inflation Data'!$A:$A = U$1))) + 'Fund YTD Contributions'!U151,'Fund YTD Contributions'!U151)"),0.0)</f>
        <v>0</v>
      </c>
      <c r="V151" s="170">
        <f>IFERROR(__xludf.DUMMYFUNCTION("IFERROR(U151 * (1 + AVERAGE(Filter('Inflation Data'!$C:$C,'Inflation Data'!$A:$A = V$1))) + 'Fund YTD Contributions'!V151,'Fund YTD Contributions'!V151)"),0.0)</f>
        <v>0</v>
      </c>
      <c r="W151" s="170">
        <f>IFERROR(__xludf.DUMMYFUNCTION("IFERROR(V151 * (1 + AVERAGE(Filter('Inflation Data'!$C:$C,'Inflation Data'!$A:$A = W$1))) + 'Fund YTD Contributions'!W151,'Fund YTD Contributions'!W151)"),0.0)</f>
        <v>0</v>
      </c>
      <c r="X151" s="170">
        <f>IFERROR(__xludf.DUMMYFUNCTION("IFERROR(W151 * (1 + AVERAGE(Filter('Inflation Data'!$C:$C,'Inflation Data'!$A:$A = X$1))) + 'Fund YTD Contributions'!X151,'Fund YTD Contributions'!X151)"),0.0)</f>
        <v>0</v>
      </c>
      <c r="Y151" s="170">
        <f>IFERROR(__xludf.DUMMYFUNCTION("IFERROR(X151 * (1 + AVERAGE(Filter('Inflation Data'!$C:$C,'Inflation Data'!$A:$A = Y$1))) + 'Fund YTD Contributions'!Y151,'Fund YTD Contributions'!Y151)"),0.0)</f>
        <v>0</v>
      </c>
      <c r="Z151" s="170">
        <f>IFERROR(__xludf.DUMMYFUNCTION("IFERROR(Y151 * (1 + AVERAGE(Filter('Inflation Data'!$C:$C,'Inflation Data'!$A:$A = Z$1))) + 'Fund YTD Contributions'!Z151,'Fund YTD Contributions'!Z151)"),0.0)</f>
        <v>0</v>
      </c>
      <c r="AA151" s="170"/>
      <c r="AB151" s="170"/>
      <c r="AC151" s="170"/>
      <c r="AD151" s="170"/>
      <c r="AE151" s="170"/>
      <c r="AF151" s="170"/>
    </row>
    <row r="152">
      <c r="A152" s="145" t="str">
        <f>'Endowed Funds'!B:B</f>
        <v/>
      </c>
      <c r="B152" s="170">
        <f>IFERROR(__xludf.DUMMYFUNCTION("IFERROR(A152 * (1 + AVERAGE(Filter('Inflation Data'!$C:$C,'Inflation Data'!$A:$A = B$1))) + 'Fund YTD Contributions'!B152,'Fund YTD Contributions'!B152)"),0.0)</f>
        <v>0</v>
      </c>
      <c r="C152" s="170">
        <f>IFERROR(__xludf.DUMMYFUNCTION("IFERROR(B152 * (1 + AVERAGE(Filter('Inflation Data'!$C:$C,'Inflation Data'!$A:$A = C$1))) + 'Fund YTD Contributions'!C152,'Fund YTD Contributions'!C152)"),0.0)</f>
        <v>0</v>
      </c>
      <c r="D152" s="170">
        <f>IFERROR(__xludf.DUMMYFUNCTION("IFERROR(C152 * (1 + AVERAGE(Filter('Inflation Data'!$C:$C,'Inflation Data'!$A:$A = D$1))) + 'Fund YTD Contributions'!D152,'Fund YTD Contributions'!D152)"),0.0)</f>
        <v>0</v>
      </c>
      <c r="E152" s="170">
        <f>IFERROR(__xludf.DUMMYFUNCTION("IFERROR(D152 * (1 + AVERAGE(Filter('Inflation Data'!$C:$C,'Inflation Data'!$A:$A = E$1))) + 'Fund YTD Contributions'!E152,'Fund YTD Contributions'!E152)"),0.0)</f>
        <v>0</v>
      </c>
      <c r="F152" s="170">
        <f>IFERROR(__xludf.DUMMYFUNCTION("IFERROR(E152 * (1 + AVERAGE(Filter('Inflation Data'!$C:$C,'Inflation Data'!$A:$A = F$1))) + 'Fund YTD Contributions'!F152,'Fund YTD Contributions'!F152)"),0.0)</f>
        <v>0</v>
      </c>
      <c r="G152" s="170">
        <f>IFERROR(__xludf.DUMMYFUNCTION("IFERROR(F152 * (1 + AVERAGE(Filter('Inflation Data'!$C:$C,'Inflation Data'!$A:$A = G$1))) + 'Fund YTD Contributions'!G152,'Fund YTD Contributions'!G152)"),0.0)</f>
        <v>0</v>
      </c>
      <c r="H152" s="170">
        <f>IFERROR(__xludf.DUMMYFUNCTION("IFERROR(G152 * (1 + AVERAGE(Filter('Inflation Data'!$C:$C,'Inflation Data'!$A:$A = H$1))) + 'Fund YTD Contributions'!H152,'Fund YTD Contributions'!H152)"),0.0)</f>
        <v>0</v>
      </c>
      <c r="I152" s="170">
        <f>IFERROR(__xludf.DUMMYFUNCTION("IFERROR(H152 * (1 + AVERAGE(Filter('Inflation Data'!$C:$C,'Inflation Data'!$A:$A = I$1))) + 'Fund YTD Contributions'!I152,'Fund YTD Contributions'!I152)"),0.0)</f>
        <v>0</v>
      </c>
      <c r="J152" s="170">
        <f>IFERROR(__xludf.DUMMYFUNCTION("IFERROR(I152 * (1 + AVERAGE(Filter('Inflation Data'!$C:$C,'Inflation Data'!$A:$A = J$1))) + 'Fund YTD Contributions'!J152,'Fund YTD Contributions'!J152)"),0.0)</f>
        <v>0</v>
      </c>
      <c r="K152" s="170">
        <f>IFERROR(__xludf.DUMMYFUNCTION("IFERROR(J152 * (1 + AVERAGE(Filter('Inflation Data'!$C:$C,'Inflation Data'!$A:$A = K$1))) + 'Fund YTD Contributions'!K152,'Fund YTD Contributions'!K152)"),0.0)</f>
        <v>0</v>
      </c>
      <c r="L152" s="170">
        <f>IFERROR(__xludf.DUMMYFUNCTION("IFERROR(K152 * (1 + AVERAGE(Filter('Inflation Data'!$C:$C,'Inflation Data'!$A:$A = L$1))) + 'Fund YTD Contributions'!L152,'Fund YTD Contributions'!L152)"),0.0)</f>
        <v>0</v>
      </c>
      <c r="M152" s="170">
        <f>IFERROR(__xludf.DUMMYFUNCTION("IFERROR(L152 * (1 + AVERAGE(Filter('Inflation Data'!$C:$C,'Inflation Data'!$A:$A = M$1))) + 'Fund YTD Contributions'!M152,'Fund YTD Contributions'!M152)"),0.0)</f>
        <v>0</v>
      </c>
      <c r="N152" s="170">
        <f>IFERROR(__xludf.DUMMYFUNCTION("IFERROR(M152 * (1 + AVERAGE(Filter('Inflation Data'!$C:$C,'Inflation Data'!$A:$A = N$1))) + 'Fund YTD Contributions'!N152,'Fund YTD Contributions'!N152)"),0.0)</f>
        <v>0</v>
      </c>
      <c r="O152" s="170">
        <f>IFERROR(__xludf.DUMMYFUNCTION("IFERROR(N152 * (1 + AVERAGE(Filter('Inflation Data'!$C:$C,'Inflation Data'!$A:$A = O$1))) + 'Fund YTD Contributions'!O152,'Fund YTD Contributions'!O152)"),0.0)</f>
        <v>0</v>
      </c>
      <c r="P152" s="170">
        <f>IFERROR(__xludf.DUMMYFUNCTION("IFERROR(O152 * (1 + AVERAGE(Filter('Inflation Data'!$C:$C,'Inflation Data'!$A:$A = P$1))) + 'Fund YTD Contributions'!P152,'Fund YTD Contributions'!P152)"),0.0)</f>
        <v>0</v>
      </c>
      <c r="Q152" s="170">
        <f>IFERROR(__xludf.DUMMYFUNCTION("IFERROR(P152 * (1 + AVERAGE(Filter('Inflation Data'!$C:$C,'Inflation Data'!$A:$A = Q$1))) + 'Fund YTD Contributions'!Q152,'Fund YTD Contributions'!Q152)"),0.0)</f>
        <v>0</v>
      </c>
      <c r="R152" s="170">
        <f>IFERROR(__xludf.DUMMYFUNCTION("IFERROR(Q152 * (1 + AVERAGE(Filter('Inflation Data'!$C:$C,'Inflation Data'!$A:$A = R$1))) + 'Fund YTD Contributions'!R152,'Fund YTD Contributions'!R152)"),0.0)</f>
        <v>0</v>
      </c>
      <c r="S152" s="170">
        <f>IFERROR(__xludf.DUMMYFUNCTION("IFERROR(R152 * (1 + AVERAGE(Filter('Inflation Data'!$C:$C,'Inflation Data'!$A:$A = S$1))) + 'Fund YTD Contributions'!S152,'Fund YTD Contributions'!S152)"),0.0)</f>
        <v>0</v>
      </c>
      <c r="T152" s="170">
        <f>IFERROR(__xludf.DUMMYFUNCTION("IFERROR(S152 * (1 + AVERAGE(Filter('Inflation Data'!$C:$C,'Inflation Data'!$A:$A = T$1))) + 'Fund YTD Contributions'!T152,'Fund YTD Contributions'!T152)"),0.0)</f>
        <v>0</v>
      </c>
      <c r="U152" s="170">
        <f>IFERROR(__xludf.DUMMYFUNCTION("IFERROR(T152 * (1 + AVERAGE(Filter('Inflation Data'!$C:$C,'Inflation Data'!$A:$A = U$1))) + 'Fund YTD Contributions'!U152,'Fund YTD Contributions'!U152)"),0.0)</f>
        <v>0</v>
      </c>
      <c r="V152" s="170">
        <f>IFERROR(__xludf.DUMMYFUNCTION("IFERROR(U152 * (1 + AVERAGE(Filter('Inflation Data'!$C:$C,'Inflation Data'!$A:$A = V$1))) + 'Fund YTD Contributions'!V152,'Fund YTD Contributions'!V152)"),0.0)</f>
        <v>0</v>
      </c>
      <c r="W152" s="170">
        <f>IFERROR(__xludf.DUMMYFUNCTION("IFERROR(V152 * (1 + AVERAGE(Filter('Inflation Data'!$C:$C,'Inflation Data'!$A:$A = W$1))) + 'Fund YTD Contributions'!W152,'Fund YTD Contributions'!W152)"),0.0)</f>
        <v>0</v>
      </c>
      <c r="X152" s="170">
        <f>IFERROR(__xludf.DUMMYFUNCTION("IFERROR(W152 * (1 + AVERAGE(Filter('Inflation Data'!$C:$C,'Inflation Data'!$A:$A = X$1))) + 'Fund YTD Contributions'!X152,'Fund YTD Contributions'!X152)"),0.0)</f>
        <v>0</v>
      </c>
      <c r="Y152" s="170">
        <f>IFERROR(__xludf.DUMMYFUNCTION("IFERROR(X152 * (1 + AVERAGE(Filter('Inflation Data'!$C:$C,'Inflation Data'!$A:$A = Y$1))) + 'Fund YTD Contributions'!Y152,'Fund YTD Contributions'!Y152)"),0.0)</f>
        <v>0</v>
      </c>
      <c r="Z152" s="170">
        <f>IFERROR(__xludf.DUMMYFUNCTION("IFERROR(Y152 * (1 + AVERAGE(Filter('Inflation Data'!$C:$C,'Inflation Data'!$A:$A = Z$1))) + 'Fund YTD Contributions'!Z152,'Fund YTD Contributions'!Z152)"),0.0)</f>
        <v>0</v>
      </c>
      <c r="AA152" s="170"/>
      <c r="AB152" s="170"/>
      <c r="AC152" s="170"/>
      <c r="AD152" s="170"/>
      <c r="AE152" s="170"/>
      <c r="AF152" s="170"/>
    </row>
    <row r="153">
      <c r="A153" s="145" t="str">
        <f>'Endowed Funds'!B:B</f>
        <v/>
      </c>
      <c r="B153" s="170">
        <f>IFERROR(__xludf.DUMMYFUNCTION("IFERROR(A153 * (1 + AVERAGE(Filter('Inflation Data'!$C:$C,'Inflation Data'!$A:$A = B$1))) + 'Fund YTD Contributions'!B153,'Fund YTD Contributions'!B153)"),0.0)</f>
        <v>0</v>
      </c>
      <c r="C153" s="170">
        <f>IFERROR(__xludf.DUMMYFUNCTION("IFERROR(B153 * (1 + AVERAGE(Filter('Inflation Data'!$C:$C,'Inflation Data'!$A:$A = C$1))) + 'Fund YTD Contributions'!C153,'Fund YTD Contributions'!C153)"),0.0)</f>
        <v>0</v>
      </c>
      <c r="D153" s="170">
        <f>IFERROR(__xludf.DUMMYFUNCTION("IFERROR(C153 * (1 + AVERAGE(Filter('Inflation Data'!$C:$C,'Inflation Data'!$A:$A = D$1))) + 'Fund YTD Contributions'!D153,'Fund YTD Contributions'!D153)"),0.0)</f>
        <v>0</v>
      </c>
      <c r="E153" s="170">
        <f>IFERROR(__xludf.DUMMYFUNCTION("IFERROR(D153 * (1 + AVERAGE(Filter('Inflation Data'!$C:$C,'Inflation Data'!$A:$A = E$1))) + 'Fund YTD Contributions'!E153,'Fund YTD Contributions'!E153)"),0.0)</f>
        <v>0</v>
      </c>
      <c r="F153" s="170">
        <f>IFERROR(__xludf.DUMMYFUNCTION("IFERROR(E153 * (1 + AVERAGE(Filter('Inflation Data'!$C:$C,'Inflation Data'!$A:$A = F$1))) + 'Fund YTD Contributions'!F153,'Fund YTD Contributions'!F153)"),0.0)</f>
        <v>0</v>
      </c>
      <c r="G153" s="170">
        <f>IFERROR(__xludf.DUMMYFUNCTION("IFERROR(F153 * (1 + AVERAGE(Filter('Inflation Data'!$C:$C,'Inflation Data'!$A:$A = G$1))) + 'Fund YTD Contributions'!G153,'Fund YTD Contributions'!G153)"),0.0)</f>
        <v>0</v>
      </c>
      <c r="H153" s="170">
        <f>IFERROR(__xludf.DUMMYFUNCTION("IFERROR(G153 * (1 + AVERAGE(Filter('Inflation Data'!$C:$C,'Inflation Data'!$A:$A = H$1))) + 'Fund YTD Contributions'!H153,'Fund YTD Contributions'!H153)"),0.0)</f>
        <v>0</v>
      </c>
      <c r="I153" s="170">
        <f>IFERROR(__xludf.DUMMYFUNCTION("IFERROR(H153 * (1 + AVERAGE(Filter('Inflation Data'!$C:$C,'Inflation Data'!$A:$A = I$1))) + 'Fund YTD Contributions'!I153,'Fund YTD Contributions'!I153)"),0.0)</f>
        <v>0</v>
      </c>
      <c r="J153" s="170">
        <f>IFERROR(__xludf.DUMMYFUNCTION("IFERROR(I153 * (1 + AVERAGE(Filter('Inflation Data'!$C:$C,'Inflation Data'!$A:$A = J$1))) + 'Fund YTD Contributions'!J153,'Fund YTD Contributions'!J153)"),0.0)</f>
        <v>0</v>
      </c>
      <c r="K153" s="170">
        <f>IFERROR(__xludf.DUMMYFUNCTION("IFERROR(J153 * (1 + AVERAGE(Filter('Inflation Data'!$C:$C,'Inflation Data'!$A:$A = K$1))) + 'Fund YTD Contributions'!K153,'Fund YTD Contributions'!K153)"),0.0)</f>
        <v>0</v>
      </c>
      <c r="L153" s="170">
        <f>IFERROR(__xludf.DUMMYFUNCTION("IFERROR(K153 * (1 + AVERAGE(Filter('Inflation Data'!$C:$C,'Inflation Data'!$A:$A = L$1))) + 'Fund YTD Contributions'!L153,'Fund YTD Contributions'!L153)"),0.0)</f>
        <v>0</v>
      </c>
      <c r="M153" s="170">
        <f>IFERROR(__xludf.DUMMYFUNCTION("IFERROR(L153 * (1 + AVERAGE(Filter('Inflation Data'!$C:$C,'Inflation Data'!$A:$A = M$1))) + 'Fund YTD Contributions'!M153,'Fund YTD Contributions'!M153)"),0.0)</f>
        <v>0</v>
      </c>
      <c r="N153" s="170">
        <f>IFERROR(__xludf.DUMMYFUNCTION("IFERROR(M153 * (1 + AVERAGE(Filter('Inflation Data'!$C:$C,'Inflation Data'!$A:$A = N$1))) + 'Fund YTD Contributions'!N153,'Fund YTD Contributions'!N153)"),0.0)</f>
        <v>0</v>
      </c>
      <c r="O153" s="170">
        <f>IFERROR(__xludf.DUMMYFUNCTION("IFERROR(N153 * (1 + AVERAGE(Filter('Inflation Data'!$C:$C,'Inflation Data'!$A:$A = O$1))) + 'Fund YTD Contributions'!O153,'Fund YTD Contributions'!O153)"),0.0)</f>
        <v>0</v>
      </c>
      <c r="P153" s="170">
        <f>IFERROR(__xludf.DUMMYFUNCTION("IFERROR(O153 * (1 + AVERAGE(Filter('Inflation Data'!$C:$C,'Inflation Data'!$A:$A = P$1))) + 'Fund YTD Contributions'!P153,'Fund YTD Contributions'!P153)"),0.0)</f>
        <v>0</v>
      </c>
      <c r="Q153" s="170">
        <f>IFERROR(__xludf.DUMMYFUNCTION("IFERROR(P153 * (1 + AVERAGE(Filter('Inflation Data'!$C:$C,'Inflation Data'!$A:$A = Q$1))) + 'Fund YTD Contributions'!Q153,'Fund YTD Contributions'!Q153)"),0.0)</f>
        <v>0</v>
      </c>
      <c r="R153" s="170">
        <f>IFERROR(__xludf.DUMMYFUNCTION("IFERROR(Q153 * (1 + AVERAGE(Filter('Inflation Data'!$C:$C,'Inflation Data'!$A:$A = R$1))) + 'Fund YTD Contributions'!R153,'Fund YTD Contributions'!R153)"),0.0)</f>
        <v>0</v>
      </c>
      <c r="S153" s="170">
        <f>IFERROR(__xludf.DUMMYFUNCTION("IFERROR(R153 * (1 + AVERAGE(Filter('Inflation Data'!$C:$C,'Inflation Data'!$A:$A = S$1))) + 'Fund YTD Contributions'!S153,'Fund YTD Contributions'!S153)"),0.0)</f>
        <v>0</v>
      </c>
      <c r="T153" s="170">
        <f>IFERROR(__xludf.DUMMYFUNCTION("IFERROR(S153 * (1 + AVERAGE(Filter('Inflation Data'!$C:$C,'Inflation Data'!$A:$A = T$1))) + 'Fund YTD Contributions'!T153,'Fund YTD Contributions'!T153)"),0.0)</f>
        <v>0</v>
      </c>
      <c r="U153" s="170">
        <f>IFERROR(__xludf.DUMMYFUNCTION("IFERROR(T153 * (1 + AVERAGE(Filter('Inflation Data'!$C:$C,'Inflation Data'!$A:$A = U$1))) + 'Fund YTD Contributions'!U153,'Fund YTD Contributions'!U153)"),0.0)</f>
        <v>0</v>
      </c>
      <c r="V153" s="170">
        <f>IFERROR(__xludf.DUMMYFUNCTION("IFERROR(U153 * (1 + AVERAGE(Filter('Inflation Data'!$C:$C,'Inflation Data'!$A:$A = V$1))) + 'Fund YTD Contributions'!V153,'Fund YTD Contributions'!V153)"),0.0)</f>
        <v>0</v>
      </c>
      <c r="W153" s="170">
        <f>IFERROR(__xludf.DUMMYFUNCTION("IFERROR(V153 * (1 + AVERAGE(Filter('Inflation Data'!$C:$C,'Inflation Data'!$A:$A = W$1))) + 'Fund YTD Contributions'!W153,'Fund YTD Contributions'!W153)"),0.0)</f>
        <v>0</v>
      </c>
      <c r="X153" s="170">
        <f>IFERROR(__xludf.DUMMYFUNCTION("IFERROR(W153 * (1 + AVERAGE(Filter('Inflation Data'!$C:$C,'Inflation Data'!$A:$A = X$1))) + 'Fund YTD Contributions'!X153,'Fund YTD Contributions'!X153)"),0.0)</f>
        <v>0</v>
      </c>
      <c r="Y153" s="170">
        <f>IFERROR(__xludf.DUMMYFUNCTION("IFERROR(X153 * (1 + AVERAGE(Filter('Inflation Data'!$C:$C,'Inflation Data'!$A:$A = Y$1))) + 'Fund YTD Contributions'!Y153,'Fund YTD Contributions'!Y153)"),0.0)</f>
        <v>0</v>
      </c>
      <c r="Z153" s="170">
        <f>IFERROR(__xludf.DUMMYFUNCTION("IFERROR(Y153 * (1 + AVERAGE(Filter('Inflation Data'!$C:$C,'Inflation Data'!$A:$A = Z$1))) + 'Fund YTD Contributions'!Z153,'Fund YTD Contributions'!Z153)"),0.0)</f>
        <v>0</v>
      </c>
      <c r="AA153" s="170"/>
      <c r="AB153" s="170"/>
      <c r="AC153" s="170"/>
      <c r="AD153" s="170"/>
      <c r="AE153" s="170"/>
      <c r="AF153" s="170"/>
    </row>
    <row r="154">
      <c r="A154" s="145" t="str">
        <f>'Endowed Funds'!B:B</f>
        <v/>
      </c>
      <c r="B154" s="170">
        <f>IFERROR(__xludf.DUMMYFUNCTION("IFERROR(A154 * (1 + AVERAGE(Filter('Inflation Data'!$C:$C,'Inflation Data'!$A:$A = B$1))) + 'Fund YTD Contributions'!B154,'Fund YTD Contributions'!B154)"),0.0)</f>
        <v>0</v>
      </c>
      <c r="C154" s="170">
        <f>IFERROR(__xludf.DUMMYFUNCTION("IFERROR(B154 * (1 + AVERAGE(Filter('Inflation Data'!$C:$C,'Inflation Data'!$A:$A = C$1))) + 'Fund YTD Contributions'!C154,'Fund YTD Contributions'!C154)"),0.0)</f>
        <v>0</v>
      </c>
      <c r="D154" s="170">
        <f>IFERROR(__xludf.DUMMYFUNCTION("IFERROR(C154 * (1 + AVERAGE(Filter('Inflation Data'!$C:$C,'Inflation Data'!$A:$A = D$1))) + 'Fund YTD Contributions'!D154,'Fund YTD Contributions'!D154)"),0.0)</f>
        <v>0</v>
      </c>
      <c r="E154" s="170">
        <f>IFERROR(__xludf.DUMMYFUNCTION("IFERROR(D154 * (1 + AVERAGE(Filter('Inflation Data'!$C:$C,'Inflation Data'!$A:$A = E$1))) + 'Fund YTD Contributions'!E154,'Fund YTD Contributions'!E154)"),0.0)</f>
        <v>0</v>
      </c>
      <c r="F154" s="170">
        <f>IFERROR(__xludf.DUMMYFUNCTION("IFERROR(E154 * (1 + AVERAGE(Filter('Inflation Data'!$C:$C,'Inflation Data'!$A:$A = F$1))) + 'Fund YTD Contributions'!F154,'Fund YTD Contributions'!F154)"),0.0)</f>
        <v>0</v>
      </c>
      <c r="G154" s="170">
        <f>IFERROR(__xludf.DUMMYFUNCTION("IFERROR(F154 * (1 + AVERAGE(Filter('Inflation Data'!$C:$C,'Inflation Data'!$A:$A = G$1))) + 'Fund YTD Contributions'!G154,'Fund YTD Contributions'!G154)"),0.0)</f>
        <v>0</v>
      </c>
      <c r="H154" s="170">
        <f>IFERROR(__xludf.DUMMYFUNCTION("IFERROR(G154 * (1 + AVERAGE(Filter('Inflation Data'!$C:$C,'Inflation Data'!$A:$A = H$1))) + 'Fund YTD Contributions'!H154,'Fund YTD Contributions'!H154)"),0.0)</f>
        <v>0</v>
      </c>
      <c r="I154" s="170">
        <f>IFERROR(__xludf.DUMMYFUNCTION("IFERROR(H154 * (1 + AVERAGE(Filter('Inflation Data'!$C:$C,'Inflation Data'!$A:$A = I$1))) + 'Fund YTD Contributions'!I154,'Fund YTD Contributions'!I154)"),0.0)</f>
        <v>0</v>
      </c>
      <c r="J154" s="170">
        <f>IFERROR(__xludf.DUMMYFUNCTION("IFERROR(I154 * (1 + AVERAGE(Filter('Inflation Data'!$C:$C,'Inflation Data'!$A:$A = J$1))) + 'Fund YTD Contributions'!J154,'Fund YTD Contributions'!J154)"),0.0)</f>
        <v>0</v>
      </c>
      <c r="K154" s="170">
        <f>IFERROR(__xludf.DUMMYFUNCTION("IFERROR(J154 * (1 + AVERAGE(Filter('Inflation Data'!$C:$C,'Inflation Data'!$A:$A = K$1))) + 'Fund YTD Contributions'!K154,'Fund YTD Contributions'!K154)"),0.0)</f>
        <v>0</v>
      </c>
      <c r="L154" s="170">
        <f>IFERROR(__xludf.DUMMYFUNCTION("IFERROR(K154 * (1 + AVERAGE(Filter('Inflation Data'!$C:$C,'Inflation Data'!$A:$A = L$1))) + 'Fund YTD Contributions'!L154,'Fund YTD Contributions'!L154)"),0.0)</f>
        <v>0</v>
      </c>
      <c r="M154" s="170">
        <f>IFERROR(__xludf.DUMMYFUNCTION("IFERROR(L154 * (1 + AVERAGE(Filter('Inflation Data'!$C:$C,'Inflation Data'!$A:$A = M$1))) + 'Fund YTD Contributions'!M154,'Fund YTD Contributions'!M154)"),0.0)</f>
        <v>0</v>
      </c>
      <c r="N154" s="170">
        <f>IFERROR(__xludf.DUMMYFUNCTION("IFERROR(M154 * (1 + AVERAGE(Filter('Inflation Data'!$C:$C,'Inflation Data'!$A:$A = N$1))) + 'Fund YTD Contributions'!N154,'Fund YTD Contributions'!N154)"),0.0)</f>
        <v>0</v>
      </c>
      <c r="O154" s="170">
        <f>IFERROR(__xludf.DUMMYFUNCTION("IFERROR(N154 * (1 + AVERAGE(Filter('Inflation Data'!$C:$C,'Inflation Data'!$A:$A = O$1))) + 'Fund YTD Contributions'!O154,'Fund YTD Contributions'!O154)"),0.0)</f>
        <v>0</v>
      </c>
      <c r="P154" s="170">
        <f>IFERROR(__xludf.DUMMYFUNCTION("IFERROR(O154 * (1 + AVERAGE(Filter('Inflation Data'!$C:$C,'Inflation Data'!$A:$A = P$1))) + 'Fund YTD Contributions'!P154,'Fund YTD Contributions'!P154)"),0.0)</f>
        <v>0</v>
      </c>
      <c r="Q154" s="170">
        <f>IFERROR(__xludf.DUMMYFUNCTION("IFERROR(P154 * (1 + AVERAGE(Filter('Inflation Data'!$C:$C,'Inflation Data'!$A:$A = Q$1))) + 'Fund YTD Contributions'!Q154,'Fund YTD Contributions'!Q154)"),0.0)</f>
        <v>0</v>
      </c>
      <c r="R154" s="170">
        <f>IFERROR(__xludf.DUMMYFUNCTION("IFERROR(Q154 * (1 + AVERAGE(Filter('Inflation Data'!$C:$C,'Inflation Data'!$A:$A = R$1))) + 'Fund YTD Contributions'!R154,'Fund YTD Contributions'!R154)"),0.0)</f>
        <v>0</v>
      </c>
      <c r="S154" s="170">
        <f>IFERROR(__xludf.DUMMYFUNCTION("IFERROR(R154 * (1 + AVERAGE(Filter('Inflation Data'!$C:$C,'Inflation Data'!$A:$A = S$1))) + 'Fund YTD Contributions'!S154,'Fund YTD Contributions'!S154)"),0.0)</f>
        <v>0</v>
      </c>
      <c r="T154" s="170">
        <f>IFERROR(__xludf.DUMMYFUNCTION("IFERROR(S154 * (1 + AVERAGE(Filter('Inflation Data'!$C:$C,'Inflation Data'!$A:$A = T$1))) + 'Fund YTD Contributions'!T154,'Fund YTD Contributions'!T154)"),0.0)</f>
        <v>0</v>
      </c>
      <c r="U154" s="170">
        <f>IFERROR(__xludf.DUMMYFUNCTION("IFERROR(T154 * (1 + AVERAGE(Filter('Inflation Data'!$C:$C,'Inflation Data'!$A:$A = U$1))) + 'Fund YTD Contributions'!U154,'Fund YTD Contributions'!U154)"),0.0)</f>
        <v>0</v>
      </c>
      <c r="V154" s="170">
        <f>IFERROR(__xludf.DUMMYFUNCTION("IFERROR(U154 * (1 + AVERAGE(Filter('Inflation Data'!$C:$C,'Inflation Data'!$A:$A = V$1))) + 'Fund YTD Contributions'!V154,'Fund YTD Contributions'!V154)"),0.0)</f>
        <v>0</v>
      </c>
      <c r="W154" s="170">
        <f>IFERROR(__xludf.DUMMYFUNCTION("IFERROR(V154 * (1 + AVERAGE(Filter('Inflation Data'!$C:$C,'Inflation Data'!$A:$A = W$1))) + 'Fund YTD Contributions'!W154,'Fund YTD Contributions'!W154)"),0.0)</f>
        <v>0</v>
      </c>
      <c r="X154" s="170">
        <f>IFERROR(__xludf.DUMMYFUNCTION("IFERROR(W154 * (1 + AVERAGE(Filter('Inflation Data'!$C:$C,'Inflation Data'!$A:$A = X$1))) + 'Fund YTD Contributions'!X154,'Fund YTD Contributions'!X154)"),0.0)</f>
        <v>0</v>
      </c>
      <c r="Y154" s="170">
        <f>IFERROR(__xludf.DUMMYFUNCTION("IFERROR(X154 * (1 + AVERAGE(Filter('Inflation Data'!$C:$C,'Inflation Data'!$A:$A = Y$1))) + 'Fund YTD Contributions'!Y154,'Fund YTD Contributions'!Y154)"),0.0)</f>
        <v>0</v>
      </c>
      <c r="Z154" s="170">
        <f>IFERROR(__xludf.DUMMYFUNCTION("IFERROR(Y154 * (1 + AVERAGE(Filter('Inflation Data'!$C:$C,'Inflation Data'!$A:$A = Z$1))) + 'Fund YTD Contributions'!Z154,'Fund YTD Contributions'!Z154)"),0.0)</f>
        <v>0</v>
      </c>
      <c r="AA154" s="170"/>
      <c r="AB154" s="170"/>
      <c r="AC154" s="170"/>
      <c r="AD154" s="170"/>
      <c r="AE154" s="170"/>
      <c r="AF154" s="170"/>
    </row>
    <row r="155">
      <c r="A155" s="145" t="str">
        <f>'Endowed Funds'!B:B</f>
        <v/>
      </c>
      <c r="B155" s="170">
        <f>IFERROR(__xludf.DUMMYFUNCTION("IFERROR(A155 * (1 + AVERAGE(Filter('Inflation Data'!$C:$C,'Inflation Data'!$A:$A = B$1))) + 'Fund YTD Contributions'!B155,'Fund YTD Contributions'!B155)"),0.0)</f>
        <v>0</v>
      </c>
      <c r="C155" s="170">
        <f>IFERROR(__xludf.DUMMYFUNCTION("IFERROR(B155 * (1 + AVERAGE(Filter('Inflation Data'!$C:$C,'Inflation Data'!$A:$A = C$1))) + 'Fund YTD Contributions'!C155,'Fund YTD Contributions'!C155)"),0.0)</f>
        <v>0</v>
      </c>
      <c r="D155" s="170">
        <f>IFERROR(__xludf.DUMMYFUNCTION("IFERROR(C155 * (1 + AVERAGE(Filter('Inflation Data'!$C:$C,'Inflation Data'!$A:$A = D$1))) + 'Fund YTD Contributions'!D155,'Fund YTD Contributions'!D155)"),0.0)</f>
        <v>0</v>
      </c>
      <c r="E155" s="170">
        <f>IFERROR(__xludf.DUMMYFUNCTION("IFERROR(D155 * (1 + AVERAGE(Filter('Inflation Data'!$C:$C,'Inflation Data'!$A:$A = E$1))) + 'Fund YTD Contributions'!E155,'Fund YTD Contributions'!E155)"),0.0)</f>
        <v>0</v>
      </c>
      <c r="F155" s="170">
        <f>IFERROR(__xludf.DUMMYFUNCTION("IFERROR(E155 * (1 + AVERAGE(Filter('Inflation Data'!$C:$C,'Inflation Data'!$A:$A = F$1))) + 'Fund YTD Contributions'!F155,'Fund YTD Contributions'!F155)"),0.0)</f>
        <v>0</v>
      </c>
      <c r="G155" s="170">
        <f>IFERROR(__xludf.DUMMYFUNCTION("IFERROR(F155 * (1 + AVERAGE(Filter('Inflation Data'!$C:$C,'Inflation Data'!$A:$A = G$1))) + 'Fund YTD Contributions'!G155,'Fund YTD Contributions'!G155)"),0.0)</f>
        <v>0</v>
      </c>
      <c r="H155" s="170">
        <f>IFERROR(__xludf.DUMMYFUNCTION("IFERROR(G155 * (1 + AVERAGE(Filter('Inflation Data'!$C:$C,'Inflation Data'!$A:$A = H$1))) + 'Fund YTD Contributions'!H155,'Fund YTD Contributions'!H155)"),0.0)</f>
        <v>0</v>
      </c>
      <c r="I155" s="170">
        <f>IFERROR(__xludf.DUMMYFUNCTION("IFERROR(H155 * (1 + AVERAGE(Filter('Inflation Data'!$C:$C,'Inflation Data'!$A:$A = I$1))) + 'Fund YTD Contributions'!I155,'Fund YTD Contributions'!I155)"),0.0)</f>
        <v>0</v>
      </c>
      <c r="J155" s="170">
        <f>IFERROR(__xludf.DUMMYFUNCTION("IFERROR(I155 * (1 + AVERAGE(Filter('Inflation Data'!$C:$C,'Inflation Data'!$A:$A = J$1))) + 'Fund YTD Contributions'!J155,'Fund YTD Contributions'!J155)"),0.0)</f>
        <v>0</v>
      </c>
      <c r="K155" s="170">
        <f>IFERROR(__xludf.DUMMYFUNCTION("IFERROR(J155 * (1 + AVERAGE(Filter('Inflation Data'!$C:$C,'Inflation Data'!$A:$A = K$1))) + 'Fund YTD Contributions'!K155,'Fund YTD Contributions'!K155)"),0.0)</f>
        <v>0</v>
      </c>
      <c r="L155" s="170">
        <f>IFERROR(__xludf.DUMMYFUNCTION("IFERROR(K155 * (1 + AVERAGE(Filter('Inflation Data'!$C:$C,'Inflation Data'!$A:$A = L$1))) + 'Fund YTD Contributions'!L155,'Fund YTD Contributions'!L155)"),0.0)</f>
        <v>0</v>
      </c>
      <c r="M155" s="170">
        <f>IFERROR(__xludf.DUMMYFUNCTION("IFERROR(L155 * (1 + AVERAGE(Filter('Inflation Data'!$C:$C,'Inflation Data'!$A:$A = M$1))) + 'Fund YTD Contributions'!M155,'Fund YTD Contributions'!M155)"),0.0)</f>
        <v>0</v>
      </c>
      <c r="N155" s="170">
        <f>IFERROR(__xludf.DUMMYFUNCTION("IFERROR(M155 * (1 + AVERAGE(Filter('Inflation Data'!$C:$C,'Inflation Data'!$A:$A = N$1))) + 'Fund YTD Contributions'!N155,'Fund YTD Contributions'!N155)"),0.0)</f>
        <v>0</v>
      </c>
      <c r="O155" s="170">
        <f>IFERROR(__xludf.DUMMYFUNCTION("IFERROR(N155 * (1 + AVERAGE(Filter('Inflation Data'!$C:$C,'Inflation Data'!$A:$A = O$1))) + 'Fund YTD Contributions'!O155,'Fund YTD Contributions'!O155)"),0.0)</f>
        <v>0</v>
      </c>
      <c r="P155" s="170">
        <f>IFERROR(__xludf.DUMMYFUNCTION("IFERROR(O155 * (1 + AVERAGE(Filter('Inflation Data'!$C:$C,'Inflation Data'!$A:$A = P$1))) + 'Fund YTD Contributions'!P155,'Fund YTD Contributions'!P155)"),0.0)</f>
        <v>0</v>
      </c>
      <c r="Q155" s="170">
        <f>IFERROR(__xludf.DUMMYFUNCTION("IFERROR(P155 * (1 + AVERAGE(Filter('Inflation Data'!$C:$C,'Inflation Data'!$A:$A = Q$1))) + 'Fund YTD Contributions'!Q155,'Fund YTD Contributions'!Q155)"),0.0)</f>
        <v>0</v>
      </c>
      <c r="R155" s="170">
        <f>IFERROR(__xludf.DUMMYFUNCTION("IFERROR(Q155 * (1 + AVERAGE(Filter('Inflation Data'!$C:$C,'Inflation Data'!$A:$A = R$1))) + 'Fund YTD Contributions'!R155,'Fund YTD Contributions'!R155)"),0.0)</f>
        <v>0</v>
      </c>
      <c r="S155" s="170">
        <f>IFERROR(__xludf.DUMMYFUNCTION("IFERROR(R155 * (1 + AVERAGE(Filter('Inflation Data'!$C:$C,'Inflation Data'!$A:$A = S$1))) + 'Fund YTD Contributions'!S155,'Fund YTD Contributions'!S155)"),0.0)</f>
        <v>0</v>
      </c>
      <c r="T155" s="170">
        <f>IFERROR(__xludf.DUMMYFUNCTION("IFERROR(S155 * (1 + AVERAGE(Filter('Inflation Data'!$C:$C,'Inflation Data'!$A:$A = T$1))) + 'Fund YTD Contributions'!T155,'Fund YTD Contributions'!T155)"),0.0)</f>
        <v>0</v>
      </c>
      <c r="U155" s="170">
        <f>IFERROR(__xludf.DUMMYFUNCTION("IFERROR(T155 * (1 + AVERAGE(Filter('Inflation Data'!$C:$C,'Inflation Data'!$A:$A = U$1))) + 'Fund YTD Contributions'!U155,'Fund YTD Contributions'!U155)"),0.0)</f>
        <v>0</v>
      </c>
      <c r="V155" s="170">
        <f>IFERROR(__xludf.DUMMYFUNCTION("IFERROR(U155 * (1 + AVERAGE(Filter('Inflation Data'!$C:$C,'Inflation Data'!$A:$A = V$1))) + 'Fund YTD Contributions'!V155,'Fund YTD Contributions'!V155)"),0.0)</f>
        <v>0</v>
      </c>
      <c r="W155" s="170">
        <f>IFERROR(__xludf.DUMMYFUNCTION("IFERROR(V155 * (1 + AVERAGE(Filter('Inflation Data'!$C:$C,'Inflation Data'!$A:$A = W$1))) + 'Fund YTD Contributions'!W155,'Fund YTD Contributions'!W155)"),0.0)</f>
        <v>0</v>
      </c>
      <c r="X155" s="170">
        <f>IFERROR(__xludf.DUMMYFUNCTION("IFERROR(W155 * (1 + AVERAGE(Filter('Inflation Data'!$C:$C,'Inflation Data'!$A:$A = X$1))) + 'Fund YTD Contributions'!X155,'Fund YTD Contributions'!X155)"),0.0)</f>
        <v>0</v>
      </c>
      <c r="Y155" s="170">
        <f>IFERROR(__xludf.DUMMYFUNCTION("IFERROR(X155 * (1 + AVERAGE(Filter('Inflation Data'!$C:$C,'Inflation Data'!$A:$A = Y$1))) + 'Fund YTD Contributions'!Y155,'Fund YTD Contributions'!Y155)"),0.0)</f>
        <v>0</v>
      </c>
      <c r="Z155" s="170">
        <f>IFERROR(__xludf.DUMMYFUNCTION("IFERROR(Y155 * (1 + AVERAGE(Filter('Inflation Data'!$C:$C,'Inflation Data'!$A:$A = Z$1))) + 'Fund YTD Contributions'!Z155,'Fund YTD Contributions'!Z155)"),0.0)</f>
        <v>0</v>
      </c>
      <c r="AA155" s="170"/>
      <c r="AB155" s="170"/>
      <c r="AC155" s="170"/>
      <c r="AD155" s="170"/>
      <c r="AE155" s="170"/>
      <c r="AF155" s="170"/>
    </row>
    <row r="156">
      <c r="A156" s="145" t="str">
        <f>'Endowed Funds'!B:B</f>
        <v/>
      </c>
      <c r="B156" s="170">
        <f>IFERROR(__xludf.DUMMYFUNCTION("IFERROR(A156 * (1 + AVERAGE(Filter('Inflation Data'!$C:$C,'Inflation Data'!$A:$A = B$1))) + 'Fund YTD Contributions'!B156,'Fund YTD Contributions'!B156)"),0.0)</f>
        <v>0</v>
      </c>
      <c r="C156" s="170">
        <f>IFERROR(__xludf.DUMMYFUNCTION("IFERROR(B156 * (1 + AVERAGE(Filter('Inflation Data'!$C:$C,'Inflation Data'!$A:$A = C$1))) + 'Fund YTD Contributions'!C156,'Fund YTD Contributions'!C156)"),0.0)</f>
        <v>0</v>
      </c>
      <c r="D156" s="170">
        <f>IFERROR(__xludf.DUMMYFUNCTION("IFERROR(C156 * (1 + AVERAGE(Filter('Inflation Data'!$C:$C,'Inflation Data'!$A:$A = D$1))) + 'Fund YTD Contributions'!D156,'Fund YTD Contributions'!D156)"),0.0)</f>
        <v>0</v>
      </c>
      <c r="E156" s="170">
        <f>IFERROR(__xludf.DUMMYFUNCTION("IFERROR(D156 * (1 + AVERAGE(Filter('Inflation Data'!$C:$C,'Inflation Data'!$A:$A = E$1))) + 'Fund YTD Contributions'!E156,'Fund YTD Contributions'!E156)"),0.0)</f>
        <v>0</v>
      </c>
      <c r="F156" s="170">
        <f>IFERROR(__xludf.DUMMYFUNCTION("IFERROR(E156 * (1 + AVERAGE(Filter('Inflation Data'!$C:$C,'Inflation Data'!$A:$A = F$1))) + 'Fund YTD Contributions'!F156,'Fund YTD Contributions'!F156)"),0.0)</f>
        <v>0</v>
      </c>
      <c r="G156" s="170">
        <f>IFERROR(__xludf.DUMMYFUNCTION("IFERROR(F156 * (1 + AVERAGE(Filter('Inflation Data'!$C:$C,'Inflation Data'!$A:$A = G$1))) + 'Fund YTD Contributions'!G156,'Fund YTD Contributions'!G156)"),0.0)</f>
        <v>0</v>
      </c>
      <c r="H156" s="170">
        <f>IFERROR(__xludf.DUMMYFUNCTION("IFERROR(G156 * (1 + AVERAGE(Filter('Inflation Data'!$C:$C,'Inflation Data'!$A:$A = H$1))) + 'Fund YTD Contributions'!H156,'Fund YTD Contributions'!H156)"),0.0)</f>
        <v>0</v>
      </c>
      <c r="I156" s="170">
        <f>IFERROR(__xludf.DUMMYFUNCTION("IFERROR(H156 * (1 + AVERAGE(Filter('Inflation Data'!$C:$C,'Inflation Data'!$A:$A = I$1))) + 'Fund YTD Contributions'!I156,'Fund YTD Contributions'!I156)"),0.0)</f>
        <v>0</v>
      </c>
      <c r="J156" s="170">
        <f>IFERROR(__xludf.DUMMYFUNCTION("IFERROR(I156 * (1 + AVERAGE(Filter('Inflation Data'!$C:$C,'Inflation Data'!$A:$A = J$1))) + 'Fund YTD Contributions'!J156,'Fund YTD Contributions'!J156)"),0.0)</f>
        <v>0</v>
      </c>
      <c r="K156" s="170">
        <f>IFERROR(__xludf.DUMMYFUNCTION("IFERROR(J156 * (1 + AVERAGE(Filter('Inflation Data'!$C:$C,'Inflation Data'!$A:$A = K$1))) + 'Fund YTD Contributions'!K156,'Fund YTD Contributions'!K156)"),0.0)</f>
        <v>0</v>
      </c>
      <c r="L156" s="170">
        <f>IFERROR(__xludf.DUMMYFUNCTION("IFERROR(K156 * (1 + AVERAGE(Filter('Inflation Data'!$C:$C,'Inflation Data'!$A:$A = L$1))) + 'Fund YTD Contributions'!L156,'Fund YTD Contributions'!L156)"),0.0)</f>
        <v>0</v>
      </c>
      <c r="M156" s="170">
        <f>IFERROR(__xludf.DUMMYFUNCTION("IFERROR(L156 * (1 + AVERAGE(Filter('Inflation Data'!$C:$C,'Inflation Data'!$A:$A = M$1))) + 'Fund YTD Contributions'!M156,'Fund YTD Contributions'!M156)"),0.0)</f>
        <v>0</v>
      </c>
      <c r="N156" s="170">
        <f>IFERROR(__xludf.DUMMYFUNCTION("IFERROR(M156 * (1 + AVERAGE(Filter('Inflation Data'!$C:$C,'Inflation Data'!$A:$A = N$1))) + 'Fund YTD Contributions'!N156,'Fund YTD Contributions'!N156)"),0.0)</f>
        <v>0</v>
      </c>
      <c r="O156" s="170">
        <f>IFERROR(__xludf.DUMMYFUNCTION("IFERROR(N156 * (1 + AVERAGE(Filter('Inflation Data'!$C:$C,'Inflation Data'!$A:$A = O$1))) + 'Fund YTD Contributions'!O156,'Fund YTD Contributions'!O156)"),0.0)</f>
        <v>0</v>
      </c>
      <c r="P156" s="170">
        <f>IFERROR(__xludf.DUMMYFUNCTION("IFERROR(O156 * (1 + AVERAGE(Filter('Inflation Data'!$C:$C,'Inflation Data'!$A:$A = P$1))) + 'Fund YTD Contributions'!P156,'Fund YTD Contributions'!P156)"),0.0)</f>
        <v>0</v>
      </c>
      <c r="Q156" s="170">
        <f>IFERROR(__xludf.DUMMYFUNCTION("IFERROR(P156 * (1 + AVERAGE(Filter('Inflation Data'!$C:$C,'Inflation Data'!$A:$A = Q$1))) + 'Fund YTD Contributions'!Q156,'Fund YTD Contributions'!Q156)"),0.0)</f>
        <v>0</v>
      </c>
      <c r="R156" s="170">
        <f>IFERROR(__xludf.DUMMYFUNCTION("IFERROR(Q156 * (1 + AVERAGE(Filter('Inflation Data'!$C:$C,'Inflation Data'!$A:$A = R$1))) + 'Fund YTD Contributions'!R156,'Fund YTD Contributions'!R156)"),0.0)</f>
        <v>0</v>
      </c>
      <c r="S156" s="170">
        <f>IFERROR(__xludf.DUMMYFUNCTION("IFERROR(R156 * (1 + AVERAGE(Filter('Inflation Data'!$C:$C,'Inflation Data'!$A:$A = S$1))) + 'Fund YTD Contributions'!S156,'Fund YTD Contributions'!S156)"),0.0)</f>
        <v>0</v>
      </c>
      <c r="T156" s="170">
        <f>IFERROR(__xludf.DUMMYFUNCTION("IFERROR(S156 * (1 + AVERAGE(Filter('Inflation Data'!$C:$C,'Inflation Data'!$A:$A = T$1))) + 'Fund YTD Contributions'!T156,'Fund YTD Contributions'!T156)"),0.0)</f>
        <v>0</v>
      </c>
      <c r="U156" s="170">
        <f>IFERROR(__xludf.DUMMYFUNCTION("IFERROR(T156 * (1 + AVERAGE(Filter('Inflation Data'!$C:$C,'Inflation Data'!$A:$A = U$1))) + 'Fund YTD Contributions'!U156,'Fund YTD Contributions'!U156)"),0.0)</f>
        <v>0</v>
      </c>
      <c r="V156" s="170">
        <f>IFERROR(__xludf.DUMMYFUNCTION("IFERROR(U156 * (1 + AVERAGE(Filter('Inflation Data'!$C:$C,'Inflation Data'!$A:$A = V$1))) + 'Fund YTD Contributions'!V156,'Fund YTD Contributions'!V156)"),0.0)</f>
        <v>0</v>
      </c>
      <c r="W156" s="170">
        <f>IFERROR(__xludf.DUMMYFUNCTION("IFERROR(V156 * (1 + AVERAGE(Filter('Inflation Data'!$C:$C,'Inflation Data'!$A:$A = W$1))) + 'Fund YTD Contributions'!W156,'Fund YTD Contributions'!W156)"),0.0)</f>
        <v>0</v>
      </c>
      <c r="X156" s="170">
        <f>IFERROR(__xludf.DUMMYFUNCTION("IFERROR(W156 * (1 + AVERAGE(Filter('Inflation Data'!$C:$C,'Inflation Data'!$A:$A = X$1))) + 'Fund YTD Contributions'!X156,'Fund YTD Contributions'!X156)"),0.0)</f>
        <v>0</v>
      </c>
      <c r="Y156" s="170">
        <f>IFERROR(__xludf.DUMMYFUNCTION("IFERROR(X156 * (1 + AVERAGE(Filter('Inflation Data'!$C:$C,'Inflation Data'!$A:$A = Y$1))) + 'Fund YTD Contributions'!Y156,'Fund YTD Contributions'!Y156)"),0.0)</f>
        <v>0</v>
      </c>
      <c r="Z156" s="170">
        <f>IFERROR(__xludf.DUMMYFUNCTION("IFERROR(Y156 * (1 + AVERAGE(Filter('Inflation Data'!$C:$C,'Inflation Data'!$A:$A = Z$1))) + 'Fund YTD Contributions'!Z156,'Fund YTD Contributions'!Z156)"),0.0)</f>
        <v>0</v>
      </c>
      <c r="AA156" s="170"/>
      <c r="AB156" s="170"/>
      <c r="AC156" s="170"/>
      <c r="AD156" s="170"/>
      <c r="AE156" s="170"/>
      <c r="AF156" s="170"/>
    </row>
    <row r="157">
      <c r="A157" s="145" t="str">
        <f>'Endowed Funds'!B:B</f>
        <v/>
      </c>
      <c r="B157" s="170">
        <f>IFERROR(__xludf.DUMMYFUNCTION("IFERROR(A157 * (1 + AVERAGE(Filter('Inflation Data'!$C:$C,'Inflation Data'!$A:$A = B$1))) + 'Fund YTD Contributions'!B157,'Fund YTD Contributions'!B157)"),0.0)</f>
        <v>0</v>
      </c>
      <c r="C157" s="170">
        <f>IFERROR(__xludf.DUMMYFUNCTION("IFERROR(B157 * (1 + AVERAGE(Filter('Inflation Data'!$C:$C,'Inflation Data'!$A:$A = C$1))) + 'Fund YTD Contributions'!C157,'Fund YTD Contributions'!C157)"),0.0)</f>
        <v>0</v>
      </c>
      <c r="D157" s="170">
        <f>IFERROR(__xludf.DUMMYFUNCTION("IFERROR(C157 * (1 + AVERAGE(Filter('Inflation Data'!$C:$C,'Inflation Data'!$A:$A = D$1))) + 'Fund YTD Contributions'!D157,'Fund YTD Contributions'!D157)"),0.0)</f>
        <v>0</v>
      </c>
      <c r="E157" s="170">
        <f>IFERROR(__xludf.DUMMYFUNCTION("IFERROR(D157 * (1 + AVERAGE(Filter('Inflation Data'!$C:$C,'Inflation Data'!$A:$A = E$1))) + 'Fund YTD Contributions'!E157,'Fund YTD Contributions'!E157)"),0.0)</f>
        <v>0</v>
      </c>
      <c r="F157" s="170">
        <f>IFERROR(__xludf.DUMMYFUNCTION("IFERROR(E157 * (1 + AVERAGE(Filter('Inflation Data'!$C:$C,'Inflation Data'!$A:$A = F$1))) + 'Fund YTD Contributions'!F157,'Fund YTD Contributions'!F157)"),0.0)</f>
        <v>0</v>
      </c>
      <c r="G157" s="170">
        <f>IFERROR(__xludf.DUMMYFUNCTION("IFERROR(F157 * (1 + AVERAGE(Filter('Inflation Data'!$C:$C,'Inflation Data'!$A:$A = G$1))) + 'Fund YTD Contributions'!G157,'Fund YTD Contributions'!G157)"),0.0)</f>
        <v>0</v>
      </c>
      <c r="H157" s="170">
        <f>IFERROR(__xludf.DUMMYFUNCTION("IFERROR(G157 * (1 + AVERAGE(Filter('Inflation Data'!$C:$C,'Inflation Data'!$A:$A = H$1))) + 'Fund YTD Contributions'!H157,'Fund YTD Contributions'!H157)"),0.0)</f>
        <v>0</v>
      </c>
      <c r="I157" s="170">
        <f>IFERROR(__xludf.DUMMYFUNCTION("IFERROR(H157 * (1 + AVERAGE(Filter('Inflation Data'!$C:$C,'Inflation Data'!$A:$A = I$1))) + 'Fund YTD Contributions'!I157,'Fund YTD Contributions'!I157)"),0.0)</f>
        <v>0</v>
      </c>
      <c r="J157" s="170">
        <f>IFERROR(__xludf.DUMMYFUNCTION("IFERROR(I157 * (1 + AVERAGE(Filter('Inflation Data'!$C:$C,'Inflation Data'!$A:$A = J$1))) + 'Fund YTD Contributions'!J157,'Fund YTD Contributions'!J157)"),0.0)</f>
        <v>0</v>
      </c>
      <c r="K157" s="170">
        <f>IFERROR(__xludf.DUMMYFUNCTION("IFERROR(J157 * (1 + AVERAGE(Filter('Inflation Data'!$C:$C,'Inflation Data'!$A:$A = K$1))) + 'Fund YTD Contributions'!K157,'Fund YTD Contributions'!K157)"),0.0)</f>
        <v>0</v>
      </c>
      <c r="L157" s="170">
        <f>IFERROR(__xludf.DUMMYFUNCTION("IFERROR(K157 * (1 + AVERAGE(Filter('Inflation Data'!$C:$C,'Inflation Data'!$A:$A = L$1))) + 'Fund YTD Contributions'!L157,'Fund YTD Contributions'!L157)"),0.0)</f>
        <v>0</v>
      </c>
      <c r="M157" s="170">
        <f>IFERROR(__xludf.DUMMYFUNCTION("IFERROR(L157 * (1 + AVERAGE(Filter('Inflation Data'!$C:$C,'Inflation Data'!$A:$A = M$1))) + 'Fund YTD Contributions'!M157,'Fund YTD Contributions'!M157)"),0.0)</f>
        <v>0</v>
      </c>
      <c r="N157" s="170">
        <f>IFERROR(__xludf.DUMMYFUNCTION("IFERROR(M157 * (1 + AVERAGE(Filter('Inflation Data'!$C:$C,'Inflation Data'!$A:$A = N$1))) + 'Fund YTD Contributions'!N157,'Fund YTD Contributions'!N157)"),0.0)</f>
        <v>0</v>
      </c>
      <c r="O157" s="170">
        <f>IFERROR(__xludf.DUMMYFUNCTION("IFERROR(N157 * (1 + AVERAGE(Filter('Inflation Data'!$C:$C,'Inflation Data'!$A:$A = O$1))) + 'Fund YTD Contributions'!O157,'Fund YTD Contributions'!O157)"),0.0)</f>
        <v>0</v>
      </c>
      <c r="P157" s="170">
        <f>IFERROR(__xludf.DUMMYFUNCTION("IFERROR(O157 * (1 + AVERAGE(Filter('Inflation Data'!$C:$C,'Inflation Data'!$A:$A = P$1))) + 'Fund YTD Contributions'!P157,'Fund YTD Contributions'!P157)"),0.0)</f>
        <v>0</v>
      </c>
      <c r="Q157" s="170">
        <f>IFERROR(__xludf.DUMMYFUNCTION("IFERROR(P157 * (1 + AVERAGE(Filter('Inflation Data'!$C:$C,'Inflation Data'!$A:$A = Q$1))) + 'Fund YTD Contributions'!Q157,'Fund YTD Contributions'!Q157)"),0.0)</f>
        <v>0</v>
      </c>
      <c r="R157" s="170">
        <f>IFERROR(__xludf.DUMMYFUNCTION("IFERROR(Q157 * (1 + AVERAGE(Filter('Inflation Data'!$C:$C,'Inflation Data'!$A:$A = R$1))) + 'Fund YTD Contributions'!R157,'Fund YTD Contributions'!R157)"),0.0)</f>
        <v>0</v>
      </c>
      <c r="S157" s="170">
        <f>IFERROR(__xludf.DUMMYFUNCTION("IFERROR(R157 * (1 + AVERAGE(Filter('Inflation Data'!$C:$C,'Inflation Data'!$A:$A = S$1))) + 'Fund YTD Contributions'!S157,'Fund YTD Contributions'!S157)"),0.0)</f>
        <v>0</v>
      </c>
      <c r="T157" s="170">
        <f>IFERROR(__xludf.DUMMYFUNCTION("IFERROR(S157 * (1 + AVERAGE(Filter('Inflation Data'!$C:$C,'Inflation Data'!$A:$A = T$1))) + 'Fund YTD Contributions'!T157,'Fund YTD Contributions'!T157)"),0.0)</f>
        <v>0</v>
      </c>
      <c r="U157" s="170">
        <f>IFERROR(__xludf.DUMMYFUNCTION("IFERROR(T157 * (1 + AVERAGE(Filter('Inflation Data'!$C:$C,'Inflation Data'!$A:$A = U$1))) + 'Fund YTD Contributions'!U157,'Fund YTD Contributions'!U157)"),0.0)</f>
        <v>0</v>
      </c>
      <c r="V157" s="170">
        <f>IFERROR(__xludf.DUMMYFUNCTION("IFERROR(U157 * (1 + AVERAGE(Filter('Inflation Data'!$C:$C,'Inflation Data'!$A:$A = V$1))) + 'Fund YTD Contributions'!V157,'Fund YTD Contributions'!V157)"),0.0)</f>
        <v>0</v>
      </c>
      <c r="W157" s="170">
        <f>IFERROR(__xludf.DUMMYFUNCTION("IFERROR(V157 * (1 + AVERAGE(Filter('Inflation Data'!$C:$C,'Inflation Data'!$A:$A = W$1))) + 'Fund YTD Contributions'!W157,'Fund YTD Contributions'!W157)"),0.0)</f>
        <v>0</v>
      </c>
      <c r="X157" s="170">
        <f>IFERROR(__xludf.DUMMYFUNCTION("IFERROR(W157 * (1 + AVERAGE(Filter('Inflation Data'!$C:$C,'Inflation Data'!$A:$A = X$1))) + 'Fund YTD Contributions'!X157,'Fund YTD Contributions'!X157)"),0.0)</f>
        <v>0</v>
      </c>
      <c r="Y157" s="170">
        <f>IFERROR(__xludf.DUMMYFUNCTION("IFERROR(X157 * (1 + AVERAGE(Filter('Inflation Data'!$C:$C,'Inflation Data'!$A:$A = Y$1))) + 'Fund YTD Contributions'!Y157,'Fund YTD Contributions'!Y157)"),0.0)</f>
        <v>0</v>
      </c>
      <c r="Z157" s="170">
        <f>IFERROR(__xludf.DUMMYFUNCTION("IFERROR(Y157 * (1 + AVERAGE(Filter('Inflation Data'!$C:$C,'Inflation Data'!$A:$A = Z$1))) + 'Fund YTD Contributions'!Z157,'Fund YTD Contributions'!Z157)"),0.0)</f>
        <v>0</v>
      </c>
      <c r="AA157" s="170"/>
      <c r="AB157" s="170"/>
      <c r="AC157" s="170"/>
      <c r="AD157" s="170"/>
      <c r="AE157" s="170"/>
      <c r="AF157" s="170"/>
    </row>
    <row r="158">
      <c r="A158" s="145" t="str">
        <f>'Endowed Funds'!B:B</f>
        <v/>
      </c>
      <c r="B158" s="170">
        <f>IFERROR(__xludf.DUMMYFUNCTION("IFERROR(A158 * (1 + AVERAGE(Filter('Inflation Data'!$C:$C,'Inflation Data'!$A:$A = B$1))) + 'Fund YTD Contributions'!B158,'Fund YTD Contributions'!B158)"),0.0)</f>
        <v>0</v>
      </c>
      <c r="C158" s="170">
        <f>IFERROR(__xludf.DUMMYFUNCTION("IFERROR(B158 * (1 + AVERAGE(Filter('Inflation Data'!$C:$C,'Inflation Data'!$A:$A = C$1))) + 'Fund YTD Contributions'!C158,'Fund YTD Contributions'!C158)"),0.0)</f>
        <v>0</v>
      </c>
      <c r="D158" s="170">
        <f>IFERROR(__xludf.DUMMYFUNCTION("IFERROR(C158 * (1 + AVERAGE(Filter('Inflation Data'!$C:$C,'Inflation Data'!$A:$A = D$1))) + 'Fund YTD Contributions'!D158,'Fund YTD Contributions'!D158)"),0.0)</f>
        <v>0</v>
      </c>
      <c r="E158" s="170">
        <f>IFERROR(__xludf.DUMMYFUNCTION("IFERROR(D158 * (1 + AVERAGE(Filter('Inflation Data'!$C:$C,'Inflation Data'!$A:$A = E$1))) + 'Fund YTD Contributions'!E158,'Fund YTD Contributions'!E158)"),0.0)</f>
        <v>0</v>
      </c>
      <c r="F158" s="170">
        <f>IFERROR(__xludf.DUMMYFUNCTION("IFERROR(E158 * (1 + AVERAGE(Filter('Inflation Data'!$C:$C,'Inflation Data'!$A:$A = F$1))) + 'Fund YTD Contributions'!F158,'Fund YTD Contributions'!F158)"),0.0)</f>
        <v>0</v>
      </c>
      <c r="G158" s="170">
        <f>IFERROR(__xludf.DUMMYFUNCTION("IFERROR(F158 * (1 + AVERAGE(Filter('Inflation Data'!$C:$C,'Inflation Data'!$A:$A = G$1))) + 'Fund YTD Contributions'!G158,'Fund YTD Contributions'!G158)"),0.0)</f>
        <v>0</v>
      </c>
      <c r="H158" s="170">
        <f>IFERROR(__xludf.DUMMYFUNCTION("IFERROR(G158 * (1 + AVERAGE(Filter('Inflation Data'!$C:$C,'Inflation Data'!$A:$A = H$1))) + 'Fund YTD Contributions'!H158,'Fund YTD Contributions'!H158)"),0.0)</f>
        <v>0</v>
      </c>
      <c r="I158" s="170">
        <f>IFERROR(__xludf.DUMMYFUNCTION("IFERROR(H158 * (1 + AVERAGE(Filter('Inflation Data'!$C:$C,'Inflation Data'!$A:$A = I$1))) + 'Fund YTD Contributions'!I158,'Fund YTD Contributions'!I158)"),0.0)</f>
        <v>0</v>
      </c>
      <c r="J158" s="170">
        <f>IFERROR(__xludf.DUMMYFUNCTION("IFERROR(I158 * (1 + AVERAGE(Filter('Inflation Data'!$C:$C,'Inflation Data'!$A:$A = J$1))) + 'Fund YTD Contributions'!J158,'Fund YTD Contributions'!J158)"),0.0)</f>
        <v>0</v>
      </c>
      <c r="K158" s="170">
        <f>IFERROR(__xludf.DUMMYFUNCTION("IFERROR(J158 * (1 + AVERAGE(Filter('Inflation Data'!$C:$C,'Inflation Data'!$A:$A = K$1))) + 'Fund YTD Contributions'!K158,'Fund YTD Contributions'!K158)"),0.0)</f>
        <v>0</v>
      </c>
      <c r="L158" s="170">
        <f>IFERROR(__xludf.DUMMYFUNCTION("IFERROR(K158 * (1 + AVERAGE(Filter('Inflation Data'!$C:$C,'Inflation Data'!$A:$A = L$1))) + 'Fund YTD Contributions'!L158,'Fund YTD Contributions'!L158)"),0.0)</f>
        <v>0</v>
      </c>
      <c r="M158" s="170">
        <f>IFERROR(__xludf.DUMMYFUNCTION("IFERROR(L158 * (1 + AVERAGE(Filter('Inflation Data'!$C:$C,'Inflation Data'!$A:$A = M$1))) + 'Fund YTD Contributions'!M158,'Fund YTD Contributions'!M158)"),0.0)</f>
        <v>0</v>
      </c>
      <c r="N158" s="170">
        <f>IFERROR(__xludf.DUMMYFUNCTION("IFERROR(M158 * (1 + AVERAGE(Filter('Inflation Data'!$C:$C,'Inflation Data'!$A:$A = N$1))) + 'Fund YTD Contributions'!N158,'Fund YTD Contributions'!N158)"),0.0)</f>
        <v>0</v>
      </c>
      <c r="O158" s="170">
        <f>IFERROR(__xludf.DUMMYFUNCTION("IFERROR(N158 * (1 + AVERAGE(Filter('Inflation Data'!$C:$C,'Inflation Data'!$A:$A = O$1))) + 'Fund YTD Contributions'!O158,'Fund YTD Contributions'!O158)"),0.0)</f>
        <v>0</v>
      </c>
      <c r="P158" s="170">
        <f>IFERROR(__xludf.DUMMYFUNCTION("IFERROR(O158 * (1 + AVERAGE(Filter('Inflation Data'!$C:$C,'Inflation Data'!$A:$A = P$1))) + 'Fund YTD Contributions'!P158,'Fund YTD Contributions'!P158)"),0.0)</f>
        <v>0</v>
      </c>
      <c r="Q158" s="170">
        <f>IFERROR(__xludf.DUMMYFUNCTION("IFERROR(P158 * (1 + AVERAGE(Filter('Inflation Data'!$C:$C,'Inflation Data'!$A:$A = Q$1))) + 'Fund YTD Contributions'!Q158,'Fund YTD Contributions'!Q158)"),0.0)</f>
        <v>0</v>
      </c>
      <c r="R158" s="170">
        <f>IFERROR(__xludf.DUMMYFUNCTION("IFERROR(Q158 * (1 + AVERAGE(Filter('Inflation Data'!$C:$C,'Inflation Data'!$A:$A = R$1))) + 'Fund YTD Contributions'!R158,'Fund YTD Contributions'!R158)"),0.0)</f>
        <v>0</v>
      </c>
      <c r="S158" s="170">
        <f>IFERROR(__xludf.DUMMYFUNCTION("IFERROR(R158 * (1 + AVERAGE(Filter('Inflation Data'!$C:$C,'Inflation Data'!$A:$A = S$1))) + 'Fund YTD Contributions'!S158,'Fund YTD Contributions'!S158)"),0.0)</f>
        <v>0</v>
      </c>
      <c r="T158" s="170">
        <f>IFERROR(__xludf.DUMMYFUNCTION("IFERROR(S158 * (1 + AVERAGE(Filter('Inflation Data'!$C:$C,'Inflation Data'!$A:$A = T$1))) + 'Fund YTD Contributions'!T158,'Fund YTD Contributions'!T158)"),0.0)</f>
        <v>0</v>
      </c>
      <c r="U158" s="170">
        <f>IFERROR(__xludf.DUMMYFUNCTION("IFERROR(T158 * (1 + AVERAGE(Filter('Inflation Data'!$C:$C,'Inflation Data'!$A:$A = U$1))) + 'Fund YTD Contributions'!U158,'Fund YTD Contributions'!U158)"),0.0)</f>
        <v>0</v>
      </c>
      <c r="V158" s="170">
        <f>IFERROR(__xludf.DUMMYFUNCTION("IFERROR(U158 * (1 + AVERAGE(Filter('Inflation Data'!$C:$C,'Inflation Data'!$A:$A = V$1))) + 'Fund YTD Contributions'!V158,'Fund YTD Contributions'!V158)"),0.0)</f>
        <v>0</v>
      </c>
      <c r="W158" s="170">
        <f>IFERROR(__xludf.DUMMYFUNCTION("IFERROR(V158 * (1 + AVERAGE(Filter('Inflation Data'!$C:$C,'Inflation Data'!$A:$A = W$1))) + 'Fund YTD Contributions'!W158,'Fund YTD Contributions'!W158)"),0.0)</f>
        <v>0</v>
      </c>
      <c r="X158" s="170">
        <f>IFERROR(__xludf.DUMMYFUNCTION("IFERROR(W158 * (1 + AVERAGE(Filter('Inflation Data'!$C:$C,'Inflation Data'!$A:$A = X$1))) + 'Fund YTD Contributions'!X158,'Fund YTD Contributions'!X158)"),0.0)</f>
        <v>0</v>
      </c>
      <c r="Y158" s="170">
        <f>IFERROR(__xludf.DUMMYFUNCTION("IFERROR(X158 * (1 + AVERAGE(Filter('Inflation Data'!$C:$C,'Inflation Data'!$A:$A = Y$1))) + 'Fund YTD Contributions'!Y158,'Fund YTD Contributions'!Y158)"),0.0)</f>
        <v>0</v>
      </c>
      <c r="Z158" s="170">
        <f>IFERROR(__xludf.DUMMYFUNCTION("IFERROR(Y158 * (1 + AVERAGE(Filter('Inflation Data'!$C:$C,'Inflation Data'!$A:$A = Z$1))) + 'Fund YTD Contributions'!Z158,'Fund YTD Contributions'!Z158)"),0.0)</f>
        <v>0</v>
      </c>
      <c r="AA158" s="170"/>
      <c r="AB158" s="170"/>
      <c r="AC158" s="170"/>
      <c r="AD158" s="170"/>
      <c r="AE158" s="170"/>
      <c r="AF158" s="170"/>
    </row>
    <row r="159">
      <c r="A159" s="145" t="str">
        <f>'Endowed Funds'!B:B</f>
        <v/>
      </c>
      <c r="B159" s="170">
        <f>IFERROR(__xludf.DUMMYFUNCTION("IFERROR(A159 * (1 + AVERAGE(Filter('Inflation Data'!$C:$C,'Inflation Data'!$A:$A = B$1))) + 'Fund YTD Contributions'!B159,'Fund YTD Contributions'!B159)"),0.0)</f>
        <v>0</v>
      </c>
      <c r="C159" s="170">
        <f>IFERROR(__xludf.DUMMYFUNCTION("IFERROR(B159 * (1 + AVERAGE(Filter('Inflation Data'!$C:$C,'Inflation Data'!$A:$A = C$1))) + 'Fund YTD Contributions'!C159,'Fund YTD Contributions'!C159)"),0.0)</f>
        <v>0</v>
      </c>
      <c r="D159" s="170">
        <f>IFERROR(__xludf.DUMMYFUNCTION("IFERROR(C159 * (1 + AVERAGE(Filter('Inflation Data'!$C:$C,'Inflation Data'!$A:$A = D$1))) + 'Fund YTD Contributions'!D159,'Fund YTD Contributions'!D159)"),0.0)</f>
        <v>0</v>
      </c>
      <c r="E159" s="170">
        <f>IFERROR(__xludf.DUMMYFUNCTION("IFERROR(D159 * (1 + AVERAGE(Filter('Inflation Data'!$C:$C,'Inflation Data'!$A:$A = E$1))) + 'Fund YTD Contributions'!E159,'Fund YTD Contributions'!E159)"),0.0)</f>
        <v>0</v>
      </c>
      <c r="F159" s="170">
        <f>IFERROR(__xludf.DUMMYFUNCTION("IFERROR(E159 * (1 + AVERAGE(Filter('Inflation Data'!$C:$C,'Inflation Data'!$A:$A = F$1))) + 'Fund YTD Contributions'!F159,'Fund YTD Contributions'!F159)"),0.0)</f>
        <v>0</v>
      </c>
      <c r="G159" s="170">
        <f>IFERROR(__xludf.DUMMYFUNCTION("IFERROR(F159 * (1 + AVERAGE(Filter('Inflation Data'!$C:$C,'Inflation Data'!$A:$A = G$1))) + 'Fund YTD Contributions'!G159,'Fund YTD Contributions'!G159)"),0.0)</f>
        <v>0</v>
      </c>
      <c r="H159" s="170">
        <f>IFERROR(__xludf.DUMMYFUNCTION("IFERROR(G159 * (1 + AVERAGE(Filter('Inflation Data'!$C:$C,'Inflation Data'!$A:$A = H$1))) + 'Fund YTD Contributions'!H159,'Fund YTD Contributions'!H159)"),0.0)</f>
        <v>0</v>
      </c>
      <c r="I159" s="170">
        <f>IFERROR(__xludf.DUMMYFUNCTION("IFERROR(H159 * (1 + AVERAGE(Filter('Inflation Data'!$C:$C,'Inflation Data'!$A:$A = I$1))) + 'Fund YTD Contributions'!I159,'Fund YTD Contributions'!I159)"),0.0)</f>
        <v>0</v>
      </c>
      <c r="J159" s="170">
        <f>IFERROR(__xludf.DUMMYFUNCTION("IFERROR(I159 * (1 + AVERAGE(Filter('Inflation Data'!$C:$C,'Inflation Data'!$A:$A = J$1))) + 'Fund YTD Contributions'!J159,'Fund YTD Contributions'!J159)"),0.0)</f>
        <v>0</v>
      </c>
      <c r="K159" s="170">
        <f>IFERROR(__xludf.DUMMYFUNCTION("IFERROR(J159 * (1 + AVERAGE(Filter('Inflation Data'!$C:$C,'Inflation Data'!$A:$A = K$1))) + 'Fund YTD Contributions'!K159,'Fund YTD Contributions'!K159)"),0.0)</f>
        <v>0</v>
      </c>
      <c r="L159" s="170">
        <f>IFERROR(__xludf.DUMMYFUNCTION("IFERROR(K159 * (1 + AVERAGE(Filter('Inflation Data'!$C:$C,'Inflation Data'!$A:$A = L$1))) + 'Fund YTD Contributions'!L159,'Fund YTD Contributions'!L159)"),0.0)</f>
        <v>0</v>
      </c>
      <c r="M159" s="170">
        <f>IFERROR(__xludf.DUMMYFUNCTION("IFERROR(L159 * (1 + AVERAGE(Filter('Inflation Data'!$C:$C,'Inflation Data'!$A:$A = M$1))) + 'Fund YTD Contributions'!M159,'Fund YTD Contributions'!M159)"),0.0)</f>
        <v>0</v>
      </c>
      <c r="N159" s="170">
        <f>IFERROR(__xludf.DUMMYFUNCTION("IFERROR(M159 * (1 + AVERAGE(Filter('Inflation Data'!$C:$C,'Inflation Data'!$A:$A = N$1))) + 'Fund YTD Contributions'!N159,'Fund YTD Contributions'!N159)"),0.0)</f>
        <v>0</v>
      </c>
      <c r="O159" s="170">
        <f>IFERROR(__xludf.DUMMYFUNCTION("IFERROR(N159 * (1 + AVERAGE(Filter('Inflation Data'!$C:$C,'Inflation Data'!$A:$A = O$1))) + 'Fund YTD Contributions'!O159,'Fund YTD Contributions'!O159)"),0.0)</f>
        <v>0</v>
      </c>
      <c r="P159" s="170">
        <f>IFERROR(__xludf.DUMMYFUNCTION("IFERROR(O159 * (1 + AVERAGE(Filter('Inflation Data'!$C:$C,'Inflation Data'!$A:$A = P$1))) + 'Fund YTD Contributions'!P159,'Fund YTD Contributions'!P159)"),0.0)</f>
        <v>0</v>
      </c>
      <c r="Q159" s="170">
        <f>IFERROR(__xludf.DUMMYFUNCTION("IFERROR(P159 * (1 + AVERAGE(Filter('Inflation Data'!$C:$C,'Inflation Data'!$A:$A = Q$1))) + 'Fund YTD Contributions'!Q159,'Fund YTD Contributions'!Q159)"),0.0)</f>
        <v>0</v>
      </c>
      <c r="R159" s="170">
        <f>IFERROR(__xludf.DUMMYFUNCTION("IFERROR(Q159 * (1 + AVERAGE(Filter('Inflation Data'!$C:$C,'Inflation Data'!$A:$A = R$1))) + 'Fund YTD Contributions'!R159,'Fund YTD Contributions'!R159)"),0.0)</f>
        <v>0</v>
      </c>
      <c r="S159" s="170">
        <f>IFERROR(__xludf.DUMMYFUNCTION("IFERROR(R159 * (1 + AVERAGE(Filter('Inflation Data'!$C:$C,'Inflation Data'!$A:$A = S$1))) + 'Fund YTD Contributions'!S159,'Fund YTD Contributions'!S159)"),0.0)</f>
        <v>0</v>
      </c>
      <c r="T159" s="170">
        <f>IFERROR(__xludf.DUMMYFUNCTION("IFERROR(S159 * (1 + AVERAGE(Filter('Inflation Data'!$C:$C,'Inflation Data'!$A:$A = T$1))) + 'Fund YTD Contributions'!T159,'Fund YTD Contributions'!T159)"),0.0)</f>
        <v>0</v>
      </c>
      <c r="U159" s="170">
        <f>IFERROR(__xludf.DUMMYFUNCTION("IFERROR(T159 * (1 + AVERAGE(Filter('Inflation Data'!$C:$C,'Inflation Data'!$A:$A = U$1))) + 'Fund YTD Contributions'!U159,'Fund YTD Contributions'!U159)"),0.0)</f>
        <v>0</v>
      </c>
      <c r="V159" s="170">
        <f>IFERROR(__xludf.DUMMYFUNCTION("IFERROR(U159 * (1 + AVERAGE(Filter('Inflation Data'!$C:$C,'Inflation Data'!$A:$A = V$1))) + 'Fund YTD Contributions'!V159,'Fund YTD Contributions'!V159)"),0.0)</f>
        <v>0</v>
      </c>
      <c r="W159" s="170">
        <f>IFERROR(__xludf.DUMMYFUNCTION("IFERROR(V159 * (1 + AVERAGE(Filter('Inflation Data'!$C:$C,'Inflation Data'!$A:$A = W$1))) + 'Fund YTD Contributions'!W159,'Fund YTD Contributions'!W159)"),0.0)</f>
        <v>0</v>
      </c>
      <c r="X159" s="170">
        <f>IFERROR(__xludf.DUMMYFUNCTION("IFERROR(W159 * (1 + AVERAGE(Filter('Inflation Data'!$C:$C,'Inflation Data'!$A:$A = X$1))) + 'Fund YTD Contributions'!X159,'Fund YTD Contributions'!X159)"),0.0)</f>
        <v>0</v>
      </c>
      <c r="Y159" s="170">
        <f>IFERROR(__xludf.DUMMYFUNCTION("IFERROR(X159 * (1 + AVERAGE(Filter('Inflation Data'!$C:$C,'Inflation Data'!$A:$A = Y$1))) + 'Fund YTD Contributions'!Y159,'Fund YTD Contributions'!Y159)"),0.0)</f>
        <v>0</v>
      </c>
      <c r="Z159" s="170">
        <f>IFERROR(__xludf.DUMMYFUNCTION("IFERROR(Y159 * (1 + AVERAGE(Filter('Inflation Data'!$C:$C,'Inflation Data'!$A:$A = Z$1))) + 'Fund YTD Contributions'!Z159,'Fund YTD Contributions'!Z159)"),0.0)</f>
        <v>0</v>
      </c>
      <c r="AA159" s="170"/>
      <c r="AB159" s="170"/>
      <c r="AC159" s="170"/>
      <c r="AD159" s="170"/>
      <c r="AE159" s="170"/>
      <c r="AF159" s="170"/>
    </row>
    <row r="160">
      <c r="A160" s="145" t="str">
        <f>'Endowed Funds'!B:B</f>
        <v/>
      </c>
      <c r="B160" s="170">
        <f>IFERROR(__xludf.DUMMYFUNCTION("IFERROR(A160 * (1 + AVERAGE(Filter('Inflation Data'!$C:$C,'Inflation Data'!$A:$A = B$1))) + 'Fund YTD Contributions'!B160,'Fund YTD Contributions'!B160)"),0.0)</f>
        <v>0</v>
      </c>
      <c r="C160" s="170">
        <f>IFERROR(__xludf.DUMMYFUNCTION("IFERROR(B160 * (1 + AVERAGE(Filter('Inflation Data'!$C:$C,'Inflation Data'!$A:$A = C$1))) + 'Fund YTD Contributions'!C160,'Fund YTD Contributions'!C160)"),0.0)</f>
        <v>0</v>
      </c>
      <c r="D160" s="170">
        <f>IFERROR(__xludf.DUMMYFUNCTION("IFERROR(C160 * (1 + AVERAGE(Filter('Inflation Data'!$C:$C,'Inflation Data'!$A:$A = D$1))) + 'Fund YTD Contributions'!D160,'Fund YTD Contributions'!D160)"),0.0)</f>
        <v>0</v>
      </c>
      <c r="E160" s="170">
        <f>IFERROR(__xludf.DUMMYFUNCTION("IFERROR(D160 * (1 + AVERAGE(Filter('Inflation Data'!$C:$C,'Inflation Data'!$A:$A = E$1))) + 'Fund YTD Contributions'!E160,'Fund YTD Contributions'!E160)"),0.0)</f>
        <v>0</v>
      </c>
      <c r="F160" s="170">
        <f>IFERROR(__xludf.DUMMYFUNCTION("IFERROR(E160 * (1 + AVERAGE(Filter('Inflation Data'!$C:$C,'Inflation Data'!$A:$A = F$1))) + 'Fund YTD Contributions'!F160,'Fund YTD Contributions'!F160)"),0.0)</f>
        <v>0</v>
      </c>
      <c r="G160" s="170">
        <f>IFERROR(__xludf.DUMMYFUNCTION("IFERROR(F160 * (1 + AVERAGE(Filter('Inflation Data'!$C:$C,'Inflation Data'!$A:$A = G$1))) + 'Fund YTD Contributions'!G160,'Fund YTD Contributions'!G160)"),0.0)</f>
        <v>0</v>
      </c>
      <c r="H160" s="170">
        <f>IFERROR(__xludf.DUMMYFUNCTION("IFERROR(G160 * (1 + AVERAGE(Filter('Inflation Data'!$C:$C,'Inflation Data'!$A:$A = H$1))) + 'Fund YTD Contributions'!H160,'Fund YTD Contributions'!H160)"),0.0)</f>
        <v>0</v>
      </c>
      <c r="I160" s="170">
        <f>IFERROR(__xludf.DUMMYFUNCTION("IFERROR(H160 * (1 + AVERAGE(Filter('Inflation Data'!$C:$C,'Inflation Data'!$A:$A = I$1))) + 'Fund YTD Contributions'!I160,'Fund YTD Contributions'!I160)"),0.0)</f>
        <v>0</v>
      </c>
      <c r="J160" s="170">
        <f>IFERROR(__xludf.DUMMYFUNCTION("IFERROR(I160 * (1 + AVERAGE(Filter('Inflation Data'!$C:$C,'Inflation Data'!$A:$A = J$1))) + 'Fund YTD Contributions'!J160,'Fund YTD Contributions'!J160)"),0.0)</f>
        <v>0</v>
      </c>
      <c r="K160" s="170">
        <f>IFERROR(__xludf.DUMMYFUNCTION("IFERROR(J160 * (1 + AVERAGE(Filter('Inflation Data'!$C:$C,'Inflation Data'!$A:$A = K$1))) + 'Fund YTD Contributions'!K160,'Fund YTD Contributions'!K160)"),0.0)</f>
        <v>0</v>
      </c>
      <c r="L160" s="170">
        <f>IFERROR(__xludf.DUMMYFUNCTION("IFERROR(K160 * (1 + AVERAGE(Filter('Inflation Data'!$C:$C,'Inflation Data'!$A:$A = L$1))) + 'Fund YTD Contributions'!L160,'Fund YTD Contributions'!L160)"),0.0)</f>
        <v>0</v>
      </c>
      <c r="M160" s="170">
        <f>IFERROR(__xludf.DUMMYFUNCTION("IFERROR(L160 * (1 + AVERAGE(Filter('Inflation Data'!$C:$C,'Inflation Data'!$A:$A = M$1))) + 'Fund YTD Contributions'!M160,'Fund YTD Contributions'!M160)"),0.0)</f>
        <v>0</v>
      </c>
      <c r="N160" s="170">
        <f>IFERROR(__xludf.DUMMYFUNCTION("IFERROR(M160 * (1 + AVERAGE(Filter('Inflation Data'!$C:$C,'Inflation Data'!$A:$A = N$1))) + 'Fund YTD Contributions'!N160,'Fund YTD Contributions'!N160)"),0.0)</f>
        <v>0</v>
      </c>
      <c r="O160" s="170">
        <f>IFERROR(__xludf.DUMMYFUNCTION("IFERROR(N160 * (1 + AVERAGE(Filter('Inflation Data'!$C:$C,'Inflation Data'!$A:$A = O$1))) + 'Fund YTD Contributions'!O160,'Fund YTD Contributions'!O160)"),0.0)</f>
        <v>0</v>
      </c>
      <c r="P160" s="170">
        <f>IFERROR(__xludf.DUMMYFUNCTION("IFERROR(O160 * (1 + AVERAGE(Filter('Inflation Data'!$C:$C,'Inflation Data'!$A:$A = P$1))) + 'Fund YTD Contributions'!P160,'Fund YTD Contributions'!P160)"),0.0)</f>
        <v>0</v>
      </c>
      <c r="Q160" s="170">
        <f>IFERROR(__xludf.DUMMYFUNCTION("IFERROR(P160 * (1 + AVERAGE(Filter('Inflation Data'!$C:$C,'Inflation Data'!$A:$A = Q$1))) + 'Fund YTD Contributions'!Q160,'Fund YTD Contributions'!Q160)"),0.0)</f>
        <v>0</v>
      </c>
      <c r="R160" s="170">
        <f>IFERROR(__xludf.DUMMYFUNCTION("IFERROR(Q160 * (1 + AVERAGE(Filter('Inflation Data'!$C:$C,'Inflation Data'!$A:$A = R$1))) + 'Fund YTD Contributions'!R160,'Fund YTD Contributions'!R160)"),0.0)</f>
        <v>0</v>
      </c>
      <c r="S160" s="170">
        <f>IFERROR(__xludf.DUMMYFUNCTION("IFERROR(R160 * (1 + AVERAGE(Filter('Inflation Data'!$C:$C,'Inflation Data'!$A:$A = S$1))) + 'Fund YTD Contributions'!S160,'Fund YTD Contributions'!S160)"),0.0)</f>
        <v>0</v>
      </c>
      <c r="T160" s="170">
        <f>IFERROR(__xludf.DUMMYFUNCTION("IFERROR(S160 * (1 + AVERAGE(Filter('Inflation Data'!$C:$C,'Inflation Data'!$A:$A = T$1))) + 'Fund YTD Contributions'!T160,'Fund YTD Contributions'!T160)"),0.0)</f>
        <v>0</v>
      </c>
      <c r="U160" s="170">
        <f>IFERROR(__xludf.DUMMYFUNCTION("IFERROR(T160 * (1 + AVERAGE(Filter('Inflation Data'!$C:$C,'Inflation Data'!$A:$A = U$1))) + 'Fund YTD Contributions'!U160,'Fund YTD Contributions'!U160)"),0.0)</f>
        <v>0</v>
      </c>
      <c r="V160" s="170">
        <f>IFERROR(__xludf.DUMMYFUNCTION("IFERROR(U160 * (1 + AVERAGE(Filter('Inflation Data'!$C:$C,'Inflation Data'!$A:$A = V$1))) + 'Fund YTD Contributions'!V160,'Fund YTD Contributions'!V160)"),0.0)</f>
        <v>0</v>
      </c>
      <c r="W160" s="170">
        <f>IFERROR(__xludf.DUMMYFUNCTION("IFERROR(V160 * (1 + AVERAGE(Filter('Inflation Data'!$C:$C,'Inflation Data'!$A:$A = W$1))) + 'Fund YTD Contributions'!W160,'Fund YTD Contributions'!W160)"),0.0)</f>
        <v>0</v>
      </c>
      <c r="X160" s="170">
        <f>IFERROR(__xludf.DUMMYFUNCTION("IFERROR(W160 * (1 + AVERAGE(Filter('Inflation Data'!$C:$C,'Inflation Data'!$A:$A = X$1))) + 'Fund YTD Contributions'!X160,'Fund YTD Contributions'!X160)"),0.0)</f>
        <v>0</v>
      </c>
      <c r="Y160" s="170">
        <f>IFERROR(__xludf.DUMMYFUNCTION("IFERROR(X160 * (1 + AVERAGE(Filter('Inflation Data'!$C:$C,'Inflation Data'!$A:$A = Y$1))) + 'Fund YTD Contributions'!Y160,'Fund YTD Contributions'!Y160)"),0.0)</f>
        <v>0</v>
      </c>
      <c r="Z160" s="170">
        <f>IFERROR(__xludf.DUMMYFUNCTION("IFERROR(Y160 * (1 + AVERAGE(Filter('Inflation Data'!$C:$C,'Inflation Data'!$A:$A = Z$1))) + 'Fund YTD Contributions'!Z160,'Fund YTD Contributions'!Z160)"),0.0)</f>
        <v>0</v>
      </c>
      <c r="AA160" s="170"/>
      <c r="AB160" s="170"/>
      <c r="AC160" s="170"/>
      <c r="AD160" s="170"/>
      <c r="AE160" s="170"/>
      <c r="AF160" s="170"/>
    </row>
    <row r="161">
      <c r="A161" s="145" t="str">
        <f>'Endowed Funds'!B:B</f>
        <v/>
      </c>
      <c r="B161" s="170">
        <f>IFERROR(__xludf.DUMMYFUNCTION("IFERROR(A161 * (1 + AVERAGE(Filter('Inflation Data'!$C:$C,'Inflation Data'!$A:$A = B$1))) + 'Fund YTD Contributions'!B161,'Fund YTD Contributions'!B161)"),0.0)</f>
        <v>0</v>
      </c>
      <c r="C161" s="170">
        <f>IFERROR(__xludf.DUMMYFUNCTION("IFERROR(B161 * (1 + AVERAGE(Filter('Inflation Data'!$C:$C,'Inflation Data'!$A:$A = C$1))) + 'Fund YTD Contributions'!C161,'Fund YTD Contributions'!C161)"),0.0)</f>
        <v>0</v>
      </c>
      <c r="D161" s="170">
        <f>IFERROR(__xludf.DUMMYFUNCTION("IFERROR(C161 * (1 + AVERAGE(Filter('Inflation Data'!$C:$C,'Inflation Data'!$A:$A = D$1))) + 'Fund YTD Contributions'!D161,'Fund YTD Contributions'!D161)"),0.0)</f>
        <v>0</v>
      </c>
      <c r="E161" s="170">
        <f>IFERROR(__xludf.DUMMYFUNCTION("IFERROR(D161 * (1 + AVERAGE(Filter('Inflation Data'!$C:$C,'Inflation Data'!$A:$A = E$1))) + 'Fund YTD Contributions'!E161,'Fund YTD Contributions'!E161)"),0.0)</f>
        <v>0</v>
      </c>
      <c r="F161" s="170">
        <f>IFERROR(__xludf.DUMMYFUNCTION("IFERROR(E161 * (1 + AVERAGE(Filter('Inflation Data'!$C:$C,'Inflation Data'!$A:$A = F$1))) + 'Fund YTD Contributions'!F161,'Fund YTD Contributions'!F161)"),0.0)</f>
        <v>0</v>
      </c>
      <c r="G161" s="170">
        <f>IFERROR(__xludf.DUMMYFUNCTION("IFERROR(F161 * (1 + AVERAGE(Filter('Inflation Data'!$C:$C,'Inflation Data'!$A:$A = G$1))) + 'Fund YTD Contributions'!G161,'Fund YTD Contributions'!G161)"),0.0)</f>
        <v>0</v>
      </c>
      <c r="H161" s="170">
        <f>IFERROR(__xludf.DUMMYFUNCTION("IFERROR(G161 * (1 + AVERAGE(Filter('Inflation Data'!$C:$C,'Inflation Data'!$A:$A = H$1))) + 'Fund YTD Contributions'!H161,'Fund YTD Contributions'!H161)"),0.0)</f>
        <v>0</v>
      </c>
      <c r="I161" s="170">
        <f>IFERROR(__xludf.DUMMYFUNCTION("IFERROR(H161 * (1 + AVERAGE(Filter('Inflation Data'!$C:$C,'Inflation Data'!$A:$A = I$1))) + 'Fund YTD Contributions'!I161,'Fund YTD Contributions'!I161)"),0.0)</f>
        <v>0</v>
      </c>
      <c r="J161" s="170">
        <f>IFERROR(__xludf.DUMMYFUNCTION("IFERROR(I161 * (1 + AVERAGE(Filter('Inflation Data'!$C:$C,'Inflation Data'!$A:$A = J$1))) + 'Fund YTD Contributions'!J161,'Fund YTD Contributions'!J161)"),0.0)</f>
        <v>0</v>
      </c>
      <c r="K161" s="170">
        <f>IFERROR(__xludf.DUMMYFUNCTION("IFERROR(J161 * (1 + AVERAGE(Filter('Inflation Data'!$C:$C,'Inflation Data'!$A:$A = K$1))) + 'Fund YTD Contributions'!K161,'Fund YTD Contributions'!K161)"),0.0)</f>
        <v>0</v>
      </c>
      <c r="L161" s="170">
        <f>IFERROR(__xludf.DUMMYFUNCTION("IFERROR(K161 * (1 + AVERAGE(Filter('Inflation Data'!$C:$C,'Inflation Data'!$A:$A = L$1))) + 'Fund YTD Contributions'!L161,'Fund YTD Contributions'!L161)"),0.0)</f>
        <v>0</v>
      </c>
      <c r="M161" s="170">
        <f>IFERROR(__xludf.DUMMYFUNCTION("IFERROR(L161 * (1 + AVERAGE(Filter('Inflation Data'!$C:$C,'Inflation Data'!$A:$A = M$1))) + 'Fund YTD Contributions'!M161,'Fund YTD Contributions'!M161)"),0.0)</f>
        <v>0</v>
      </c>
      <c r="N161" s="170">
        <f>IFERROR(__xludf.DUMMYFUNCTION("IFERROR(M161 * (1 + AVERAGE(Filter('Inflation Data'!$C:$C,'Inflation Data'!$A:$A = N$1))) + 'Fund YTD Contributions'!N161,'Fund YTD Contributions'!N161)"),0.0)</f>
        <v>0</v>
      </c>
      <c r="O161" s="170">
        <f>IFERROR(__xludf.DUMMYFUNCTION("IFERROR(N161 * (1 + AVERAGE(Filter('Inflation Data'!$C:$C,'Inflation Data'!$A:$A = O$1))) + 'Fund YTD Contributions'!O161,'Fund YTD Contributions'!O161)"),0.0)</f>
        <v>0</v>
      </c>
      <c r="P161" s="170">
        <f>IFERROR(__xludf.DUMMYFUNCTION("IFERROR(O161 * (1 + AVERAGE(Filter('Inflation Data'!$C:$C,'Inflation Data'!$A:$A = P$1))) + 'Fund YTD Contributions'!P161,'Fund YTD Contributions'!P161)"),0.0)</f>
        <v>0</v>
      </c>
      <c r="Q161" s="170">
        <f>IFERROR(__xludf.DUMMYFUNCTION("IFERROR(P161 * (1 + AVERAGE(Filter('Inflation Data'!$C:$C,'Inflation Data'!$A:$A = Q$1))) + 'Fund YTD Contributions'!Q161,'Fund YTD Contributions'!Q161)"),0.0)</f>
        <v>0</v>
      </c>
      <c r="R161" s="170">
        <f>IFERROR(__xludf.DUMMYFUNCTION("IFERROR(Q161 * (1 + AVERAGE(Filter('Inflation Data'!$C:$C,'Inflation Data'!$A:$A = R$1))) + 'Fund YTD Contributions'!R161,'Fund YTD Contributions'!R161)"),0.0)</f>
        <v>0</v>
      </c>
      <c r="S161" s="170">
        <f>IFERROR(__xludf.DUMMYFUNCTION("IFERROR(R161 * (1 + AVERAGE(Filter('Inflation Data'!$C:$C,'Inflation Data'!$A:$A = S$1))) + 'Fund YTD Contributions'!S161,'Fund YTD Contributions'!S161)"),0.0)</f>
        <v>0</v>
      </c>
      <c r="T161" s="170">
        <f>IFERROR(__xludf.DUMMYFUNCTION("IFERROR(S161 * (1 + AVERAGE(Filter('Inflation Data'!$C:$C,'Inflation Data'!$A:$A = T$1))) + 'Fund YTD Contributions'!T161,'Fund YTD Contributions'!T161)"),0.0)</f>
        <v>0</v>
      </c>
      <c r="U161" s="170">
        <f>IFERROR(__xludf.DUMMYFUNCTION("IFERROR(T161 * (1 + AVERAGE(Filter('Inflation Data'!$C:$C,'Inflation Data'!$A:$A = U$1))) + 'Fund YTD Contributions'!U161,'Fund YTD Contributions'!U161)"),0.0)</f>
        <v>0</v>
      </c>
      <c r="V161" s="170">
        <f>IFERROR(__xludf.DUMMYFUNCTION("IFERROR(U161 * (1 + AVERAGE(Filter('Inflation Data'!$C:$C,'Inflation Data'!$A:$A = V$1))) + 'Fund YTD Contributions'!V161,'Fund YTD Contributions'!V161)"),0.0)</f>
        <v>0</v>
      </c>
      <c r="W161" s="170">
        <f>IFERROR(__xludf.DUMMYFUNCTION("IFERROR(V161 * (1 + AVERAGE(Filter('Inflation Data'!$C:$C,'Inflation Data'!$A:$A = W$1))) + 'Fund YTD Contributions'!W161,'Fund YTD Contributions'!W161)"),0.0)</f>
        <v>0</v>
      </c>
      <c r="X161" s="170">
        <f>IFERROR(__xludf.DUMMYFUNCTION("IFERROR(W161 * (1 + AVERAGE(Filter('Inflation Data'!$C:$C,'Inflation Data'!$A:$A = X$1))) + 'Fund YTD Contributions'!X161,'Fund YTD Contributions'!X161)"),0.0)</f>
        <v>0</v>
      </c>
      <c r="Y161" s="170">
        <f>IFERROR(__xludf.DUMMYFUNCTION("IFERROR(X161 * (1 + AVERAGE(Filter('Inflation Data'!$C:$C,'Inflation Data'!$A:$A = Y$1))) + 'Fund YTD Contributions'!Y161,'Fund YTD Contributions'!Y161)"),0.0)</f>
        <v>0</v>
      </c>
      <c r="Z161" s="170">
        <f>IFERROR(__xludf.DUMMYFUNCTION("IFERROR(Y161 * (1 + AVERAGE(Filter('Inflation Data'!$C:$C,'Inflation Data'!$A:$A = Z$1))) + 'Fund YTD Contributions'!Z161,'Fund YTD Contributions'!Z161)"),0.0)</f>
        <v>0</v>
      </c>
      <c r="AA161" s="170"/>
      <c r="AB161" s="170"/>
      <c r="AC161" s="170"/>
      <c r="AD161" s="170"/>
      <c r="AE161" s="170"/>
      <c r="AF161" s="170"/>
    </row>
    <row r="162">
      <c r="A162" s="145" t="str">
        <f>'Endowed Funds'!B:B</f>
        <v/>
      </c>
      <c r="B162" s="170">
        <f>IFERROR(__xludf.DUMMYFUNCTION("IFERROR(A162 * (1 + AVERAGE(Filter('Inflation Data'!$C:$C,'Inflation Data'!$A:$A = B$1))) + 'Fund YTD Contributions'!B162,'Fund YTD Contributions'!B162)"),0.0)</f>
        <v>0</v>
      </c>
      <c r="C162" s="170">
        <f>IFERROR(__xludf.DUMMYFUNCTION("IFERROR(B162 * (1 + AVERAGE(Filter('Inflation Data'!$C:$C,'Inflation Data'!$A:$A = C$1))) + 'Fund YTD Contributions'!C162,'Fund YTD Contributions'!C162)"),0.0)</f>
        <v>0</v>
      </c>
      <c r="D162" s="170">
        <f>IFERROR(__xludf.DUMMYFUNCTION("IFERROR(C162 * (1 + AVERAGE(Filter('Inflation Data'!$C:$C,'Inflation Data'!$A:$A = D$1))) + 'Fund YTD Contributions'!D162,'Fund YTD Contributions'!D162)"),0.0)</f>
        <v>0</v>
      </c>
      <c r="E162" s="170">
        <f>IFERROR(__xludf.DUMMYFUNCTION("IFERROR(D162 * (1 + AVERAGE(Filter('Inflation Data'!$C:$C,'Inflation Data'!$A:$A = E$1))) + 'Fund YTD Contributions'!E162,'Fund YTD Contributions'!E162)"),0.0)</f>
        <v>0</v>
      </c>
      <c r="F162" s="170">
        <f>IFERROR(__xludf.DUMMYFUNCTION("IFERROR(E162 * (1 + AVERAGE(Filter('Inflation Data'!$C:$C,'Inflation Data'!$A:$A = F$1))) + 'Fund YTD Contributions'!F162,'Fund YTD Contributions'!F162)"),0.0)</f>
        <v>0</v>
      </c>
      <c r="G162" s="170">
        <f>IFERROR(__xludf.DUMMYFUNCTION("IFERROR(F162 * (1 + AVERAGE(Filter('Inflation Data'!$C:$C,'Inflation Data'!$A:$A = G$1))) + 'Fund YTD Contributions'!G162,'Fund YTD Contributions'!G162)"),0.0)</f>
        <v>0</v>
      </c>
      <c r="H162" s="170">
        <f>IFERROR(__xludf.DUMMYFUNCTION("IFERROR(G162 * (1 + AVERAGE(Filter('Inflation Data'!$C:$C,'Inflation Data'!$A:$A = H$1))) + 'Fund YTD Contributions'!H162,'Fund YTD Contributions'!H162)"),0.0)</f>
        <v>0</v>
      </c>
      <c r="I162" s="170">
        <f>IFERROR(__xludf.DUMMYFUNCTION("IFERROR(H162 * (1 + AVERAGE(Filter('Inflation Data'!$C:$C,'Inflation Data'!$A:$A = I$1))) + 'Fund YTD Contributions'!I162,'Fund YTD Contributions'!I162)"),0.0)</f>
        <v>0</v>
      </c>
      <c r="J162" s="170">
        <f>IFERROR(__xludf.DUMMYFUNCTION("IFERROR(I162 * (1 + AVERAGE(Filter('Inflation Data'!$C:$C,'Inflation Data'!$A:$A = J$1))) + 'Fund YTD Contributions'!J162,'Fund YTD Contributions'!J162)"),0.0)</f>
        <v>0</v>
      </c>
      <c r="K162" s="170">
        <f>IFERROR(__xludf.DUMMYFUNCTION("IFERROR(J162 * (1 + AVERAGE(Filter('Inflation Data'!$C:$C,'Inflation Data'!$A:$A = K$1))) + 'Fund YTD Contributions'!K162,'Fund YTD Contributions'!K162)"),0.0)</f>
        <v>0</v>
      </c>
      <c r="L162" s="170">
        <f>IFERROR(__xludf.DUMMYFUNCTION("IFERROR(K162 * (1 + AVERAGE(Filter('Inflation Data'!$C:$C,'Inflation Data'!$A:$A = L$1))) + 'Fund YTD Contributions'!L162,'Fund YTD Contributions'!L162)"),0.0)</f>
        <v>0</v>
      </c>
      <c r="M162" s="170">
        <f>IFERROR(__xludf.DUMMYFUNCTION("IFERROR(L162 * (1 + AVERAGE(Filter('Inflation Data'!$C:$C,'Inflation Data'!$A:$A = M$1))) + 'Fund YTD Contributions'!M162,'Fund YTD Contributions'!M162)"),0.0)</f>
        <v>0</v>
      </c>
      <c r="N162" s="170">
        <f>IFERROR(__xludf.DUMMYFUNCTION("IFERROR(M162 * (1 + AVERAGE(Filter('Inflation Data'!$C:$C,'Inflation Data'!$A:$A = N$1))) + 'Fund YTD Contributions'!N162,'Fund YTD Contributions'!N162)"),0.0)</f>
        <v>0</v>
      </c>
      <c r="O162" s="170">
        <f>IFERROR(__xludf.DUMMYFUNCTION("IFERROR(N162 * (1 + AVERAGE(Filter('Inflation Data'!$C:$C,'Inflation Data'!$A:$A = O$1))) + 'Fund YTD Contributions'!O162,'Fund YTD Contributions'!O162)"),0.0)</f>
        <v>0</v>
      </c>
      <c r="P162" s="170">
        <f>IFERROR(__xludf.DUMMYFUNCTION("IFERROR(O162 * (1 + AVERAGE(Filter('Inflation Data'!$C:$C,'Inflation Data'!$A:$A = P$1))) + 'Fund YTD Contributions'!P162,'Fund YTD Contributions'!P162)"),0.0)</f>
        <v>0</v>
      </c>
      <c r="Q162" s="170">
        <f>IFERROR(__xludf.DUMMYFUNCTION("IFERROR(P162 * (1 + AVERAGE(Filter('Inflation Data'!$C:$C,'Inflation Data'!$A:$A = Q$1))) + 'Fund YTD Contributions'!Q162,'Fund YTD Contributions'!Q162)"),0.0)</f>
        <v>0</v>
      </c>
      <c r="R162" s="170">
        <f>IFERROR(__xludf.DUMMYFUNCTION("IFERROR(Q162 * (1 + AVERAGE(Filter('Inflation Data'!$C:$C,'Inflation Data'!$A:$A = R$1))) + 'Fund YTD Contributions'!R162,'Fund YTD Contributions'!R162)"),0.0)</f>
        <v>0</v>
      </c>
      <c r="S162" s="170">
        <f>IFERROR(__xludf.DUMMYFUNCTION("IFERROR(R162 * (1 + AVERAGE(Filter('Inflation Data'!$C:$C,'Inflation Data'!$A:$A = S$1))) + 'Fund YTD Contributions'!S162,'Fund YTD Contributions'!S162)"),0.0)</f>
        <v>0</v>
      </c>
      <c r="T162" s="170">
        <f>IFERROR(__xludf.DUMMYFUNCTION("IFERROR(S162 * (1 + AVERAGE(Filter('Inflation Data'!$C:$C,'Inflation Data'!$A:$A = T$1))) + 'Fund YTD Contributions'!T162,'Fund YTD Contributions'!T162)"),0.0)</f>
        <v>0</v>
      </c>
      <c r="U162" s="170">
        <f>IFERROR(__xludf.DUMMYFUNCTION("IFERROR(T162 * (1 + AVERAGE(Filter('Inflation Data'!$C:$C,'Inflation Data'!$A:$A = U$1))) + 'Fund YTD Contributions'!U162,'Fund YTD Contributions'!U162)"),0.0)</f>
        <v>0</v>
      </c>
      <c r="V162" s="170">
        <f>IFERROR(__xludf.DUMMYFUNCTION("IFERROR(U162 * (1 + AVERAGE(Filter('Inflation Data'!$C:$C,'Inflation Data'!$A:$A = V$1))) + 'Fund YTD Contributions'!V162,'Fund YTD Contributions'!V162)"),0.0)</f>
        <v>0</v>
      </c>
      <c r="W162" s="170">
        <f>IFERROR(__xludf.DUMMYFUNCTION("IFERROR(V162 * (1 + AVERAGE(Filter('Inflation Data'!$C:$C,'Inflation Data'!$A:$A = W$1))) + 'Fund YTD Contributions'!W162,'Fund YTD Contributions'!W162)"),0.0)</f>
        <v>0</v>
      </c>
      <c r="X162" s="170">
        <f>IFERROR(__xludf.DUMMYFUNCTION("IFERROR(W162 * (1 + AVERAGE(Filter('Inflation Data'!$C:$C,'Inflation Data'!$A:$A = X$1))) + 'Fund YTD Contributions'!X162,'Fund YTD Contributions'!X162)"),0.0)</f>
        <v>0</v>
      </c>
      <c r="Y162" s="170">
        <f>IFERROR(__xludf.DUMMYFUNCTION("IFERROR(X162 * (1 + AVERAGE(Filter('Inflation Data'!$C:$C,'Inflation Data'!$A:$A = Y$1))) + 'Fund YTD Contributions'!Y162,'Fund YTD Contributions'!Y162)"),0.0)</f>
        <v>0</v>
      </c>
      <c r="Z162" s="170">
        <f>IFERROR(__xludf.DUMMYFUNCTION("IFERROR(Y162 * (1 + AVERAGE(Filter('Inflation Data'!$C:$C,'Inflation Data'!$A:$A = Z$1))) + 'Fund YTD Contributions'!Z162,'Fund YTD Contributions'!Z162)"),0.0)</f>
        <v>0</v>
      </c>
      <c r="AA162" s="170"/>
      <c r="AB162" s="170"/>
      <c r="AC162" s="170"/>
      <c r="AD162" s="170"/>
      <c r="AE162" s="170"/>
      <c r="AF162" s="170"/>
    </row>
    <row r="163">
      <c r="A163" s="145" t="str">
        <f>'Endowed Funds'!B:B</f>
        <v/>
      </c>
      <c r="B163" s="170">
        <f>IFERROR(__xludf.DUMMYFUNCTION("IFERROR(A163 * (1 + AVERAGE(Filter('Inflation Data'!$C:$C,'Inflation Data'!$A:$A = B$1))) + 'Fund YTD Contributions'!B163,'Fund YTD Contributions'!B163)"),0.0)</f>
        <v>0</v>
      </c>
      <c r="C163" s="170">
        <f>IFERROR(__xludf.DUMMYFUNCTION("IFERROR(B163 * (1 + AVERAGE(Filter('Inflation Data'!$C:$C,'Inflation Data'!$A:$A = C$1))) + 'Fund YTD Contributions'!C163,'Fund YTD Contributions'!C163)"),0.0)</f>
        <v>0</v>
      </c>
      <c r="D163" s="170">
        <f>IFERROR(__xludf.DUMMYFUNCTION("IFERROR(C163 * (1 + AVERAGE(Filter('Inflation Data'!$C:$C,'Inflation Data'!$A:$A = D$1))) + 'Fund YTD Contributions'!D163,'Fund YTD Contributions'!D163)"),0.0)</f>
        <v>0</v>
      </c>
      <c r="E163" s="170">
        <f>IFERROR(__xludf.DUMMYFUNCTION("IFERROR(D163 * (1 + AVERAGE(Filter('Inflation Data'!$C:$C,'Inflation Data'!$A:$A = E$1))) + 'Fund YTD Contributions'!E163,'Fund YTD Contributions'!E163)"),0.0)</f>
        <v>0</v>
      </c>
      <c r="F163" s="170">
        <f>IFERROR(__xludf.DUMMYFUNCTION("IFERROR(E163 * (1 + AVERAGE(Filter('Inflation Data'!$C:$C,'Inflation Data'!$A:$A = F$1))) + 'Fund YTD Contributions'!F163,'Fund YTD Contributions'!F163)"),0.0)</f>
        <v>0</v>
      </c>
      <c r="G163" s="170">
        <f>IFERROR(__xludf.DUMMYFUNCTION("IFERROR(F163 * (1 + AVERAGE(Filter('Inflation Data'!$C:$C,'Inflation Data'!$A:$A = G$1))) + 'Fund YTD Contributions'!G163,'Fund YTD Contributions'!G163)"),0.0)</f>
        <v>0</v>
      </c>
      <c r="H163" s="170">
        <f>IFERROR(__xludf.DUMMYFUNCTION("IFERROR(G163 * (1 + AVERAGE(Filter('Inflation Data'!$C:$C,'Inflation Data'!$A:$A = H$1))) + 'Fund YTD Contributions'!H163,'Fund YTD Contributions'!H163)"),0.0)</f>
        <v>0</v>
      </c>
      <c r="I163" s="170">
        <f>IFERROR(__xludf.DUMMYFUNCTION("IFERROR(H163 * (1 + AVERAGE(Filter('Inflation Data'!$C:$C,'Inflation Data'!$A:$A = I$1))) + 'Fund YTD Contributions'!I163,'Fund YTD Contributions'!I163)"),0.0)</f>
        <v>0</v>
      </c>
      <c r="J163" s="170">
        <f>IFERROR(__xludf.DUMMYFUNCTION("IFERROR(I163 * (1 + AVERAGE(Filter('Inflation Data'!$C:$C,'Inflation Data'!$A:$A = J$1))) + 'Fund YTD Contributions'!J163,'Fund YTD Contributions'!J163)"),0.0)</f>
        <v>0</v>
      </c>
      <c r="K163" s="170">
        <f>IFERROR(__xludf.DUMMYFUNCTION("IFERROR(J163 * (1 + AVERAGE(Filter('Inflation Data'!$C:$C,'Inflation Data'!$A:$A = K$1))) + 'Fund YTD Contributions'!K163,'Fund YTD Contributions'!K163)"),0.0)</f>
        <v>0</v>
      </c>
      <c r="L163" s="170">
        <f>IFERROR(__xludf.DUMMYFUNCTION("IFERROR(K163 * (1 + AVERAGE(Filter('Inflation Data'!$C:$C,'Inflation Data'!$A:$A = L$1))) + 'Fund YTD Contributions'!L163,'Fund YTD Contributions'!L163)"),0.0)</f>
        <v>0</v>
      </c>
      <c r="M163" s="170">
        <f>IFERROR(__xludf.DUMMYFUNCTION("IFERROR(L163 * (1 + AVERAGE(Filter('Inflation Data'!$C:$C,'Inflation Data'!$A:$A = M$1))) + 'Fund YTD Contributions'!M163,'Fund YTD Contributions'!M163)"),0.0)</f>
        <v>0</v>
      </c>
      <c r="N163" s="170">
        <f>IFERROR(__xludf.DUMMYFUNCTION("IFERROR(M163 * (1 + AVERAGE(Filter('Inflation Data'!$C:$C,'Inflation Data'!$A:$A = N$1))) + 'Fund YTD Contributions'!N163,'Fund YTD Contributions'!N163)"),0.0)</f>
        <v>0</v>
      </c>
      <c r="O163" s="170">
        <f>IFERROR(__xludf.DUMMYFUNCTION("IFERROR(N163 * (1 + AVERAGE(Filter('Inflation Data'!$C:$C,'Inflation Data'!$A:$A = O$1))) + 'Fund YTD Contributions'!O163,'Fund YTD Contributions'!O163)"),0.0)</f>
        <v>0</v>
      </c>
      <c r="P163" s="170">
        <f>IFERROR(__xludf.DUMMYFUNCTION("IFERROR(O163 * (1 + AVERAGE(Filter('Inflation Data'!$C:$C,'Inflation Data'!$A:$A = P$1))) + 'Fund YTD Contributions'!P163,'Fund YTD Contributions'!P163)"),0.0)</f>
        <v>0</v>
      </c>
      <c r="Q163" s="170">
        <f>IFERROR(__xludf.DUMMYFUNCTION("IFERROR(P163 * (1 + AVERAGE(Filter('Inflation Data'!$C:$C,'Inflation Data'!$A:$A = Q$1))) + 'Fund YTD Contributions'!Q163,'Fund YTD Contributions'!Q163)"),0.0)</f>
        <v>0</v>
      </c>
      <c r="R163" s="170">
        <f>IFERROR(__xludf.DUMMYFUNCTION("IFERROR(Q163 * (1 + AVERAGE(Filter('Inflation Data'!$C:$C,'Inflation Data'!$A:$A = R$1))) + 'Fund YTD Contributions'!R163,'Fund YTD Contributions'!R163)"),0.0)</f>
        <v>0</v>
      </c>
      <c r="S163" s="170">
        <f>IFERROR(__xludf.DUMMYFUNCTION("IFERROR(R163 * (1 + AVERAGE(Filter('Inflation Data'!$C:$C,'Inflation Data'!$A:$A = S$1))) + 'Fund YTD Contributions'!S163,'Fund YTD Contributions'!S163)"),0.0)</f>
        <v>0</v>
      </c>
      <c r="T163" s="170">
        <f>IFERROR(__xludf.DUMMYFUNCTION("IFERROR(S163 * (1 + AVERAGE(Filter('Inflation Data'!$C:$C,'Inflation Data'!$A:$A = T$1))) + 'Fund YTD Contributions'!T163,'Fund YTD Contributions'!T163)"),0.0)</f>
        <v>0</v>
      </c>
      <c r="U163" s="170">
        <f>IFERROR(__xludf.DUMMYFUNCTION("IFERROR(T163 * (1 + AVERAGE(Filter('Inflation Data'!$C:$C,'Inflation Data'!$A:$A = U$1))) + 'Fund YTD Contributions'!U163,'Fund YTD Contributions'!U163)"),0.0)</f>
        <v>0</v>
      </c>
      <c r="V163" s="170">
        <f>IFERROR(__xludf.DUMMYFUNCTION("IFERROR(U163 * (1 + AVERAGE(Filter('Inflation Data'!$C:$C,'Inflation Data'!$A:$A = V$1))) + 'Fund YTD Contributions'!V163,'Fund YTD Contributions'!V163)"),0.0)</f>
        <v>0</v>
      </c>
      <c r="W163" s="170">
        <f>IFERROR(__xludf.DUMMYFUNCTION("IFERROR(V163 * (1 + AVERAGE(Filter('Inflation Data'!$C:$C,'Inflation Data'!$A:$A = W$1))) + 'Fund YTD Contributions'!W163,'Fund YTD Contributions'!W163)"),0.0)</f>
        <v>0</v>
      </c>
      <c r="X163" s="170">
        <f>IFERROR(__xludf.DUMMYFUNCTION("IFERROR(W163 * (1 + AVERAGE(Filter('Inflation Data'!$C:$C,'Inflation Data'!$A:$A = X$1))) + 'Fund YTD Contributions'!X163,'Fund YTD Contributions'!X163)"),0.0)</f>
        <v>0</v>
      </c>
      <c r="Y163" s="170">
        <f>IFERROR(__xludf.DUMMYFUNCTION("IFERROR(X163 * (1 + AVERAGE(Filter('Inflation Data'!$C:$C,'Inflation Data'!$A:$A = Y$1))) + 'Fund YTD Contributions'!Y163,'Fund YTD Contributions'!Y163)"),0.0)</f>
        <v>0</v>
      </c>
      <c r="Z163" s="170">
        <f>IFERROR(__xludf.DUMMYFUNCTION("IFERROR(Y163 * (1 + AVERAGE(Filter('Inflation Data'!$C:$C,'Inflation Data'!$A:$A = Z$1))) + 'Fund YTD Contributions'!Z163,'Fund YTD Contributions'!Z163)"),0.0)</f>
        <v>0</v>
      </c>
      <c r="AA163" s="170"/>
      <c r="AB163" s="170"/>
      <c r="AC163" s="170"/>
      <c r="AD163" s="170"/>
      <c r="AE163" s="170"/>
      <c r="AF163" s="170"/>
    </row>
    <row r="164">
      <c r="A164" s="145" t="str">
        <f>'Endowed Funds'!B:B</f>
        <v/>
      </c>
      <c r="B164" s="170">
        <f>IFERROR(__xludf.DUMMYFUNCTION("IFERROR(A164 * (1 + AVERAGE(Filter('Inflation Data'!$C:$C,'Inflation Data'!$A:$A = B$1))) + 'Fund YTD Contributions'!B164,'Fund YTD Contributions'!B164)"),0.0)</f>
        <v>0</v>
      </c>
      <c r="C164" s="170">
        <f>IFERROR(__xludf.DUMMYFUNCTION("IFERROR(B164 * (1 + AVERAGE(Filter('Inflation Data'!$C:$C,'Inflation Data'!$A:$A = C$1))) + 'Fund YTD Contributions'!C164,'Fund YTD Contributions'!C164)"),0.0)</f>
        <v>0</v>
      </c>
      <c r="D164" s="170">
        <f>IFERROR(__xludf.DUMMYFUNCTION("IFERROR(C164 * (1 + AVERAGE(Filter('Inflation Data'!$C:$C,'Inflation Data'!$A:$A = D$1))) + 'Fund YTD Contributions'!D164,'Fund YTD Contributions'!D164)"),0.0)</f>
        <v>0</v>
      </c>
      <c r="E164" s="170">
        <f>IFERROR(__xludf.DUMMYFUNCTION("IFERROR(D164 * (1 + AVERAGE(Filter('Inflation Data'!$C:$C,'Inflation Data'!$A:$A = E$1))) + 'Fund YTD Contributions'!E164,'Fund YTD Contributions'!E164)"),0.0)</f>
        <v>0</v>
      </c>
      <c r="F164" s="170">
        <f>IFERROR(__xludf.DUMMYFUNCTION("IFERROR(E164 * (1 + AVERAGE(Filter('Inflation Data'!$C:$C,'Inflation Data'!$A:$A = F$1))) + 'Fund YTD Contributions'!F164,'Fund YTD Contributions'!F164)"),0.0)</f>
        <v>0</v>
      </c>
      <c r="G164" s="170">
        <f>IFERROR(__xludf.DUMMYFUNCTION("IFERROR(F164 * (1 + AVERAGE(Filter('Inflation Data'!$C:$C,'Inflation Data'!$A:$A = G$1))) + 'Fund YTD Contributions'!G164,'Fund YTD Contributions'!G164)"),0.0)</f>
        <v>0</v>
      </c>
      <c r="H164" s="170">
        <f>IFERROR(__xludf.DUMMYFUNCTION("IFERROR(G164 * (1 + AVERAGE(Filter('Inflation Data'!$C:$C,'Inflation Data'!$A:$A = H$1))) + 'Fund YTD Contributions'!H164,'Fund YTD Contributions'!H164)"),0.0)</f>
        <v>0</v>
      </c>
      <c r="I164" s="170">
        <f>IFERROR(__xludf.DUMMYFUNCTION("IFERROR(H164 * (1 + AVERAGE(Filter('Inflation Data'!$C:$C,'Inflation Data'!$A:$A = I$1))) + 'Fund YTD Contributions'!I164,'Fund YTD Contributions'!I164)"),0.0)</f>
        <v>0</v>
      </c>
      <c r="J164" s="170">
        <f>IFERROR(__xludf.DUMMYFUNCTION("IFERROR(I164 * (1 + AVERAGE(Filter('Inflation Data'!$C:$C,'Inflation Data'!$A:$A = J$1))) + 'Fund YTD Contributions'!J164,'Fund YTD Contributions'!J164)"),0.0)</f>
        <v>0</v>
      </c>
      <c r="K164" s="170">
        <f>IFERROR(__xludf.DUMMYFUNCTION("IFERROR(J164 * (1 + AVERAGE(Filter('Inflation Data'!$C:$C,'Inflation Data'!$A:$A = K$1))) + 'Fund YTD Contributions'!K164,'Fund YTD Contributions'!K164)"),0.0)</f>
        <v>0</v>
      </c>
      <c r="L164" s="170">
        <f>IFERROR(__xludf.DUMMYFUNCTION("IFERROR(K164 * (1 + AVERAGE(Filter('Inflation Data'!$C:$C,'Inflation Data'!$A:$A = L$1))) + 'Fund YTD Contributions'!L164,'Fund YTD Contributions'!L164)"),0.0)</f>
        <v>0</v>
      </c>
      <c r="M164" s="170">
        <f>IFERROR(__xludf.DUMMYFUNCTION("IFERROR(L164 * (1 + AVERAGE(Filter('Inflation Data'!$C:$C,'Inflation Data'!$A:$A = M$1))) + 'Fund YTD Contributions'!M164,'Fund YTD Contributions'!M164)"),0.0)</f>
        <v>0</v>
      </c>
      <c r="N164" s="170">
        <f>IFERROR(__xludf.DUMMYFUNCTION("IFERROR(M164 * (1 + AVERAGE(Filter('Inflation Data'!$C:$C,'Inflation Data'!$A:$A = N$1))) + 'Fund YTD Contributions'!N164,'Fund YTD Contributions'!N164)"),0.0)</f>
        <v>0</v>
      </c>
      <c r="O164" s="170">
        <f>IFERROR(__xludf.DUMMYFUNCTION("IFERROR(N164 * (1 + AVERAGE(Filter('Inflation Data'!$C:$C,'Inflation Data'!$A:$A = O$1))) + 'Fund YTD Contributions'!O164,'Fund YTD Contributions'!O164)"),0.0)</f>
        <v>0</v>
      </c>
      <c r="P164" s="170">
        <f>IFERROR(__xludf.DUMMYFUNCTION("IFERROR(O164 * (1 + AVERAGE(Filter('Inflation Data'!$C:$C,'Inflation Data'!$A:$A = P$1))) + 'Fund YTD Contributions'!P164,'Fund YTD Contributions'!P164)"),0.0)</f>
        <v>0</v>
      </c>
      <c r="Q164" s="170">
        <f>IFERROR(__xludf.DUMMYFUNCTION("IFERROR(P164 * (1 + AVERAGE(Filter('Inflation Data'!$C:$C,'Inflation Data'!$A:$A = Q$1))) + 'Fund YTD Contributions'!Q164,'Fund YTD Contributions'!Q164)"),0.0)</f>
        <v>0</v>
      </c>
      <c r="R164" s="170">
        <f>IFERROR(__xludf.DUMMYFUNCTION("IFERROR(Q164 * (1 + AVERAGE(Filter('Inflation Data'!$C:$C,'Inflation Data'!$A:$A = R$1))) + 'Fund YTD Contributions'!R164,'Fund YTD Contributions'!R164)"),0.0)</f>
        <v>0</v>
      </c>
      <c r="S164" s="170">
        <f>IFERROR(__xludf.DUMMYFUNCTION("IFERROR(R164 * (1 + AVERAGE(Filter('Inflation Data'!$C:$C,'Inflation Data'!$A:$A = S$1))) + 'Fund YTD Contributions'!S164,'Fund YTD Contributions'!S164)"),0.0)</f>
        <v>0</v>
      </c>
      <c r="T164" s="170">
        <f>IFERROR(__xludf.DUMMYFUNCTION("IFERROR(S164 * (1 + AVERAGE(Filter('Inflation Data'!$C:$C,'Inflation Data'!$A:$A = T$1))) + 'Fund YTD Contributions'!T164,'Fund YTD Contributions'!T164)"),0.0)</f>
        <v>0</v>
      </c>
      <c r="U164" s="170">
        <f>IFERROR(__xludf.DUMMYFUNCTION("IFERROR(T164 * (1 + AVERAGE(Filter('Inflation Data'!$C:$C,'Inflation Data'!$A:$A = U$1))) + 'Fund YTD Contributions'!U164,'Fund YTD Contributions'!U164)"),0.0)</f>
        <v>0</v>
      </c>
      <c r="V164" s="170">
        <f>IFERROR(__xludf.DUMMYFUNCTION("IFERROR(U164 * (1 + AVERAGE(Filter('Inflation Data'!$C:$C,'Inflation Data'!$A:$A = V$1))) + 'Fund YTD Contributions'!V164,'Fund YTD Contributions'!V164)"),0.0)</f>
        <v>0</v>
      </c>
      <c r="W164" s="170">
        <f>IFERROR(__xludf.DUMMYFUNCTION("IFERROR(V164 * (1 + AVERAGE(Filter('Inflation Data'!$C:$C,'Inflation Data'!$A:$A = W$1))) + 'Fund YTD Contributions'!W164,'Fund YTD Contributions'!W164)"),0.0)</f>
        <v>0</v>
      </c>
      <c r="X164" s="170">
        <f>IFERROR(__xludf.DUMMYFUNCTION("IFERROR(W164 * (1 + AVERAGE(Filter('Inflation Data'!$C:$C,'Inflation Data'!$A:$A = X$1))) + 'Fund YTD Contributions'!X164,'Fund YTD Contributions'!X164)"),0.0)</f>
        <v>0</v>
      </c>
      <c r="Y164" s="170">
        <f>IFERROR(__xludf.DUMMYFUNCTION("IFERROR(X164 * (1 + AVERAGE(Filter('Inflation Data'!$C:$C,'Inflation Data'!$A:$A = Y$1))) + 'Fund YTD Contributions'!Y164,'Fund YTD Contributions'!Y164)"),0.0)</f>
        <v>0</v>
      </c>
      <c r="Z164" s="170">
        <f>IFERROR(__xludf.DUMMYFUNCTION("IFERROR(Y164 * (1 + AVERAGE(Filter('Inflation Data'!$C:$C,'Inflation Data'!$A:$A = Z$1))) + 'Fund YTD Contributions'!Z164,'Fund YTD Contributions'!Z164)"),0.0)</f>
        <v>0</v>
      </c>
      <c r="AA164" s="170"/>
      <c r="AB164" s="170"/>
      <c r="AC164" s="170"/>
      <c r="AD164" s="170"/>
      <c r="AE164" s="170"/>
      <c r="AF164" s="170"/>
    </row>
    <row r="165">
      <c r="A165" s="145" t="str">
        <f>'Endowed Funds'!B:B</f>
        <v/>
      </c>
      <c r="B165" s="170">
        <f>IFERROR(__xludf.DUMMYFUNCTION("IFERROR(A165 * (1 + AVERAGE(Filter('Inflation Data'!$C:$C,'Inflation Data'!$A:$A = B$1))) + 'Fund YTD Contributions'!B165,'Fund YTD Contributions'!B165)"),0.0)</f>
        <v>0</v>
      </c>
      <c r="C165" s="170">
        <f>IFERROR(__xludf.DUMMYFUNCTION("IFERROR(B165 * (1 + AVERAGE(Filter('Inflation Data'!$C:$C,'Inflation Data'!$A:$A = C$1))) + 'Fund YTD Contributions'!C165,'Fund YTD Contributions'!C165)"),0.0)</f>
        <v>0</v>
      </c>
      <c r="D165" s="170">
        <f>IFERROR(__xludf.DUMMYFUNCTION("IFERROR(C165 * (1 + AVERAGE(Filter('Inflation Data'!$C:$C,'Inflation Data'!$A:$A = D$1))) + 'Fund YTD Contributions'!D165,'Fund YTD Contributions'!D165)"),0.0)</f>
        <v>0</v>
      </c>
      <c r="E165" s="170">
        <f>IFERROR(__xludf.DUMMYFUNCTION("IFERROR(D165 * (1 + AVERAGE(Filter('Inflation Data'!$C:$C,'Inflation Data'!$A:$A = E$1))) + 'Fund YTD Contributions'!E165,'Fund YTD Contributions'!E165)"),0.0)</f>
        <v>0</v>
      </c>
      <c r="F165" s="170">
        <f>IFERROR(__xludf.DUMMYFUNCTION("IFERROR(E165 * (1 + AVERAGE(Filter('Inflation Data'!$C:$C,'Inflation Data'!$A:$A = F$1))) + 'Fund YTD Contributions'!F165,'Fund YTD Contributions'!F165)"),0.0)</f>
        <v>0</v>
      </c>
      <c r="G165" s="170">
        <f>IFERROR(__xludf.DUMMYFUNCTION("IFERROR(F165 * (1 + AVERAGE(Filter('Inflation Data'!$C:$C,'Inflation Data'!$A:$A = G$1))) + 'Fund YTD Contributions'!G165,'Fund YTD Contributions'!G165)"),0.0)</f>
        <v>0</v>
      </c>
      <c r="H165" s="170">
        <f>IFERROR(__xludf.DUMMYFUNCTION("IFERROR(G165 * (1 + AVERAGE(Filter('Inflation Data'!$C:$C,'Inflation Data'!$A:$A = H$1))) + 'Fund YTD Contributions'!H165,'Fund YTD Contributions'!H165)"),0.0)</f>
        <v>0</v>
      </c>
      <c r="I165" s="170">
        <f>IFERROR(__xludf.DUMMYFUNCTION("IFERROR(H165 * (1 + AVERAGE(Filter('Inflation Data'!$C:$C,'Inflation Data'!$A:$A = I$1))) + 'Fund YTD Contributions'!I165,'Fund YTD Contributions'!I165)"),0.0)</f>
        <v>0</v>
      </c>
      <c r="J165" s="170">
        <f>IFERROR(__xludf.DUMMYFUNCTION("IFERROR(I165 * (1 + AVERAGE(Filter('Inflation Data'!$C:$C,'Inflation Data'!$A:$A = J$1))) + 'Fund YTD Contributions'!J165,'Fund YTD Contributions'!J165)"),0.0)</f>
        <v>0</v>
      </c>
      <c r="K165" s="170">
        <f>IFERROR(__xludf.DUMMYFUNCTION("IFERROR(J165 * (1 + AVERAGE(Filter('Inflation Data'!$C:$C,'Inflation Data'!$A:$A = K$1))) + 'Fund YTD Contributions'!K165,'Fund YTD Contributions'!K165)"),0.0)</f>
        <v>0</v>
      </c>
      <c r="L165" s="170">
        <f>IFERROR(__xludf.DUMMYFUNCTION("IFERROR(K165 * (1 + AVERAGE(Filter('Inflation Data'!$C:$C,'Inflation Data'!$A:$A = L$1))) + 'Fund YTD Contributions'!L165,'Fund YTD Contributions'!L165)"),0.0)</f>
        <v>0</v>
      </c>
      <c r="M165" s="170">
        <f>IFERROR(__xludf.DUMMYFUNCTION("IFERROR(L165 * (1 + AVERAGE(Filter('Inflation Data'!$C:$C,'Inflation Data'!$A:$A = M$1))) + 'Fund YTD Contributions'!M165,'Fund YTD Contributions'!M165)"),0.0)</f>
        <v>0</v>
      </c>
      <c r="N165" s="170">
        <f>IFERROR(__xludf.DUMMYFUNCTION("IFERROR(M165 * (1 + AVERAGE(Filter('Inflation Data'!$C:$C,'Inflation Data'!$A:$A = N$1))) + 'Fund YTD Contributions'!N165,'Fund YTD Contributions'!N165)"),0.0)</f>
        <v>0</v>
      </c>
      <c r="O165" s="170">
        <f>IFERROR(__xludf.DUMMYFUNCTION("IFERROR(N165 * (1 + AVERAGE(Filter('Inflation Data'!$C:$C,'Inflation Data'!$A:$A = O$1))) + 'Fund YTD Contributions'!O165,'Fund YTD Contributions'!O165)"),0.0)</f>
        <v>0</v>
      </c>
      <c r="P165" s="170">
        <f>IFERROR(__xludf.DUMMYFUNCTION("IFERROR(O165 * (1 + AVERAGE(Filter('Inflation Data'!$C:$C,'Inflation Data'!$A:$A = P$1))) + 'Fund YTD Contributions'!P165,'Fund YTD Contributions'!P165)"),0.0)</f>
        <v>0</v>
      </c>
      <c r="Q165" s="170">
        <f>IFERROR(__xludf.DUMMYFUNCTION("IFERROR(P165 * (1 + AVERAGE(Filter('Inflation Data'!$C:$C,'Inflation Data'!$A:$A = Q$1))) + 'Fund YTD Contributions'!Q165,'Fund YTD Contributions'!Q165)"),0.0)</f>
        <v>0</v>
      </c>
      <c r="R165" s="170">
        <f>IFERROR(__xludf.DUMMYFUNCTION("IFERROR(Q165 * (1 + AVERAGE(Filter('Inflation Data'!$C:$C,'Inflation Data'!$A:$A = R$1))) + 'Fund YTD Contributions'!R165,'Fund YTD Contributions'!R165)"),0.0)</f>
        <v>0</v>
      </c>
      <c r="S165" s="170">
        <f>IFERROR(__xludf.DUMMYFUNCTION("IFERROR(R165 * (1 + AVERAGE(Filter('Inflation Data'!$C:$C,'Inflation Data'!$A:$A = S$1))) + 'Fund YTD Contributions'!S165,'Fund YTD Contributions'!S165)"),0.0)</f>
        <v>0</v>
      </c>
      <c r="T165" s="170">
        <f>IFERROR(__xludf.DUMMYFUNCTION("IFERROR(S165 * (1 + AVERAGE(Filter('Inflation Data'!$C:$C,'Inflation Data'!$A:$A = T$1))) + 'Fund YTD Contributions'!T165,'Fund YTD Contributions'!T165)"),0.0)</f>
        <v>0</v>
      </c>
      <c r="U165" s="170">
        <f>IFERROR(__xludf.DUMMYFUNCTION("IFERROR(T165 * (1 + AVERAGE(Filter('Inflation Data'!$C:$C,'Inflation Data'!$A:$A = U$1))) + 'Fund YTD Contributions'!U165,'Fund YTD Contributions'!U165)"),0.0)</f>
        <v>0</v>
      </c>
      <c r="V165" s="170">
        <f>IFERROR(__xludf.DUMMYFUNCTION("IFERROR(U165 * (1 + AVERAGE(Filter('Inflation Data'!$C:$C,'Inflation Data'!$A:$A = V$1))) + 'Fund YTD Contributions'!V165,'Fund YTD Contributions'!V165)"),0.0)</f>
        <v>0</v>
      </c>
      <c r="W165" s="170">
        <f>IFERROR(__xludf.DUMMYFUNCTION("IFERROR(V165 * (1 + AVERAGE(Filter('Inflation Data'!$C:$C,'Inflation Data'!$A:$A = W$1))) + 'Fund YTD Contributions'!W165,'Fund YTD Contributions'!W165)"),0.0)</f>
        <v>0</v>
      </c>
      <c r="X165" s="170">
        <f>IFERROR(__xludf.DUMMYFUNCTION("IFERROR(W165 * (1 + AVERAGE(Filter('Inflation Data'!$C:$C,'Inflation Data'!$A:$A = X$1))) + 'Fund YTD Contributions'!X165,'Fund YTD Contributions'!X165)"),0.0)</f>
        <v>0</v>
      </c>
      <c r="Y165" s="170">
        <f>IFERROR(__xludf.DUMMYFUNCTION("IFERROR(X165 * (1 + AVERAGE(Filter('Inflation Data'!$C:$C,'Inflation Data'!$A:$A = Y$1))) + 'Fund YTD Contributions'!Y165,'Fund YTD Contributions'!Y165)"),0.0)</f>
        <v>0</v>
      </c>
      <c r="Z165" s="170">
        <f>IFERROR(__xludf.DUMMYFUNCTION("IFERROR(Y165 * (1 + AVERAGE(Filter('Inflation Data'!$C:$C,'Inflation Data'!$A:$A = Z$1))) + 'Fund YTD Contributions'!Z165,'Fund YTD Contributions'!Z165)"),0.0)</f>
        <v>0</v>
      </c>
      <c r="AA165" s="170"/>
      <c r="AB165" s="170"/>
      <c r="AC165" s="170"/>
      <c r="AD165" s="170"/>
      <c r="AE165" s="170"/>
      <c r="AF165" s="170"/>
    </row>
    <row r="166">
      <c r="A166" s="145" t="str">
        <f>'Endowed Funds'!B:B</f>
        <v/>
      </c>
      <c r="B166" s="170">
        <f>IFERROR(__xludf.DUMMYFUNCTION("IFERROR(A166 * (1 + AVERAGE(Filter('Inflation Data'!$C:$C,'Inflation Data'!$A:$A = B$1))) + 'Fund YTD Contributions'!B166,'Fund YTD Contributions'!B166)"),0.0)</f>
        <v>0</v>
      </c>
      <c r="C166" s="170">
        <f>IFERROR(__xludf.DUMMYFUNCTION("IFERROR(B166 * (1 + AVERAGE(Filter('Inflation Data'!$C:$C,'Inflation Data'!$A:$A = C$1))) + 'Fund YTD Contributions'!C166,'Fund YTD Contributions'!C166)"),0.0)</f>
        <v>0</v>
      </c>
      <c r="D166" s="170">
        <f>IFERROR(__xludf.DUMMYFUNCTION("IFERROR(C166 * (1 + AVERAGE(Filter('Inflation Data'!$C:$C,'Inflation Data'!$A:$A = D$1))) + 'Fund YTD Contributions'!D166,'Fund YTD Contributions'!D166)"),0.0)</f>
        <v>0</v>
      </c>
      <c r="E166" s="170">
        <f>IFERROR(__xludf.DUMMYFUNCTION("IFERROR(D166 * (1 + AVERAGE(Filter('Inflation Data'!$C:$C,'Inflation Data'!$A:$A = E$1))) + 'Fund YTD Contributions'!E166,'Fund YTD Contributions'!E166)"),0.0)</f>
        <v>0</v>
      </c>
      <c r="F166" s="170">
        <f>IFERROR(__xludf.DUMMYFUNCTION("IFERROR(E166 * (1 + AVERAGE(Filter('Inflation Data'!$C:$C,'Inflation Data'!$A:$A = F$1))) + 'Fund YTD Contributions'!F166,'Fund YTD Contributions'!F166)"),0.0)</f>
        <v>0</v>
      </c>
      <c r="G166" s="170">
        <f>IFERROR(__xludf.DUMMYFUNCTION("IFERROR(F166 * (1 + AVERAGE(Filter('Inflation Data'!$C:$C,'Inflation Data'!$A:$A = G$1))) + 'Fund YTD Contributions'!G166,'Fund YTD Contributions'!G166)"),0.0)</f>
        <v>0</v>
      </c>
      <c r="H166" s="170">
        <f>IFERROR(__xludf.DUMMYFUNCTION("IFERROR(G166 * (1 + AVERAGE(Filter('Inflation Data'!$C:$C,'Inflation Data'!$A:$A = H$1))) + 'Fund YTD Contributions'!H166,'Fund YTD Contributions'!H166)"),0.0)</f>
        <v>0</v>
      </c>
      <c r="I166" s="170">
        <f>IFERROR(__xludf.DUMMYFUNCTION("IFERROR(H166 * (1 + AVERAGE(Filter('Inflation Data'!$C:$C,'Inflation Data'!$A:$A = I$1))) + 'Fund YTD Contributions'!I166,'Fund YTD Contributions'!I166)"),0.0)</f>
        <v>0</v>
      </c>
      <c r="J166" s="170">
        <f>IFERROR(__xludf.DUMMYFUNCTION("IFERROR(I166 * (1 + AVERAGE(Filter('Inflation Data'!$C:$C,'Inflation Data'!$A:$A = J$1))) + 'Fund YTD Contributions'!J166,'Fund YTD Contributions'!J166)"),0.0)</f>
        <v>0</v>
      </c>
      <c r="K166" s="170">
        <f>IFERROR(__xludf.DUMMYFUNCTION("IFERROR(J166 * (1 + AVERAGE(Filter('Inflation Data'!$C:$C,'Inflation Data'!$A:$A = K$1))) + 'Fund YTD Contributions'!K166,'Fund YTD Contributions'!K166)"),0.0)</f>
        <v>0</v>
      </c>
      <c r="L166" s="170">
        <f>IFERROR(__xludf.DUMMYFUNCTION("IFERROR(K166 * (1 + AVERAGE(Filter('Inflation Data'!$C:$C,'Inflation Data'!$A:$A = L$1))) + 'Fund YTD Contributions'!L166,'Fund YTD Contributions'!L166)"),0.0)</f>
        <v>0</v>
      </c>
      <c r="M166" s="170">
        <f>IFERROR(__xludf.DUMMYFUNCTION("IFERROR(L166 * (1 + AVERAGE(Filter('Inflation Data'!$C:$C,'Inflation Data'!$A:$A = M$1))) + 'Fund YTD Contributions'!M166,'Fund YTD Contributions'!M166)"),0.0)</f>
        <v>0</v>
      </c>
      <c r="N166" s="170">
        <f>IFERROR(__xludf.DUMMYFUNCTION("IFERROR(M166 * (1 + AVERAGE(Filter('Inflation Data'!$C:$C,'Inflation Data'!$A:$A = N$1))) + 'Fund YTD Contributions'!N166,'Fund YTD Contributions'!N166)"),0.0)</f>
        <v>0</v>
      </c>
      <c r="O166" s="170">
        <f>IFERROR(__xludf.DUMMYFUNCTION("IFERROR(N166 * (1 + AVERAGE(Filter('Inflation Data'!$C:$C,'Inflation Data'!$A:$A = O$1))) + 'Fund YTD Contributions'!O166,'Fund YTD Contributions'!O166)"),0.0)</f>
        <v>0</v>
      </c>
      <c r="P166" s="170">
        <f>IFERROR(__xludf.DUMMYFUNCTION("IFERROR(O166 * (1 + AVERAGE(Filter('Inflation Data'!$C:$C,'Inflation Data'!$A:$A = P$1))) + 'Fund YTD Contributions'!P166,'Fund YTD Contributions'!P166)"),0.0)</f>
        <v>0</v>
      </c>
      <c r="Q166" s="170">
        <f>IFERROR(__xludf.DUMMYFUNCTION("IFERROR(P166 * (1 + AVERAGE(Filter('Inflation Data'!$C:$C,'Inflation Data'!$A:$A = Q$1))) + 'Fund YTD Contributions'!Q166,'Fund YTD Contributions'!Q166)"),0.0)</f>
        <v>0</v>
      </c>
      <c r="R166" s="170">
        <f>IFERROR(__xludf.DUMMYFUNCTION("IFERROR(Q166 * (1 + AVERAGE(Filter('Inflation Data'!$C:$C,'Inflation Data'!$A:$A = R$1))) + 'Fund YTD Contributions'!R166,'Fund YTD Contributions'!R166)"),0.0)</f>
        <v>0</v>
      </c>
      <c r="S166" s="170">
        <f>IFERROR(__xludf.DUMMYFUNCTION("IFERROR(R166 * (1 + AVERAGE(Filter('Inflation Data'!$C:$C,'Inflation Data'!$A:$A = S$1))) + 'Fund YTD Contributions'!S166,'Fund YTD Contributions'!S166)"),0.0)</f>
        <v>0</v>
      </c>
      <c r="T166" s="170">
        <f>IFERROR(__xludf.DUMMYFUNCTION("IFERROR(S166 * (1 + AVERAGE(Filter('Inflation Data'!$C:$C,'Inflation Data'!$A:$A = T$1))) + 'Fund YTD Contributions'!T166,'Fund YTD Contributions'!T166)"),0.0)</f>
        <v>0</v>
      </c>
      <c r="U166" s="170">
        <f>IFERROR(__xludf.DUMMYFUNCTION("IFERROR(T166 * (1 + AVERAGE(Filter('Inflation Data'!$C:$C,'Inflation Data'!$A:$A = U$1))) + 'Fund YTD Contributions'!U166,'Fund YTD Contributions'!U166)"),0.0)</f>
        <v>0</v>
      </c>
      <c r="V166" s="170">
        <f>IFERROR(__xludf.DUMMYFUNCTION("IFERROR(U166 * (1 + AVERAGE(Filter('Inflation Data'!$C:$C,'Inflation Data'!$A:$A = V$1))) + 'Fund YTD Contributions'!V166,'Fund YTD Contributions'!V166)"),0.0)</f>
        <v>0</v>
      </c>
      <c r="W166" s="170">
        <f>IFERROR(__xludf.DUMMYFUNCTION("IFERROR(V166 * (1 + AVERAGE(Filter('Inflation Data'!$C:$C,'Inflation Data'!$A:$A = W$1))) + 'Fund YTD Contributions'!W166,'Fund YTD Contributions'!W166)"),0.0)</f>
        <v>0</v>
      </c>
      <c r="X166" s="170">
        <f>IFERROR(__xludf.DUMMYFUNCTION("IFERROR(W166 * (1 + AVERAGE(Filter('Inflation Data'!$C:$C,'Inflation Data'!$A:$A = X$1))) + 'Fund YTD Contributions'!X166,'Fund YTD Contributions'!X166)"),0.0)</f>
        <v>0</v>
      </c>
      <c r="Y166" s="170">
        <f>IFERROR(__xludf.DUMMYFUNCTION("IFERROR(X166 * (1 + AVERAGE(Filter('Inflation Data'!$C:$C,'Inflation Data'!$A:$A = Y$1))) + 'Fund YTD Contributions'!Y166,'Fund YTD Contributions'!Y166)"),0.0)</f>
        <v>0</v>
      </c>
      <c r="Z166" s="170">
        <f>IFERROR(__xludf.DUMMYFUNCTION("IFERROR(Y166 * (1 + AVERAGE(Filter('Inflation Data'!$C:$C,'Inflation Data'!$A:$A = Z$1))) + 'Fund YTD Contributions'!Z166,'Fund YTD Contributions'!Z166)"),0.0)</f>
        <v>0</v>
      </c>
      <c r="AA166" s="170"/>
      <c r="AB166" s="170"/>
      <c r="AC166" s="170"/>
      <c r="AD166" s="170"/>
      <c r="AE166" s="170"/>
      <c r="AF166" s="170"/>
    </row>
    <row r="167">
      <c r="A167" s="145" t="str">
        <f>'Endowed Funds'!B:B</f>
        <v/>
      </c>
      <c r="B167" s="170">
        <f>IFERROR(__xludf.DUMMYFUNCTION("IFERROR(A167 * (1 + AVERAGE(Filter('Inflation Data'!$C:$C,'Inflation Data'!$A:$A = B$1))) + 'Fund YTD Contributions'!B167,'Fund YTD Contributions'!B167)"),0.0)</f>
        <v>0</v>
      </c>
      <c r="C167" s="170">
        <f>IFERROR(__xludf.DUMMYFUNCTION("IFERROR(B167 * (1 + AVERAGE(Filter('Inflation Data'!$C:$C,'Inflation Data'!$A:$A = C$1))) + 'Fund YTD Contributions'!C167,'Fund YTD Contributions'!C167)"),0.0)</f>
        <v>0</v>
      </c>
      <c r="D167" s="170">
        <f>IFERROR(__xludf.DUMMYFUNCTION("IFERROR(C167 * (1 + AVERAGE(Filter('Inflation Data'!$C:$C,'Inflation Data'!$A:$A = D$1))) + 'Fund YTD Contributions'!D167,'Fund YTD Contributions'!D167)"),0.0)</f>
        <v>0</v>
      </c>
      <c r="E167" s="170">
        <f>IFERROR(__xludf.DUMMYFUNCTION("IFERROR(D167 * (1 + AVERAGE(Filter('Inflation Data'!$C:$C,'Inflation Data'!$A:$A = E$1))) + 'Fund YTD Contributions'!E167,'Fund YTD Contributions'!E167)"),0.0)</f>
        <v>0</v>
      </c>
      <c r="F167" s="170">
        <f>IFERROR(__xludf.DUMMYFUNCTION("IFERROR(E167 * (1 + AVERAGE(Filter('Inflation Data'!$C:$C,'Inflation Data'!$A:$A = F$1))) + 'Fund YTD Contributions'!F167,'Fund YTD Contributions'!F167)"),0.0)</f>
        <v>0</v>
      </c>
      <c r="G167" s="170">
        <f>IFERROR(__xludf.DUMMYFUNCTION("IFERROR(F167 * (1 + AVERAGE(Filter('Inflation Data'!$C:$C,'Inflation Data'!$A:$A = G$1))) + 'Fund YTD Contributions'!G167,'Fund YTD Contributions'!G167)"),0.0)</f>
        <v>0</v>
      </c>
      <c r="H167" s="170">
        <f>IFERROR(__xludf.DUMMYFUNCTION("IFERROR(G167 * (1 + AVERAGE(Filter('Inflation Data'!$C:$C,'Inflation Data'!$A:$A = H$1))) + 'Fund YTD Contributions'!H167,'Fund YTD Contributions'!H167)"),0.0)</f>
        <v>0</v>
      </c>
      <c r="I167" s="170">
        <f>IFERROR(__xludf.DUMMYFUNCTION("IFERROR(H167 * (1 + AVERAGE(Filter('Inflation Data'!$C:$C,'Inflation Data'!$A:$A = I$1))) + 'Fund YTD Contributions'!I167,'Fund YTD Contributions'!I167)"),0.0)</f>
        <v>0</v>
      </c>
      <c r="J167" s="170">
        <f>IFERROR(__xludf.DUMMYFUNCTION("IFERROR(I167 * (1 + AVERAGE(Filter('Inflation Data'!$C:$C,'Inflation Data'!$A:$A = J$1))) + 'Fund YTD Contributions'!J167,'Fund YTD Contributions'!J167)"),0.0)</f>
        <v>0</v>
      </c>
      <c r="K167" s="170">
        <f>IFERROR(__xludf.DUMMYFUNCTION("IFERROR(J167 * (1 + AVERAGE(Filter('Inflation Data'!$C:$C,'Inflation Data'!$A:$A = K$1))) + 'Fund YTD Contributions'!K167,'Fund YTD Contributions'!K167)"),0.0)</f>
        <v>0</v>
      </c>
      <c r="L167" s="170">
        <f>IFERROR(__xludf.DUMMYFUNCTION("IFERROR(K167 * (1 + AVERAGE(Filter('Inflation Data'!$C:$C,'Inflation Data'!$A:$A = L$1))) + 'Fund YTD Contributions'!L167,'Fund YTD Contributions'!L167)"),0.0)</f>
        <v>0</v>
      </c>
      <c r="M167" s="170">
        <f>IFERROR(__xludf.DUMMYFUNCTION("IFERROR(L167 * (1 + AVERAGE(Filter('Inflation Data'!$C:$C,'Inflation Data'!$A:$A = M$1))) + 'Fund YTD Contributions'!M167,'Fund YTD Contributions'!M167)"),0.0)</f>
        <v>0</v>
      </c>
      <c r="N167" s="170">
        <f>IFERROR(__xludf.DUMMYFUNCTION("IFERROR(M167 * (1 + AVERAGE(Filter('Inflation Data'!$C:$C,'Inflation Data'!$A:$A = N$1))) + 'Fund YTD Contributions'!N167,'Fund YTD Contributions'!N167)"),0.0)</f>
        <v>0</v>
      </c>
      <c r="O167" s="170">
        <f>IFERROR(__xludf.DUMMYFUNCTION("IFERROR(N167 * (1 + AVERAGE(Filter('Inflation Data'!$C:$C,'Inflation Data'!$A:$A = O$1))) + 'Fund YTD Contributions'!O167,'Fund YTD Contributions'!O167)"),0.0)</f>
        <v>0</v>
      </c>
      <c r="P167" s="170">
        <f>IFERROR(__xludf.DUMMYFUNCTION("IFERROR(O167 * (1 + AVERAGE(Filter('Inflation Data'!$C:$C,'Inflation Data'!$A:$A = P$1))) + 'Fund YTD Contributions'!P167,'Fund YTD Contributions'!P167)"),0.0)</f>
        <v>0</v>
      </c>
      <c r="Q167" s="170">
        <f>IFERROR(__xludf.DUMMYFUNCTION("IFERROR(P167 * (1 + AVERAGE(Filter('Inflation Data'!$C:$C,'Inflation Data'!$A:$A = Q$1))) + 'Fund YTD Contributions'!Q167,'Fund YTD Contributions'!Q167)"),0.0)</f>
        <v>0</v>
      </c>
      <c r="R167" s="170">
        <f>IFERROR(__xludf.DUMMYFUNCTION("IFERROR(Q167 * (1 + AVERAGE(Filter('Inflation Data'!$C:$C,'Inflation Data'!$A:$A = R$1))) + 'Fund YTD Contributions'!R167,'Fund YTD Contributions'!R167)"),0.0)</f>
        <v>0</v>
      </c>
      <c r="S167" s="170">
        <f>IFERROR(__xludf.DUMMYFUNCTION("IFERROR(R167 * (1 + AVERAGE(Filter('Inflation Data'!$C:$C,'Inflation Data'!$A:$A = S$1))) + 'Fund YTD Contributions'!S167,'Fund YTD Contributions'!S167)"),0.0)</f>
        <v>0</v>
      </c>
      <c r="T167" s="170">
        <f>IFERROR(__xludf.DUMMYFUNCTION("IFERROR(S167 * (1 + AVERAGE(Filter('Inflation Data'!$C:$C,'Inflation Data'!$A:$A = T$1))) + 'Fund YTD Contributions'!T167,'Fund YTD Contributions'!T167)"),0.0)</f>
        <v>0</v>
      </c>
      <c r="U167" s="170">
        <f>IFERROR(__xludf.DUMMYFUNCTION("IFERROR(T167 * (1 + AVERAGE(Filter('Inflation Data'!$C:$C,'Inflation Data'!$A:$A = U$1))) + 'Fund YTD Contributions'!U167,'Fund YTD Contributions'!U167)"),0.0)</f>
        <v>0</v>
      </c>
      <c r="V167" s="170">
        <f>IFERROR(__xludf.DUMMYFUNCTION("IFERROR(U167 * (1 + AVERAGE(Filter('Inflation Data'!$C:$C,'Inflation Data'!$A:$A = V$1))) + 'Fund YTD Contributions'!V167,'Fund YTD Contributions'!V167)"),0.0)</f>
        <v>0</v>
      </c>
      <c r="W167" s="170">
        <f>IFERROR(__xludf.DUMMYFUNCTION("IFERROR(V167 * (1 + AVERAGE(Filter('Inflation Data'!$C:$C,'Inflation Data'!$A:$A = W$1))) + 'Fund YTD Contributions'!W167,'Fund YTD Contributions'!W167)"),0.0)</f>
        <v>0</v>
      </c>
      <c r="X167" s="170">
        <f>IFERROR(__xludf.DUMMYFUNCTION("IFERROR(W167 * (1 + AVERAGE(Filter('Inflation Data'!$C:$C,'Inflation Data'!$A:$A = X$1))) + 'Fund YTD Contributions'!X167,'Fund YTD Contributions'!X167)"),0.0)</f>
        <v>0</v>
      </c>
      <c r="Y167" s="170">
        <f>IFERROR(__xludf.DUMMYFUNCTION("IFERROR(X167 * (1 + AVERAGE(Filter('Inflation Data'!$C:$C,'Inflation Data'!$A:$A = Y$1))) + 'Fund YTD Contributions'!Y167,'Fund YTD Contributions'!Y167)"),0.0)</f>
        <v>0</v>
      </c>
      <c r="Z167" s="170">
        <f>IFERROR(__xludf.DUMMYFUNCTION("IFERROR(Y167 * (1 + AVERAGE(Filter('Inflation Data'!$C:$C,'Inflation Data'!$A:$A = Z$1))) + 'Fund YTD Contributions'!Z167,'Fund YTD Contributions'!Z167)"),0.0)</f>
        <v>0</v>
      </c>
      <c r="AA167" s="170"/>
      <c r="AB167" s="170"/>
      <c r="AC167" s="170"/>
      <c r="AD167" s="170"/>
      <c r="AE167" s="170"/>
      <c r="AF167" s="170"/>
    </row>
    <row r="168">
      <c r="A168" s="145" t="str">
        <f>'Endowed Funds'!B:B</f>
        <v/>
      </c>
      <c r="B168" s="170">
        <f>IFERROR(__xludf.DUMMYFUNCTION("IFERROR(A168 * (1 + AVERAGE(Filter('Inflation Data'!$C:$C,'Inflation Data'!$A:$A = B$1))) + 'Fund YTD Contributions'!B168,'Fund YTD Contributions'!B168)"),0.0)</f>
        <v>0</v>
      </c>
      <c r="C168" s="170">
        <f>IFERROR(__xludf.DUMMYFUNCTION("IFERROR(B168 * (1 + AVERAGE(Filter('Inflation Data'!$C:$C,'Inflation Data'!$A:$A = C$1))) + 'Fund YTD Contributions'!C168,'Fund YTD Contributions'!C168)"),0.0)</f>
        <v>0</v>
      </c>
      <c r="D168" s="170">
        <f>IFERROR(__xludf.DUMMYFUNCTION("IFERROR(C168 * (1 + AVERAGE(Filter('Inflation Data'!$C:$C,'Inflation Data'!$A:$A = D$1))) + 'Fund YTD Contributions'!D168,'Fund YTD Contributions'!D168)"),0.0)</f>
        <v>0</v>
      </c>
      <c r="E168" s="170">
        <f>IFERROR(__xludf.DUMMYFUNCTION("IFERROR(D168 * (1 + AVERAGE(Filter('Inflation Data'!$C:$C,'Inflation Data'!$A:$A = E$1))) + 'Fund YTD Contributions'!E168,'Fund YTD Contributions'!E168)"),0.0)</f>
        <v>0</v>
      </c>
      <c r="F168" s="170">
        <f>IFERROR(__xludf.DUMMYFUNCTION("IFERROR(E168 * (1 + AVERAGE(Filter('Inflation Data'!$C:$C,'Inflation Data'!$A:$A = F$1))) + 'Fund YTD Contributions'!F168,'Fund YTD Contributions'!F168)"),0.0)</f>
        <v>0</v>
      </c>
      <c r="G168" s="170">
        <f>IFERROR(__xludf.DUMMYFUNCTION("IFERROR(F168 * (1 + AVERAGE(Filter('Inflation Data'!$C:$C,'Inflation Data'!$A:$A = G$1))) + 'Fund YTD Contributions'!G168,'Fund YTD Contributions'!G168)"),0.0)</f>
        <v>0</v>
      </c>
      <c r="H168" s="170">
        <f>IFERROR(__xludf.DUMMYFUNCTION("IFERROR(G168 * (1 + AVERAGE(Filter('Inflation Data'!$C:$C,'Inflation Data'!$A:$A = H$1))) + 'Fund YTD Contributions'!H168,'Fund YTD Contributions'!H168)"),0.0)</f>
        <v>0</v>
      </c>
      <c r="I168" s="170">
        <f>IFERROR(__xludf.DUMMYFUNCTION("IFERROR(H168 * (1 + AVERAGE(Filter('Inflation Data'!$C:$C,'Inflation Data'!$A:$A = I$1))) + 'Fund YTD Contributions'!I168,'Fund YTD Contributions'!I168)"),0.0)</f>
        <v>0</v>
      </c>
      <c r="J168" s="170">
        <f>IFERROR(__xludf.DUMMYFUNCTION("IFERROR(I168 * (1 + AVERAGE(Filter('Inflation Data'!$C:$C,'Inflation Data'!$A:$A = J$1))) + 'Fund YTD Contributions'!J168,'Fund YTD Contributions'!J168)"),0.0)</f>
        <v>0</v>
      </c>
      <c r="K168" s="170">
        <f>IFERROR(__xludf.DUMMYFUNCTION("IFERROR(J168 * (1 + AVERAGE(Filter('Inflation Data'!$C:$C,'Inflation Data'!$A:$A = K$1))) + 'Fund YTD Contributions'!K168,'Fund YTD Contributions'!K168)"),0.0)</f>
        <v>0</v>
      </c>
      <c r="L168" s="170">
        <f>IFERROR(__xludf.DUMMYFUNCTION("IFERROR(K168 * (1 + AVERAGE(Filter('Inflation Data'!$C:$C,'Inflation Data'!$A:$A = L$1))) + 'Fund YTD Contributions'!L168,'Fund YTD Contributions'!L168)"),0.0)</f>
        <v>0</v>
      </c>
      <c r="M168" s="170">
        <f>IFERROR(__xludf.DUMMYFUNCTION("IFERROR(L168 * (1 + AVERAGE(Filter('Inflation Data'!$C:$C,'Inflation Data'!$A:$A = M$1))) + 'Fund YTD Contributions'!M168,'Fund YTD Contributions'!M168)"),0.0)</f>
        <v>0</v>
      </c>
      <c r="N168" s="170">
        <f>IFERROR(__xludf.DUMMYFUNCTION("IFERROR(M168 * (1 + AVERAGE(Filter('Inflation Data'!$C:$C,'Inflation Data'!$A:$A = N$1))) + 'Fund YTD Contributions'!N168,'Fund YTD Contributions'!N168)"),0.0)</f>
        <v>0</v>
      </c>
      <c r="O168" s="170">
        <f>IFERROR(__xludf.DUMMYFUNCTION("IFERROR(N168 * (1 + AVERAGE(Filter('Inflation Data'!$C:$C,'Inflation Data'!$A:$A = O$1))) + 'Fund YTD Contributions'!O168,'Fund YTD Contributions'!O168)"),0.0)</f>
        <v>0</v>
      </c>
      <c r="P168" s="170">
        <f>IFERROR(__xludf.DUMMYFUNCTION("IFERROR(O168 * (1 + AVERAGE(Filter('Inflation Data'!$C:$C,'Inflation Data'!$A:$A = P$1))) + 'Fund YTD Contributions'!P168,'Fund YTD Contributions'!P168)"),0.0)</f>
        <v>0</v>
      </c>
      <c r="Q168" s="170">
        <f>IFERROR(__xludf.DUMMYFUNCTION("IFERROR(P168 * (1 + AVERAGE(Filter('Inflation Data'!$C:$C,'Inflation Data'!$A:$A = Q$1))) + 'Fund YTD Contributions'!Q168,'Fund YTD Contributions'!Q168)"),0.0)</f>
        <v>0</v>
      </c>
      <c r="R168" s="170">
        <f>IFERROR(__xludf.DUMMYFUNCTION("IFERROR(Q168 * (1 + AVERAGE(Filter('Inflation Data'!$C:$C,'Inflation Data'!$A:$A = R$1))) + 'Fund YTD Contributions'!R168,'Fund YTD Contributions'!R168)"),0.0)</f>
        <v>0</v>
      </c>
      <c r="S168" s="170">
        <f>IFERROR(__xludf.DUMMYFUNCTION("IFERROR(R168 * (1 + AVERAGE(Filter('Inflation Data'!$C:$C,'Inflation Data'!$A:$A = S$1))) + 'Fund YTD Contributions'!S168,'Fund YTD Contributions'!S168)"),0.0)</f>
        <v>0</v>
      </c>
      <c r="T168" s="170">
        <f>IFERROR(__xludf.DUMMYFUNCTION("IFERROR(S168 * (1 + AVERAGE(Filter('Inflation Data'!$C:$C,'Inflation Data'!$A:$A = T$1))) + 'Fund YTD Contributions'!T168,'Fund YTD Contributions'!T168)"),0.0)</f>
        <v>0</v>
      </c>
      <c r="U168" s="170">
        <f>IFERROR(__xludf.DUMMYFUNCTION("IFERROR(T168 * (1 + AVERAGE(Filter('Inflation Data'!$C:$C,'Inflation Data'!$A:$A = U$1))) + 'Fund YTD Contributions'!U168,'Fund YTD Contributions'!U168)"),0.0)</f>
        <v>0</v>
      </c>
      <c r="V168" s="170">
        <f>IFERROR(__xludf.DUMMYFUNCTION("IFERROR(U168 * (1 + AVERAGE(Filter('Inflation Data'!$C:$C,'Inflation Data'!$A:$A = V$1))) + 'Fund YTD Contributions'!V168,'Fund YTD Contributions'!V168)"),0.0)</f>
        <v>0</v>
      </c>
      <c r="W168" s="170">
        <f>IFERROR(__xludf.DUMMYFUNCTION("IFERROR(V168 * (1 + AVERAGE(Filter('Inflation Data'!$C:$C,'Inflation Data'!$A:$A = W$1))) + 'Fund YTD Contributions'!W168,'Fund YTD Contributions'!W168)"),0.0)</f>
        <v>0</v>
      </c>
      <c r="X168" s="170">
        <f>IFERROR(__xludf.DUMMYFUNCTION("IFERROR(W168 * (1 + AVERAGE(Filter('Inflation Data'!$C:$C,'Inflation Data'!$A:$A = X$1))) + 'Fund YTD Contributions'!X168,'Fund YTD Contributions'!X168)"),0.0)</f>
        <v>0</v>
      </c>
      <c r="Y168" s="170">
        <f>IFERROR(__xludf.DUMMYFUNCTION("IFERROR(X168 * (1 + AVERAGE(Filter('Inflation Data'!$C:$C,'Inflation Data'!$A:$A = Y$1))) + 'Fund YTD Contributions'!Y168,'Fund YTD Contributions'!Y168)"),0.0)</f>
        <v>0</v>
      </c>
      <c r="Z168" s="170">
        <f>IFERROR(__xludf.DUMMYFUNCTION("IFERROR(Y168 * (1 + AVERAGE(Filter('Inflation Data'!$C:$C,'Inflation Data'!$A:$A = Z$1))) + 'Fund YTD Contributions'!Z168,'Fund YTD Contributions'!Z168)"),0.0)</f>
        <v>0</v>
      </c>
      <c r="AA168" s="170"/>
      <c r="AB168" s="170"/>
      <c r="AC168" s="170"/>
      <c r="AD168" s="170"/>
      <c r="AE168" s="170"/>
      <c r="AF168" s="170"/>
    </row>
    <row r="169">
      <c r="A169" s="145" t="str">
        <f>'Endowed Funds'!B:B</f>
        <v/>
      </c>
      <c r="B169" s="170">
        <f>IFERROR(__xludf.DUMMYFUNCTION("IFERROR(A169 * (1 + AVERAGE(Filter('Inflation Data'!$C:$C,'Inflation Data'!$A:$A = B$1))) + 'Fund YTD Contributions'!B169,'Fund YTD Contributions'!B169)"),0.0)</f>
        <v>0</v>
      </c>
      <c r="C169" s="170">
        <f>IFERROR(__xludf.DUMMYFUNCTION("IFERROR(B169 * (1 + AVERAGE(Filter('Inflation Data'!$C:$C,'Inflation Data'!$A:$A = C$1))) + 'Fund YTD Contributions'!C169,'Fund YTD Contributions'!C169)"),0.0)</f>
        <v>0</v>
      </c>
      <c r="D169" s="170">
        <f>IFERROR(__xludf.DUMMYFUNCTION("IFERROR(C169 * (1 + AVERAGE(Filter('Inflation Data'!$C:$C,'Inflation Data'!$A:$A = D$1))) + 'Fund YTD Contributions'!D169,'Fund YTD Contributions'!D169)"),0.0)</f>
        <v>0</v>
      </c>
      <c r="E169" s="170">
        <f>IFERROR(__xludf.DUMMYFUNCTION("IFERROR(D169 * (1 + AVERAGE(Filter('Inflation Data'!$C:$C,'Inflation Data'!$A:$A = E$1))) + 'Fund YTD Contributions'!E169,'Fund YTD Contributions'!E169)"),0.0)</f>
        <v>0</v>
      </c>
      <c r="F169" s="170">
        <f>IFERROR(__xludf.DUMMYFUNCTION("IFERROR(E169 * (1 + AVERAGE(Filter('Inflation Data'!$C:$C,'Inflation Data'!$A:$A = F$1))) + 'Fund YTD Contributions'!F169,'Fund YTD Contributions'!F169)"),0.0)</f>
        <v>0</v>
      </c>
      <c r="G169" s="170">
        <f>IFERROR(__xludf.DUMMYFUNCTION("IFERROR(F169 * (1 + AVERAGE(Filter('Inflation Data'!$C:$C,'Inflation Data'!$A:$A = G$1))) + 'Fund YTD Contributions'!G169,'Fund YTD Contributions'!G169)"),0.0)</f>
        <v>0</v>
      </c>
      <c r="H169" s="170">
        <f>IFERROR(__xludf.DUMMYFUNCTION("IFERROR(G169 * (1 + AVERAGE(Filter('Inflation Data'!$C:$C,'Inflation Data'!$A:$A = H$1))) + 'Fund YTD Contributions'!H169,'Fund YTD Contributions'!H169)"),0.0)</f>
        <v>0</v>
      </c>
      <c r="I169" s="170">
        <f>IFERROR(__xludf.DUMMYFUNCTION("IFERROR(H169 * (1 + AVERAGE(Filter('Inflation Data'!$C:$C,'Inflation Data'!$A:$A = I$1))) + 'Fund YTD Contributions'!I169,'Fund YTD Contributions'!I169)"),0.0)</f>
        <v>0</v>
      </c>
      <c r="J169" s="170">
        <f>IFERROR(__xludf.DUMMYFUNCTION("IFERROR(I169 * (1 + AVERAGE(Filter('Inflation Data'!$C:$C,'Inflation Data'!$A:$A = J$1))) + 'Fund YTD Contributions'!J169,'Fund YTD Contributions'!J169)"),0.0)</f>
        <v>0</v>
      </c>
      <c r="K169" s="170">
        <f>IFERROR(__xludf.DUMMYFUNCTION("IFERROR(J169 * (1 + AVERAGE(Filter('Inflation Data'!$C:$C,'Inflation Data'!$A:$A = K$1))) + 'Fund YTD Contributions'!K169,'Fund YTD Contributions'!K169)"),0.0)</f>
        <v>0</v>
      </c>
      <c r="L169" s="170">
        <f>IFERROR(__xludf.DUMMYFUNCTION("IFERROR(K169 * (1 + AVERAGE(Filter('Inflation Data'!$C:$C,'Inflation Data'!$A:$A = L$1))) + 'Fund YTD Contributions'!L169,'Fund YTD Contributions'!L169)"),0.0)</f>
        <v>0</v>
      </c>
      <c r="M169" s="170">
        <f>IFERROR(__xludf.DUMMYFUNCTION("IFERROR(L169 * (1 + AVERAGE(Filter('Inflation Data'!$C:$C,'Inflation Data'!$A:$A = M$1))) + 'Fund YTD Contributions'!M169,'Fund YTD Contributions'!M169)"),0.0)</f>
        <v>0</v>
      </c>
      <c r="N169" s="170">
        <f>IFERROR(__xludf.DUMMYFUNCTION("IFERROR(M169 * (1 + AVERAGE(Filter('Inflation Data'!$C:$C,'Inflation Data'!$A:$A = N$1))) + 'Fund YTD Contributions'!N169,'Fund YTD Contributions'!N169)"),0.0)</f>
        <v>0</v>
      </c>
      <c r="O169" s="170">
        <f>IFERROR(__xludf.DUMMYFUNCTION("IFERROR(N169 * (1 + AVERAGE(Filter('Inflation Data'!$C:$C,'Inflation Data'!$A:$A = O$1))) + 'Fund YTD Contributions'!O169,'Fund YTD Contributions'!O169)"),0.0)</f>
        <v>0</v>
      </c>
      <c r="P169" s="170">
        <f>IFERROR(__xludf.DUMMYFUNCTION("IFERROR(O169 * (1 + AVERAGE(Filter('Inflation Data'!$C:$C,'Inflation Data'!$A:$A = P$1))) + 'Fund YTD Contributions'!P169,'Fund YTD Contributions'!P169)"),0.0)</f>
        <v>0</v>
      </c>
      <c r="Q169" s="170">
        <f>IFERROR(__xludf.DUMMYFUNCTION("IFERROR(P169 * (1 + AVERAGE(Filter('Inflation Data'!$C:$C,'Inflation Data'!$A:$A = Q$1))) + 'Fund YTD Contributions'!Q169,'Fund YTD Contributions'!Q169)"),0.0)</f>
        <v>0</v>
      </c>
      <c r="R169" s="170">
        <f>IFERROR(__xludf.DUMMYFUNCTION("IFERROR(Q169 * (1 + AVERAGE(Filter('Inflation Data'!$C:$C,'Inflation Data'!$A:$A = R$1))) + 'Fund YTD Contributions'!R169,'Fund YTD Contributions'!R169)"),0.0)</f>
        <v>0</v>
      </c>
      <c r="S169" s="170">
        <f>IFERROR(__xludf.DUMMYFUNCTION("IFERROR(R169 * (1 + AVERAGE(Filter('Inflation Data'!$C:$C,'Inflation Data'!$A:$A = S$1))) + 'Fund YTD Contributions'!S169,'Fund YTD Contributions'!S169)"),0.0)</f>
        <v>0</v>
      </c>
      <c r="T169" s="170">
        <f>IFERROR(__xludf.DUMMYFUNCTION("IFERROR(S169 * (1 + AVERAGE(Filter('Inflation Data'!$C:$C,'Inflation Data'!$A:$A = T$1))) + 'Fund YTD Contributions'!T169,'Fund YTD Contributions'!T169)"),0.0)</f>
        <v>0</v>
      </c>
      <c r="U169" s="170">
        <f>IFERROR(__xludf.DUMMYFUNCTION("IFERROR(T169 * (1 + AVERAGE(Filter('Inflation Data'!$C:$C,'Inflation Data'!$A:$A = U$1))) + 'Fund YTD Contributions'!U169,'Fund YTD Contributions'!U169)"),0.0)</f>
        <v>0</v>
      </c>
      <c r="V169" s="170">
        <f>IFERROR(__xludf.DUMMYFUNCTION("IFERROR(U169 * (1 + AVERAGE(Filter('Inflation Data'!$C:$C,'Inflation Data'!$A:$A = V$1))) + 'Fund YTD Contributions'!V169,'Fund YTD Contributions'!V169)"),0.0)</f>
        <v>0</v>
      </c>
      <c r="W169" s="170">
        <f>IFERROR(__xludf.DUMMYFUNCTION("IFERROR(V169 * (1 + AVERAGE(Filter('Inflation Data'!$C:$C,'Inflation Data'!$A:$A = W$1))) + 'Fund YTD Contributions'!W169,'Fund YTD Contributions'!W169)"),0.0)</f>
        <v>0</v>
      </c>
      <c r="X169" s="170">
        <f>IFERROR(__xludf.DUMMYFUNCTION("IFERROR(W169 * (1 + AVERAGE(Filter('Inflation Data'!$C:$C,'Inflation Data'!$A:$A = X$1))) + 'Fund YTD Contributions'!X169,'Fund YTD Contributions'!X169)"),0.0)</f>
        <v>0</v>
      </c>
      <c r="Y169" s="170">
        <f>IFERROR(__xludf.DUMMYFUNCTION("IFERROR(X169 * (1 + AVERAGE(Filter('Inflation Data'!$C:$C,'Inflation Data'!$A:$A = Y$1))) + 'Fund YTD Contributions'!Y169,'Fund YTD Contributions'!Y169)"),0.0)</f>
        <v>0</v>
      </c>
      <c r="Z169" s="170">
        <f>IFERROR(__xludf.DUMMYFUNCTION("IFERROR(Y169 * (1 + AVERAGE(Filter('Inflation Data'!$C:$C,'Inflation Data'!$A:$A = Z$1))) + 'Fund YTD Contributions'!Z169,'Fund YTD Contributions'!Z169)"),0.0)</f>
        <v>0</v>
      </c>
      <c r="AA169" s="170"/>
      <c r="AB169" s="170"/>
      <c r="AC169" s="170"/>
      <c r="AD169" s="170"/>
      <c r="AE169" s="170"/>
      <c r="AF169" s="170"/>
    </row>
    <row r="170">
      <c r="B170" s="170">
        <f>IFERROR(__xludf.DUMMYFUNCTION("IFERROR(A170 * (1 + AVERAGE(Filter('Inflation Data'!$C:$C,'Inflation Data'!$A:$A = B$1))) + 'Fund YTD Contributions'!B170,'Fund YTD Contributions'!B170)"),0.0)</f>
        <v>0</v>
      </c>
      <c r="C170" s="170">
        <f>IFERROR(__xludf.DUMMYFUNCTION("IFERROR(B170 * (1 + AVERAGE(Filter('Inflation Data'!$C:$C,'Inflation Data'!$A:$A = C$1))) + 'Fund YTD Contributions'!C170,'Fund YTD Contributions'!C170)"),0.0)</f>
        <v>0</v>
      </c>
      <c r="D170" s="170">
        <f>IFERROR(__xludf.DUMMYFUNCTION("IFERROR(C170 * (1 + AVERAGE(Filter('Inflation Data'!$C:$C,'Inflation Data'!$A:$A = D$1))) + 'Fund YTD Contributions'!D170,'Fund YTD Contributions'!D170)"),0.0)</f>
        <v>0</v>
      </c>
      <c r="E170" s="170">
        <f>IFERROR(__xludf.DUMMYFUNCTION("IFERROR(D170 * (1 + AVERAGE(Filter('Inflation Data'!$C:$C,'Inflation Data'!$A:$A = E$1))) + 'Fund YTD Contributions'!E170,'Fund YTD Contributions'!E170)"),0.0)</f>
        <v>0</v>
      </c>
      <c r="F170" s="170">
        <f>IFERROR(__xludf.DUMMYFUNCTION("IFERROR(E170 * (1 + AVERAGE(Filter('Inflation Data'!$C:$C,'Inflation Data'!$A:$A = F$1))) + 'Fund YTD Contributions'!F170,'Fund YTD Contributions'!F170)"),0.0)</f>
        <v>0</v>
      </c>
      <c r="G170" s="170">
        <f>IFERROR(__xludf.DUMMYFUNCTION("IFERROR(F170 * (1 + AVERAGE(Filter('Inflation Data'!$C:$C,'Inflation Data'!$A:$A = G$1))) + 'Fund YTD Contributions'!G170,'Fund YTD Contributions'!G170)"),0.0)</f>
        <v>0</v>
      </c>
      <c r="H170" s="170">
        <f>IFERROR(__xludf.DUMMYFUNCTION("IFERROR(G170 * (1 + AVERAGE(Filter('Inflation Data'!$C:$C,'Inflation Data'!$A:$A = H$1))) + 'Fund YTD Contributions'!H170,'Fund YTD Contributions'!H170)"),0.0)</f>
        <v>0</v>
      </c>
      <c r="I170" s="170">
        <f>IFERROR(__xludf.DUMMYFUNCTION("IFERROR(H170 * (1 + AVERAGE(Filter('Inflation Data'!$C:$C,'Inflation Data'!$A:$A = I$1))) + 'Fund YTD Contributions'!I170,'Fund YTD Contributions'!I170)"),0.0)</f>
        <v>0</v>
      </c>
      <c r="J170" s="170">
        <f>IFERROR(__xludf.DUMMYFUNCTION("IFERROR(I170 * (1 + AVERAGE(Filter('Inflation Data'!$C:$C,'Inflation Data'!$A:$A = J$1))) + 'Fund YTD Contributions'!J170,'Fund YTD Contributions'!J170)"),0.0)</f>
        <v>0</v>
      </c>
      <c r="K170" s="170">
        <f>IFERROR(__xludf.DUMMYFUNCTION("IFERROR(J170 * (1 + AVERAGE(Filter('Inflation Data'!$C:$C,'Inflation Data'!$A:$A = K$1))) + 'Fund YTD Contributions'!K170,'Fund YTD Contributions'!K170)"),0.0)</f>
        <v>0</v>
      </c>
      <c r="L170" s="170">
        <f>IFERROR(__xludf.DUMMYFUNCTION("IFERROR(K170 * (1 + AVERAGE(Filter('Inflation Data'!$C:$C,'Inflation Data'!$A:$A = L$1))) + 'Fund YTD Contributions'!L170,'Fund YTD Contributions'!L170)"),0.0)</f>
        <v>0</v>
      </c>
      <c r="M170" s="170">
        <f>IFERROR(__xludf.DUMMYFUNCTION("IFERROR(L170 * (1 + AVERAGE(Filter('Inflation Data'!$C:$C,'Inflation Data'!$A:$A = M$1))) + 'Fund YTD Contributions'!M170,'Fund YTD Contributions'!M170)"),0.0)</f>
        <v>0</v>
      </c>
      <c r="N170" s="170">
        <f>IFERROR(__xludf.DUMMYFUNCTION("IFERROR(M170 * (1 + AVERAGE(Filter('Inflation Data'!$C:$C,'Inflation Data'!$A:$A = N$1))) + 'Fund YTD Contributions'!N170,'Fund YTD Contributions'!N170)"),0.0)</f>
        <v>0</v>
      </c>
      <c r="O170" s="170">
        <f>IFERROR(__xludf.DUMMYFUNCTION("IFERROR(N170 * (1 + AVERAGE(Filter('Inflation Data'!$C:$C,'Inflation Data'!$A:$A = O$1))) + 'Fund YTD Contributions'!O170,'Fund YTD Contributions'!O170)"),0.0)</f>
        <v>0</v>
      </c>
      <c r="P170" s="170">
        <f>IFERROR(__xludf.DUMMYFUNCTION("IFERROR(O170 * (1 + AVERAGE(Filter('Inflation Data'!$C:$C,'Inflation Data'!$A:$A = P$1))) + 'Fund YTD Contributions'!P170,'Fund YTD Contributions'!P170)"),0.0)</f>
        <v>0</v>
      </c>
      <c r="Q170" s="170">
        <f>IFERROR(__xludf.DUMMYFUNCTION("IFERROR(P170 * (1 + AVERAGE(Filter('Inflation Data'!$C:$C,'Inflation Data'!$A:$A = Q$1))) + 'Fund YTD Contributions'!Q170,'Fund YTD Contributions'!Q170)"),0.0)</f>
        <v>0</v>
      </c>
      <c r="R170" s="170">
        <f>IFERROR(__xludf.DUMMYFUNCTION("IFERROR(Q170 * (1 + AVERAGE(Filter('Inflation Data'!$C:$C,'Inflation Data'!$A:$A = R$1))) + 'Fund YTD Contributions'!R170,'Fund YTD Contributions'!R170)"),0.0)</f>
        <v>0</v>
      </c>
      <c r="S170" s="170">
        <f>IFERROR(__xludf.DUMMYFUNCTION("IFERROR(R170 * (1 + AVERAGE(Filter('Inflation Data'!$C:$C,'Inflation Data'!$A:$A = S$1))) + 'Fund YTD Contributions'!S170,'Fund YTD Contributions'!S170)"),0.0)</f>
        <v>0</v>
      </c>
      <c r="T170" s="170">
        <f>IFERROR(__xludf.DUMMYFUNCTION("IFERROR(S170 * (1 + AVERAGE(Filter('Inflation Data'!$C:$C,'Inflation Data'!$A:$A = T$1))) + 'Fund YTD Contributions'!T170,'Fund YTD Contributions'!T170)"),0.0)</f>
        <v>0</v>
      </c>
      <c r="U170" s="170">
        <f>IFERROR(__xludf.DUMMYFUNCTION("IFERROR(T170 * (1 + AVERAGE(Filter('Inflation Data'!$C:$C,'Inflation Data'!$A:$A = U$1))) + 'Fund YTD Contributions'!U170,'Fund YTD Contributions'!U170)"),0.0)</f>
        <v>0</v>
      </c>
      <c r="V170" s="170">
        <f>IFERROR(__xludf.DUMMYFUNCTION("IFERROR(U170 * (1 + AVERAGE(Filter('Inflation Data'!$C:$C,'Inflation Data'!$A:$A = V$1))) + 'Fund YTD Contributions'!V170,'Fund YTD Contributions'!V170)"),0.0)</f>
        <v>0</v>
      </c>
      <c r="W170" s="170">
        <f>IFERROR(__xludf.DUMMYFUNCTION("IFERROR(V170 * (1 + AVERAGE(Filter('Inflation Data'!$C:$C,'Inflation Data'!$A:$A = W$1))) + 'Fund YTD Contributions'!W170,'Fund YTD Contributions'!W170)"),0.0)</f>
        <v>0</v>
      </c>
      <c r="X170" s="170">
        <f>IFERROR(__xludf.DUMMYFUNCTION("IFERROR(W170 * (1 + AVERAGE(Filter('Inflation Data'!$C:$C,'Inflation Data'!$A:$A = X$1))) + 'Fund YTD Contributions'!X170,'Fund YTD Contributions'!X170)"),0.0)</f>
        <v>0</v>
      </c>
      <c r="Y170" s="170">
        <f>IFERROR(__xludf.DUMMYFUNCTION("IFERROR(X170 * (1 + AVERAGE(Filter('Inflation Data'!$C:$C,'Inflation Data'!$A:$A = Y$1))) + 'Fund YTD Contributions'!Y170,'Fund YTD Contributions'!Y170)"),0.0)</f>
        <v>0</v>
      </c>
      <c r="Z170" s="170">
        <f>IFERROR(__xludf.DUMMYFUNCTION("IFERROR(Y170 * (1 + AVERAGE(Filter('Inflation Data'!$C:$C,'Inflation Data'!$A:$A = Z$1))) + 'Fund YTD Contributions'!Z170,'Fund YTD Contributions'!Z170)"),0.0)</f>
        <v>0</v>
      </c>
      <c r="AA170" s="170"/>
      <c r="AB170" s="170"/>
      <c r="AC170" s="170"/>
      <c r="AD170" s="170"/>
      <c r="AE170" s="170"/>
      <c r="AF170" s="170"/>
    </row>
    <row r="171">
      <c r="B171" s="170">
        <f>IFERROR(__xludf.DUMMYFUNCTION("IFERROR(A171 * (1 + AVERAGE(Filter('Inflation Data'!$C:$C,'Inflation Data'!$A:$A = B$1))) + 'Fund YTD Contributions'!B171,'Fund YTD Contributions'!B171)"),0.0)</f>
        <v>0</v>
      </c>
      <c r="C171" s="170">
        <f>IFERROR(__xludf.DUMMYFUNCTION("IFERROR(B171 * (1 + AVERAGE(Filter('Inflation Data'!$C:$C,'Inflation Data'!$A:$A = C$1))) + 'Fund YTD Contributions'!C171,'Fund YTD Contributions'!C171)"),0.0)</f>
        <v>0</v>
      </c>
      <c r="D171" s="170">
        <f>IFERROR(__xludf.DUMMYFUNCTION("IFERROR(C171 * (1 + AVERAGE(Filter('Inflation Data'!$C:$C,'Inflation Data'!$A:$A = D$1))) + 'Fund YTD Contributions'!D171,'Fund YTD Contributions'!D171)"),0.0)</f>
        <v>0</v>
      </c>
      <c r="E171" s="170">
        <f>IFERROR(__xludf.DUMMYFUNCTION("IFERROR(D171 * (1 + AVERAGE(Filter('Inflation Data'!$C:$C,'Inflation Data'!$A:$A = E$1))) + 'Fund YTD Contributions'!E171,'Fund YTD Contributions'!E171)"),0.0)</f>
        <v>0</v>
      </c>
      <c r="F171" s="170">
        <f>IFERROR(__xludf.DUMMYFUNCTION("IFERROR(E171 * (1 + AVERAGE(Filter('Inflation Data'!$C:$C,'Inflation Data'!$A:$A = F$1))) + 'Fund YTD Contributions'!F171,'Fund YTD Contributions'!F171)"),0.0)</f>
        <v>0</v>
      </c>
      <c r="G171" s="170">
        <f>IFERROR(__xludf.DUMMYFUNCTION("IFERROR(F171 * (1 + AVERAGE(Filter('Inflation Data'!$C:$C,'Inflation Data'!$A:$A = G$1))) + 'Fund YTD Contributions'!G171,'Fund YTD Contributions'!G171)"),0.0)</f>
        <v>0</v>
      </c>
      <c r="H171" s="170">
        <f>IFERROR(__xludf.DUMMYFUNCTION("IFERROR(G171 * (1 + AVERAGE(Filter('Inflation Data'!$C:$C,'Inflation Data'!$A:$A = H$1))) + 'Fund YTD Contributions'!H171,'Fund YTD Contributions'!H171)"),0.0)</f>
        <v>0</v>
      </c>
      <c r="I171" s="170">
        <f>IFERROR(__xludf.DUMMYFUNCTION("IFERROR(H171 * (1 + AVERAGE(Filter('Inflation Data'!$C:$C,'Inflation Data'!$A:$A = I$1))) + 'Fund YTD Contributions'!I171,'Fund YTD Contributions'!I171)"),0.0)</f>
        <v>0</v>
      </c>
      <c r="J171" s="170">
        <f>IFERROR(__xludf.DUMMYFUNCTION("IFERROR(I171 * (1 + AVERAGE(Filter('Inflation Data'!$C:$C,'Inflation Data'!$A:$A = J$1))) + 'Fund YTD Contributions'!J171,'Fund YTD Contributions'!J171)"),0.0)</f>
        <v>0</v>
      </c>
      <c r="K171" s="170">
        <f>IFERROR(__xludf.DUMMYFUNCTION("IFERROR(J171 * (1 + AVERAGE(Filter('Inflation Data'!$C:$C,'Inflation Data'!$A:$A = K$1))) + 'Fund YTD Contributions'!K171,'Fund YTD Contributions'!K171)"),0.0)</f>
        <v>0</v>
      </c>
      <c r="L171" s="170">
        <f>IFERROR(__xludf.DUMMYFUNCTION("IFERROR(K171 * (1 + AVERAGE(Filter('Inflation Data'!$C:$C,'Inflation Data'!$A:$A = L$1))) + 'Fund YTD Contributions'!L171,'Fund YTD Contributions'!L171)"),0.0)</f>
        <v>0</v>
      </c>
      <c r="M171" s="170">
        <f>IFERROR(__xludf.DUMMYFUNCTION("IFERROR(L171 * (1 + AVERAGE(Filter('Inflation Data'!$C:$C,'Inflation Data'!$A:$A = M$1))) + 'Fund YTD Contributions'!M171,'Fund YTD Contributions'!M171)"),0.0)</f>
        <v>0</v>
      </c>
      <c r="N171" s="170">
        <f>IFERROR(__xludf.DUMMYFUNCTION("IFERROR(M171 * (1 + AVERAGE(Filter('Inflation Data'!$C:$C,'Inflation Data'!$A:$A = N$1))) + 'Fund YTD Contributions'!N171,'Fund YTD Contributions'!N171)"),0.0)</f>
        <v>0</v>
      </c>
      <c r="O171" s="170">
        <f>IFERROR(__xludf.DUMMYFUNCTION("IFERROR(N171 * (1 + AVERAGE(Filter('Inflation Data'!$C:$C,'Inflation Data'!$A:$A = O$1))) + 'Fund YTD Contributions'!O171,'Fund YTD Contributions'!O171)"),0.0)</f>
        <v>0</v>
      </c>
      <c r="P171" s="170">
        <f>IFERROR(__xludf.DUMMYFUNCTION("IFERROR(O171 * (1 + AVERAGE(Filter('Inflation Data'!$C:$C,'Inflation Data'!$A:$A = P$1))) + 'Fund YTD Contributions'!P171,'Fund YTD Contributions'!P171)"),0.0)</f>
        <v>0</v>
      </c>
      <c r="Q171" s="170">
        <f>IFERROR(__xludf.DUMMYFUNCTION("IFERROR(P171 * (1 + AVERAGE(Filter('Inflation Data'!$C:$C,'Inflation Data'!$A:$A = Q$1))) + 'Fund YTD Contributions'!Q171,'Fund YTD Contributions'!Q171)"),0.0)</f>
        <v>0</v>
      </c>
      <c r="R171" s="170">
        <f>IFERROR(__xludf.DUMMYFUNCTION("IFERROR(Q171 * (1 + AVERAGE(Filter('Inflation Data'!$C:$C,'Inflation Data'!$A:$A = R$1))) + 'Fund YTD Contributions'!R171,'Fund YTD Contributions'!R171)"),0.0)</f>
        <v>0</v>
      </c>
      <c r="S171" s="170">
        <f>IFERROR(__xludf.DUMMYFUNCTION("IFERROR(R171 * (1 + AVERAGE(Filter('Inflation Data'!$C:$C,'Inflation Data'!$A:$A = S$1))) + 'Fund YTD Contributions'!S171,'Fund YTD Contributions'!S171)"),0.0)</f>
        <v>0</v>
      </c>
      <c r="T171" s="170">
        <f>IFERROR(__xludf.DUMMYFUNCTION("IFERROR(S171 * (1 + AVERAGE(Filter('Inflation Data'!$C:$C,'Inflation Data'!$A:$A = T$1))) + 'Fund YTD Contributions'!T171,'Fund YTD Contributions'!T171)"),0.0)</f>
        <v>0</v>
      </c>
      <c r="U171" s="170">
        <f>IFERROR(__xludf.DUMMYFUNCTION("IFERROR(T171 * (1 + AVERAGE(Filter('Inflation Data'!$C:$C,'Inflation Data'!$A:$A = U$1))) + 'Fund YTD Contributions'!U171,'Fund YTD Contributions'!U171)"),0.0)</f>
        <v>0</v>
      </c>
      <c r="V171" s="170">
        <f>IFERROR(__xludf.DUMMYFUNCTION("IFERROR(U171 * (1 + AVERAGE(Filter('Inflation Data'!$C:$C,'Inflation Data'!$A:$A = V$1))) + 'Fund YTD Contributions'!V171,'Fund YTD Contributions'!V171)"),0.0)</f>
        <v>0</v>
      </c>
      <c r="W171" s="170">
        <f>IFERROR(__xludf.DUMMYFUNCTION("IFERROR(V171 * (1 + AVERAGE(Filter('Inflation Data'!$C:$C,'Inflation Data'!$A:$A = W$1))) + 'Fund YTD Contributions'!W171,'Fund YTD Contributions'!W171)"),0.0)</f>
        <v>0</v>
      </c>
      <c r="X171" s="170">
        <f>IFERROR(__xludf.DUMMYFUNCTION("IFERROR(W171 * (1 + AVERAGE(Filter('Inflation Data'!$C:$C,'Inflation Data'!$A:$A = X$1))) + 'Fund YTD Contributions'!X171,'Fund YTD Contributions'!X171)"),0.0)</f>
        <v>0</v>
      </c>
      <c r="Y171" s="170">
        <f>IFERROR(__xludf.DUMMYFUNCTION("IFERROR(X171 * (1 + AVERAGE(Filter('Inflation Data'!$C:$C,'Inflation Data'!$A:$A = Y$1))) + 'Fund YTD Contributions'!Y171,'Fund YTD Contributions'!Y171)"),0.0)</f>
        <v>0</v>
      </c>
      <c r="Z171" s="170">
        <f>IFERROR(__xludf.DUMMYFUNCTION("IFERROR(Y171 * (1 + AVERAGE(Filter('Inflation Data'!$C:$C,'Inflation Data'!$A:$A = Z$1))) + 'Fund YTD Contributions'!Z171,'Fund YTD Contributions'!Z171)"),0.0)</f>
        <v>0</v>
      </c>
      <c r="AA171" s="170"/>
      <c r="AB171" s="170"/>
      <c r="AC171" s="170"/>
      <c r="AD171" s="170"/>
      <c r="AE171" s="170"/>
      <c r="AF171" s="170"/>
    </row>
    <row r="172">
      <c r="B172" s="170">
        <f>IFERROR(__xludf.DUMMYFUNCTION("IFERROR(A172 * (1 + AVERAGE(Filter('Inflation Data'!$C:$C,'Inflation Data'!$A:$A = B$1))) + 'Fund YTD Contributions'!B172,'Fund YTD Contributions'!B172)"),0.0)</f>
        <v>0</v>
      </c>
      <c r="C172" s="170">
        <f>IFERROR(__xludf.DUMMYFUNCTION("IFERROR(B172 * (1 + AVERAGE(Filter('Inflation Data'!$C:$C,'Inflation Data'!$A:$A = C$1))) + 'Fund YTD Contributions'!C172,'Fund YTD Contributions'!C172)"),0.0)</f>
        <v>0</v>
      </c>
      <c r="D172" s="170">
        <f>IFERROR(__xludf.DUMMYFUNCTION("IFERROR(C172 * (1 + AVERAGE(Filter('Inflation Data'!$C:$C,'Inflation Data'!$A:$A = D$1))) + 'Fund YTD Contributions'!D172,'Fund YTD Contributions'!D172)"),0.0)</f>
        <v>0</v>
      </c>
      <c r="E172" s="170">
        <f>IFERROR(__xludf.DUMMYFUNCTION("IFERROR(D172 * (1 + AVERAGE(Filter('Inflation Data'!$C:$C,'Inflation Data'!$A:$A = E$1))) + 'Fund YTD Contributions'!E172,'Fund YTD Contributions'!E172)"),0.0)</f>
        <v>0</v>
      </c>
      <c r="F172" s="170">
        <f>IFERROR(__xludf.DUMMYFUNCTION("IFERROR(E172 * (1 + AVERAGE(Filter('Inflation Data'!$C:$C,'Inflation Data'!$A:$A = F$1))) + 'Fund YTD Contributions'!F172,'Fund YTD Contributions'!F172)"),0.0)</f>
        <v>0</v>
      </c>
      <c r="G172" s="170">
        <f>IFERROR(__xludf.DUMMYFUNCTION("IFERROR(F172 * (1 + AVERAGE(Filter('Inflation Data'!$C:$C,'Inflation Data'!$A:$A = G$1))) + 'Fund YTD Contributions'!G172,'Fund YTD Contributions'!G172)"),0.0)</f>
        <v>0</v>
      </c>
      <c r="H172" s="170">
        <f>IFERROR(__xludf.DUMMYFUNCTION("IFERROR(G172 * (1 + AVERAGE(Filter('Inflation Data'!$C:$C,'Inflation Data'!$A:$A = H$1))) + 'Fund YTD Contributions'!H172,'Fund YTD Contributions'!H172)"),0.0)</f>
        <v>0</v>
      </c>
      <c r="I172" s="170">
        <f>IFERROR(__xludf.DUMMYFUNCTION("IFERROR(H172 * (1 + AVERAGE(Filter('Inflation Data'!$C:$C,'Inflation Data'!$A:$A = I$1))) + 'Fund YTD Contributions'!I172,'Fund YTD Contributions'!I172)"),0.0)</f>
        <v>0</v>
      </c>
      <c r="J172" s="170">
        <f>IFERROR(__xludf.DUMMYFUNCTION("IFERROR(I172 * (1 + AVERAGE(Filter('Inflation Data'!$C:$C,'Inflation Data'!$A:$A = J$1))) + 'Fund YTD Contributions'!J172,'Fund YTD Contributions'!J172)"),0.0)</f>
        <v>0</v>
      </c>
      <c r="K172" s="170">
        <f>IFERROR(__xludf.DUMMYFUNCTION("IFERROR(J172 * (1 + AVERAGE(Filter('Inflation Data'!$C:$C,'Inflation Data'!$A:$A = K$1))) + 'Fund YTD Contributions'!K172,'Fund YTD Contributions'!K172)"),0.0)</f>
        <v>0</v>
      </c>
      <c r="L172" s="170">
        <f>IFERROR(__xludf.DUMMYFUNCTION("IFERROR(K172 * (1 + AVERAGE(Filter('Inflation Data'!$C:$C,'Inflation Data'!$A:$A = L$1))) + 'Fund YTD Contributions'!L172,'Fund YTD Contributions'!L172)"),0.0)</f>
        <v>0</v>
      </c>
      <c r="M172" s="170">
        <f>IFERROR(__xludf.DUMMYFUNCTION("IFERROR(L172 * (1 + AVERAGE(Filter('Inflation Data'!$C:$C,'Inflation Data'!$A:$A = M$1))) + 'Fund YTD Contributions'!M172,'Fund YTD Contributions'!M172)"),0.0)</f>
        <v>0</v>
      </c>
      <c r="N172" s="170">
        <f>IFERROR(__xludf.DUMMYFUNCTION("IFERROR(M172 * (1 + AVERAGE(Filter('Inflation Data'!$C:$C,'Inflation Data'!$A:$A = N$1))) + 'Fund YTD Contributions'!N172,'Fund YTD Contributions'!N172)"),0.0)</f>
        <v>0</v>
      </c>
      <c r="O172" s="170">
        <f>IFERROR(__xludf.DUMMYFUNCTION("IFERROR(N172 * (1 + AVERAGE(Filter('Inflation Data'!$C:$C,'Inflation Data'!$A:$A = O$1))) + 'Fund YTD Contributions'!O172,'Fund YTD Contributions'!O172)"),0.0)</f>
        <v>0</v>
      </c>
      <c r="P172" s="170">
        <f>IFERROR(__xludf.DUMMYFUNCTION("IFERROR(O172 * (1 + AVERAGE(Filter('Inflation Data'!$C:$C,'Inflation Data'!$A:$A = P$1))) + 'Fund YTD Contributions'!P172,'Fund YTD Contributions'!P172)"),0.0)</f>
        <v>0</v>
      </c>
      <c r="Q172" s="170">
        <f>IFERROR(__xludf.DUMMYFUNCTION("IFERROR(P172 * (1 + AVERAGE(Filter('Inflation Data'!$C:$C,'Inflation Data'!$A:$A = Q$1))) + 'Fund YTD Contributions'!Q172,'Fund YTD Contributions'!Q172)"),0.0)</f>
        <v>0</v>
      </c>
      <c r="R172" s="170">
        <f>IFERROR(__xludf.DUMMYFUNCTION("IFERROR(Q172 * (1 + AVERAGE(Filter('Inflation Data'!$C:$C,'Inflation Data'!$A:$A = R$1))) + 'Fund YTD Contributions'!R172,'Fund YTD Contributions'!R172)"),0.0)</f>
        <v>0</v>
      </c>
      <c r="S172" s="170">
        <f>IFERROR(__xludf.DUMMYFUNCTION("IFERROR(R172 * (1 + AVERAGE(Filter('Inflation Data'!$C:$C,'Inflation Data'!$A:$A = S$1))) + 'Fund YTD Contributions'!S172,'Fund YTD Contributions'!S172)"),0.0)</f>
        <v>0</v>
      </c>
      <c r="T172" s="170">
        <f>IFERROR(__xludf.DUMMYFUNCTION("IFERROR(S172 * (1 + AVERAGE(Filter('Inflation Data'!$C:$C,'Inflation Data'!$A:$A = T$1))) + 'Fund YTD Contributions'!T172,'Fund YTD Contributions'!T172)"),0.0)</f>
        <v>0</v>
      </c>
      <c r="U172" s="170">
        <f>IFERROR(__xludf.DUMMYFUNCTION("IFERROR(T172 * (1 + AVERAGE(Filter('Inflation Data'!$C:$C,'Inflation Data'!$A:$A = U$1))) + 'Fund YTD Contributions'!U172,'Fund YTD Contributions'!U172)"),0.0)</f>
        <v>0</v>
      </c>
      <c r="V172" s="170">
        <f>IFERROR(__xludf.DUMMYFUNCTION("IFERROR(U172 * (1 + AVERAGE(Filter('Inflation Data'!$C:$C,'Inflation Data'!$A:$A = V$1))) + 'Fund YTD Contributions'!V172,'Fund YTD Contributions'!V172)"),0.0)</f>
        <v>0</v>
      </c>
      <c r="W172" s="170">
        <f>IFERROR(__xludf.DUMMYFUNCTION("IFERROR(V172 * (1 + AVERAGE(Filter('Inflation Data'!$C:$C,'Inflation Data'!$A:$A = W$1))) + 'Fund YTD Contributions'!W172,'Fund YTD Contributions'!W172)"),0.0)</f>
        <v>0</v>
      </c>
      <c r="X172" s="170">
        <f>IFERROR(__xludf.DUMMYFUNCTION("IFERROR(W172 * (1 + AVERAGE(Filter('Inflation Data'!$C:$C,'Inflation Data'!$A:$A = X$1))) + 'Fund YTD Contributions'!X172,'Fund YTD Contributions'!X172)"),0.0)</f>
        <v>0</v>
      </c>
      <c r="Y172" s="170">
        <f>IFERROR(__xludf.DUMMYFUNCTION("IFERROR(X172 * (1 + AVERAGE(Filter('Inflation Data'!$C:$C,'Inflation Data'!$A:$A = Y$1))) + 'Fund YTD Contributions'!Y172,'Fund YTD Contributions'!Y172)"),0.0)</f>
        <v>0</v>
      </c>
      <c r="Z172" s="170">
        <f>IFERROR(__xludf.DUMMYFUNCTION("IFERROR(Y172 * (1 + AVERAGE(Filter('Inflation Data'!$C:$C,'Inflation Data'!$A:$A = Z$1))) + 'Fund YTD Contributions'!Z172,'Fund YTD Contributions'!Z172)"),0.0)</f>
        <v>0</v>
      </c>
      <c r="AA172" s="170"/>
      <c r="AB172" s="170"/>
      <c r="AC172" s="170"/>
      <c r="AD172" s="170"/>
      <c r="AE172" s="170"/>
      <c r="AF172" s="170"/>
    </row>
    <row r="173">
      <c r="B173" s="170">
        <f>IFERROR(__xludf.DUMMYFUNCTION("IFERROR(A173 * (1 + AVERAGE(Filter('Inflation Data'!$C:$C,'Inflation Data'!$A:$A = B$1))) + 'Fund YTD Contributions'!B173,'Fund YTD Contributions'!B173)"),0.0)</f>
        <v>0</v>
      </c>
      <c r="C173" s="170">
        <f>IFERROR(__xludf.DUMMYFUNCTION("IFERROR(B173 * (1 + AVERAGE(Filter('Inflation Data'!$C:$C,'Inflation Data'!$A:$A = C$1))) + 'Fund YTD Contributions'!C173,'Fund YTD Contributions'!C173)"),0.0)</f>
        <v>0</v>
      </c>
      <c r="D173" s="170">
        <f>IFERROR(__xludf.DUMMYFUNCTION("IFERROR(C173 * (1 + AVERAGE(Filter('Inflation Data'!$C:$C,'Inflation Data'!$A:$A = D$1))) + 'Fund YTD Contributions'!D173,'Fund YTD Contributions'!D173)"),0.0)</f>
        <v>0</v>
      </c>
      <c r="E173" s="170">
        <f>IFERROR(__xludf.DUMMYFUNCTION("IFERROR(D173 * (1 + AVERAGE(Filter('Inflation Data'!$C:$C,'Inflation Data'!$A:$A = E$1))) + 'Fund YTD Contributions'!E173,'Fund YTD Contributions'!E173)"),0.0)</f>
        <v>0</v>
      </c>
      <c r="F173" s="170">
        <f>IFERROR(__xludf.DUMMYFUNCTION("IFERROR(E173 * (1 + AVERAGE(Filter('Inflation Data'!$C:$C,'Inflation Data'!$A:$A = F$1))) + 'Fund YTD Contributions'!F173,'Fund YTD Contributions'!F173)"),0.0)</f>
        <v>0</v>
      </c>
      <c r="G173" s="170">
        <f>IFERROR(__xludf.DUMMYFUNCTION("IFERROR(F173 * (1 + AVERAGE(Filter('Inflation Data'!$C:$C,'Inflation Data'!$A:$A = G$1))) + 'Fund YTD Contributions'!G173,'Fund YTD Contributions'!G173)"),0.0)</f>
        <v>0</v>
      </c>
      <c r="H173" s="170">
        <f>IFERROR(__xludf.DUMMYFUNCTION("IFERROR(G173 * (1 + AVERAGE(Filter('Inflation Data'!$C:$C,'Inflation Data'!$A:$A = H$1))) + 'Fund YTD Contributions'!H173,'Fund YTD Contributions'!H173)"),0.0)</f>
        <v>0</v>
      </c>
      <c r="I173" s="170">
        <f>IFERROR(__xludf.DUMMYFUNCTION("IFERROR(H173 * (1 + AVERAGE(Filter('Inflation Data'!$C:$C,'Inflation Data'!$A:$A = I$1))) + 'Fund YTD Contributions'!I173,'Fund YTD Contributions'!I173)"),0.0)</f>
        <v>0</v>
      </c>
      <c r="J173" s="170">
        <f>IFERROR(__xludf.DUMMYFUNCTION("IFERROR(I173 * (1 + AVERAGE(Filter('Inflation Data'!$C:$C,'Inflation Data'!$A:$A = J$1))) + 'Fund YTD Contributions'!J173,'Fund YTD Contributions'!J173)"),0.0)</f>
        <v>0</v>
      </c>
      <c r="K173" s="170">
        <f>IFERROR(__xludf.DUMMYFUNCTION("IFERROR(J173 * (1 + AVERAGE(Filter('Inflation Data'!$C:$C,'Inflation Data'!$A:$A = K$1))) + 'Fund YTD Contributions'!K173,'Fund YTD Contributions'!K173)"),0.0)</f>
        <v>0</v>
      </c>
      <c r="L173" s="170">
        <f>IFERROR(__xludf.DUMMYFUNCTION("IFERROR(K173 * (1 + AVERAGE(Filter('Inflation Data'!$C:$C,'Inflation Data'!$A:$A = L$1))) + 'Fund YTD Contributions'!L173,'Fund YTD Contributions'!L173)"),0.0)</f>
        <v>0</v>
      </c>
      <c r="M173" s="170">
        <f>IFERROR(__xludf.DUMMYFUNCTION("IFERROR(L173 * (1 + AVERAGE(Filter('Inflation Data'!$C:$C,'Inflation Data'!$A:$A = M$1))) + 'Fund YTD Contributions'!M173,'Fund YTD Contributions'!M173)"),0.0)</f>
        <v>0</v>
      </c>
      <c r="N173" s="170">
        <f>IFERROR(__xludf.DUMMYFUNCTION("IFERROR(M173 * (1 + AVERAGE(Filter('Inflation Data'!$C:$C,'Inflation Data'!$A:$A = N$1))) + 'Fund YTD Contributions'!N173,'Fund YTD Contributions'!N173)"),0.0)</f>
        <v>0</v>
      </c>
      <c r="O173" s="170">
        <f>IFERROR(__xludf.DUMMYFUNCTION("IFERROR(N173 * (1 + AVERAGE(Filter('Inflation Data'!$C:$C,'Inflation Data'!$A:$A = O$1))) + 'Fund YTD Contributions'!O173,'Fund YTD Contributions'!O173)"),0.0)</f>
        <v>0</v>
      </c>
      <c r="P173" s="170">
        <f>IFERROR(__xludf.DUMMYFUNCTION("IFERROR(O173 * (1 + AVERAGE(Filter('Inflation Data'!$C:$C,'Inflation Data'!$A:$A = P$1))) + 'Fund YTD Contributions'!P173,'Fund YTD Contributions'!P173)"),0.0)</f>
        <v>0</v>
      </c>
      <c r="Q173" s="170">
        <f>IFERROR(__xludf.DUMMYFUNCTION("IFERROR(P173 * (1 + AVERAGE(Filter('Inflation Data'!$C:$C,'Inflation Data'!$A:$A = Q$1))) + 'Fund YTD Contributions'!Q173,'Fund YTD Contributions'!Q173)"),0.0)</f>
        <v>0</v>
      </c>
      <c r="R173" s="170">
        <f>IFERROR(__xludf.DUMMYFUNCTION("IFERROR(Q173 * (1 + AVERAGE(Filter('Inflation Data'!$C:$C,'Inflation Data'!$A:$A = R$1))) + 'Fund YTD Contributions'!R173,'Fund YTD Contributions'!R173)"),0.0)</f>
        <v>0</v>
      </c>
      <c r="S173" s="170">
        <f>IFERROR(__xludf.DUMMYFUNCTION("IFERROR(R173 * (1 + AVERAGE(Filter('Inflation Data'!$C:$C,'Inflation Data'!$A:$A = S$1))) + 'Fund YTD Contributions'!S173,'Fund YTD Contributions'!S173)"),0.0)</f>
        <v>0</v>
      </c>
      <c r="T173" s="170">
        <f>IFERROR(__xludf.DUMMYFUNCTION("IFERROR(S173 * (1 + AVERAGE(Filter('Inflation Data'!$C:$C,'Inflation Data'!$A:$A = T$1))) + 'Fund YTD Contributions'!T173,'Fund YTD Contributions'!T173)"),0.0)</f>
        <v>0</v>
      </c>
      <c r="U173" s="170">
        <f>IFERROR(__xludf.DUMMYFUNCTION("IFERROR(T173 * (1 + AVERAGE(Filter('Inflation Data'!$C:$C,'Inflation Data'!$A:$A = U$1))) + 'Fund YTD Contributions'!U173,'Fund YTD Contributions'!U173)"),0.0)</f>
        <v>0</v>
      </c>
      <c r="V173" s="170">
        <f>IFERROR(__xludf.DUMMYFUNCTION("IFERROR(U173 * (1 + AVERAGE(Filter('Inflation Data'!$C:$C,'Inflation Data'!$A:$A = V$1))) + 'Fund YTD Contributions'!V173,'Fund YTD Contributions'!V173)"),0.0)</f>
        <v>0</v>
      </c>
      <c r="W173" s="170">
        <f>IFERROR(__xludf.DUMMYFUNCTION("IFERROR(V173 * (1 + AVERAGE(Filter('Inflation Data'!$C:$C,'Inflation Data'!$A:$A = W$1))) + 'Fund YTD Contributions'!W173,'Fund YTD Contributions'!W173)"),0.0)</f>
        <v>0</v>
      </c>
      <c r="X173" s="170">
        <f>IFERROR(__xludf.DUMMYFUNCTION("IFERROR(W173 * (1 + AVERAGE(Filter('Inflation Data'!$C:$C,'Inflation Data'!$A:$A = X$1))) + 'Fund YTD Contributions'!X173,'Fund YTD Contributions'!X173)"),0.0)</f>
        <v>0</v>
      </c>
      <c r="Y173" s="170">
        <f>IFERROR(__xludf.DUMMYFUNCTION("IFERROR(X173 * (1 + AVERAGE(Filter('Inflation Data'!$C:$C,'Inflation Data'!$A:$A = Y$1))) + 'Fund YTD Contributions'!Y173,'Fund YTD Contributions'!Y173)"),0.0)</f>
        <v>0</v>
      </c>
      <c r="Z173" s="170">
        <f>IFERROR(__xludf.DUMMYFUNCTION("IFERROR(Y173 * (1 + AVERAGE(Filter('Inflation Data'!$C:$C,'Inflation Data'!$A:$A = Z$1))) + 'Fund YTD Contributions'!Z173,'Fund YTD Contributions'!Z173)"),0.0)</f>
        <v>0</v>
      </c>
      <c r="AA173" s="170"/>
      <c r="AB173" s="170"/>
      <c r="AC173" s="170"/>
      <c r="AD173" s="170"/>
      <c r="AE173" s="170"/>
      <c r="AF173" s="170"/>
    </row>
    <row r="174">
      <c r="B174" s="170">
        <f>IFERROR(__xludf.DUMMYFUNCTION("IFERROR(A174 * (1 + AVERAGE(Filter('Inflation Data'!$C:$C,'Inflation Data'!$A:$A = B$1))) + 'Fund YTD Contributions'!B174,'Fund YTD Contributions'!B174)"),0.0)</f>
        <v>0</v>
      </c>
      <c r="C174" s="170">
        <f>IFERROR(__xludf.DUMMYFUNCTION("IFERROR(B174 * (1 + AVERAGE(Filter('Inflation Data'!$C:$C,'Inflation Data'!$A:$A = C$1))) + 'Fund YTD Contributions'!C174,'Fund YTD Contributions'!C174)"),0.0)</f>
        <v>0</v>
      </c>
      <c r="D174" s="170">
        <f>IFERROR(__xludf.DUMMYFUNCTION("IFERROR(C174 * (1 + AVERAGE(Filter('Inflation Data'!$C:$C,'Inflation Data'!$A:$A = D$1))) + 'Fund YTD Contributions'!D174,'Fund YTD Contributions'!D174)"),0.0)</f>
        <v>0</v>
      </c>
      <c r="E174" s="170">
        <f>IFERROR(__xludf.DUMMYFUNCTION("IFERROR(D174 * (1 + AVERAGE(Filter('Inflation Data'!$C:$C,'Inflation Data'!$A:$A = E$1))) + 'Fund YTD Contributions'!E174,'Fund YTD Contributions'!E174)"),0.0)</f>
        <v>0</v>
      </c>
      <c r="F174" s="170">
        <f>IFERROR(__xludf.DUMMYFUNCTION("IFERROR(E174 * (1 + AVERAGE(Filter('Inflation Data'!$C:$C,'Inflation Data'!$A:$A = F$1))) + 'Fund YTD Contributions'!F174,'Fund YTD Contributions'!F174)"),0.0)</f>
        <v>0</v>
      </c>
      <c r="G174" s="170">
        <f>IFERROR(__xludf.DUMMYFUNCTION("IFERROR(F174 * (1 + AVERAGE(Filter('Inflation Data'!$C:$C,'Inflation Data'!$A:$A = G$1))) + 'Fund YTD Contributions'!G174,'Fund YTD Contributions'!G174)"),0.0)</f>
        <v>0</v>
      </c>
      <c r="H174" s="170">
        <f>IFERROR(__xludf.DUMMYFUNCTION("IFERROR(G174 * (1 + AVERAGE(Filter('Inflation Data'!$C:$C,'Inflation Data'!$A:$A = H$1))) + 'Fund YTD Contributions'!H174,'Fund YTD Contributions'!H174)"),0.0)</f>
        <v>0</v>
      </c>
      <c r="I174" s="170">
        <f>IFERROR(__xludf.DUMMYFUNCTION("IFERROR(H174 * (1 + AVERAGE(Filter('Inflation Data'!$C:$C,'Inflation Data'!$A:$A = I$1))) + 'Fund YTD Contributions'!I174,'Fund YTD Contributions'!I174)"),0.0)</f>
        <v>0</v>
      </c>
      <c r="J174" s="170">
        <f>IFERROR(__xludf.DUMMYFUNCTION("IFERROR(I174 * (1 + AVERAGE(Filter('Inflation Data'!$C:$C,'Inflation Data'!$A:$A = J$1))) + 'Fund YTD Contributions'!J174,'Fund YTD Contributions'!J174)"),0.0)</f>
        <v>0</v>
      </c>
      <c r="K174" s="170">
        <f>IFERROR(__xludf.DUMMYFUNCTION("IFERROR(J174 * (1 + AVERAGE(Filter('Inflation Data'!$C:$C,'Inflation Data'!$A:$A = K$1))) + 'Fund YTD Contributions'!K174,'Fund YTD Contributions'!K174)"),0.0)</f>
        <v>0</v>
      </c>
      <c r="L174" s="170">
        <f>IFERROR(__xludf.DUMMYFUNCTION("IFERROR(K174 * (1 + AVERAGE(Filter('Inflation Data'!$C:$C,'Inflation Data'!$A:$A = L$1))) + 'Fund YTD Contributions'!L174,'Fund YTD Contributions'!L174)"),0.0)</f>
        <v>0</v>
      </c>
      <c r="M174" s="170">
        <f>IFERROR(__xludf.DUMMYFUNCTION("IFERROR(L174 * (1 + AVERAGE(Filter('Inflation Data'!$C:$C,'Inflation Data'!$A:$A = M$1))) + 'Fund YTD Contributions'!M174,'Fund YTD Contributions'!M174)"),0.0)</f>
        <v>0</v>
      </c>
      <c r="N174" s="170">
        <f>IFERROR(__xludf.DUMMYFUNCTION("IFERROR(M174 * (1 + AVERAGE(Filter('Inflation Data'!$C:$C,'Inflation Data'!$A:$A = N$1))) + 'Fund YTD Contributions'!N174,'Fund YTD Contributions'!N174)"),0.0)</f>
        <v>0</v>
      </c>
      <c r="O174" s="170">
        <f>IFERROR(__xludf.DUMMYFUNCTION("IFERROR(N174 * (1 + AVERAGE(Filter('Inflation Data'!$C:$C,'Inflation Data'!$A:$A = O$1))) + 'Fund YTD Contributions'!O174,'Fund YTD Contributions'!O174)"),0.0)</f>
        <v>0</v>
      </c>
      <c r="P174" s="170">
        <f>IFERROR(__xludf.DUMMYFUNCTION("IFERROR(O174 * (1 + AVERAGE(Filter('Inflation Data'!$C:$C,'Inflation Data'!$A:$A = P$1))) + 'Fund YTD Contributions'!P174,'Fund YTD Contributions'!P174)"),0.0)</f>
        <v>0</v>
      </c>
      <c r="Q174" s="170">
        <f>IFERROR(__xludf.DUMMYFUNCTION("IFERROR(P174 * (1 + AVERAGE(Filter('Inflation Data'!$C:$C,'Inflation Data'!$A:$A = Q$1))) + 'Fund YTD Contributions'!Q174,'Fund YTD Contributions'!Q174)"),0.0)</f>
        <v>0</v>
      </c>
      <c r="R174" s="170">
        <f>IFERROR(__xludf.DUMMYFUNCTION("IFERROR(Q174 * (1 + AVERAGE(Filter('Inflation Data'!$C:$C,'Inflation Data'!$A:$A = R$1))) + 'Fund YTD Contributions'!R174,'Fund YTD Contributions'!R174)"),0.0)</f>
        <v>0</v>
      </c>
      <c r="S174" s="170">
        <f>IFERROR(__xludf.DUMMYFUNCTION("IFERROR(R174 * (1 + AVERAGE(Filter('Inflation Data'!$C:$C,'Inflation Data'!$A:$A = S$1))) + 'Fund YTD Contributions'!S174,'Fund YTD Contributions'!S174)"),0.0)</f>
        <v>0</v>
      </c>
      <c r="T174" s="170">
        <f>IFERROR(__xludf.DUMMYFUNCTION("IFERROR(S174 * (1 + AVERAGE(Filter('Inflation Data'!$C:$C,'Inflation Data'!$A:$A = T$1))) + 'Fund YTD Contributions'!T174,'Fund YTD Contributions'!T174)"),0.0)</f>
        <v>0</v>
      </c>
      <c r="U174" s="170">
        <f>IFERROR(__xludf.DUMMYFUNCTION("IFERROR(T174 * (1 + AVERAGE(Filter('Inflation Data'!$C:$C,'Inflation Data'!$A:$A = U$1))) + 'Fund YTD Contributions'!U174,'Fund YTD Contributions'!U174)"),0.0)</f>
        <v>0</v>
      </c>
      <c r="V174" s="170">
        <f>IFERROR(__xludf.DUMMYFUNCTION("IFERROR(U174 * (1 + AVERAGE(Filter('Inflation Data'!$C:$C,'Inflation Data'!$A:$A = V$1))) + 'Fund YTD Contributions'!V174,'Fund YTD Contributions'!V174)"),0.0)</f>
        <v>0</v>
      </c>
      <c r="W174" s="170">
        <f>IFERROR(__xludf.DUMMYFUNCTION("IFERROR(V174 * (1 + AVERAGE(Filter('Inflation Data'!$C:$C,'Inflation Data'!$A:$A = W$1))) + 'Fund YTD Contributions'!W174,'Fund YTD Contributions'!W174)"),0.0)</f>
        <v>0</v>
      </c>
      <c r="X174" s="170">
        <f>IFERROR(__xludf.DUMMYFUNCTION("IFERROR(W174 * (1 + AVERAGE(Filter('Inflation Data'!$C:$C,'Inflation Data'!$A:$A = X$1))) + 'Fund YTD Contributions'!X174,'Fund YTD Contributions'!X174)"),0.0)</f>
        <v>0</v>
      </c>
      <c r="Y174" s="170">
        <f>IFERROR(__xludf.DUMMYFUNCTION("IFERROR(X174 * (1 + AVERAGE(Filter('Inflation Data'!$C:$C,'Inflation Data'!$A:$A = Y$1))) + 'Fund YTD Contributions'!Y174,'Fund YTD Contributions'!Y174)"),0.0)</f>
        <v>0</v>
      </c>
      <c r="Z174" s="170">
        <f>IFERROR(__xludf.DUMMYFUNCTION("IFERROR(Y174 * (1 + AVERAGE(Filter('Inflation Data'!$C:$C,'Inflation Data'!$A:$A = Z$1))) + 'Fund YTD Contributions'!Z174,'Fund YTD Contributions'!Z174)"),0.0)</f>
        <v>0</v>
      </c>
      <c r="AA174" s="170"/>
      <c r="AB174" s="170"/>
      <c r="AC174" s="170"/>
      <c r="AD174" s="170"/>
      <c r="AE174" s="170"/>
      <c r="AF174" s="170"/>
    </row>
    <row r="175">
      <c r="B175" s="170">
        <f>IFERROR(__xludf.DUMMYFUNCTION("IFERROR(A175 * (1 + AVERAGE(Filter('Inflation Data'!$C:$C,'Inflation Data'!$A:$A = B$1))) + 'Fund YTD Contributions'!B175,'Fund YTD Contributions'!B175)"),0.0)</f>
        <v>0</v>
      </c>
      <c r="C175" s="170">
        <f>IFERROR(__xludf.DUMMYFUNCTION("IFERROR(B175 * (1 + AVERAGE(Filter('Inflation Data'!$C:$C,'Inflation Data'!$A:$A = C$1))) + 'Fund YTD Contributions'!C175,'Fund YTD Contributions'!C175)"),0.0)</f>
        <v>0</v>
      </c>
      <c r="D175" s="170">
        <f>IFERROR(__xludf.DUMMYFUNCTION("IFERROR(C175 * (1 + AVERAGE(Filter('Inflation Data'!$C:$C,'Inflation Data'!$A:$A = D$1))) + 'Fund YTD Contributions'!D175,'Fund YTD Contributions'!D175)"),0.0)</f>
        <v>0</v>
      </c>
      <c r="E175" s="170">
        <f>IFERROR(__xludf.DUMMYFUNCTION("IFERROR(D175 * (1 + AVERAGE(Filter('Inflation Data'!$C:$C,'Inflation Data'!$A:$A = E$1))) + 'Fund YTD Contributions'!E175,'Fund YTD Contributions'!E175)"),0.0)</f>
        <v>0</v>
      </c>
      <c r="F175" s="170">
        <f>IFERROR(__xludf.DUMMYFUNCTION("IFERROR(E175 * (1 + AVERAGE(Filter('Inflation Data'!$C:$C,'Inflation Data'!$A:$A = F$1))) + 'Fund YTD Contributions'!F175,'Fund YTD Contributions'!F175)"),0.0)</f>
        <v>0</v>
      </c>
      <c r="G175" s="170">
        <f>IFERROR(__xludf.DUMMYFUNCTION("IFERROR(F175 * (1 + AVERAGE(Filter('Inflation Data'!$C:$C,'Inflation Data'!$A:$A = G$1))) + 'Fund YTD Contributions'!G175,'Fund YTD Contributions'!G175)"),0.0)</f>
        <v>0</v>
      </c>
      <c r="H175" s="170">
        <f>IFERROR(__xludf.DUMMYFUNCTION("IFERROR(G175 * (1 + AVERAGE(Filter('Inflation Data'!$C:$C,'Inflation Data'!$A:$A = H$1))) + 'Fund YTD Contributions'!H175,'Fund YTD Contributions'!H175)"),0.0)</f>
        <v>0</v>
      </c>
      <c r="I175" s="170">
        <f>IFERROR(__xludf.DUMMYFUNCTION("IFERROR(H175 * (1 + AVERAGE(Filter('Inflation Data'!$C:$C,'Inflation Data'!$A:$A = I$1))) + 'Fund YTD Contributions'!I175,'Fund YTD Contributions'!I175)"),0.0)</f>
        <v>0</v>
      </c>
      <c r="J175" s="170">
        <f>IFERROR(__xludf.DUMMYFUNCTION("IFERROR(I175 * (1 + AVERAGE(Filter('Inflation Data'!$C:$C,'Inflation Data'!$A:$A = J$1))) + 'Fund YTD Contributions'!J175,'Fund YTD Contributions'!J175)"),0.0)</f>
        <v>0</v>
      </c>
      <c r="K175" s="170">
        <f>IFERROR(__xludf.DUMMYFUNCTION("IFERROR(J175 * (1 + AVERAGE(Filter('Inflation Data'!$C:$C,'Inflation Data'!$A:$A = K$1))) + 'Fund YTD Contributions'!K175,'Fund YTD Contributions'!K175)"),0.0)</f>
        <v>0</v>
      </c>
      <c r="L175" s="170">
        <f>IFERROR(__xludf.DUMMYFUNCTION("IFERROR(K175 * (1 + AVERAGE(Filter('Inflation Data'!$C:$C,'Inflation Data'!$A:$A = L$1))) + 'Fund YTD Contributions'!L175,'Fund YTD Contributions'!L175)"),0.0)</f>
        <v>0</v>
      </c>
      <c r="M175" s="170">
        <f>IFERROR(__xludf.DUMMYFUNCTION("IFERROR(L175 * (1 + AVERAGE(Filter('Inflation Data'!$C:$C,'Inflation Data'!$A:$A = M$1))) + 'Fund YTD Contributions'!M175,'Fund YTD Contributions'!M175)"),0.0)</f>
        <v>0</v>
      </c>
      <c r="N175" s="170">
        <f>IFERROR(__xludf.DUMMYFUNCTION("IFERROR(M175 * (1 + AVERAGE(Filter('Inflation Data'!$C:$C,'Inflation Data'!$A:$A = N$1))) + 'Fund YTD Contributions'!N175,'Fund YTD Contributions'!N175)"),0.0)</f>
        <v>0</v>
      </c>
      <c r="O175" s="170">
        <f>IFERROR(__xludf.DUMMYFUNCTION("IFERROR(N175 * (1 + AVERAGE(Filter('Inflation Data'!$C:$C,'Inflation Data'!$A:$A = O$1))) + 'Fund YTD Contributions'!O175,'Fund YTD Contributions'!O175)"),0.0)</f>
        <v>0</v>
      </c>
      <c r="P175" s="170">
        <f>IFERROR(__xludf.DUMMYFUNCTION("IFERROR(O175 * (1 + AVERAGE(Filter('Inflation Data'!$C:$C,'Inflation Data'!$A:$A = P$1))) + 'Fund YTD Contributions'!P175,'Fund YTD Contributions'!P175)"),0.0)</f>
        <v>0</v>
      </c>
      <c r="Q175" s="170">
        <f>IFERROR(__xludf.DUMMYFUNCTION("IFERROR(P175 * (1 + AVERAGE(Filter('Inflation Data'!$C:$C,'Inflation Data'!$A:$A = Q$1))) + 'Fund YTD Contributions'!Q175,'Fund YTD Contributions'!Q175)"),0.0)</f>
        <v>0</v>
      </c>
      <c r="R175" s="170">
        <f>IFERROR(__xludf.DUMMYFUNCTION("IFERROR(Q175 * (1 + AVERAGE(Filter('Inflation Data'!$C:$C,'Inflation Data'!$A:$A = R$1))) + 'Fund YTD Contributions'!R175,'Fund YTD Contributions'!R175)"),0.0)</f>
        <v>0</v>
      </c>
      <c r="S175" s="170">
        <f>IFERROR(__xludf.DUMMYFUNCTION("IFERROR(R175 * (1 + AVERAGE(Filter('Inflation Data'!$C:$C,'Inflation Data'!$A:$A = S$1))) + 'Fund YTD Contributions'!S175,'Fund YTD Contributions'!S175)"),0.0)</f>
        <v>0</v>
      </c>
      <c r="T175" s="170">
        <f>IFERROR(__xludf.DUMMYFUNCTION("IFERROR(S175 * (1 + AVERAGE(Filter('Inflation Data'!$C:$C,'Inflation Data'!$A:$A = T$1))) + 'Fund YTD Contributions'!T175,'Fund YTD Contributions'!T175)"),0.0)</f>
        <v>0</v>
      </c>
      <c r="U175" s="170">
        <f>IFERROR(__xludf.DUMMYFUNCTION("IFERROR(T175 * (1 + AVERAGE(Filter('Inflation Data'!$C:$C,'Inflation Data'!$A:$A = U$1))) + 'Fund YTD Contributions'!U175,'Fund YTD Contributions'!U175)"),0.0)</f>
        <v>0</v>
      </c>
      <c r="V175" s="170">
        <f>IFERROR(__xludf.DUMMYFUNCTION("IFERROR(U175 * (1 + AVERAGE(Filter('Inflation Data'!$C:$C,'Inflation Data'!$A:$A = V$1))) + 'Fund YTD Contributions'!V175,'Fund YTD Contributions'!V175)"),0.0)</f>
        <v>0</v>
      </c>
      <c r="W175" s="170">
        <f>IFERROR(__xludf.DUMMYFUNCTION("IFERROR(V175 * (1 + AVERAGE(Filter('Inflation Data'!$C:$C,'Inflation Data'!$A:$A = W$1))) + 'Fund YTD Contributions'!W175,'Fund YTD Contributions'!W175)"),0.0)</f>
        <v>0</v>
      </c>
      <c r="X175" s="170">
        <f>IFERROR(__xludf.DUMMYFUNCTION("IFERROR(W175 * (1 + AVERAGE(Filter('Inflation Data'!$C:$C,'Inflation Data'!$A:$A = X$1))) + 'Fund YTD Contributions'!X175,'Fund YTD Contributions'!X175)"),0.0)</f>
        <v>0</v>
      </c>
      <c r="Y175" s="170">
        <f>IFERROR(__xludf.DUMMYFUNCTION("IFERROR(X175 * (1 + AVERAGE(Filter('Inflation Data'!$C:$C,'Inflation Data'!$A:$A = Y$1))) + 'Fund YTD Contributions'!Y175,'Fund YTD Contributions'!Y175)"),0.0)</f>
        <v>0</v>
      </c>
      <c r="Z175" s="170">
        <f>IFERROR(__xludf.DUMMYFUNCTION("IFERROR(Y175 * (1 + AVERAGE(Filter('Inflation Data'!$C:$C,'Inflation Data'!$A:$A = Z$1))) + 'Fund YTD Contributions'!Z175,'Fund YTD Contributions'!Z175)"),0.0)</f>
        <v>0</v>
      </c>
      <c r="AA175" s="170"/>
      <c r="AB175" s="170"/>
      <c r="AC175" s="170"/>
      <c r="AD175" s="170"/>
      <c r="AE175" s="170"/>
      <c r="AF175" s="170"/>
    </row>
    <row r="176">
      <c r="B176" s="170">
        <f>IFERROR(__xludf.DUMMYFUNCTION("IFERROR(A176 * (1 + AVERAGE(Filter('Inflation Data'!$C:$C,'Inflation Data'!$A:$A = B$1))) + 'Fund YTD Contributions'!B176,'Fund YTD Contributions'!B176)"),0.0)</f>
        <v>0</v>
      </c>
      <c r="C176" s="170">
        <f>IFERROR(__xludf.DUMMYFUNCTION("IFERROR(B176 * (1 + AVERAGE(Filter('Inflation Data'!$C:$C,'Inflation Data'!$A:$A = C$1))) + 'Fund YTD Contributions'!C176,'Fund YTD Contributions'!C176)"),0.0)</f>
        <v>0</v>
      </c>
      <c r="D176" s="170">
        <f>IFERROR(__xludf.DUMMYFUNCTION("IFERROR(C176 * (1 + AVERAGE(Filter('Inflation Data'!$C:$C,'Inflation Data'!$A:$A = D$1))) + 'Fund YTD Contributions'!D176,'Fund YTD Contributions'!D176)"),0.0)</f>
        <v>0</v>
      </c>
      <c r="E176" s="170">
        <f>IFERROR(__xludf.DUMMYFUNCTION("IFERROR(D176 * (1 + AVERAGE(Filter('Inflation Data'!$C:$C,'Inflation Data'!$A:$A = E$1))) + 'Fund YTD Contributions'!E176,'Fund YTD Contributions'!E176)"),0.0)</f>
        <v>0</v>
      </c>
      <c r="F176" s="170">
        <f>IFERROR(__xludf.DUMMYFUNCTION("IFERROR(E176 * (1 + AVERAGE(Filter('Inflation Data'!$C:$C,'Inflation Data'!$A:$A = F$1))) + 'Fund YTD Contributions'!F176,'Fund YTD Contributions'!F176)"),0.0)</f>
        <v>0</v>
      </c>
      <c r="G176" s="170">
        <f>IFERROR(__xludf.DUMMYFUNCTION("IFERROR(F176 * (1 + AVERAGE(Filter('Inflation Data'!$C:$C,'Inflation Data'!$A:$A = G$1))) + 'Fund YTD Contributions'!G176,'Fund YTD Contributions'!G176)"),0.0)</f>
        <v>0</v>
      </c>
      <c r="H176" s="170">
        <f>IFERROR(__xludf.DUMMYFUNCTION("IFERROR(G176 * (1 + AVERAGE(Filter('Inflation Data'!$C:$C,'Inflation Data'!$A:$A = H$1))) + 'Fund YTD Contributions'!H176,'Fund YTD Contributions'!H176)"),0.0)</f>
        <v>0</v>
      </c>
      <c r="I176" s="170">
        <f>IFERROR(__xludf.DUMMYFUNCTION("IFERROR(H176 * (1 + AVERAGE(Filter('Inflation Data'!$C:$C,'Inflation Data'!$A:$A = I$1))) + 'Fund YTD Contributions'!I176,'Fund YTD Contributions'!I176)"),0.0)</f>
        <v>0</v>
      </c>
      <c r="J176" s="170">
        <f>IFERROR(__xludf.DUMMYFUNCTION("IFERROR(I176 * (1 + AVERAGE(Filter('Inflation Data'!$C:$C,'Inflation Data'!$A:$A = J$1))) + 'Fund YTD Contributions'!J176,'Fund YTD Contributions'!J176)"),0.0)</f>
        <v>0</v>
      </c>
      <c r="K176" s="170">
        <f>IFERROR(__xludf.DUMMYFUNCTION("IFERROR(J176 * (1 + AVERAGE(Filter('Inflation Data'!$C:$C,'Inflation Data'!$A:$A = K$1))) + 'Fund YTD Contributions'!K176,'Fund YTD Contributions'!K176)"),0.0)</f>
        <v>0</v>
      </c>
      <c r="L176" s="170">
        <f>IFERROR(__xludf.DUMMYFUNCTION("IFERROR(K176 * (1 + AVERAGE(Filter('Inflation Data'!$C:$C,'Inflation Data'!$A:$A = L$1))) + 'Fund YTD Contributions'!L176,'Fund YTD Contributions'!L176)"),0.0)</f>
        <v>0</v>
      </c>
      <c r="M176" s="170">
        <f>IFERROR(__xludf.DUMMYFUNCTION("IFERROR(L176 * (1 + AVERAGE(Filter('Inflation Data'!$C:$C,'Inflation Data'!$A:$A = M$1))) + 'Fund YTD Contributions'!M176,'Fund YTD Contributions'!M176)"),0.0)</f>
        <v>0</v>
      </c>
      <c r="N176" s="170">
        <f>IFERROR(__xludf.DUMMYFUNCTION("IFERROR(M176 * (1 + AVERAGE(Filter('Inflation Data'!$C:$C,'Inflation Data'!$A:$A = N$1))) + 'Fund YTD Contributions'!N176,'Fund YTD Contributions'!N176)"),0.0)</f>
        <v>0</v>
      </c>
      <c r="O176" s="170">
        <f>IFERROR(__xludf.DUMMYFUNCTION("IFERROR(N176 * (1 + AVERAGE(Filter('Inflation Data'!$C:$C,'Inflation Data'!$A:$A = O$1))) + 'Fund YTD Contributions'!O176,'Fund YTD Contributions'!O176)"),0.0)</f>
        <v>0</v>
      </c>
      <c r="P176" s="170">
        <f>IFERROR(__xludf.DUMMYFUNCTION("IFERROR(O176 * (1 + AVERAGE(Filter('Inflation Data'!$C:$C,'Inflation Data'!$A:$A = P$1))) + 'Fund YTD Contributions'!P176,'Fund YTD Contributions'!P176)"),0.0)</f>
        <v>0</v>
      </c>
      <c r="Q176" s="170">
        <f>IFERROR(__xludf.DUMMYFUNCTION("IFERROR(P176 * (1 + AVERAGE(Filter('Inflation Data'!$C:$C,'Inflation Data'!$A:$A = Q$1))) + 'Fund YTD Contributions'!Q176,'Fund YTD Contributions'!Q176)"),0.0)</f>
        <v>0</v>
      </c>
      <c r="R176" s="170">
        <f>IFERROR(__xludf.DUMMYFUNCTION("IFERROR(Q176 * (1 + AVERAGE(Filter('Inflation Data'!$C:$C,'Inflation Data'!$A:$A = R$1))) + 'Fund YTD Contributions'!R176,'Fund YTD Contributions'!R176)"),0.0)</f>
        <v>0</v>
      </c>
      <c r="S176" s="170">
        <f>IFERROR(__xludf.DUMMYFUNCTION("IFERROR(R176 * (1 + AVERAGE(Filter('Inflation Data'!$C:$C,'Inflation Data'!$A:$A = S$1))) + 'Fund YTD Contributions'!S176,'Fund YTD Contributions'!S176)"),0.0)</f>
        <v>0</v>
      </c>
      <c r="T176" s="170">
        <f>IFERROR(__xludf.DUMMYFUNCTION("IFERROR(S176 * (1 + AVERAGE(Filter('Inflation Data'!$C:$C,'Inflation Data'!$A:$A = T$1))) + 'Fund YTD Contributions'!T176,'Fund YTD Contributions'!T176)"),0.0)</f>
        <v>0</v>
      </c>
      <c r="U176" s="170">
        <f>IFERROR(__xludf.DUMMYFUNCTION("IFERROR(T176 * (1 + AVERAGE(Filter('Inflation Data'!$C:$C,'Inflation Data'!$A:$A = U$1))) + 'Fund YTD Contributions'!U176,'Fund YTD Contributions'!U176)"),0.0)</f>
        <v>0</v>
      </c>
      <c r="V176" s="170">
        <f>IFERROR(__xludf.DUMMYFUNCTION("IFERROR(U176 * (1 + AVERAGE(Filter('Inflation Data'!$C:$C,'Inflation Data'!$A:$A = V$1))) + 'Fund YTD Contributions'!V176,'Fund YTD Contributions'!V176)"),0.0)</f>
        <v>0</v>
      </c>
      <c r="W176" s="170">
        <f>IFERROR(__xludf.DUMMYFUNCTION("IFERROR(V176 * (1 + AVERAGE(Filter('Inflation Data'!$C:$C,'Inflation Data'!$A:$A = W$1))) + 'Fund YTD Contributions'!W176,'Fund YTD Contributions'!W176)"),0.0)</f>
        <v>0</v>
      </c>
      <c r="X176" s="170">
        <f>IFERROR(__xludf.DUMMYFUNCTION("IFERROR(W176 * (1 + AVERAGE(Filter('Inflation Data'!$C:$C,'Inflation Data'!$A:$A = X$1))) + 'Fund YTD Contributions'!X176,'Fund YTD Contributions'!X176)"),0.0)</f>
        <v>0</v>
      </c>
      <c r="Y176" s="170">
        <f>IFERROR(__xludf.DUMMYFUNCTION("IFERROR(X176 * (1 + AVERAGE(Filter('Inflation Data'!$C:$C,'Inflation Data'!$A:$A = Y$1))) + 'Fund YTD Contributions'!Y176,'Fund YTD Contributions'!Y176)"),0.0)</f>
        <v>0</v>
      </c>
      <c r="Z176" s="170">
        <f>IFERROR(__xludf.DUMMYFUNCTION("IFERROR(Y176 * (1 + AVERAGE(Filter('Inflation Data'!$C:$C,'Inflation Data'!$A:$A = Z$1))) + 'Fund YTD Contributions'!Z176,'Fund YTD Contributions'!Z176)"),0.0)</f>
        <v>0</v>
      </c>
      <c r="AA176" s="170"/>
      <c r="AB176" s="170"/>
      <c r="AC176" s="170"/>
      <c r="AD176" s="170"/>
      <c r="AE176" s="170"/>
      <c r="AF176" s="170"/>
    </row>
    <row r="177">
      <c r="B177" s="170">
        <f>IFERROR(__xludf.DUMMYFUNCTION("IFERROR(A177 * (1 + AVERAGE(Filter('Inflation Data'!$C:$C,'Inflation Data'!$A:$A = B$1))) + 'Fund YTD Contributions'!B177,'Fund YTD Contributions'!B177)"),0.0)</f>
        <v>0</v>
      </c>
      <c r="C177" s="170">
        <f>IFERROR(__xludf.DUMMYFUNCTION("IFERROR(B177 * (1 + AVERAGE(Filter('Inflation Data'!$C:$C,'Inflation Data'!$A:$A = C$1))) + 'Fund YTD Contributions'!C177,'Fund YTD Contributions'!C177)"),0.0)</f>
        <v>0</v>
      </c>
      <c r="D177" s="170">
        <f>IFERROR(__xludf.DUMMYFUNCTION("IFERROR(C177 * (1 + AVERAGE(Filter('Inflation Data'!$C:$C,'Inflation Data'!$A:$A = D$1))) + 'Fund YTD Contributions'!D177,'Fund YTD Contributions'!D177)"),0.0)</f>
        <v>0</v>
      </c>
      <c r="E177" s="170">
        <f>IFERROR(__xludf.DUMMYFUNCTION("IFERROR(D177 * (1 + AVERAGE(Filter('Inflation Data'!$C:$C,'Inflation Data'!$A:$A = E$1))) + 'Fund YTD Contributions'!E177,'Fund YTD Contributions'!E177)"),0.0)</f>
        <v>0</v>
      </c>
      <c r="F177" s="170">
        <f>IFERROR(__xludf.DUMMYFUNCTION("IFERROR(E177 * (1 + AVERAGE(Filter('Inflation Data'!$C:$C,'Inflation Data'!$A:$A = F$1))) + 'Fund YTD Contributions'!F177,'Fund YTD Contributions'!F177)"),0.0)</f>
        <v>0</v>
      </c>
      <c r="G177" s="170">
        <f>IFERROR(__xludf.DUMMYFUNCTION("IFERROR(F177 * (1 + AVERAGE(Filter('Inflation Data'!$C:$C,'Inflation Data'!$A:$A = G$1))) + 'Fund YTD Contributions'!G177,'Fund YTD Contributions'!G177)"),0.0)</f>
        <v>0</v>
      </c>
      <c r="H177" s="170">
        <f>IFERROR(__xludf.DUMMYFUNCTION("IFERROR(G177 * (1 + AVERAGE(Filter('Inflation Data'!$C:$C,'Inflation Data'!$A:$A = H$1))) + 'Fund YTD Contributions'!H177,'Fund YTD Contributions'!H177)"),0.0)</f>
        <v>0</v>
      </c>
      <c r="I177" s="170">
        <f>IFERROR(__xludf.DUMMYFUNCTION("IFERROR(H177 * (1 + AVERAGE(Filter('Inflation Data'!$C:$C,'Inflation Data'!$A:$A = I$1))) + 'Fund YTD Contributions'!I177,'Fund YTD Contributions'!I177)"),0.0)</f>
        <v>0</v>
      </c>
      <c r="J177" s="170">
        <f>IFERROR(__xludf.DUMMYFUNCTION("IFERROR(I177 * (1 + AVERAGE(Filter('Inflation Data'!$C:$C,'Inflation Data'!$A:$A = J$1))) + 'Fund YTD Contributions'!J177,'Fund YTD Contributions'!J177)"),0.0)</f>
        <v>0</v>
      </c>
      <c r="K177" s="170">
        <f>IFERROR(__xludf.DUMMYFUNCTION("IFERROR(J177 * (1 + AVERAGE(Filter('Inflation Data'!$C:$C,'Inflation Data'!$A:$A = K$1))) + 'Fund YTD Contributions'!K177,'Fund YTD Contributions'!K177)"),0.0)</f>
        <v>0</v>
      </c>
      <c r="L177" s="170">
        <f>IFERROR(__xludf.DUMMYFUNCTION("IFERROR(K177 * (1 + AVERAGE(Filter('Inflation Data'!$C:$C,'Inflation Data'!$A:$A = L$1))) + 'Fund YTD Contributions'!L177,'Fund YTD Contributions'!L177)"),0.0)</f>
        <v>0</v>
      </c>
      <c r="M177" s="170">
        <f>IFERROR(__xludf.DUMMYFUNCTION("IFERROR(L177 * (1 + AVERAGE(Filter('Inflation Data'!$C:$C,'Inflation Data'!$A:$A = M$1))) + 'Fund YTD Contributions'!M177,'Fund YTD Contributions'!M177)"),0.0)</f>
        <v>0</v>
      </c>
      <c r="N177" s="170">
        <f>IFERROR(__xludf.DUMMYFUNCTION("IFERROR(M177 * (1 + AVERAGE(Filter('Inflation Data'!$C:$C,'Inflation Data'!$A:$A = N$1))) + 'Fund YTD Contributions'!N177,'Fund YTD Contributions'!N177)"),0.0)</f>
        <v>0</v>
      </c>
      <c r="O177" s="170">
        <f>IFERROR(__xludf.DUMMYFUNCTION("IFERROR(N177 * (1 + AVERAGE(Filter('Inflation Data'!$C:$C,'Inflation Data'!$A:$A = O$1))) + 'Fund YTD Contributions'!O177,'Fund YTD Contributions'!O177)"),0.0)</f>
        <v>0</v>
      </c>
      <c r="P177" s="170">
        <f>IFERROR(__xludf.DUMMYFUNCTION("IFERROR(O177 * (1 + AVERAGE(Filter('Inflation Data'!$C:$C,'Inflation Data'!$A:$A = P$1))) + 'Fund YTD Contributions'!P177,'Fund YTD Contributions'!P177)"),0.0)</f>
        <v>0</v>
      </c>
      <c r="Q177" s="170">
        <f>IFERROR(__xludf.DUMMYFUNCTION("IFERROR(P177 * (1 + AVERAGE(Filter('Inflation Data'!$C:$C,'Inflation Data'!$A:$A = Q$1))) + 'Fund YTD Contributions'!Q177,'Fund YTD Contributions'!Q177)"),0.0)</f>
        <v>0</v>
      </c>
      <c r="R177" s="170">
        <f>IFERROR(__xludf.DUMMYFUNCTION("IFERROR(Q177 * (1 + AVERAGE(Filter('Inflation Data'!$C:$C,'Inflation Data'!$A:$A = R$1))) + 'Fund YTD Contributions'!R177,'Fund YTD Contributions'!R177)"),0.0)</f>
        <v>0</v>
      </c>
      <c r="S177" s="170">
        <f>IFERROR(__xludf.DUMMYFUNCTION("IFERROR(R177 * (1 + AVERAGE(Filter('Inflation Data'!$C:$C,'Inflation Data'!$A:$A = S$1))) + 'Fund YTD Contributions'!S177,'Fund YTD Contributions'!S177)"),0.0)</f>
        <v>0</v>
      </c>
      <c r="T177" s="170">
        <f>IFERROR(__xludf.DUMMYFUNCTION("IFERROR(S177 * (1 + AVERAGE(Filter('Inflation Data'!$C:$C,'Inflation Data'!$A:$A = T$1))) + 'Fund YTD Contributions'!T177,'Fund YTD Contributions'!T177)"),0.0)</f>
        <v>0</v>
      </c>
      <c r="U177" s="170">
        <f>IFERROR(__xludf.DUMMYFUNCTION("IFERROR(T177 * (1 + AVERAGE(Filter('Inflation Data'!$C:$C,'Inflation Data'!$A:$A = U$1))) + 'Fund YTD Contributions'!U177,'Fund YTD Contributions'!U177)"),0.0)</f>
        <v>0</v>
      </c>
      <c r="V177" s="170">
        <f>IFERROR(__xludf.DUMMYFUNCTION("IFERROR(U177 * (1 + AVERAGE(Filter('Inflation Data'!$C:$C,'Inflation Data'!$A:$A = V$1))) + 'Fund YTD Contributions'!V177,'Fund YTD Contributions'!V177)"),0.0)</f>
        <v>0</v>
      </c>
      <c r="W177" s="170">
        <f>IFERROR(__xludf.DUMMYFUNCTION("IFERROR(V177 * (1 + AVERAGE(Filter('Inflation Data'!$C:$C,'Inflation Data'!$A:$A = W$1))) + 'Fund YTD Contributions'!W177,'Fund YTD Contributions'!W177)"),0.0)</f>
        <v>0</v>
      </c>
      <c r="X177" s="170">
        <f>IFERROR(__xludf.DUMMYFUNCTION("IFERROR(W177 * (1 + AVERAGE(Filter('Inflation Data'!$C:$C,'Inflation Data'!$A:$A = X$1))) + 'Fund YTD Contributions'!X177,'Fund YTD Contributions'!X177)"),0.0)</f>
        <v>0</v>
      </c>
      <c r="Y177" s="170">
        <f>IFERROR(__xludf.DUMMYFUNCTION("IFERROR(X177 * (1 + AVERAGE(Filter('Inflation Data'!$C:$C,'Inflation Data'!$A:$A = Y$1))) + 'Fund YTD Contributions'!Y177,'Fund YTD Contributions'!Y177)"),0.0)</f>
        <v>0</v>
      </c>
      <c r="Z177" s="170">
        <f>IFERROR(__xludf.DUMMYFUNCTION("IFERROR(Y177 * (1 + AVERAGE(Filter('Inflation Data'!$C:$C,'Inflation Data'!$A:$A = Z$1))) + 'Fund YTD Contributions'!Z177,'Fund YTD Contributions'!Z177)"),0.0)</f>
        <v>0</v>
      </c>
      <c r="AA177" s="170"/>
      <c r="AB177" s="170"/>
      <c r="AC177" s="170"/>
      <c r="AD177" s="170"/>
      <c r="AE177" s="170"/>
      <c r="AF177" s="170"/>
    </row>
    <row r="178">
      <c r="B178" s="170">
        <f>IFERROR(__xludf.DUMMYFUNCTION("IFERROR(A178 * (1 + AVERAGE(Filter('Inflation Data'!$C:$C,'Inflation Data'!$A:$A = B$1))) + 'Fund YTD Contributions'!B178,'Fund YTD Contributions'!B178)"),0.0)</f>
        <v>0</v>
      </c>
      <c r="C178" s="170">
        <f>IFERROR(__xludf.DUMMYFUNCTION("IFERROR(B178 * (1 + AVERAGE(Filter('Inflation Data'!$C:$C,'Inflation Data'!$A:$A = C$1))) + 'Fund YTD Contributions'!C178,'Fund YTD Contributions'!C178)"),0.0)</f>
        <v>0</v>
      </c>
      <c r="D178" s="170">
        <f>IFERROR(__xludf.DUMMYFUNCTION("IFERROR(C178 * (1 + AVERAGE(Filter('Inflation Data'!$C:$C,'Inflation Data'!$A:$A = D$1))) + 'Fund YTD Contributions'!D178,'Fund YTD Contributions'!D178)"),0.0)</f>
        <v>0</v>
      </c>
      <c r="E178" s="170">
        <f>IFERROR(__xludf.DUMMYFUNCTION("IFERROR(D178 * (1 + AVERAGE(Filter('Inflation Data'!$C:$C,'Inflation Data'!$A:$A = E$1))) + 'Fund YTD Contributions'!E178,'Fund YTD Contributions'!E178)"),0.0)</f>
        <v>0</v>
      </c>
      <c r="F178" s="170">
        <f>IFERROR(__xludf.DUMMYFUNCTION("IFERROR(E178 * (1 + AVERAGE(Filter('Inflation Data'!$C:$C,'Inflation Data'!$A:$A = F$1))) + 'Fund YTD Contributions'!F178,'Fund YTD Contributions'!F178)"),0.0)</f>
        <v>0</v>
      </c>
      <c r="G178" s="170">
        <f>IFERROR(__xludf.DUMMYFUNCTION("IFERROR(F178 * (1 + AVERAGE(Filter('Inflation Data'!$C:$C,'Inflation Data'!$A:$A = G$1))) + 'Fund YTD Contributions'!G178,'Fund YTD Contributions'!G178)"),0.0)</f>
        <v>0</v>
      </c>
      <c r="H178" s="170">
        <f>IFERROR(__xludf.DUMMYFUNCTION("IFERROR(G178 * (1 + AVERAGE(Filter('Inflation Data'!$C:$C,'Inflation Data'!$A:$A = H$1))) + 'Fund YTD Contributions'!H178,'Fund YTD Contributions'!H178)"),0.0)</f>
        <v>0</v>
      </c>
      <c r="I178" s="170">
        <f>IFERROR(__xludf.DUMMYFUNCTION("IFERROR(H178 * (1 + AVERAGE(Filter('Inflation Data'!$C:$C,'Inflation Data'!$A:$A = I$1))) + 'Fund YTD Contributions'!I178,'Fund YTD Contributions'!I178)"),0.0)</f>
        <v>0</v>
      </c>
      <c r="J178" s="170">
        <f>IFERROR(__xludf.DUMMYFUNCTION("IFERROR(I178 * (1 + AVERAGE(Filter('Inflation Data'!$C:$C,'Inflation Data'!$A:$A = J$1))) + 'Fund YTD Contributions'!J178,'Fund YTD Contributions'!J178)"),0.0)</f>
        <v>0</v>
      </c>
      <c r="K178" s="170">
        <f>IFERROR(__xludf.DUMMYFUNCTION("IFERROR(J178 * (1 + AVERAGE(Filter('Inflation Data'!$C:$C,'Inflation Data'!$A:$A = K$1))) + 'Fund YTD Contributions'!K178,'Fund YTD Contributions'!K178)"),0.0)</f>
        <v>0</v>
      </c>
      <c r="L178" s="170">
        <f>IFERROR(__xludf.DUMMYFUNCTION("IFERROR(K178 * (1 + AVERAGE(Filter('Inflation Data'!$C:$C,'Inflation Data'!$A:$A = L$1))) + 'Fund YTD Contributions'!L178,'Fund YTD Contributions'!L178)"),0.0)</f>
        <v>0</v>
      </c>
      <c r="M178" s="170">
        <f>IFERROR(__xludf.DUMMYFUNCTION("IFERROR(L178 * (1 + AVERAGE(Filter('Inflation Data'!$C:$C,'Inflation Data'!$A:$A = M$1))) + 'Fund YTD Contributions'!M178,'Fund YTD Contributions'!M178)"),0.0)</f>
        <v>0</v>
      </c>
      <c r="N178" s="170">
        <f>IFERROR(__xludf.DUMMYFUNCTION("IFERROR(M178 * (1 + AVERAGE(Filter('Inflation Data'!$C:$C,'Inflation Data'!$A:$A = N$1))) + 'Fund YTD Contributions'!N178,'Fund YTD Contributions'!N178)"),0.0)</f>
        <v>0</v>
      </c>
      <c r="O178" s="170">
        <f>IFERROR(__xludf.DUMMYFUNCTION("IFERROR(N178 * (1 + AVERAGE(Filter('Inflation Data'!$C:$C,'Inflation Data'!$A:$A = O$1))) + 'Fund YTD Contributions'!O178,'Fund YTD Contributions'!O178)"),0.0)</f>
        <v>0</v>
      </c>
      <c r="P178" s="170">
        <f>IFERROR(__xludf.DUMMYFUNCTION("IFERROR(O178 * (1 + AVERAGE(Filter('Inflation Data'!$C:$C,'Inflation Data'!$A:$A = P$1))) + 'Fund YTD Contributions'!P178,'Fund YTD Contributions'!P178)"),0.0)</f>
        <v>0</v>
      </c>
      <c r="Q178" s="170">
        <f>IFERROR(__xludf.DUMMYFUNCTION("IFERROR(P178 * (1 + AVERAGE(Filter('Inflation Data'!$C:$C,'Inflation Data'!$A:$A = Q$1))) + 'Fund YTD Contributions'!Q178,'Fund YTD Contributions'!Q178)"),0.0)</f>
        <v>0</v>
      </c>
      <c r="R178" s="170">
        <f>IFERROR(__xludf.DUMMYFUNCTION("IFERROR(Q178 * (1 + AVERAGE(Filter('Inflation Data'!$C:$C,'Inflation Data'!$A:$A = R$1))) + 'Fund YTD Contributions'!R178,'Fund YTD Contributions'!R178)"),0.0)</f>
        <v>0</v>
      </c>
      <c r="S178" s="170">
        <f>IFERROR(__xludf.DUMMYFUNCTION("IFERROR(R178 * (1 + AVERAGE(Filter('Inflation Data'!$C:$C,'Inflation Data'!$A:$A = S$1))) + 'Fund YTD Contributions'!S178,'Fund YTD Contributions'!S178)"),0.0)</f>
        <v>0</v>
      </c>
      <c r="T178" s="170">
        <f>IFERROR(__xludf.DUMMYFUNCTION("IFERROR(S178 * (1 + AVERAGE(Filter('Inflation Data'!$C:$C,'Inflation Data'!$A:$A = T$1))) + 'Fund YTD Contributions'!T178,'Fund YTD Contributions'!T178)"),0.0)</f>
        <v>0</v>
      </c>
      <c r="U178" s="170">
        <f>IFERROR(__xludf.DUMMYFUNCTION("IFERROR(T178 * (1 + AVERAGE(Filter('Inflation Data'!$C:$C,'Inflation Data'!$A:$A = U$1))) + 'Fund YTD Contributions'!U178,'Fund YTD Contributions'!U178)"),0.0)</f>
        <v>0</v>
      </c>
      <c r="V178" s="170">
        <f>IFERROR(__xludf.DUMMYFUNCTION("IFERROR(U178 * (1 + AVERAGE(Filter('Inflation Data'!$C:$C,'Inflation Data'!$A:$A = V$1))) + 'Fund YTD Contributions'!V178,'Fund YTD Contributions'!V178)"),0.0)</f>
        <v>0</v>
      </c>
      <c r="W178" s="170">
        <f>IFERROR(__xludf.DUMMYFUNCTION("IFERROR(V178 * (1 + AVERAGE(Filter('Inflation Data'!$C:$C,'Inflation Data'!$A:$A = W$1))) + 'Fund YTD Contributions'!W178,'Fund YTD Contributions'!W178)"),0.0)</f>
        <v>0</v>
      </c>
      <c r="X178" s="170">
        <f>IFERROR(__xludf.DUMMYFUNCTION("IFERROR(W178 * (1 + AVERAGE(Filter('Inflation Data'!$C:$C,'Inflation Data'!$A:$A = X$1))) + 'Fund YTD Contributions'!X178,'Fund YTD Contributions'!X178)"),0.0)</f>
        <v>0</v>
      </c>
      <c r="Y178" s="170">
        <f>IFERROR(__xludf.DUMMYFUNCTION("IFERROR(X178 * (1 + AVERAGE(Filter('Inflation Data'!$C:$C,'Inflation Data'!$A:$A = Y$1))) + 'Fund YTD Contributions'!Y178,'Fund YTD Contributions'!Y178)"),0.0)</f>
        <v>0</v>
      </c>
      <c r="Z178" s="170">
        <f>IFERROR(__xludf.DUMMYFUNCTION("IFERROR(Y178 * (1 + AVERAGE(Filter('Inflation Data'!$C:$C,'Inflation Data'!$A:$A = Z$1))) + 'Fund YTD Contributions'!Z178,'Fund YTD Contributions'!Z178)"),0.0)</f>
        <v>0</v>
      </c>
      <c r="AA178" s="170"/>
      <c r="AB178" s="170"/>
      <c r="AC178" s="170"/>
      <c r="AD178" s="170"/>
      <c r="AE178" s="170"/>
      <c r="AF178" s="170"/>
    </row>
    <row r="179">
      <c r="B179" s="170">
        <f>IFERROR(__xludf.DUMMYFUNCTION("IFERROR(A179 * (1 + AVERAGE(Filter('Inflation Data'!$C:$C,'Inflation Data'!$A:$A = B$1))) + 'Fund YTD Contributions'!B179,'Fund YTD Contributions'!B179)"),0.0)</f>
        <v>0</v>
      </c>
      <c r="C179" s="170">
        <f>IFERROR(__xludf.DUMMYFUNCTION("IFERROR(B179 * (1 + AVERAGE(Filter('Inflation Data'!$C:$C,'Inflation Data'!$A:$A = C$1))) + 'Fund YTD Contributions'!C179,'Fund YTD Contributions'!C179)"),0.0)</f>
        <v>0</v>
      </c>
      <c r="D179" s="170">
        <f>IFERROR(__xludf.DUMMYFUNCTION("IFERROR(C179 * (1 + AVERAGE(Filter('Inflation Data'!$C:$C,'Inflation Data'!$A:$A = D$1))) + 'Fund YTD Contributions'!D179,'Fund YTD Contributions'!D179)"),0.0)</f>
        <v>0</v>
      </c>
      <c r="E179" s="170">
        <f>IFERROR(__xludf.DUMMYFUNCTION("IFERROR(D179 * (1 + AVERAGE(Filter('Inflation Data'!$C:$C,'Inflation Data'!$A:$A = E$1))) + 'Fund YTD Contributions'!E179,'Fund YTD Contributions'!E179)"),0.0)</f>
        <v>0</v>
      </c>
      <c r="F179" s="170">
        <f>IFERROR(__xludf.DUMMYFUNCTION("IFERROR(E179 * (1 + AVERAGE(Filter('Inflation Data'!$C:$C,'Inflation Data'!$A:$A = F$1))) + 'Fund YTD Contributions'!F179,'Fund YTD Contributions'!F179)"),0.0)</f>
        <v>0</v>
      </c>
      <c r="G179" s="170">
        <f>IFERROR(__xludf.DUMMYFUNCTION("IFERROR(F179 * (1 + AVERAGE(Filter('Inflation Data'!$C:$C,'Inflation Data'!$A:$A = G$1))) + 'Fund YTD Contributions'!G179,'Fund YTD Contributions'!G179)"),0.0)</f>
        <v>0</v>
      </c>
      <c r="H179" s="170">
        <f>IFERROR(__xludf.DUMMYFUNCTION("IFERROR(G179 * (1 + AVERAGE(Filter('Inflation Data'!$C:$C,'Inflation Data'!$A:$A = H$1))) + 'Fund YTD Contributions'!H179,'Fund YTD Contributions'!H179)"),0.0)</f>
        <v>0</v>
      </c>
      <c r="I179" s="170">
        <f>IFERROR(__xludf.DUMMYFUNCTION("IFERROR(H179 * (1 + AVERAGE(Filter('Inflation Data'!$C:$C,'Inflation Data'!$A:$A = I$1))) + 'Fund YTD Contributions'!I179,'Fund YTD Contributions'!I179)"),0.0)</f>
        <v>0</v>
      </c>
      <c r="J179" s="170">
        <f>IFERROR(__xludf.DUMMYFUNCTION("IFERROR(I179 * (1 + AVERAGE(Filter('Inflation Data'!$C:$C,'Inflation Data'!$A:$A = J$1))) + 'Fund YTD Contributions'!J179,'Fund YTD Contributions'!J179)"),0.0)</f>
        <v>0</v>
      </c>
      <c r="K179" s="170">
        <f>IFERROR(__xludf.DUMMYFUNCTION("IFERROR(J179 * (1 + AVERAGE(Filter('Inflation Data'!$C:$C,'Inflation Data'!$A:$A = K$1))) + 'Fund YTD Contributions'!K179,'Fund YTD Contributions'!K179)"),0.0)</f>
        <v>0</v>
      </c>
      <c r="L179" s="170">
        <f>IFERROR(__xludf.DUMMYFUNCTION("IFERROR(K179 * (1 + AVERAGE(Filter('Inflation Data'!$C:$C,'Inflation Data'!$A:$A = L$1))) + 'Fund YTD Contributions'!L179,'Fund YTD Contributions'!L179)"),0.0)</f>
        <v>0</v>
      </c>
      <c r="M179" s="170">
        <f>IFERROR(__xludf.DUMMYFUNCTION("IFERROR(L179 * (1 + AVERAGE(Filter('Inflation Data'!$C:$C,'Inflation Data'!$A:$A = M$1))) + 'Fund YTD Contributions'!M179,'Fund YTD Contributions'!M179)"),0.0)</f>
        <v>0</v>
      </c>
      <c r="N179" s="170">
        <f>IFERROR(__xludf.DUMMYFUNCTION("IFERROR(M179 * (1 + AVERAGE(Filter('Inflation Data'!$C:$C,'Inflation Data'!$A:$A = N$1))) + 'Fund YTD Contributions'!N179,'Fund YTD Contributions'!N179)"),0.0)</f>
        <v>0</v>
      </c>
      <c r="O179" s="170">
        <f>IFERROR(__xludf.DUMMYFUNCTION("IFERROR(N179 * (1 + AVERAGE(Filter('Inflation Data'!$C:$C,'Inflation Data'!$A:$A = O$1))) + 'Fund YTD Contributions'!O179,'Fund YTD Contributions'!O179)"),0.0)</f>
        <v>0</v>
      </c>
      <c r="P179" s="170">
        <f>IFERROR(__xludf.DUMMYFUNCTION("IFERROR(O179 * (1 + AVERAGE(Filter('Inflation Data'!$C:$C,'Inflation Data'!$A:$A = P$1))) + 'Fund YTD Contributions'!P179,'Fund YTD Contributions'!P179)"),0.0)</f>
        <v>0</v>
      </c>
      <c r="Q179" s="170">
        <f>IFERROR(__xludf.DUMMYFUNCTION("IFERROR(P179 * (1 + AVERAGE(Filter('Inflation Data'!$C:$C,'Inflation Data'!$A:$A = Q$1))) + 'Fund YTD Contributions'!Q179,'Fund YTD Contributions'!Q179)"),0.0)</f>
        <v>0</v>
      </c>
      <c r="R179" s="170">
        <f>IFERROR(__xludf.DUMMYFUNCTION("IFERROR(Q179 * (1 + AVERAGE(Filter('Inflation Data'!$C:$C,'Inflation Data'!$A:$A = R$1))) + 'Fund YTD Contributions'!R179,'Fund YTD Contributions'!R179)"),0.0)</f>
        <v>0</v>
      </c>
      <c r="S179" s="170">
        <f>IFERROR(__xludf.DUMMYFUNCTION("IFERROR(R179 * (1 + AVERAGE(Filter('Inflation Data'!$C:$C,'Inflation Data'!$A:$A = S$1))) + 'Fund YTD Contributions'!S179,'Fund YTD Contributions'!S179)"),0.0)</f>
        <v>0</v>
      </c>
      <c r="T179" s="170">
        <f>IFERROR(__xludf.DUMMYFUNCTION("IFERROR(S179 * (1 + AVERAGE(Filter('Inflation Data'!$C:$C,'Inflation Data'!$A:$A = T$1))) + 'Fund YTD Contributions'!T179,'Fund YTD Contributions'!T179)"),0.0)</f>
        <v>0</v>
      </c>
      <c r="U179" s="170">
        <f>IFERROR(__xludf.DUMMYFUNCTION("IFERROR(T179 * (1 + AVERAGE(Filter('Inflation Data'!$C:$C,'Inflation Data'!$A:$A = U$1))) + 'Fund YTD Contributions'!U179,'Fund YTD Contributions'!U179)"),0.0)</f>
        <v>0</v>
      </c>
      <c r="V179" s="170">
        <f>IFERROR(__xludf.DUMMYFUNCTION("IFERROR(U179 * (1 + AVERAGE(Filter('Inflation Data'!$C:$C,'Inflation Data'!$A:$A = V$1))) + 'Fund YTD Contributions'!V179,'Fund YTD Contributions'!V179)"),0.0)</f>
        <v>0</v>
      </c>
      <c r="W179" s="170">
        <f>IFERROR(__xludf.DUMMYFUNCTION("IFERROR(V179 * (1 + AVERAGE(Filter('Inflation Data'!$C:$C,'Inflation Data'!$A:$A = W$1))) + 'Fund YTD Contributions'!W179,'Fund YTD Contributions'!W179)"),0.0)</f>
        <v>0</v>
      </c>
      <c r="X179" s="170">
        <f>IFERROR(__xludf.DUMMYFUNCTION("IFERROR(W179 * (1 + AVERAGE(Filter('Inflation Data'!$C:$C,'Inflation Data'!$A:$A = X$1))) + 'Fund YTD Contributions'!X179,'Fund YTD Contributions'!X179)"),0.0)</f>
        <v>0</v>
      </c>
      <c r="Y179" s="170">
        <f>IFERROR(__xludf.DUMMYFUNCTION("IFERROR(X179 * (1 + AVERAGE(Filter('Inflation Data'!$C:$C,'Inflation Data'!$A:$A = Y$1))) + 'Fund YTD Contributions'!Y179,'Fund YTD Contributions'!Y179)"),0.0)</f>
        <v>0</v>
      </c>
      <c r="Z179" s="170">
        <f>IFERROR(__xludf.DUMMYFUNCTION("IFERROR(Y179 * (1 + AVERAGE(Filter('Inflation Data'!$C:$C,'Inflation Data'!$A:$A = Z$1))) + 'Fund YTD Contributions'!Z179,'Fund YTD Contributions'!Z179)"),0.0)</f>
        <v>0</v>
      </c>
      <c r="AA179" s="170"/>
      <c r="AB179" s="170"/>
      <c r="AC179" s="170"/>
      <c r="AD179" s="170"/>
      <c r="AE179" s="170"/>
      <c r="AF179" s="170"/>
    </row>
    <row r="180">
      <c r="B180" s="170">
        <f>IFERROR(__xludf.DUMMYFUNCTION("IFERROR(A180 * (1 + AVERAGE(Filter('Inflation Data'!$C:$C,'Inflation Data'!$A:$A = B$1))) + 'Fund YTD Contributions'!B180,'Fund YTD Contributions'!B180)"),0.0)</f>
        <v>0</v>
      </c>
      <c r="C180" s="170">
        <f>IFERROR(__xludf.DUMMYFUNCTION("IFERROR(B180 * (1 + AVERAGE(Filter('Inflation Data'!$C:$C,'Inflation Data'!$A:$A = C$1))) + 'Fund YTD Contributions'!C180,'Fund YTD Contributions'!C180)"),0.0)</f>
        <v>0</v>
      </c>
      <c r="D180" s="170">
        <f>IFERROR(__xludf.DUMMYFUNCTION("IFERROR(C180 * (1 + AVERAGE(Filter('Inflation Data'!$C:$C,'Inflation Data'!$A:$A = D$1))) + 'Fund YTD Contributions'!D180,'Fund YTD Contributions'!D180)"),0.0)</f>
        <v>0</v>
      </c>
      <c r="E180" s="170">
        <f>IFERROR(__xludf.DUMMYFUNCTION("IFERROR(D180 * (1 + AVERAGE(Filter('Inflation Data'!$C:$C,'Inflation Data'!$A:$A = E$1))) + 'Fund YTD Contributions'!E180,'Fund YTD Contributions'!E180)"),0.0)</f>
        <v>0</v>
      </c>
      <c r="F180" s="170">
        <f>IFERROR(__xludf.DUMMYFUNCTION("IFERROR(E180 * (1 + AVERAGE(Filter('Inflation Data'!$C:$C,'Inflation Data'!$A:$A = F$1))) + 'Fund YTD Contributions'!F180,'Fund YTD Contributions'!F180)"),0.0)</f>
        <v>0</v>
      </c>
      <c r="G180" s="170">
        <f>IFERROR(__xludf.DUMMYFUNCTION("IFERROR(F180 * (1 + AVERAGE(Filter('Inflation Data'!$C:$C,'Inflation Data'!$A:$A = G$1))) + 'Fund YTD Contributions'!G180,'Fund YTD Contributions'!G180)"),0.0)</f>
        <v>0</v>
      </c>
      <c r="H180" s="170">
        <f>IFERROR(__xludf.DUMMYFUNCTION("IFERROR(G180 * (1 + AVERAGE(Filter('Inflation Data'!$C:$C,'Inflation Data'!$A:$A = H$1))) + 'Fund YTD Contributions'!H180,'Fund YTD Contributions'!H180)"),0.0)</f>
        <v>0</v>
      </c>
      <c r="I180" s="170">
        <f>IFERROR(__xludf.DUMMYFUNCTION("IFERROR(H180 * (1 + AVERAGE(Filter('Inflation Data'!$C:$C,'Inflation Data'!$A:$A = I$1))) + 'Fund YTD Contributions'!I180,'Fund YTD Contributions'!I180)"),0.0)</f>
        <v>0</v>
      </c>
      <c r="J180" s="170">
        <f>IFERROR(__xludf.DUMMYFUNCTION("IFERROR(I180 * (1 + AVERAGE(Filter('Inflation Data'!$C:$C,'Inflation Data'!$A:$A = J$1))) + 'Fund YTD Contributions'!J180,'Fund YTD Contributions'!J180)"),0.0)</f>
        <v>0</v>
      </c>
      <c r="K180" s="170">
        <f>IFERROR(__xludf.DUMMYFUNCTION("IFERROR(J180 * (1 + AVERAGE(Filter('Inflation Data'!$C:$C,'Inflation Data'!$A:$A = K$1))) + 'Fund YTD Contributions'!K180,'Fund YTD Contributions'!K180)"),0.0)</f>
        <v>0</v>
      </c>
      <c r="L180" s="170">
        <f>IFERROR(__xludf.DUMMYFUNCTION("IFERROR(K180 * (1 + AVERAGE(Filter('Inflation Data'!$C:$C,'Inflation Data'!$A:$A = L$1))) + 'Fund YTD Contributions'!L180,'Fund YTD Contributions'!L180)"),0.0)</f>
        <v>0</v>
      </c>
      <c r="M180" s="170">
        <f>IFERROR(__xludf.DUMMYFUNCTION("IFERROR(L180 * (1 + AVERAGE(Filter('Inflation Data'!$C:$C,'Inflation Data'!$A:$A = M$1))) + 'Fund YTD Contributions'!M180,'Fund YTD Contributions'!M180)"),0.0)</f>
        <v>0</v>
      </c>
      <c r="N180" s="170">
        <f>IFERROR(__xludf.DUMMYFUNCTION("IFERROR(M180 * (1 + AVERAGE(Filter('Inflation Data'!$C:$C,'Inflation Data'!$A:$A = N$1))) + 'Fund YTD Contributions'!N180,'Fund YTD Contributions'!N180)"),0.0)</f>
        <v>0</v>
      </c>
      <c r="O180" s="170">
        <f>IFERROR(__xludf.DUMMYFUNCTION("IFERROR(N180 * (1 + AVERAGE(Filter('Inflation Data'!$C:$C,'Inflation Data'!$A:$A = O$1))) + 'Fund YTD Contributions'!O180,'Fund YTD Contributions'!O180)"),0.0)</f>
        <v>0</v>
      </c>
      <c r="P180" s="170">
        <f>IFERROR(__xludf.DUMMYFUNCTION("IFERROR(O180 * (1 + AVERAGE(Filter('Inflation Data'!$C:$C,'Inflation Data'!$A:$A = P$1))) + 'Fund YTD Contributions'!P180,'Fund YTD Contributions'!P180)"),0.0)</f>
        <v>0</v>
      </c>
      <c r="Q180" s="170">
        <f>IFERROR(__xludf.DUMMYFUNCTION("IFERROR(P180 * (1 + AVERAGE(Filter('Inflation Data'!$C:$C,'Inflation Data'!$A:$A = Q$1))) + 'Fund YTD Contributions'!Q180,'Fund YTD Contributions'!Q180)"),0.0)</f>
        <v>0</v>
      </c>
      <c r="R180" s="170">
        <f>IFERROR(__xludf.DUMMYFUNCTION("IFERROR(Q180 * (1 + AVERAGE(Filter('Inflation Data'!$C:$C,'Inflation Data'!$A:$A = R$1))) + 'Fund YTD Contributions'!R180,'Fund YTD Contributions'!R180)"),0.0)</f>
        <v>0</v>
      </c>
      <c r="S180" s="170">
        <f>IFERROR(__xludf.DUMMYFUNCTION("IFERROR(R180 * (1 + AVERAGE(Filter('Inflation Data'!$C:$C,'Inflation Data'!$A:$A = S$1))) + 'Fund YTD Contributions'!S180,'Fund YTD Contributions'!S180)"),0.0)</f>
        <v>0</v>
      </c>
      <c r="T180" s="170">
        <f>IFERROR(__xludf.DUMMYFUNCTION("IFERROR(S180 * (1 + AVERAGE(Filter('Inflation Data'!$C:$C,'Inflation Data'!$A:$A = T$1))) + 'Fund YTD Contributions'!T180,'Fund YTD Contributions'!T180)"),0.0)</f>
        <v>0</v>
      </c>
      <c r="U180" s="170">
        <f>IFERROR(__xludf.DUMMYFUNCTION("IFERROR(T180 * (1 + AVERAGE(Filter('Inflation Data'!$C:$C,'Inflation Data'!$A:$A = U$1))) + 'Fund YTD Contributions'!U180,'Fund YTD Contributions'!U180)"),0.0)</f>
        <v>0</v>
      </c>
      <c r="V180" s="170">
        <f>IFERROR(__xludf.DUMMYFUNCTION("IFERROR(U180 * (1 + AVERAGE(Filter('Inflation Data'!$C:$C,'Inflation Data'!$A:$A = V$1))) + 'Fund YTD Contributions'!V180,'Fund YTD Contributions'!V180)"),0.0)</f>
        <v>0</v>
      </c>
      <c r="W180" s="170">
        <f>IFERROR(__xludf.DUMMYFUNCTION("IFERROR(V180 * (1 + AVERAGE(Filter('Inflation Data'!$C:$C,'Inflation Data'!$A:$A = W$1))) + 'Fund YTD Contributions'!W180,'Fund YTD Contributions'!W180)"),0.0)</f>
        <v>0</v>
      </c>
      <c r="X180" s="170">
        <f>IFERROR(__xludf.DUMMYFUNCTION("IFERROR(W180 * (1 + AVERAGE(Filter('Inflation Data'!$C:$C,'Inflation Data'!$A:$A = X$1))) + 'Fund YTD Contributions'!X180,'Fund YTD Contributions'!X180)"),0.0)</f>
        <v>0</v>
      </c>
      <c r="Y180" s="170">
        <f>IFERROR(__xludf.DUMMYFUNCTION("IFERROR(X180 * (1 + AVERAGE(Filter('Inflation Data'!$C:$C,'Inflation Data'!$A:$A = Y$1))) + 'Fund YTD Contributions'!Y180,'Fund YTD Contributions'!Y180)"),0.0)</f>
        <v>0</v>
      </c>
      <c r="Z180" s="170">
        <f>IFERROR(__xludf.DUMMYFUNCTION("IFERROR(Y180 * (1 + AVERAGE(Filter('Inflation Data'!$C:$C,'Inflation Data'!$A:$A = Z$1))) + 'Fund YTD Contributions'!Z180,'Fund YTD Contributions'!Z180)"),0.0)</f>
        <v>0</v>
      </c>
      <c r="AA180" s="170"/>
      <c r="AB180" s="170"/>
      <c r="AC180" s="170"/>
      <c r="AD180" s="170"/>
      <c r="AE180" s="170"/>
      <c r="AF180" s="170"/>
    </row>
    <row r="181"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  <c r="AA181" s="175"/>
      <c r="AB181" s="175"/>
      <c r="AC181" s="175"/>
      <c r="AD181" s="175"/>
      <c r="AE181" s="175"/>
      <c r="AF181" s="175"/>
    </row>
    <row r="182"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  <c r="AA182" s="175"/>
      <c r="AB182" s="175"/>
      <c r="AC182" s="175"/>
      <c r="AD182" s="175"/>
      <c r="AE182" s="175"/>
      <c r="AF182" s="175"/>
    </row>
    <row r="183"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</row>
    <row r="184"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  <c r="AA184" s="175"/>
      <c r="AB184" s="175"/>
      <c r="AC184" s="175"/>
      <c r="AD184" s="175"/>
      <c r="AE184" s="175"/>
      <c r="AF184" s="175"/>
    </row>
    <row r="185"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  <c r="AA185" s="175"/>
      <c r="AB185" s="175"/>
      <c r="AC185" s="175"/>
      <c r="AD185" s="175"/>
      <c r="AE185" s="175"/>
      <c r="AF185" s="175"/>
    </row>
    <row r="186"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</row>
    <row r="187"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  <c r="AA187" s="175"/>
      <c r="AB187" s="175"/>
      <c r="AC187" s="175"/>
      <c r="AD187" s="175"/>
      <c r="AE187" s="175"/>
      <c r="AF187" s="175"/>
    </row>
    <row r="188"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  <c r="AA188" s="175"/>
      <c r="AB188" s="175"/>
      <c r="AC188" s="175"/>
      <c r="AD188" s="175"/>
      <c r="AE188" s="175"/>
      <c r="AF188" s="175"/>
    </row>
    <row r="189"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  <c r="AA189" s="175"/>
      <c r="AB189" s="175"/>
      <c r="AC189" s="175"/>
      <c r="AD189" s="175"/>
      <c r="AE189" s="175"/>
      <c r="AF189" s="175"/>
    </row>
    <row r="190"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  <c r="AA190" s="175"/>
      <c r="AB190" s="175"/>
      <c r="AC190" s="175"/>
      <c r="AD190" s="175"/>
      <c r="AE190" s="175"/>
      <c r="AF190" s="175"/>
    </row>
    <row r="191"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  <c r="AA191" s="175"/>
      <c r="AB191" s="175"/>
      <c r="AC191" s="175"/>
      <c r="AD191" s="175"/>
      <c r="AE191" s="175"/>
      <c r="AF191" s="175"/>
    </row>
    <row r="192"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  <c r="AA192" s="175"/>
      <c r="AB192" s="175"/>
      <c r="AC192" s="175"/>
      <c r="AD192" s="175"/>
      <c r="AE192" s="175"/>
      <c r="AF192" s="175"/>
    </row>
    <row r="193"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  <c r="AA193" s="175"/>
      <c r="AB193" s="175"/>
      <c r="AC193" s="175"/>
      <c r="AD193" s="175"/>
      <c r="AE193" s="175"/>
      <c r="AF193" s="175"/>
    </row>
    <row r="194"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  <c r="AA194" s="175"/>
      <c r="AB194" s="175"/>
      <c r="AC194" s="175"/>
      <c r="AD194" s="175"/>
      <c r="AE194" s="175"/>
      <c r="AF194" s="175"/>
    </row>
    <row r="195"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  <c r="AA195" s="175"/>
      <c r="AB195" s="175"/>
      <c r="AC195" s="175"/>
      <c r="AD195" s="175"/>
      <c r="AE195" s="175"/>
      <c r="AF195" s="175"/>
    </row>
    <row r="196"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  <c r="AA196" s="175"/>
      <c r="AB196" s="175"/>
      <c r="AC196" s="175"/>
      <c r="AD196" s="175"/>
      <c r="AE196" s="175"/>
      <c r="AF196" s="175"/>
    </row>
    <row r="197"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  <c r="AA197" s="175"/>
      <c r="AB197" s="175"/>
      <c r="AC197" s="175"/>
      <c r="AD197" s="175"/>
      <c r="AE197" s="175"/>
      <c r="AF197" s="175"/>
    </row>
    <row r="198"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  <c r="AA198" s="175"/>
      <c r="AB198" s="175"/>
      <c r="AC198" s="175"/>
      <c r="AD198" s="175"/>
      <c r="AE198" s="175"/>
      <c r="AF198" s="175"/>
    </row>
    <row r="199"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  <c r="AA199" s="175"/>
      <c r="AB199" s="175"/>
      <c r="AC199" s="175"/>
      <c r="AD199" s="175"/>
      <c r="AE199" s="175"/>
      <c r="AF199" s="175"/>
    </row>
    <row r="200"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  <c r="AA200" s="175"/>
      <c r="AB200" s="175"/>
      <c r="AC200" s="175"/>
      <c r="AD200" s="175"/>
      <c r="AE200" s="175"/>
      <c r="AF200" s="175"/>
    </row>
    <row r="201"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  <c r="AA201" s="175"/>
      <c r="AB201" s="175"/>
      <c r="AC201" s="175"/>
      <c r="AD201" s="175"/>
      <c r="AE201" s="175"/>
      <c r="AF201" s="175"/>
    </row>
    <row r="202"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  <c r="AA202" s="175"/>
      <c r="AB202" s="175"/>
      <c r="AC202" s="175"/>
      <c r="AD202" s="175"/>
      <c r="AE202" s="175"/>
      <c r="AF202" s="175"/>
    </row>
    <row r="203"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  <c r="AA203" s="175"/>
      <c r="AB203" s="175"/>
      <c r="AC203" s="175"/>
      <c r="AD203" s="175"/>
      <c r="AE203" s="175"/>
      <c r="AF203" s="175"/>
    </row>
    <row r="204"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  <c r="AA204" s="175"/>
      <c r="AB204" s="175"/>
      <c r="AC204" s="175"/>
      <c r="AD204" s="175"/>
      <c r="AE204" s="175"/>
      <c r="AF204" s="175"/>
    </row>
    <row r="205"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  <c r="AA205" s="175"/>
      <c r="AB205" s="175"/>
      <c r="AC205" s="175"/>
      <c r="AD205" s="175"/>
      <c r="AE205" s="175"/>
      <c r="AF205" s="175"/>
    </row>
    <row r="206"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  <c r="AA206" s="175"/>
      <c r="AB206" s="175"/>
      <c r="AC206" s="175"/>
      <c r="AD206" s="175"/>
      <c r="AE206" s="175"/>
      <c r="AF206" s="175"/>
    </row>
    <row r="207"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  <c r="AA207" s="175"/>
      <c r="AB207" s="175"/>
      <c r="AC207" s="175"/>
      <c r="AD207" s="175"/>
      <c r="AE207" s="175"/>
      <c r="AF207" s="175"/>
    </row>
    <row r="208"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  <c r="AA208" s="175"/>
      <c r="AB208" s="175"/>
      <c r="AC208" s="175"/>
      <c r="AD208" s="175"/>
      <c r="AE208" s="175"/>
      <c r="AF208" s="175"/>
    </row>
    <row r="209"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  <c r="AA209" s="175"/>
      <c r="AB209" s="175"/>
      <c r="AC209" s="175"/>
      <c r="AD209" s="175"/>
      <c r="AE209" s="175"/>
      <c r="AF209" s="175"/>
    </row>
    <row r="210"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  <c r="AA210" s="175"/>
      <c r="AB210" s="175"/>
      <c r="AC210" s="175"/>
      <c r="AD210" s="175"/>
      <c r="AE210" s="175"/>
      <c r="AF210" s="175"/>
    </row>
    <row r="211"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  <c r="AA211" s="175"/>
      <c r="AB211" s="175"/>
      <c r="AC211" s="175"/>
      <c r="AD211" s="175"/>
      <c r="AE211" s="175"/>
      <c r="AF211" s="175"/>
    </row>
    <row r="212"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  <c r="AA212" s="175"/>
      <c r="AB212" s="175"/>
      <c r="AC212" s="175"/>
      <c r="AD212" s="175"/>
      <c r="AE212" s="175"/>
      <c r="AF212" s="175"/>
    </row>
    <row r="213"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  <c r="AA213" s="175"/>
      <c r="AB213" s="175"/>
      <c r="AC213" s="175"/>
      <c r="AD213" s="175"/>
      <c r="AE213" s="175"/>
      <c r="AF213" s="175"/>
    </row>
    <row r="214"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  <c r="AA214" s="175"/>
      <c r="AB214" s="175"/>
      <c r="AC214" s="175"/>
      <c r="AD214" s="175"/>
      <c r="AE214" s="175"/>
      <c r="AF214" s="175"/>
    </row>
    <row r="215"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</row>
    <row r="216"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  <c r="AA216" s="175"/>
      <c r="AB216" s="175"/>
      <c r="AC216" s="175"/>
      <c r="AD216" s="175"/>
      <c r="AE216" s="175"/>
      <c r="AF216" s="175"/>
    </row>
    <row r="217"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  <c r="AA217" s="175"/>
      <c r="AB217" s="175"/>
      <c r="AC217" s="175"/>
      <c r="AD217" s="175"/>
      <c r="AE217" s="175"/>
      <c r="AF217" s="175"/>
    </row>
    <row r="218"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  <c r="AA218" s="175"/>
      <c r="AB218" s="175"/>
      <c r="AC218" s="175"/>
      <c r="AD218" s="175"/>
      <c r="AE218" s="175"/>
      <c r="AF218" s="175"/>
    </row>
    <row r="219"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  <c r="AA219" s="175"/>
      <c r="AB219" s="175"/>
      <c r="AC219" s="175"/>
      <c r="AD219" s="175"/>
      <c r="AE219" s="175"/>
      <c r="AF219" s="175"/>
    </row>
    <row r="220"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  <c r="AA220" s="175"/>
      <c r="AB220" s="175"/>
      <c r="AC220" s="175"/>
      <c r="AD220" s="175"/>
      <c r="AE220" s="175"/>
      <c r="AF220" s="175"/>
    </row>
    <row r="221"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  <c r="AA221" s="175"/>
      <c r="AB221" s="175"/>
      <c r="AC221" s="175"/>
      <c r="AD221" s="175"/>
      <c r="AE221" s="175"/>
      <c r="AF221" s="175"/>
    </row>
    <row r="222"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  <c r="AA222" s="175"/>
      <c r="AB222" s="175"/>
      <c r="AC222" s="175"/>
      <c r="AD222" s="175"/>
      <c r="AE222" s="175"/>
      <c r="AF222" s="175"/>
    </row>
    <row r="223"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  <c r="AA223" s="175"/>
      <c r="AB223" s="175"/>
      <c r="AC223" s="175"/>
      <c r="AD223" s="175"/>
      <c r="AE223" s="175"/>
      <c r="AF223" s="175"/>
    </row>
    <row r="224"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  <c r="AA224" s="175"/>
      <c r="AB224" s="175"/>
      <c r="AC224" s="175"/>
      <c r="AD224" s="175"/>
      <c r="AE224" s="175"/>
      <c r="AF224" s="175"/>
    </row>
    <row r="225"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  <c r="AA225" s="175"/>
      <c r="AB225" s="175"/>
      <c r="AC225" s="175"/>
      <c r="AD225" s="175"/>
      <c r="AE225" s="175"/>
      <c r="AF225" s="175"/>
    </row>
    <row r="226"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  <c r="AA226" s="175"/>
      <c r="AB226" s="175"/>
      <c r="AC226" s="175"/>
      <c r="AD226" s="175"/>
      <c r="AE226" s="175"/>
      <c r="AF226" s="175"/>
    </row>
    <row r="227"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  <c r="AA227" s="175"/>
      <c r="AB227" s="175"/>
      <c r="AC227" s="175"/>
      <c r="AD227" s="175"/>
      <c r="AE227" s="175"/>
      <c r="AF227" s="175"/>
    </row>
    <row r="228"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  <c r="AA228" s="175"/>
      <c r="AB228" s="175"/>
      <c r="AC228" s="175"/>
      <c r="AD228" s="175"/>
      <c r="AE228" s="175"/>
      <c r="AF228" s="175"/>
    </row>
    <row r="229"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  <c r="AA229" s="175"/>
      <c r="AB229" s="175"/>
      <c r="AC229" s="175"/>
      <c r="AD229" s="175"/>
      <c r="AE229" s="175"/>
      <c r="AF229" s="175"/>
    </row>
    <row r="230"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  <c r="AA230" s="175"/>
      <c r="AB230" s="175"/>
      <c r="AC230" s="175"/>
      <c r="AD230" s="175"/>
      <c r="AE230" s="175"/>
      <c r="AF230" s="175"/>
    </row>
    <row r="231"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  <c r="AA231" s="175"/>
      <c r="AB231" s="175"/>
      <c r="AC231" s="175"/>
      <c r="AD231" s="175"/>
      <c r="AE231" s="175"/>
      <c r="AF231" s="175"/>
    </row>
    <row r="232"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  <c r="AA232" s="175"/>
      <c r="AB232" s="175"/>
      <c r="AC232" s="175"/>
      <c r="AD232" s="175"/>
      <c r="AE232" s="175"/>
      <c r="AF232" s="175"/>
    </row>
    <row r="233"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  <c r="AA233" s="175"/>
      <c r="AB233" s="175"/>
      <c r="AC233" s="175"/>
      <c r="AD233" s="175"/>
      <c r="AE233" s="175"/>
      <c r="AF233" s="175"/>
    </row>
    <row r="234"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  <c r="AA234" s="175"/>
      <c r="AB234" s="175"/>
      <c r="AC234" s="175"/>
      <c r="AD234" s="175"/>
      <c r="AE234" s="175"/>
      <c r="AF234" s="175"/>
    </row>
    <row r="235"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  <c r="AA235" s="175"/>
      <c r="AB235" s="175"/>
      <c r="AC235" s="175"/>
      <c r="AD235" s="175"/>
      <c r="AE235" s="175"/>
      <c r="AF235" s="175"/>
    </row>
    <row r="236"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</row>
    <row r="237"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  <c r="AA237" s="175"/>
      <c r="AB237" s="175"/>
      <c r="AC237" s="175"/>
      <c r="AD237" s="175"/>
      <c r="AE237" s="175"/>
      <c r="AF237" s="175"/>
    </row>
    <row r="238"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  <c r="AA238" s="175"/>
      <c r="AB238" s="175"/>
      <c r="AC238" s="175"/>
      <c r="AD238" s="175"/>
      <c r="AE238" s="175"/>
      <c r="AF238" s="175"/>
    </row>
    <row r="239"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  <c r="AA239" s="175"/>
      <c r="AB239" s="175"/>
      <c r="AC239" s="175"/>
      <c r="AD239" s="175"/>
      <c r="AE239" s="175"/>
      <c r="AF239" s="175"/>
    </row>
    <row r="240"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  <c r="AA240" s="175"/>
      <c r="AB240" s="175"/>
      <c r="AC240" s="175"/>
      <c r="AD240" s="175"/>
      <c r="AE240" s="175"/>
      <c r="AF240" s="175"/>
    </row>
    <row r="241"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  <c r="AA241" s="175"/>
      <c r="AB241" s="175"/>
      <c r="AC241" s="175"/>
      <c r="AD241" s="175"/>
      <c r="AE241" s="175"/>
      <c r="AF241" s="175"/>
    </row>
    <row r="242"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  <c r="AA242" s="175"/>
      <c r="AB242" s="175"/>
      <c r="AC242" s="175"/>
      <c r="AD242" s="175"/>
      <c r="AE242" s="175"/>
      <c r="AF242" s="175"/>
    </row>
    <row r="243"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  <c r="AA243" s="175"/>
      <c r="AB243" s="175"/>
      <c r="AC243" s="175"/>
      <c r="AD243" s="175"/>
      <c r="AE243" s="175"/>
      <c r="AF243" s="175"/>
    </row>
    <row r="244"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</row>
    <row r="245"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  <c r="AA245" s="175"/>
      <c r="AB245" s="175"/>
      <c r="AC245" s="175"/>
      <c r="AD245" s="175"/>
      <c r="AE245" s="175"/>
      <c r="AF245" s="175"/>
    </row>
    <row r="246"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  <c r="AA246" s="175"/>
      <c r="AB246" s="175"/>
      <c r="AC246" s="175"/>
      <c r="AD246" s="175"/>
      <c r="AE246" s="175"/>
      <c r="AF246" s="175"/>
    </row>
    <row r="247"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  <c r="AA247" s="175"/>
      <c r="AB247" s="175"/>
      <c r="AC247" s="175"/>
      <c r="AD247" s="175"/>
      <c r="AE247" s="175"/>
      <c r="AF247" s="175"/>
    </row>
    <row r="248"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  <c r="AA248" s="175"/>
      <c r="AB248" s="175"/>
      <c r="AC248" s="175"/>
      <c r="AD248" s="175"/>
      <c r="AE248" s="175"/>
      <c r="AF248" s="175"/>
    </row>
    <row r="249"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  <c r="AA249" s="175"/>
      <c r="AB249" s="175"/>
      <c r="AC249" s="175"/>
      <c r="AD249" s="175"/>
      <c r="AE249" s="175"/>
      <c r="AF249" s="175"/>
    </row>
    <row r="250"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175"/>
      <c r="AF250" s="175"/>
    </row>
    <row r="251"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  <c r="AA251" s="175"/>
      <c r="AB251" s="175"/>
      <c r="AC251" s="175"/>
      <c r="AD251" s="175"/>
      <c r="AE251" s="175"/>
      <c r="AF251" s="175"/>
    </row>
    <row r="252"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  <c r="AA252" s="175"/>
      <c r="AB252" s="175"/>
      <c r="AC252" s="175"/>
      <c r="AD252" s="175"/>
      <c r="AE252" s="175"/>
      <c r="AF252" s="175"/>
    </row>
    <row r="253"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  <c r="AA253" s="175"/>
      <c r="AB253" s="175"/>
      <c r="AC253" s="175"/>
      <c r="AD253" s="175"/>
      <c r="AE253" s="175"/>
      <c r="AF253" s="175"/>
    </row>
    <row r="254"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  <c r="AA254" s="175"/>
      <c r="AB254" s="175"/>
      <c r="AC254" s="175"/>
      <c r="AD254" s="175"/>
      <c r="AE254" s="175"/>
      <c r="AF254" s="175"/>
    </row>
    <row r="255"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  <c r="AA255" s="175"/>
      <c r="AB255" s="175"/>
      <c r="AC255" s="175"/>
      <c r="AD255" s="175"/>
      <c r="AE255" s="175"/>
      <c r="AF255" s="175"/>
    </row>
    <row r="256"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  <c r="AA256" s="175"/>
      <c r="AB256" s="175"/>
      <c r="AC256" s="175"/>
      <c r="AD256" s="175"/>
      <c r="AE256" s="175"/>
      <c r="AF256" s="17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86"/>
  </cols>
  <sheetData>
    <row r="1">
      <c r="A1" s="120">
        <v>1996.0</v>
      </c>
      <c r="B1" s="122" t="s">
        <v>200</v>
      </c>
      <c r="C1" s="122" t="s">
        <v>201</v>
      </c>
      <c r="D1" s="171"/>
      <c r="E1" s="172">
        <v>4698.41</v>
      </c>
      <c r="F1" s="171">
        <v>183.49</v>
      </c>
      <c r="G1" s="171">
        <v>0.0</v>
      </c>
      <c r="H1" s="171">
        <v>-5.0</v>
      </c>
      <c r="I1" s="45"/>
      <c r="J1" s="45"/>
      <c r="K1" s="171">
        <v>-16.0</v>
      </c>
      <c r="L1" s="171">
        <v>-22.0</v>
      </c>
      <c r="M1" s="171">
        <v>-1.0</v>
      </c>
      <c r="N1" s="171"/>
      <c r="O1" s="171">
        <v>3187.0</v>
      </c>
      <c r="P1" s="53" t="str">
        <f>IFERROR(__xludf.DUMMYFUNCTION("sum(FILTER('Fund Data'!$D:$M,'Fund Data'!$C:$C = $C1,'Fund Data'!$A:$A &lt;= $A1))"),"#N/A")</f>
        <v>#N/A</v>
      </c>
      <c r="Q1" s="173" t="str">
        <f t="shared" ref="Q1:Q27" si="1">O1-P1</f>
        <v>#N/A</v>
      </c>
      <c r="R1" s="16"/>
      <c r="S1" s="16"/>
      <c r="T1" s="16"/>
      <c r="U1" s="16"/>
      <c r="V1" s="16"/>
      <c r="W1" s="16"/>
      <c r="X1" s="16"/>
    </row>
    <row r="2">
      <c r="A2" s="120">
        <v>1997.0</v>
      </c>
      <c r="B2" s="122" t="s">
        <v>200</v>
      </c>
      <c r="C2" s="122" t="s">
        <v>201</v>
      </c>
      <c r="D2" s="171"/>
      <c r="E2" s="45"/>
      <c r="F2" s="171">
        <v>118.31</v>
      </c>
      <c r="G2" s="171">
        <v>-200.0</v>
      </c>
      <c r="H2" s="45"/>
      <c r="I2" s="171">
        <v>74.26</v>
      </c>
      <c r="J2" s="171">
        <v>1.78</v>
      </c>
      <c r="K2" s="171">
        <v>-6.69</v>
      </c>
      <c r="L2" s="171">
        <v>413.0</v>
      </c>
      <c r="M2" s="171">
        <v>0.0</v>
      </c>
      <c r="N2" s="171"/>
      <c r="O2" s="171">
        <v>3588.0</v>
      </c>
      <c r="P2" s="53" t="str">
        <f>IFERROR(__xludf.DUMMYFUNCTION("sum(FILTER('Fund Data'!$D:$M,'Fund Data'!$C:$C = $C2,'Fund Data'!$A:$A &lt;= $A2))"),"#N/A")</f>
        <v>#N/A</v>
      </c>
      <c r="Q2" s="173" t="str">
        <f t="shared" si="1"/>
        <v>#N/A</v>
      </c>
      <c r="R2" s="16"/>
      <c r="S2" s="16"/>
      <c r="T2" s="16"/>
      <c r="U2" s="16"/>
      <c r="V2" s="16"/>
      <c r="W2" s="16"/>
      <c r="X2" s="16"/>
    </row>
    <row r="3">
      <c r="A3" s="120">
        <v>1998.0</v>
      </c>
      <c r="B3" s="122" t="s">
        <v>200</v>
      </c>
      <c r="C3" s="122" t="s">
        <v>201</v>
      </c>
      <c r="D3" s="171"/>
      <c r="E3" s="45"/>
      <c r="F3" s="171">
        <v>117.47</v>
      </c>
      <c r="G3" s="45"/>
      <c r="H3" s="45"/>
      <c r="I3" s="171">
        <v>142.28</v>
      </c>
      <c r="J3" s="171">
        <v>74.47</v>
      </c>
      <c r="K3" s="45"/>
      <c r="L3" s="171">
        <v>211.24</v>
      </c>
      <c r="M3" s="171">
        <v>-0.37</v>
      </c>
      <c r="N3" s="171"/>
      <c r="O3" s="171">
        <v>4133.0</v>
      </c>
      <c r="P3" s="53" t="str">
        <f>IFERROR(__xludf.DUMMYFUNCTION("sum(FILTER('Fund Data'!$D:$M,'Fund Data'!$C:$C = $C3,'Fund Data'!$A:$A &lt;= $A3))"),"#N/A")</f>
        <v>#N/A</v>
      </c>
      <c r="Q3" s="173" t="str">
        <f t="shared" si="1"/>
        <v>#N/A</v>
      </c>
      <c r="R3" s="16"/>
      <c r="S3" s="16"/>
      <c r="T3" s="16"/>
      <c r="U3" s="16"/>
      <c r="V3" s="16"/>
      <c r="W3" s="16"/>
      <c r="X3" s="16"/>
    </row>
    <row r="4">
      <c r="A4" s="120">
        <v>1999.0</v>
      </c>
      <c r="B4" s="122" t="s">
        <v>200</v>
      </c>
      <c r="C4" s="122" t="s">
        <v>201</v>
      </c>
      <c r="D4" s="171"/>
      <c r="E4" s="45"/>
      <c r="F4" s="171">
        <v>112.62</v>
      </c>
      <c r="G4" s="45"/>
      <c r="H4" s="171">
        <v>-11.44</v>
      </c>
      <c r="I4" s="171">
        <v>262.39</v>
      </c>
      <c r="J4" s="171">
        <v>197.0</v>
      </c>
      <c r="K4" s="171">
        <v>-14.18</v>
      </c>
      <c r="L4" s="171">
        <v>-81.22</v>
      </c>
      <c r="M4" s="171">
        <v>0.84</v>
      </c>
      <c r="N4" s="171">
        <v>3.71</v>
      </c>
      <c r="O4" s="171">
        <v>4603.0</v>
      </c>
      <c r="P4" s="53" t="str">
        <f>IFERROR(__xludf.DUMMYFUNCTION("sum(FILTER('Fund Data'!$D:$M,'Fund Data'!$C:$C = $C4,'Fund Data'!$A:$A &lt;= $A4))"),"#N/A")</f>
        <v>#N/A</v>
      </c>
      <c r="Q4" s="173" t="str">
        <f t="shared" si="1"/>
        <v>#N/A</v>
      </c>
      <c r="R4" s="16"/>
      <c r="S4" s="16"/>
      <c r="T4" s="16"/>
      <c r="U4" s="16"/>
      <c r="V4" s="16"/>
      <c r="W4" s="16"/>
      <c r="X4" s="16"/>
    </row>
    <row r="5">
      <c r="A5" s="120">
        <v>2000.0</v>
      </c>
      <c r="B5" s="122" t="s">
        <v>200</v>
      </c>
      <c r="C5" s="122" t="s">
        <v>201</v>
      </c>
      <c r="D5" s="171"/>
      <c r="E5" s="171">
        <v>-4698.41</v>
      </c>
      <c r="F5" s="171">
        <v>85.01</v>
      </c>
      <c r="G5" s="45"/>
      <c r="H5" s="171">
        <v>-11.92</v>
      </c>
      <c r="I5" s="171">
        <v>0.0</v>
      </c>
      <c r="J5" s="45"/>
      <c r="K5" s="171">
        <v>-25.26</v>
      </c>
      <c r="L5" s="171">
        <v>49.08</v>
      </c>
      <c r="M5" s="171">
        <v>-1.11</v>
      </c>
      <c r="N5" s="171"/>
      <c r="O5" s="171">
        <v>0.0</v>
      </c>
      <c r="P5" s="53" t="str">
        <f>IFERROR(__xludf.DUMMYFUNCTION("sum(FILTER('Fund Data'!$D:$M,'Fund Data'!$C:$C = $C5,'Fund Data'!$A:$A &lt;= $A5))"),"#N/A")</f>
        <v>#N/A</v>
      </c>
      <c r="Q5" s="173" t="str">
        <f t="shared" si="1"/>
        <v>#N/A</v>
      </c>
      <c r="R5" s="16"/>
      <c r="S5" s="16"/>
      <c r="T5" s="16"/>
      <c r="U5" s="16"/>
      <c r="V5" s="16"/>
      <c r="W5" s="16"/>
      <c r="X5" s="16"/>
    </row>
    <row r="6">
      <c r="A6" s="120">
        <v>1996.0</v>
      </c>
      <c r="B6" s="122" t="s">
        <v>200</v>
      </c>
      <c r="C6" s="122" t="s">
        <v>202</v>
      </c>
      <c r="D6" s="171"/>
      <c r="E6" s="45">
        <v>185181.79</v>
      </c>
      <c r="F6" s="171">
        <v>10894.21</v>
      </c>
      <c r="G6" s="171">
        <v>-10000.0</v>
      </c>
      <c r="H6" s="171">
        <v>-295.0</v>
      </c>
      <c r="I6" s="45"/>
      <c r="J6" s="45"/>
      <c r="K6" s="171">
        <v>-1166.0</v>
      </c>
      <c r="L6" s="171">
        <v>-1487.0</v>
      </c>
      <c r="M6" s="171">
        <v>-43.0</v>
      </c>
      <c r="N6" s="171"/>
      <c r="O6" s="171">
        <v>183085.0</v>
      </c>
      <c r="P6" s="53" t="str">
        <f>IFERROR(__xludf.DUMMYFUNCTION("sum(FILTER('Fund Data'!$D:$M,'Fund Data'!$C:$C = $C6,'Fund Data'!$A:$A &lt;= $A6))"),"#N/A")</f>
        <v>#N/A</v>
      </c>
      <c r="Q6" s="173" t="str">
        <f t="shared" si="1"/>
        <v>#N/A</v>
      </c>
      <c r="R6" s="16"/>
      <c r="S6" s="16"/>
      <c r="T6" s="16"/>
      <c r="U6" s="16"/>
      <c r="V6" s="16"/>
      <c r="W6" s="16"/>
      <c r="X6" s="16"/>
    </row>
    <row r="7">
      <c r="A7" s="120">
        <v>1997.0</v>
      </c>
      <c r="B7" s="122" t="s">
        <v>200</v>
      </c>
      <c r="C7" s="122" t="s">
        <v>202</v>
      </c>
      <c r="D7" s="171"/>
      <c r="E7" s="45"/>
      <c r="F7" s="171">
        <v>7105.46</v>
      </c>
      <c r="G7" s="171">
        <v>-6500.0</v>
      </c>
      <c r="H7" s="45"/>
      <c r="I7" s="171">
        <v>4439.34</v>
      </c>
      <c r="J7" s="171">
        <v>517.01</v>
      </c>
      <c r="K7" s="171">
        <v>-416.14</v>
      </c>
      <c r="L7" s="171">
        <v>24818.0</v>
      </c>
      <c r="M7" s="171">
        <v>-4.0</v>
      </c>
      <c r="N7" s="171"/>
      <c r="O7" s="171">
        <v>213045.0</v>
      </c>
      <c r="P7" s="53" t="str">
        <f>IFERROR(__xludf.DUMMYFUNCTION("sum(FILTER('Fund Data'!$D:$M,'Fund Data'!$C:$C = $C7,'Fund Data'!$A:$A &lt;= $A7))"),"#N/A")</f>
        <v>#N/A</v>
      </c>
      <c r="Q7" s="173" t="str">
        <f t="shared" si="1"/>
        <v>#N/A</v>
      </c>
      <c r="R7" s="16"/>
      <c r="S7" s="16"/>
      <c r="T7" s="16"/>
      <c r="U7" s="16"/>
      <c r="V7" s="16"/>
      <c r="W7" s="16"/>
      <c r="X7" s="16"/>
    </row>
    <row r="8">
      <c r="A8" s="120">
        <v>1998.0</v>
      </c>
      <c r="B8" s="122" t="s">
        <v>200</v>
      </c>
      <c r="C8" s="122" t="s">
        <v>202</v>
      </c>
      <c r="D8" s="171"/>
      <c r="E8" s="45"/>
      <c r="F8" s="171">
        <v>6883.09</v>
      </c>
      <c r="G8" s="171">
        <v>-4000.0</v>
      </c>
      <c r="H8" s="45"/>
      <c r="I8" s="171">
        <v>8335.44</v>
      </c>
      <c r="J8" s="171">
        <v>4935.71</v>
      </c>
      <c r="K8" s="45"/>
      <c r="L8" s="171">
        <v>11956.16</v>
      </c>
      <c r="M8" s="171">
        <v>2.9</v>
      </c>
      <c r="N8" s="171"/>
      <c r="O8" s="171">
        <v>241158.0</v>
      </c>
      <c r="P8" s="53" t="str">
        <f>IFERROR(__xludf.DUMMYFUNCTION("sum(FILTER('Fund Data'!$D:$M,'Fund Data'!$C:$C = $C8,'Fund Data'!$A:$A &lt;= $A8))"),"#N/A")</f>
        <v>#N/A</v>
      </c>
      <c r="Q8" s="173" t="str">
        <f t="shared" si="1"/>
        <v>#N/A</v>
      </c>
      <c r="R8" s="16"/>
      <c r="S8" s="16"/>
      <c r="T8" s="16"/>
      <c r="U8" s="16"/>
      <c r="V8" s="16"/>
      <c r="W8" s="16"/>
      <c r="X8" s="16"/>
    </row>
    <row r="9">
      <c r="A9" s="120">
        <v>1999.0</v>
      </c>
      <c r="B9" s="122" t="s">
        <v>200</v>
      </c>
      <c r="C9" s="122" t="s">
        <v>202</v>
      </c>
      <c r="D9" s="171"/>
      <c r="E9" s="45"/>
      <c r="F9" s="171">
        <v>5557.68</v>
      </c>
      <c r="G9" s="171">
        <v>-25000.0</v>
      </c>
      <c r="H9" s="171">
        <v>-603.44</v>
      </c>
      <c r="I9" s="171">
        <v>13862.86</v>
      </c>
      <c r="J9" s="171">
        <v>10770.69</v>
      </c>
      <c r="K9" s="171">
        <v>-936.5</v>
      </c>
      <c r="L9" s="171">
        <v>-6467.63</v>
      </c>
      <c r="M9" s="171">
        <v>39.89</v>
      </c>
      <c r="N9" s="171">
        <v>192.59</v>
      </c>
      <c r="O9" s="171">
        <v>238574.0</v>
      </c>
      <c r="P9" s="53" t="str">
        <f>IFERROR(__xludf.DUMMYFUNCTION("sum(FILTER('Fund Data'!$D:$M,'Fund Data'!$C:$C = $C9,'Fund Data'!$A:$A &lt;= $A9))"),"#N/A")</f>
        <v>#N/A</v>
      </c>
      <c r="Q9" s="173" t="str">
        <f t="shared" si="1"/>
        <v>#N/A</v>
      </c>
      <c r="R9" s="16"/>
      <c r="S9" s="16"/>
      <c r="T9" s="16"/>
      <c r="U9" s="16"/>
      <c r="V9" s="16"/>
      <c r="W9" s="16"/>
      <c r="X9" s="16"/>
    </row>
    <row r="10">
      <c r="A10" s="120">
        <v>2000.0</v>
      </c>
      <c r="B10" s="122" t="s">
        <v>200</v>
      </c>
      <c r="C10" s="122" t="s">
        <v>202</v>
      </c>
      <c r="D10" s="171"/>
      <c r="E10" s="45"/>
      <c r="F10" s="171">
        <v>4465.69</v>
      </c>
      <c r="G10" s="171">
        <v>-10000.0</v>
      </c>
      <c r="H10" s="171">
        <v>-717.8</v>
      </c>
      <c r="I10" s="171">
        <v>20136.04</v>
      </c>
      <c r="J10" s="171">
        <v>237.97</v>
      </c>
      <c r="K10" s="171">
        <v>-836.33</v>
      </c>
      <c r="L10" s="171">
        <v>-21264.32</v>
      </c>
      <c r="M10" s="171">
        <v>413.5</v>
      </c>
      <c r="N10" s="171"/>
      <c r="O10" s="171">
        <v>231009.0</v>
      </c>
      <c r="P10" s="53" t="str">
        <f>IFERROR(__xludf.DUMMYFUNCTION("sum(FILTER('Fund Data'!$D:$M,'Fund Data'!$C:$C = $C10,'Fund Data'!$A:$A &lt;= $A10))"),"#N/A")</f>
        <v>#N/A</v>
      </c>
      <c r="Q10" s="173" t="str">
        <f t="shared" si="1"/>
        <v>#N/A</v>
      </c>
      <c r="R10" s="16"/>
      <c r="S10" s="16"/>
      <c r="T10" s="16"/>
      <c r="U10" s="16"/>
      <c r="V10" s="16"/>
      <c r="W10" s="16"/>
      <c r="X10" s="16"/>
    </row>
    <row r="11">
      <c r="A11" s="120">
        <v>2001.0</v>
      </c>
      <c r="B11" s="122" t="s">
        <v>200</v>
      </c>
      <c r="C11" s="122" t="s">
        <v>202</v>
      </c>
      <c r="D11" s="171"/>
      <c r="E11" s="45"/>
      <c r="F11" s="171">
        <v>5693.3</v>
      </c>
      <c r="G11" s="171">
        <v>-25000.0</v>
      </c>
      <c r="H11" s="171">
        <v>-654.84</v>
      </c>
      <c r="I11" s="171">
        <v>545.89</v>
      </c>
      <c r="J11" s="171">
        <v>2721.31</v>
      </c>
      <c r="K11" s="171">
        <v>-8677.79</v>
      </c>
      <c r="L11" s="171">
        <v>-8705.7</v>
      </c>
      <c r="M11" s="171">
        <v>-455.7</v>
      </c>
      <c r="N11" s="171"/>
      <c r="O11" s="171">
        <v>196475.0</v>
      </c>
      <c r="P11" s="53" t="str">
        <f>IFERROR(__xludf.DUMMYFUNCTION("sum(FILTER('Fund Data'!$D:$M,'Fund Data'!$C:$C = $C11,'Fund Data'!$A:$A &lt;= $A11))"),"#N/A")</f>
        <v>#N/A</v>
      </c>
      <c r="Q11" s="173" t="str">
        <f t="shared" si="1"/>
        <v>#N/A</v>
      </c>
      <c r="R11" s="16"/>
      <c r="S11" s="16"/>
      <c r="T11" s="16"/>
      <c r="U11" s="16"/>
      <c r="V11" s="16"/>
      <c r="W11" s="16"/>
      <c r="X11" s="16"/>
    </row>
    <row r="12">
      <c r="A12" s="120">
        <v>2002.0</v>
      </c>
      <c r="B12" s="122" t="s">
        <v>200</v>
      </c>
      <c r="C12" s="122" t="s">
        <v>202</v>
      </c>
      <c r="D12" s="171"/>
      <c r="E12" s="45"/>
      <c r="F12" s="171">
        <v>3919.99</v>
      </c>
      <c r="G12" s="171">
        <v>-30000.0</v>
      </c>
      <c r="H12" s="171">
        <v>-576.37</v>
      </c>
      <c r="I12" s="171">
        <v>2462.94</v>
      </c>
      <c r="J12" s="171">
        <v>467.42</v>
      </c>
      <c r="K12" s="171">
        <v>-23996.39</v>
      </c>
      <c r="L12" s="171">
        <v>-6859.51</v>
      </c>
      <c r="M12" s="171">
        <v>-6.52</v>
      </c>
      <c r="N12" s="171"/>
      <c r="O12" s="171">
        <v>141887.0</v>
      </c>
      <c r="P12" s="53" t="str">
        <f>IFERROR(__xludf.DUMMYFUNCTION("sum(FILTER('Fund Data'!$D:$M,'Fund Data'!$C:$C = $C12,'Fund Data'!$A:$A &lt;= $A12))"),"#N/A")</f>
        <v>#N/A</v>
      </c>
      <c r="Q12" s="173" t="str">
        <f t="shared" si="1"/>
        <v>#N/A</v>
      </c>
      <c r="R12" s="16"/>
      <c r="S12" s="16"/>
      <c r="T12" s="16"/>
      <c r="U12" s="16"/>
      <c r="V12" s="16"/>
      <c r="W12" s="16"/>
      <c r="X12" s="16"/>
    </row>
    <row r="13">
      <c r="A13" s="120">
        <v>2003.0</v>
      </c>
      <c r="B13" s="122" t="s">
        <v>200</v>
      </c>
      <c r="C13" s="122" t="s">
        <v>202</v>
      </c>
      <c r="D13" s="171"/>
      <c r="E13" s="45"/>
      <c r="F13" s="171">
        <v>3721.59</v>
      </c>
      <c r="G13" s="171">
        <v>-46500.0</v>
      </c>
      <c r="H13" s="171">
        <v>-533.56</v>
      </c>
      <c r="I13" s="171">
        <v>1424.29</v>
      </c>
      <c r="J13" s="171">
        <v>17216.21</v>
      </c>
      <c r="K13" s="171">
        <v>-903.21</v>
      </c>
      <c r="L13" s="171">
        <v>14523.0</v>
      </c>
      <c r="M13" s="171">
        <v>0.2</v>
      </c>
      <c r="N13" s="171"/>
      <c r="O13" s="171">
        <v>130836.0</v>
      </c>
      <c r="P13" s="53" t="str">
        <f>IFERROR(__xludf.DUMMYFUNCTION("sum(FILTER('Fund Data'!$D:$M,'Fund Data'!$C:$C = $C13,'Fund Data'!$A:$A &lt;= $A13))"),"#N/A")</f>
        <v>#N/A</v>
      </c>
      <c r="Q13" s="173" t="str">
        <f t="shared" si="1"/>
        <v>#N/A</v>
      </c>
      <c r="R13" s="16"/>
      <c r="S13" s="16"/>
      <c r="T13" s="16"/>
      <c r="U13" s="16"/>
      <c r="V13" s="16"/>
      <c r="W13" s="16"/>
      <c r="X13" s="16"/>
    </row>
    <row r="14">
      <c r="A14" s="120">
        <v>2004.0</v>
      </c>
      <c r="B14" s="122" t="s">
        <v>200</v>
      </c>
      <c r="C14" s="122" t="s">
        <v>202</v>
      </c>
      <c r="D14" s="171"/>
      <c r="E14" s="171">
        <v>-185181.9</v>
      </c>
      <c r="F14" s="171">
        <v>2171.0</v>
      </c>
      <c r="G14" s="171">
        <v>-131350.0</v>
      </c>
      <c r="H14" s="171">
        <v>-443.0</v>
      </c>
      <c r="I14" s="45"/>
      <c r="J14" s="171">
        <v>8912.0</v>
      </c>
      <c r="K14" s="171">
        <v>-10122.0</v>
      </c>
      <c r="L14" s="171">
        <v>0.0</v>
      </c>
      <c r="M14" s="171">
        <v>-2.0</v>
      </c>
      <c r="N14" s="171"/>
      <c r="O14" s="171">
        <v>1.0</v>
      </c>
      <c r="P14" s="53" t="str">
        <f>IFERROR(__xludf.DUMMYFUNCTION("sum(FILTER('Fund Data'!$D:$M,'Fund Data'!$C:$C = $C14,'Fund Data'!$A:$A &lt;= $A14))"),"#N/A")</f>
        <v>#N/A</v>
      </c>
      <c r="Q14" s="173" t="str">
        <f t="shared" si="1"/>
        <v>#N/A</v>
      </c>
      <c r="R14" s="16"/>
      <c r="S14" s="16"/>
      <c r="T14" s="16"/>
      <c r="U14" s="16"/>
      <c r="V14" s="16"/>
      <c r="W14" s="16"/>
      <c r="X14" s="16"/>
    </row>
    <row r="15">
      <c r="A15" s="120">
        <v>1995.0</v>
      </c>
      <c r="B15" s="122" t="s">
        <v>200</v>
      </c>
      <c r="C15" s="122" t="s">
        <v>203</v>
      </c>
      <c r="D15" s="171"/>
      <c r="E15" s="171">
        <v>1071000.0</v>
      </c>
      <c r="F15" s="171"/>
      <c r="G15" s="171"/>
      <c r="H15" s="171"/>
      <c r="I15" s="45"/>
      <c r="J15" s="45"/>
      <c r="K15" s="171"/>
      <c r="L15" s="171"/>
      <c r="M15" s="171"/>
      <c r="N15" s="171"/>
      <c r="O15" s="171"/>
      <c r="P15" s="53" t="str">
        <f>IFERROR(__xludf.DUMMYFUNCTION("sum(FILTER('Fund Data'!$D:$M,'Fund Data'!$C:$C = $C15,'Fund Data'!$A:$A &lt;= $A15))"),"#N/A")</f>
        <v>#N/A</v>
      </c>
      <c r="Q15" s="173" t="str">
        <f t="shared" si="1"/>
        <v>#N/A</v>
      </c>
      <c r="R15" s="16"/>
      <c r="S15" s="16"/>
      <c r="T15" s="16"/>
      <c r="U15" s="16"/>
      <c r="V15" s="16"/>
      <c r="W15" s="16"/>
      <c r="X15" s="16"/>
    </row>
    <row r="16">
      <c r="A16" s="120">
        <v>1996.0</v>
      </c>
      <c r="B16" s="122" t="s">
        <v>200</v>
      </c>
      <c r="C16" s="122" t="s">
        <v>203</v>
      </c>
      <c r="D16" s="171"/>
      <c r="E16" s="171">
        <v>-406000.0</v>
      </c>
      <c r="F16" s="171">
        <v>157506.4</v>
      </c>
      <c r="G16" s="171">
        <v>-155000.0</v>
      </c>
      <c r="H16" s="171">
        <v>-2601.0</v>
      </c>
      <c r="I16" s="45"/>
      <c r="J16" s="45"/>
      <c r="K16" s="171">
        <v>-25042.0</v>
      </c>
      <c r="L16" s="171">
        <v>-29902.0</v>
      </c>
      <c r="M16" s="171">
        <v>-65.0</v>
      </c>
      <c r="N16" s="171"/>
      <c r="O16" s="171">
        <v>1178949.0</v>
      </c>
      <c r="P16" s="53" t="str">
        <f>IFERROR(__xludf.DUMMYFUNCTION("sum(FILTER('Fund Data'!$D:$M,'Fund Data'!$C:$C = $C16,'Fund Data'!$A:$A &lt;= $A16))"),"#N/A")</f>
        <v>#N/A</v>
      </c>
      <c r="Q16" s="173" t="str">
        <f t="shared" si="1"/>
        <v>#N/A</v>
      </c>
      <c r="R16" s="16"/>
      <c r="S16" s="16"/>
      <c r="T16" s="16"/>
      <c r="U16" s="16"/>
      <c r="V16" s="16"/>
      <c r="W16" s="16"/>
      <c r="X16" s="16"/>
    </row>
    <row r="17">
      <c r="A17" s="120">
        <v>1997.0</v>
      </c>
      <c r="B17" s="122" t="s">
        <v>200</v>
      </c>
      <c r="C17" s="122" t="s">
        <v>203</v>
      </c>
      <c r="D17" s="171"/>
      <c r="E17" s="171">
        <v>-665000.0</v>
      </c>
      <c r="F17" s="171">
        <v>28821.07</v>
      </c>
      <c r="G17" s="171">
        <v>-23000.0</v>
      </c>
      <c r="H17" s="171">
        <v>-3000.0</v>
      </c>
      <c r="I17" s="171">
        <v>12997.19</v>
      </c>
      <c r="J17" s="171">
        <v>26648.02</v>
      </c>
      <c r="K17" s="171">
        <v>-98.23</v>
      </c>
      <c r="L17" s="171">
        <v>93280.0</v>
      </c>
      <c r="M17" s="171">
        <v>-477.0</v>
      </c>
      <c r="N17" s="171"/>
      <c r="O17" s="171">
        <v>649120.0</v>
      </c>
      <c r="P17" s="53" t="str">
        <f>IFERROR(__xludf.DUMMYFUNCTION("sum(FILTER('Fund Data'!$D:$M,'Fund Data'!$C:$C = $C17,'Fund Data'!$A:$A &lt;= $A17))"),"#N/A")</f>
        <v>#N/A</v>
      </c>
      <c r="Q17" s="173" t="str">
        <f t="shared" si="1"/>
        <v>#N/A</v>
      </c>
      <c r="R17" s="16"/>
      <c r="S17" s="16"/>
      <c r="T17" s="16"/>
      <c r="U17" s="16"/>
      <c r="V17" s="16"/>
      <c r="W17" s="16"/>
      <c r="X17" s="16"/>
    </row>
    <row r="18">
      <c r="A18" s="120">
        <v>1998.0</v>
      </c>
      <c r="B18" s="122" t="s">
        <v>200</v>
      </c>
      <c r="C18" s="122" t="s">
        <v>203</v>
      </c>
      <c r="D18" s="171"/>
      <c r="E18" s="45"/>
      <c r="F18" s="171">
        <v>20021.49</v>
      </c>
      <c r="G18" s="171">
        <v>-76000.0</v>
      </c>
      <c r="H18" s="171">
        <v>-2750.0</v>
      </c>
      <c r="I18" s="171">
        <v>24656.34</v>
      </c>
      <c r="J18" s="171">
        <v>16797.3</v>
      </c>
      <c r="K18" s="45"/>
      <c r="L18" s="171">
        <v>34076.05</v>
      </c>
      <c r="M18" s="171">
        <v>6.91</v>
      </c>
      <c r="N18" s="171"/>
      <c r="O18" s="171">
        <v>665928.0</v>
      </c>
      <c r="P18" s="53" t="str">
        <f>IFERROR(__xludf.DUMMYFUNCTION("sum(FILTER('Fund Data'!$D:$M,'Fund Data'!$C:$C = $C18,'Fund Data'!$A:$A &lt;= $A18))"),"#N/A")</f>
        <v>#N/A</v>
      </c>
      <c r="Q18" s="173" t="str">
        <f t="shared" si="1"/>
        <v>#N/A</v>
      </c>
      <c r="R18" s="16"/>
      <c r="S18" s="16"/>
      <c r="T18" s="16"/>
      <c r="U18" s="16"/>
      <c r="V18" s="16"/>
      <c r="W18" s="16"/>
      <c r="X18" s="16"/>
    </row>
    <row r="19">
      <c r="A19" s="120">
        <v>1999.0</v>
      </c>
      <c r="B19" s="122" t="s">
        <v>200</v>
      </c>
      <c r="C19" s="122" t="s">
        <v>203</v>
      </c>
      <c r="D19" s="171"/>
      <c r="E19" s="45"/>
      <c r="F19" s="171">
        <v>15571.94</v>
      </c>
      <c r="G19" s="171">
        <v>-65000.0</v>
      </c>
      <c r="H19" s="171">
        <v>-1780.73</v>
      </c>
      <c r="I19" s="171">
        <v>38927.09</v>
      </c>
      <c r="J19" s="171">
        <v>38531.36</v>
      </c>
      <c r="K19" s="171">
        <v>-1029.0</v>
      </c>
      <c r="L19" s="171">
        <v>-27887.66</v>
      </c>
      <c r="M19" s="171">
        <v>92.43</v>
      </c>
      <c r="N19" s="171">
        <v>535.85</v>
      </c>
      <c r="O19" s="171">
        <v>663889.0</v>
      </c>
      <c r="P19" s="53" t="str">
        <f>IFERROR(__xludf.DUMMYFUNCTION("sum(FILTER('Fund Data'!$D:$M,'Fund Data'!$C:$C = $C19,'Fund Data'!$A:$A &lt;= $A19))"),"#N/A")</f>
        <v>#N/A</v>
      </c>
      <c r="Q19" s="173" t="str">
        <f t="shared" si="1"/>
        <v>#N/A</v>
      </c>
      <c r="R19" s="16"/>
      <c r="S19" s="16"/>
      <c r="T19" s="16"/>
      <c r="U19" s="16"/>
      <c r="V19" s="16"/>
      <c r="W19" s="16"/>
      <c r="X19" s="16"/>
    </row>
    <row r="20">
      <c r="A20" s="120">
        <v>2000.0</v>
      </c>
      <c r="B20" s="122" t="s">
        <v>200</v>
      </c>
      <c r="C20" s="122" t="s">
        <v>203</v>
      </c>
      <c r="D20" s="171"/>
      <c r="E20" s="45"/>
      <c r="F20" s="171">
        <v>12252.28</v>
      </c>
      <c r="G20" s="171">
        <v>-30000.0</v>
      </c>
      <c r="H20" s="171">
        <v>-1747.25</v>
      </c>
      <c r="I20" s="171">
        <v>56631.08</v>
      </c>
      <c r="J20" s="171">
        <v>698.65</v>
      </c>
      <c r="K20" s="171">
        <v>-2369.42</v>
      </c>
      <c r="L20" s="171">
        <v>-59684.61</v>
      </c>
      <c r="M20" s="171">
        <v>1158.07</v>
      </c>
      <c r="N20" s="171"/>
      <c r="O20" s="171">
        <v>640828.0</v>
      </c>
      <c r="P20" s="53" t="str">
        <f>IFERROR(__xludf.DUMMYFUNCTION("sum(FILTER('Fund Data'!$D:$M,'Fund Data'!$C:$C = $C20,'Fund Data'!$A:$A &lt;= $A20))"),"#N/A")</f>
        <v>#N/A</v>
      </c>
      <c r="Q20" s="173" t="str">
        <f t="shared" si="1"/>
        <v>#N/A</v>
      </c>
      <c r="R20" s="16"/>
      <c r="S20" s="16"/>
      <c r="T20" s="16"/>
      <c r="U20" s="16"/>
      <c r="V20" s="16"/>
      <c r="W20" s="16"/>
      <c r="X20" s="16"/>
    </row>
    <row r="21">
      <c r="A21" s="120">
        <v>2001.0</v>
      </c>
      <c r="B21" s="122" t="s">
        <v>200</v>
      </c>
      <c r="C21" s="122" t="s">
        <v>203</v>
      </c>
      <c r="D21" s="171"/>
      <c r="E21" s="45"/>
      <c r="F21" s="171">
        <v>15871.08</v>
      </c>
      <c r="G21" s="171">
        <v>-25000.0</v>
      </c>
      <c r="H21" s="171">
        <v>-1821.68</v>
      </c>
      <c r="I21" s="171">
        <v>1634.15</v>
      </c>
      <c r="J21" s="171">
        <v>7623.0</v>
      </c>
      <c r="K21" s="171">
        <v>-22281.99</v>
      </c>
      <c r="L21" s="171">
        <v>-23263.74</v>
      </c>
      <c r="M21" s="171">
        <v>-1256.58</v>
      </c>
      <c r="N21" s="171"/>
      <c r="O21" s="171">
        <v>592332.0</v>
      </c>
      <c r="P21" s="53" t="str">
        <f>IFERROR(__xludf.DUMMYFUNCTION("sum(FILTER('Fund Data'!$D:$M,'Fund Data'!$C:$C = $C21,'Fund Data'!$A:$A &lt;= $A21))"),"#N/A")</f>
        <v>#N/A</v>
      </c>
      <c r="Q21" s="173" t="str">
        <f t="shared" si="1"/>
        <v>#N/A</v>
      </c>
      <c r="R21" s="16"/>
      <c r="S21" s="16"/>
      <c r="T21" s="16"/>
      <c r="U21" s="16"/>
      <c r="V21" s="16"/>
      <c r="W21" s="16"/>
      <c r="X21" s="16"/>
    </row>
    <row r="22">
      <c r="A22" s="120">
        <v>2002.0</v>
      </c>
      <c r="B22" s="122" t="s">
        <v>200</v>
      </c>
      <c r="C22" s="122" t="s">
        <v>203</v>
      </c>
      <c r="D22" s="171"/>
      <c r="E22" s="45"/>
      <c r="F22" s="171">
        <v>11790.73</v>
      </c>
      <c r="G22" s="171">
        <v>-100000.0</v>
      </c>
      <c r="H22" s="171">
        <v>-1749.65</v>
      </c>
      <c r="I22" s="171">
        <v>7454.87</v>
      </c>
      <c r="J22" s="171">
        <v>1702.89</v>
      </c>
      <c r="K22" s="171">
        <v>-69562.89</v>
      </c>
      <c r="L22" s="171">
        <v>-28591.25</v>
      </c>
      <c r="M22" s="171">
        <v>-14.63</v>
      </c>
      <c r="N22" s="171"/>
      <c r="O22" s="171">
        <v>413362.0</v>
      </c>
      <c r="P22" s="53" t="str">
        <f>IFERROR(__xludf.DUMMYFUNCTION("sum(FILTER('Fund Data'!$D:$M,'Fund Data'!$C:$C = $C22,'Fund Data'!$A:$A &lt;= $A22))"),"#N/A")</f>
        <v>#N/A</v>
      </c>
      <c r="Q22" s="173" t="str">
        <f t="shared" si="1"/>
        <v>#N/A</v>
      </c>
      <c r="R22" s="16"/>
      <c r="S22" s="16"/>
      <c r="T22" s="16"/>
      <c r="U22" s="16"/>
      <c r="V22" s="16"/>
      <c r="W22" s="16"/>
      <c r="X22" s="16"/>
    </row>
    <row r="23">
      <c r="A23" s="120">
        <v>2003.0</v>
      </c>
      <c r="B23" s="122" t="s">
        <v>200</v>
      </c>
      <c r="C23" s="122" t="s">
        <v>203</v>
      </c>
      <c r="D23" s="171"/>
      <c r="E23" s="45"/>
      <c r="F23" s="171">
        <v>9230.36</v>
      </c>
      <c r="G23" s="171">
        <v>-190000.0</v>
      </c>
      <c r="H23" s="171">
        <v>-1357.24</v>
      </c>
      <c r="I23" s="171">
        <v>3803.9</v>
      </c>
      <c r="J23" s="171">
        <v>37227.05</v>
      </c>
      <c r="K23" s="171">
        <v>-8942.89</v>
      </c>
      <c r="L23" s="171">
        <v>44248.0</v>
      </c>
      <c r="M23" s="171">
        <v>4.34</v>
      </c>
      <c r="N23" s="171"/>
      <c r="O23" s="171">
        <v>307575.0</v>
      </c>
      <c r="P23" s="53" t="str">
        <f>IFERROR(__xludf.DUMMYFUNCTION("sum(FILTER('Fund Data'!$D:$M,'Fund Data'!$C:$C = $C23,'Fund Data'!$A:$A &lt;= $A23))"),"#N/A")</f>
        <v>#N/A</v>
      </c>
      <c r="Q23" s="173" t="str">
        <f t="shared" si="1"/>
        <v>#N/A</v>
      </c>
      <c r="R23" s="16"/>
      <c r="S23" s="16"/>
      <c r="T23" s="16"/>
      <c r="U23" s="16"/>
      <c r="V23" s="16"/>
      <c r="W23" s="16"/>
      <c r="X23" s="16"/>
    </row>
    <row r="24">
      <c r="A24" s="120">
        <v>2004.0</v>
      </c>
      <c r="B24" s="122" t="s">
        <v>200</v>
      </c>
      <c r="C24" s="122" t="s">
        <v>203</v>
      </c>
      <c r="D24" s="171"/>
      <c r="E24" s="45"/>
      <c r="F24" s="171">
        <v>9229.0</v>
      </c>
      <c r="G24" s="45"/>
      <c r="H24" s="171">
        <v>-1411.0</v>
      </c>
      <c r="I24" s="171">
        <v>3650.0</v>
      </c>
      <c r="J24" s="171">
        <v>5429.0</v>
      </c>
      <c r="K24" s="171">
        <v>-4640.0</v>
      </c>
      <c r="L24" s="171">
        <v>17522.0</v>
      </c>
      <c r="M24" s="171">
        <v>-2.0</v>
      </c>
      <c r="N24" s="171"/>
      <c r="O24" s="171">
        <v>337351.0</v>
      </c>
      <c r="P24" s="53" t="str">
        <f>IFERROR(__xludf.DUMMYFUNCTION("sum(FILTER('Fund Data'!$D:$M,'Fund Data'!$C:$C = $C24,'Fund Data'!$A:$A &lt;= $A24))"),"#N/A")</f>
        <v>#N/A</v>
      </c>
      <c r="Q24" s="173" t="str">
        <f t="shared" si="1"/>
        <v>#N/A</v>
      </c>
      <c r="R24" s="16"/>
      <c r="S24" s="16"/>
      <c r="T24" s="16"/>
      <c r="U24" s="16"/>
      <c r="V24" s="16"/>
      <c r="W24" s="16"/>
      <c r="X24" s="16"/>
    </row>
    <row r="25">
      <c r="A25" s="120">
        <v>2005.0</v>
      </c>
      <c r="B25" s="122" t="s">
        <v>200</v>
      </c>
      <c r="C25" s="122" t="s">
        <v>203</v>
      </c>
      <c r="D25" s="171"/>
      <c r="E25" s="45"/>
      <c r="F25" s="171">
        <v>6597.32</v>
      </c>
      <c r="G25" s="171">
        <v>-101250.0</v>
      </c>
      <c r="H25" s="171">
        <v>-1742.13</v>
      </c>
      <c r="I25" s="45"/>
      <c r="J25" s="171">
        <v>46893.58</v>
      </c>
      <c r="K25" s="45"/>
      <c r="L25" s="171">
        <v>-36573.61</v>
      </c>
      <c r="M25" s="171">
        <v>705.71</v>
      </c>
      <c r="N25" s="171"/>
      <c r="O25" s="171">
        <v>251982.0</v>
      </c>
      <c r="P25" s="53" t="str">
        <f>IFERROR(__xludf.DUMMYFUNCTION("sum(FILTER('Fund Data'!$D:$M,'Fund Data'!$C:$C = $C25,'Fund Data'!$A:$A &lt;= $A25))"),"#N/A")</f>
        <v>#N/A</v>
      </c>
      <c r="Q25" s="173" t="str">
        <f t="shared" si="1"/>
        <v>#N/A</v>
      </c>
      <c r="R25" s="16"/>
      <c r="S25" s="16"/>
      <c r="T25" s="16"/>
      <c r="U25" s="16"/>
      <c r="V25" s="16"/>
      <c r="W25" s="16"/>
      <c r="X25" s="16"/>
    </row>
    <row r="26">
      <c r="A26" s="120">
        <v>2006.0</v>
      </c>
      <c r="B26" s="122" t="s">
        <v>200</v>
      </c>
      <c r="C26" s="122" t="s">
        <v>203</v>
      </c>
      <c r="D26" s="171"/>
      <c r="E26" s="45"/>
      <c r="F26" s="171">
        <v>3432.42</v>
      </c>
      <c r="G26" s="171">
        <v>-271557.15</v>
      </c>
      <c r="H26" s="171">
        <v>-1212.35</v>
      </c>
      <c r="I26" s="45"/>
      <c r="J26" s="171">
        <v>17936.53</v>
      </c>
      <c r="K26" s="45"/>
      <c r="L26" s="171">
        <v>132.84</v>
      </c>
      <c r="M26" s="171">
        <v>-714.55</v>
      </c>
      <c r="N26" s="171"/>
      <c r="O26" s="171">
        <v>0.0</v>
      </c>
      <c r="P26" s="53" t="str">
        <f>IFERROR(__xludf.DUMMYFUNCTION("sum(FILTER('Fund Data'!$D:$M,'Fund Data'!$C:$C = $C26,'Fund Data'!$A:$A &lt;= $A26))"),"#N/A")</f>
        <v>#N/A</v>
      </c>
      <c r="Q26" s="173" t="str">
        <f t="shared" si="1"/>
        <v>#N/A</v>
      </c>
      <c r="R26" s="16"/>
      <c r="S26" s="16"/>
      <c r="T26" s="16"/>
      <c r="U26" s="16"/>
      <c r="V26" s="16"/>
      <c r="W26" s="16"/>
      <c r="X26" s="16"/>
    </row>
    <row r="27">
      <c r="A27" s="120">
        <v>2007.0</v>
      </c>
      <c r="B27" s="122" t="s">
        <v>200</v>
      </c>
      <c r="C27" s="122" t="s">
        <v>203</v>
      </c>
      <c r="D27" s="171"/>
      <c r="E27" s="45"/>
      <c r="F27" s="171">
        <v>175.44</v>
      </c>
      <c r="G27" s="171">
        <v>-175.44</v>
      </c>
      <c r="H27" s="45"/>
      <c r="I27" s="45"/>
      <c r="J27" s="45"/>
      <c r="K27" s="45"/>
      <c r="L27" s="45"/>
      <c r="M27" s="45"/>
      <c r="N27" s="171">
        <v>-1.66</v>
      </c>
      <c r="O27" s="171">
        <v>0.0</v>
      </c>
      <c r="P27" s="53" t="str">
        <f>IFERROR(__xludf.DUMMYFUNCTION("sum(FILTER('Fund Data'!$D:$M,'Fund Data'!$C:$C = $C27,'Fund Data'!$A:$A &lt;= $A27))"),"#N/A")</f>
        <v>#N/A</v>
      </c>
      <c r="Q27" s="173" t="str">
        <f t="shared" si="1"/>
        <v>#N/A</v>
      </c>
      <c r="R27" s="16"/>
      <c r="S27" s="16"/>
      <c r="T27" s="16"/>
      <c r="U27" s="16"/>
      <c r="V27" s="16"/>
      <c r="W27" s="16"/>
      <c r="X27" s="16"/>
    </row>
  </sheetData>
  <dataValidations>
    <dataValidation type="list" allowBlank="1" showErrorMessage="1" sqref="C1:C27">
      <formula1>'Endowed Funds'!$B$2:$B1000</formula1>
    </dataValidation>
    <dataValidation type="decimal" operator="greaterThanOrEqual" allowBlank="1" showDropDown="1" showErrorMessage="1" sqref="A1:A27">
      <formula1>1990.0</formula1>
    </dataValidation>
    <dataValidation type="list" allowBlank="1" showErrorMessage="1" sqref="B1:B27">
      <formula1>"1,2,3,4,5,6,7,8,9,10,11,12"</formula1>
    </dataValidation>
  </dataValidations>
  <drawing r:id="rId1"/>
</worksheet>
</file>